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8" activeTab="36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" sheetId="36" r:id="rId29"/>
    <sheet name="آبان" sheetId="35" r:id="rId30"/>
    <sheet name="آذر" sheetId="37" r:id="rId31"/>
    <sheet name="دی" sheetId="39" r:id="rId32"/>
    <sheet name="بهمن" sheetId="45" r:id="rId33"/>
    <sheet name="اسفند" sheetId="46" r:id="rId34"/>
    <sheet name="فروردین" sheetId="47" r:id="rId35"/>
    <sheet name="اردیبهشت" sheetId="48" r:id="rId36"/>
    <sheet name="خرداد 1402" sheetId="49" r:id="rId37"/>
  </sheets>
  <calcPr calcId="152511"/>
</workbook>
</file>

<file path=xl/calcChain.xml><?xml version="1.0" encoding="utf-8"?>
<calcChain xmlns="http://schemas.openxmlformats.org/spreadsheetml/2006/main">
  <c r="D183" i="31" l="1"/>
  <c r="E183" i="31"/>
  <c r="E182" i="31"/>
  <c r="C160" i="31" l="1"/>
  <c r="D1125" i="49"/>
  <c r="F1125" i="49" s="1"/>
  <c r="F1124" i="49"/>
  <c r="K1120" i="49"/>
  <c r="J1120" i="49"/>
  <c r="F1113" i="49"/>
  <c r="J1112" i="49"/>
  <c r="F1105" i="49"/>
  <c r="D1105" i="49"/>
  <c r="D1109" i="49" s="1"/>
  <c r="F1104" i="49"/>
  <c r="F1103" i="49"/>
  <c r="K1098" i="49"/>
  <c r="F966" i="48"/>
  <c r="J965" i="48"/>
  <c r="D958" i="48"/>
  <c r="F958" i="48" s="1"/>
  <c r="F957" i="48"/>
  <c r="F956" i="48"/>
  <c r="F963" i="47"/>
  <c r="J962" i="47"/>
  <c r="D955" i="47"/>
  <c r="F955" i="47" s="1"/>
  <c r="F954" i="47"/>
  <c r="F953" i="47"/>
  <c r="J948" i="47"/>
  <c r="K948" i="47" s="1"/>
  <c r="K954" i="46"/>
  <c r="D1114" i="49" l="1"/>
  <c r="F1109" i="49"/>
  <c r="F1112" i="49" s="1"/>
  <c r="K1112" i="49" s="1"/>
  <c r="D962" i="48"/>
  <c r="F962" i="48" s="1"/>
  <c r="F965" i="48" s="1"/>
  <c r="K965" i="48" s="1"/>
  <c r="D967" i="48"/>
  <c r="D959" i="47"/>
  <c r="J1821" i="49"/>
  <c r="F1247" i="49"/>
  <c r="J1820" i="49"/>
  <c r="K1418" i="49"/>
  <c r="J1418" i="49"/>
  <c r="F967" i="49"/>
  <c r="F1817" i="49"/>
  <c r="F1816" i="49"/>
  <c r="F399" i="49"/>
  <c r="F1019" i="49"/>
  <c r="F1815" i="49"/>
  <c r="J207" i="49"/>
  <c r="J1067" i="49"/>
  <c r="J1494" i="49"/>
  <c r="D1116" i="49" l="1"/>
  <c r="F1116" i="49" s="1"/>
  <c r="F1119" i="49" s="1"/>
  <c r="F1114" i="49"/>
  <c r="F967" i="48"/>
  <c r="D969" i="48"/>
  <c r="F969" i="48" s="1"/>
  <c r="F972" i="48" s="1"/>
  <c r="D964" i="47"/>
  <c r="F964" i="47" s="1"/>
  <c r="F959" i="47"/>
  <c r="F962" i="47" s="1"/>
  <c r="K962" i="47" s="1"/>
  <c r="J1335" i="49"/>
  <c r="F1456" i="48"/>
  <c r="K352" i="49"/>
  <c r="J352" i="49"/>
  <c r="F1663" i="49"/>
  <c r="J1771" i="49"/>
  <c r="J501" i="49"/>
  <c r="J1505" i="49"/>
  <c r="J1814" i="49"/>
  <c r="J1813" i="49"/>
  <c r="J48" i="49"/>
  <c r="J1402" i="49"/>
  <c r="F1809" i="49" l="1"/>
  <c r="F661" i="49"/>
  <c r="F623" i="49"/>
  <c r="J1046" i="49"/>
  <c r="J759" i="49"/>
  <c r="F534" i="49"/>
  <c r="F1721" i="49"/>
  <c r="J1722" i="49"/>
  <c r="J1785" i="49"/>
  <c r="J1700" i="49"/>
  <c r="J1806" i="49"/>
  <c r="F916" i="49"/>
  <c r="J525" i="49"/>
  <c r="J1161" i="49"/>
  <c r="F1161" i="49"/>
  <c r="J1588" i="49"/>
  <c r="J1280" i="49"/>
  <c r="J1696" i="49"/>
  <c r="J1190" i="49"/>
  <c r="J1805" i="49"/>
  <c r="J148" i="49"/>
  <c r="J1804" i="49"/>
  <c r="J1792" i="49"/>
  <c r="J778" i="49"/>
  <c r="J36" i="49"/>
  <c r="J1803" i="49"/>
  <c r="J500" i="49"/>
  <c r="J1802" i="49"/>
  <c r="J975" i="49"/>
  <c r="J1334" i="49"/>
  <c r="J1657" i="49"/>
  <c r="J1204" i="49"/>
  <c r="F1423" i="49"/>
  <c r="J75" i="49"/>
  <c r="J1801" i="49"/>
  <c r="J1738" i="49"/>
  <c r="J886" i="49"/>
  <c r="F918" i="49"/>
  <c r="F1795" i="49"/>
  <c r="F1794" i="49"/>
  <c r="J1679" i="49"/>
  <c r="J95" i="49"/>
  <c r="J1203" i="49"/>
  <c r="J485" i="49"/>
  <c r="K1722" i="49" l="1"/>
  <c r="K1161" i="49"/>
  <c r="D39" i="23"/>
  <c r="E39" i="23" s="1"/>
  <c r="B39" i="23"/>
  <c r="D38" i="23"/>
  <c r="E38" i="23" s="1"/>
  <c r="J1389" i="49"/>
  <c r="J1355" i="49"/>
  <c r="J374" i="49"/>
  <c r="K374" i="49" s="1"/>
  <c r="J634" i="49"/>
  <c r="J1155" i="49"/>
  <c r="J1793" i="49"/>
  <c r="J429" i="49"/>
  <c r="J1333" i="49"/>
  <c r="J47" i="49"/>
  <c r="J1614" i="49"/>
  <c r="J844" i="49"/>
  <c r="J49" i="49"/>
  <c r="J604" i="49"/>
  <c r="J605" i="49"/>
  <c r="J139" i="49"/>
  <c r="J738" i="49"/>
  <c r="J499" i="49"/>
  <c r="J149" i="49"/>
  <c r="J1791" i="49"/>
  <c r="J673" i="49"/>
  <c r="J1717" i="49"/>
  <c r="F575" i="49"/>
  <c r="J488" i="49"/>
  <c r="J1790" i="49"/>
  <c r="J35" i="49"/>
  <c r="J1332" i="49"/>
  <c r="F1461" i="49"/>
  <c r="F1460" i="49"/>
  <c r="J626" i="49"/>
  <c r="J970" i="49"/>
  <c r="J744" i="49"/>
  <c r="J138" i="49" l="1"/>
  <c r="J1775" i="49"/>
  <c r="J94" i="49"/>
  <c r="J93" i="49"/>
  <c r="J92" i="49"/>
  <c r="J1608" i="49"/>
  <c r="F654" i="49"/>
  <c r="J1459" i="49" l="1"/>
  <c r="F1330" i="49"/>
  <c r="J1336" i="49"/>
  <c r="J497" i="49"/>
  <c r="J1137" i="49"/>
  <c r="J1023" i="49"/>
  <c r="J1022" i="49"/>
  <c r="J12" i="49"/>
  <c r="J11" i="49"/>
  <c r="F1622" i="49"/>
  <c r="F249" i="49"/>
  <c r="J1331" i="49"/>
  <c r="J1471" i="49"/>
  <c r="J1564" i="49"/>
  <c r="J1789" i="49"/>
  <c r="J1694" i="49"/>
  <c r="J1609" i="49"/>
  <c r="J431" i="49"/>
  <c r="J10" i="49"/>
  <c r="J689" i="49"/>
  <c r="J459" i="49"/>
  <c r="J1034" i="49"/>
  <c r="J1650" i="49" l="1"/>
  <c r="J1607" i="49"/>
  <c r="J1788" i="49"/>
  <c r="J1030" i="49"/>
  <c r="J1787" i="49"/>
  <c r="J1677" i="49"/>
  <c r="J1464" i="49"/>
  <c r="J1388" i="49"/>
  <c r="K1388" i="49" s="1"/>
  <c r="J861" i="49"/>
  <c r="K861" i="49" s="1"/>
  <c r="J768" i="49"/>
  <c r="J218" i="49"/>
  <c r="J74" i="49"/>
  <c r="J70" i="49"/>
  <c r="J1310" i="49"/>
  <c r="J622" i="49"/>
  <c r="J52" i="49"/>
  <c r="J426" i="49"/>
  <c r="J1326" i="49"/>
  <c r="J1490" i="49"/>
  <c r="J684" i="49"/>
  <c r="J1546" i="49"/>
  <c r="F1546" i="49"/>
  <c r="J1560" i="49"/>
  <c r="J57" i="48"/>
  <c r="J1355" i="48"/>
  <c r="J55" i="49"/>
  <c r="J1555" i="49"/>
  <c r="J1215" i="49"/>
  <c r="K1546" i="49" l="1"/>
  <c r="J1786" i="49"/>
  <c r="J1257" i="49"/>
  <c r="F1786" i="49"/>
  <c r="J1661" i="49"/>
  <c r="F1354" i="49"/>
  <c r="J147" i="49"/>
  <c r="J1784" i="49"/>
  <c r="J59" i="49"/>
  <c r="K59" i="49" s="1"/>
  <c r="J1443" i="49"/>
  <c r="J137" i="49"/>
  <c r="J1139" i="49"/>
  <c r="J1205" i="49"/>
  <c r="J119" i="49"/>
  <c r="J160" i="49"/>
  <c r="K1786" i="49" l="1"/>
  <c r="J1783" i="49"/>
  <c r="J274" i="49"/>
  <c r="F1783" i="49"/>
  <c r="J437" i="49"/>
  <c r="J935" i="49"/>
  <c r="J9" i="49"/>
  <c r="J1782" i="49"/>
  <c r="F1782" i="49"/>
  <c r="J1293" i="49"/>
  <c r="F1781" i="49"/>
  <c r="F352" i="49"/>
  <c r="F680" i="49"/>
  <c r="J205" i="49"/>
  <c r="J1780" i="49"/>
  <c r="J729" i="49"/>
  <c r="J496" i="49"/>
  <c r="J495" i="49"/>
  <c r="J331" i="49"/>
  <c r="J295" i="49"/>
  <c r="J562" i="49"/>
  <c r="J279" i="49"/>
  <c r="K279" i="49" s="1"/>
  <c r="J1779" i="49"/>
  <c r="J542" i="49"/>
  <c r="J863" i="49"/>
  <c r="F795" i="49"/>
  <c r="F799" i="49"/>
  <c r="J655" i="49" l="1"/>
  <c r="K655" i="49" s="1"/>
  <c r="J247" i="49"/>
  <c r="K247" i="49" s="1"/>
  <c r="J1778" i="49"/>
  <c r="J1202" i="49"/>
  <c r="J8" i="49"/>
  <c r="J1220" i="49"/>
  <c r="J436" i="49"/>
  <c r="J1777" i="49"/>
  <c r="J1776" i="49"/>
  <c r="J1774" i="49"/>
  <c r="J1773" i="49"/>
  <c r="F972" i="49"/>
  <c r="J361" i="49"/>
  <c r="J220" i="49"/>
  <c r="J581" i="49"/>
  <c r="J146" i="49"/>
  <c r="J327" i="49"/>
  <c r="J494" i="49" l="1"/>
  <c r="J1345" i="49"/>
  <c r="J614" i="49"/>
  <c r="J1008" i="49"/>
  <c r="J382" i="49"/>
  <c r="J801" i="49"/>
  <c r="J229" i="49"/>
  <c r="F1770" i="49"/>
  <c r="J791" i="49"/>
  <c r="F1768" i="49"/>
  <c r="F1767" i="49"/>
  <c r="F756" i="49"/>
  <c r="F755" i="49"/>
  <c r="J107" i="49"/>
  <c r="J625" i="49"/>
  <c r="J1478" i="49"/>
  <c r="J262" i="49"/>
  <c r="J405" i="49"/>
  <c r="F405" i="49"/>
  <c r="J7" i="49"/>
  <c r="K405" i="49" l="1"/>
  <c r="J1245" i="49"/>
  <c r="J1766" i="49"/>
  <c r="J134" i="49"/>
  <c r="J1361" i="49"/>
  <c r="K1361" i="49" s="1"/>
  <c r="J857" i="49"/>
  <c r="F952" i="49"/>
  <c r="J375" i="49" l="1"/>
  <c r="F1178" i="49"/>
  <c r="J1292" i="49"/>
  <c r="J252" i="49"/>
  <c r="F1150" i="49" l="1"/>
  <c r="J204" i="49"/>
  <c r="F921" i="49"/>
  <c r="F922" i="49"/>
  <c r="F1762" i="49"/>
  <c r="F1761" i="49"/>
  <c r="J529" i="49"/>
  <c r="J1151" i="49"/>
  <c r="J1743" i="49"/>
  <c r="J624" i="49"/>
  <c r="J141" i="49"/>
  <c r="K141" i="49" s="1"/>
  <c r="J1712" i="49"/>
  <c r="J1758" i="49"/>
  <c r="J939" i="49"/>
  <c r="J1291" i="49"/>
  <c r="F1757" i="49" l="1"/>
  <c r="F1756" i="49"/>
  <c r="F137" i="49"/>
  <c r="K137" i="49" s="1"/>
  <c r="F67" i="49" l="1"/>
  <c r="F68" i="49"/>
  <c r="F1755" i="49"/>
  <c r="J1565" i="49"/>
  <c r="J1754" i="49"/>
  <c r="J133" i="49"/>
  <c r="F133" i="49"/>
  <c r="K133" i="49" l="1"/>
  <c r="K134" i="49"/>
  <c r="J435" i="49"/>
  <c r="J345" i="49"/>
  <c r="J243" i="49"/>
  <c r="J1666" i="49"/>
  <c r="J932" i="49"/>
  <c r="J796" i="49"/>
  <c r="J188" i="49"/>
  <c r="J1721" i="49"/>
  <c r="K1721" i="49" s="1"/>
  <c r="J1752" i="49"/>
  <c r="F935" i="49" l="1"/>
  <c r="J269" i="49"/>
  <c r="J1751" i="49"/>
  <c r="F6" i="49"/>
  <c r="J145" i="49"/>
  <c r="F1749" i="49" l="1"/>
  <c r="F1042" i="49"/>
  <c r="F103" i="49"/>
  <c r="F1748" i="49"/>
  <c r="F1746" i="49"/>
  <c r="F1745" i="49"/>
  <c r="J1710" i="49" l="1"/>
  <c r="J1659" i="49"/>
  <c r="J473" i="49"/>
  <c r="F1740" i="49"/>
  <c r="K1743" i="49" s="1"/>
  <c r="F1739" i="49"/>
  <c r="F1737" i="49"/>
  <c r="K1737" i="49" s="1"/>
  <c r="F1734" i="49"/>
  <c r="J1733" i="49"/>
  <c r="J1732" i="49"/>
  <c r="F1731" i="49"/>
  <c r="J1730" i="49"/>
  <c r="F1728" i="49"/>
  <c r="F1727" i="49"/>
  <c r="F1726" i="49"/>
  <c r="J1724" i="49"/>
  <c r="F1719" i="49"/>
  <c r="J1718" i="49"/>
  <c r="F1717" i="49"/>
  <c r="K1717" i="49" s="1"/>
  <c r="F1711" i="49"/>
  <c r="K1712" i="49" s="1"/>
  <c r="F1710" i="49"/>
  <c r="F1709" i="49"/>
  <c r="J1705" i="49"/>
  <c r="J1704" i="49"/>
  <c r="F1698" i="49"/>
  <c r="K1700" i="49" s="1"/>
  <c r="F1690" i="49"/>
  <c r="K1694" i="49" s="1"/>
  <c r="J1689" i="49"/>
  <c r="F1689" i="49"/>
  <c r="F1676" i="49"/>
  <c r="K1677" i="49" s="1"/>
  <c r="F1674" i="49"/>
  <c r="F1672" i="49"/>
  <c r="F1670" i="49"/>
  <c r="F1669" i="49"/>
  <c r="J1665" i="49"/>
  <c r="F1665" i="49"/>
  <c r="J1664" i="49"/>
  <c r="F1660" i="49"/>
  <c r="F1658" i="49"/>
  <c r="F1655" i="49"/>
  <c r="J1653" i="49"/>
  <c r="J1652" i="49"/>
  <c r="J1651" i="49"/>
  <c r="F1648" i="49"/>
  <c r="K1650" i="49" s="1"/>
  <c r="J1644" i="49"/>
  <c r="F1644" i="49"/>
  <c r="F1643" i="49"/>
  <c r="F1642" i="49"/>
  <c r="F1639" i="49"/>
  <c r="F1636" i="49"/>
  <c r="F1635" i="49"/>
  <c r="F1634" i="49"/>
  <c r="J1632" i="49"/>
  <c r="K1632" i="49" s="1"/>
  <c r="E1631" i="49"/>
  <c r="J1630" i="49"/>
  <c r="F1628" i="49"/>
  <c r="J1627" i="49"/>
  <c r="F1627" i="49"/>
  <c r="J1626" i="49"/>
  <c r="F1626" i="49"/>
  <c r="F1625" i="49"/>
  <c r="J1624" i="49"/>
  <c r="F1624" i="49"/>
  <c r="F1613" i="49"/>
  <c r="J1612" i="49"/>
  <c r="J1606" i="49"/>
  <c r="F1605" i="49"/>
  <c r="J1604" i="49"/>
  <c r="F1603" i="49"/>
  <c r="J1602" i="49"/>
  <c r="F1601" i="49"/>
  <c r="J1600" i="49"/>
  <c r="F1599" i="49"/>
  <c r="J1598" i="49"/>
  <c r="F1597" i="49"/>
  <c r="J1596" i="49"/>
  <c r="F1595" i="49"/>
  <c r="J1594" i="49"/>
  <c r="J1593" i="49"/>
  <c r="F1593" i="49"/>
  <c r="J1591" i="49"/>
  <c r="K1591" i="49" s="1"/>
  <c r="J1590" i="49"/>
  <c r="F1590" i="49"/>
  <c r="J1589" i="49"/>
  <c r="F1585" i="49"/>
  <c r="K1588" i="49" s="1"/>
  <c r="J1584" i="49"/>
  <c r="F1584" i="49"/>
  <c r="J1582" i="49"/>
  <c r="K1582" i="49" s="1"/>
  <c r="F1581" i="49"/>
  <c r="J1580" i="49"/>
  <c r="F1580" i="49"/>
  <c r="J1578" i="49"/>
  <c r="F1578" i="49"/>
  <c r="J1577" i="49"/>
  <c r="F1577" i="49"/>
  <c r="J1576" i="49"/>
  <c r="F1576" i="49"/>
  <c r="F1575" i="49"/>
  <c r="J1573" i="49"/>
  <c r="F1573" i="49"/>
  <c r="J1572" i="49"/>
  <c r="F1572" i="49"/>
  <c r="F1571" i="49"/>
  <c r="F1570" i="49"/>
  <c r="J1567" i="49"/>
  <c r="K1567" i="49" s="1"/>
  <c r="F1565" i="49"/>
  <c r="K1565" i="49" s="1"/>
  <c r="J1563" i="49"/>
  <c r="F1563" i="49"/>
  <c r="K1564" i="49" s="1"/>
  <c r="J1562" i="49"/>
  <c r="F1562" i="49"/>
  <c r="F1561" i="49"/>
  <c r="F1560" i="49"/>
  <c r="J1559" i="49"/>
  <c r="F1559" i="49"/>
  <c r="J1558" i="49"/>
  <c r="F1558" i="49"/>
  <c r="J1557" i="49"/>
  <c r="J1556" i="49"/>
  <c r="F1556" i="49"/>
  <c r="F1555" i="49"/>
  <c r="K1555" i="49" s="1"/>
  <c r="J1554" i="49"/>
  <c r="J1553" i="49"/>
  <c r="F1553" i="49"/>
  <c r="J1552" i="49"/>
  <c r="K1552" i="49" s="1"/>
  <c r="J1551" i="49"/>
  <c r="F1551" i="49"/>
  <c r="F1550" i="49"/>
  <c r="J1549" i="49"/>
  <c r="F1549" i="49"/>
  <c r="J1548" i="49"/>
  <c r="F1548" i="49"/>
  <c r="J1547" i="49"/>
  <c r="F1547" i="49"/>
  <c r="J1545" i="49"/>
  <c r="F1545" i="49"/>
  <c r="J1544" i="49"/>
  <c r="K1544" i="49" s="1"/>
  <c r="F1543" i="49"/>
  <c r="F1540" i="49"/>
  <c r="D1539" i="49"/>
  <c r="F1539" i="49" s="1"/>
  <c r="J1526" i="49"/>
  <c r="F1525" i="49"/>
  <c r="J1524" i="49"/>
  <c r="K1524" i="49" s="1"/>
  <c r="J1523" i="49"/>
  <c r="F1523" i="49"/>
  <c r="J1522" i="49"/>
  <c r="F1522" i="49"/>
  <c r="F1521" i="49"/>
  <c r="J1520" i="49"/>
  <c r="F1520" i="49"/>
  <c r="J1519" i="49"/>
  <c r="F1519" i="49"/>
  <c r="J1518" i="49"/>
  <c r="F1518" i="49"/>
  <c r="J1512" i="49"/>
  <c r="F1512" i="49"/>
  <c r="J1511" i="49"/>
  <c r="J1510" i="49"/>
  <c r="F1510" i="49"/>
  <c r="J1508" i="49"/>
  <c r="F1508" i="49"/>
  <c r="F1504" i="49"/>
  <c r="F1503" i="49"/>
  <c r="F1502" i="49"/>
  <c r="F1501" i="49"/>
  <c r="F1500" i="49"/>
  <c r="F1499" i="49"/>
  <c r="F1498" i="49"/>
  <c r="F1497" i="49"/>
  <c r="F1494" i="49"/>
  <c r="J1493" i="49"/>
  <c r="J1492" i="49"/>
  <c r="F1492" i="49"/>
  <c r="J1491" i="49"/>
  <c r="F1491" i="49"/>
  <c r="F1490" i="49"/>
  <c r="J1489" i="49"/>
  <c r="F1489" i="49"/>
  <c r="J1488" i="49"/>
  <c r="F1488" i="49"/>
  <c r="F1487" i="49"/>
  <c r="J1486" i="49"/>
  <c r="F1486" i="49"/>
  <c r="J1485" i="49"/>
  <c r="F1485" i="49"/>
  <c r="F1484" i="49"/>
  <c r="J1483" i="49"/>
  <c r="F1483" i="49"/>
  <c r="F1482" i="49"/>
  <c r="J1480" i="49"/>
  <c r="F1480" i="49"/>
  <c r="F1479" i="49"/>
  <c r="F1478" i="49"/>
  <c r="F1477" i="49"/>
  <c r="J1476" i="49"/>
  <c r="F1476" i="49"/>
  <c r="F1474" i="49"/>
  <c r="F1473" i="49"/>
  <c r="F1472" i="49"/>
  <c r="J1470" i="49"/>
  <c r="F1469" i="49"/>
  <c r="K1471" i="49" s="1"/>
  <c r="J1468" i="49"/>
  <c r="F1468" i="49"/>
  <c r="J1465" i="49"/>
  <c r="F1465" i="49"/>
  <c r="F1462" i="49"/>
  <c r="K1464" i="49" s="1"/>
  <c r="F1459" i="49"/>
  <c r="K1459" i="49" s="1"/>
  <c r="J1458" i="49"/>
  <c r="F1458" i="49"/>
  <c r="J1457" i="49"/>
  <c r="F1457" i="49"/>
  <c r="J1456" i="49"/>
  <c r="F1456" i="49"/>
  <c r="J1455" i="49"/>
  <c r="F1455" i="49"/>
  <c r="J1453" i="49"/>
  <c r="F1453" i="49"/>
  <c r="J1452" i="49"/>
  <c r="F1451" i="49"/>
  <c r="F1450" i="49"/>
  <c r="F1449" i="49"/>
  <c r="J1448" i="49"/>
  <c r="K1448" i="49" s="1"/>
  <c r="F1447" i="49"/>
  <c r="J1446" i="49"/>
  <c r="F1446" i="49"/>
  <c r="F1445" i="49"/>
  <c r="F1443" i="49"/>
  <c r="J1442" i="49"/>
  <c r="F1442" i="49"/>
  <c r="F1441" i="49"/>
  <c r="J1437" i="49"/>
  <c r="F1437" i="49"/>
  <c r="F1436" i="49"/>
  <c r="J1435" i="49"/>
  <c r="F1435" i="49"/>
  <c r="J1433" i="49"/>
  <c r="J1432" i="49"/>
  <c r="J1431" i="49"/>
  <c r="F1431" i="49"/>
  <c r="J1429" i="49"/>
  <c r="J1428" i="49"/>
  <c r="F1428" i="49"/>
  <c r="J1427" i="49"/>
  <c r="F1427" i="49"/>
  <c r="J1426" i="49"/>
  <c r="J1425" i="49"/>
  <c r="F1425" i="49"/>
  <c r="F1424" i="49"/>
  <c r="J1421" i="49"/>
  <c r="F1421" i="49"/>
  <c r="J1420" i="49"/>
  <c r="J1419" i="49"/>
  <c r="F1419" i="49"/>
  <c r="F1416" i="49"/>
  <c r="F1415" i="49"/>
  <c r="F1414" i="49"/>
  <c r="J1413" i="49"/>
  <c r="K1413" i="49" s="1"/>
  <c r="F1413" i="49"/>
  <c r="F1412" i="49"/>
  <c r="J1411" i="49"/>
  <c r="F1411" i="49"/>
  <c r="J1408" i="49"/>
  <c r="F1408" i="49"/>
  <c r="F1402" i="49"/>
  <c r="J1401" i="49"/>
  <c r="F1401" i="49"/>
  <c r="J1400" i="49"/>
  <c r="J1399" i="49"/>
  <c r="J1398" i="49"/>
  <c r="F1398" i="49"/>
  <c r="J1397" i="49"/>
  <c r="F1397" i="49"/>
  <c r="J1396" i="49"/>
  <c r="F1396" i="49"/>
  <c r="J1394" i="49"/>
  <c r="F1394" i="49"/>
  <c r="J1393" i="49"/>
  <c r="F1393" i="49"/>
  <c r="F1392" i="49"/>
  <c r="J1391" i="49"/>
  <c r="K1391" i="49" s="1"/>
  <c r="F1389" i="49"/>
  <c r="J1387" i="49"/>
  <c r="F1387" i="49"/>
  <c r="J1386" i="49"/>
  <c r="K1386" i="49" s="1"/>
  <c r="J1385" i="49"/>
  <c r="F1385" i="49"/>
  <c r="J1384" i="49"/>
  <c r="J1383" i="49"/>
  <c r="F1383" i="49"/>
  <c r="J1382" i="49"/>
  <c r="F1382" i="49"/>
  <c r="J1381" i="49"/>
  <c r="F1381" i="49"/>
  <c r="J1380" i="49"/>
  <c r="J1379" i="49"/>
  <c r="F1379" i="49"/>
  <c r="J1378" i="49"/>
  <c r="F1378" i="49"/>
  <c r="J1377" i="49"/>
  <c r="K1377" i="49" s="1"/>
  <c r="J1376" i="49"/>
  <c r="F1376" i="49"/>
  <c r="J1375" i="49"/>
  <c r="F1375" i="49"/>
  <c r="J1374" i="49"/>
  <c r="F1374" i="49"/>
  <c r="J1373" i="49"/>
  <c r="F1373" i="49"/>
  <c r="J1372" i="49"/>
  <c r="J1371" i="49"/>
  <c r="F1371" i="49"/>
  <c r="J1370" i="49"/>
  <c r="F1370" i="49"/>
  <c r="K1370" i="49" s="1"/>
  <c r="J1369" i="49"/>
  <c r="F1369" i="49"/>
  <c r="J1368" i="49"/>
  <c r="J1367" i="49"/>
  <c r="F1367" i="49"/>
  <c r="J1366" i="49"/>
  <c r="F1366" i="49"/>
  <c r="J1365" i="49"/>
  <c r="F1365" i="49"/>
  <c r="F1364" i="49"/>
  <c r="J1363" i="49"/>
  <c r="F1361" i="49"/>
  <c r="J1359" i="49"/>
  <c r="J1358" i="49"/>
  <c r="E1358" i="49"/>
  <c r="D1357" i="49"/>
  <c r="F1357" i="49" s="1"/>
  <c r="F1356" i="49"/>
  <c r="F1355" i="49"/>
  <c r="F1353" i="49"/>
  <c r="F1352" i="49"/>
  <c r="J1351" i="49"/>
  <c r="F1351" i="49"/>
  <c r="F1350" i="49"/>
  <c r="J1349" i="49"/>
  <c r="F1349" i="49"/>
  <c r="J1348" i="49"/>
  <c r="F1348" i="49"/>
  <c r="J1347" i="49"/>
  <c r="F1347" i="49"/>
  <c r="J1346" i="49"/>
  <c r="F1346" i="49"/>
  <c r="F1345" i="49"/>
  <c r="K1345" i="49" s="1"/>
  <c r="F1342" i="49"/>
  <c r="K1342" i="49" s="1"/>
  <c r="J1341" i="49"/>
  <c r="F1341" i="49"/>
  <c r="J1340" i="49"/>
  <c r="F1340" i="49"/>
  <c r="J1339" i="49"/>
  <c r="F1339" i="49"/>
  <c r="J1338" i="49"/>
  <c r="F1338" i="49"/>
  <c r="J1337" i="49"/>
  <c r="F1337" i="49"/>
  <c r="J1329" i="49"/>
  <c r="F1329" i="49"/>
  <c r="J1328" i="49"/>
  <c r="F1328" i="49"/>
  <c r="J1327" i="49"/>
  <c r="F1326" i="49"/>
  <c r="J1324" i="49"/>
  <c r="J1323" i="49"/>
  <c r="F1323" i="49"/>
  <c r="J1321" i="49"/>
  <c r="F1321" i="49"/>
  <c r="J1320" i="49"/>
  <c r="J1319" i="49"/>
  <c r="F1319" i="49"/>
  <c r="J1318" i="49"/>
  <c r="F1318" i="49"/>
  <c r="J1317" i="49"/>
  <c r="K1317" i="49" s="1"/>
  <c r="J1316" i="49"/>
  <c r="J1315" i="49"/>
  <c r="J1314" i="49"/>
  <c r="J1313" i="49"/>
  <c r="J1312" i="49"/>
  <c r="F1312" i="49"/>
  <c r="J1309" i="49"/>
  <c r="F1309" i="49"/>
  <c r="J1308" i="49"/>
  <c r="F1308" i="49"/>
  <c r="F1306" i="49"/>
  <c r="J1305" i="49"/>
  <c r="F1305" i="49"/>
  <c r="J1304" i="49"/>
  <c r="F1304" i="49"/>
  <c r="J1303" i="49"/>
  <c r="J1302" i="49"/>
  <c r="F1302" i="49"/>
  <c r="J1301" i="49"/>
  <c r="D1301" i="49"/>
  <c r="F1301" i="49" s="1"/>
  <c r="F1300" i="49"/>
  <c r="F1299" i="49"/>
  <c r="F1298" i="49"/>
  <c r="F1297" i="49"/>
  <c r="J1296" i="49"/>
  <c r="F1296" i="49"/>
  <c r="F1292" i="49"/>
  <c r="J1290" i="49"/>
  <c r="F1290" i="49"/>
  <c r="J1289" i="49"/>
  <c r="F1289" i="49"/>
  <c r="J1288" i="49"/>
  <c r="K1288" i="49" s="1"/>
  <c r="J1287" i="49"/>
  <c r="F1287" i="49"/>
  <c r="F1286" i="49"/>
  <c r="J1285" i="49"/>
  <c r="F1285" i="49"/>
  <c r="F1280" i="49"/>
  <c r="J1279" i="49"/>
  <c r="J1278" i="49"/>
  <c r="F1278" i="49"/>
  <c r="F1277" i="49"/>
  <c r="J1276" i="49"/>
  <c r="F1276" i="49"/>
  <c r="F1275" i="49"/>
  <c r="J1274" i="49"/>
  <c r="F1274" i="49"/>
  <c r="J1273" i="49"/>
  <c r="K1273" i="49" s="1"/>
  <c r="F1272" i="49"/>
  <c r="J1271" i="49"/>
  <c r="K1271" i="49" s="1"/>
  <c r="J1270" i="49"/>
  <c r="F1270" i="49"/>
  <c r="D1269" i="49"/>
  <c r="F1268" i="49"/>
  <c r="F1267" i="49"/>
  <c r="J1266" i="49"/>
  <c r="J1265" i="49"/>
  <c r="F1265" i="49"/>
  <c r="J1260" i="49"/>
  <c r="F1260" i="49"/>
  <c r="J1259" i="49"/>
  <c r="F1259" i="49"/>
  <c r="F1257" i="49"/>
  <c r="F1256" i="49"/>
  <c r="F1255" i="49"/>
  <c r="K1255" i="49" s="1"/>
  <c r="J1254" i="49"/>
  <c r="F1254" i="49"/>
  <c r="D1252" i="49"/>
  <c r="F1251" i="49"/>
  <c r="J1249" i="49"/>
  <c r="K1249" i="49" s="1"/>
  <c r="J1248" i="49"/>
  <c r="K1248" i="49" s="1"/>
  <c r="E1248" i="49"/>
  <c r="J1246" i="49"/>
  <c r="F1246" i="49"/>
  <c r="J1244" i="49"/>
  <c r="F1244" i="49"/>
  <c r="K1245" i="49" s="1"/>
  <c r="J1243" i="49"/>
  <c r="F1243" i="49"/>
  <c r="J1242" i="49"/>
  <c r="F1242" i="49"/>
  <c r="J1241" i="49"/>
  <c r="F1241" i="49"/>
  <c r="D1240" i="49"/>
  <c r="F1232" i="49"/>
  <c r="J1231" i="49"/>
  <c r="F1231" i="49"/>
  <c r="F1230" i="49"/>
  <c r="J1229" i="49"/>
  <c r="F1229" i="49"/>
  <c r="J1225" i="49"/>
  <c r="F1225" i="49"/>
  <c r="F1220" i="49"/>
  <c r="J1219" i="49"/>
  <c r="J1218" i="49"/>
  <c r="F1218" i="49"/>
  <c r="J1217" i="49"/>
  <c r="F1217" i="49"/>
  <c r="F1215" i="49"/>
  <c r="J1214" i="49"/>
  <c r="J1213" i="49"/>
  <c r="F1213" i="49"/>
  <c r="J1212" i="49"/>
  <c r="F1212" i="49"/>
  <c r="J1211" i="49"/>
  <c r="K1211" i="49" s="1"/>
  <c r="J1210" i="49"/>
  <c r="F1210" i="49"/>
  <c r="J1208" i="49"/>
  <c r="F1208" i="49"/>
  <c r="J1207" i="49"/>
  <c r="J1206" i="49"/>
  <c r="F1206" i="49"/>
  <c r="F1195" i="49"/>
  <c r="J1194" i="49"/>
  <c r="F1194" i="49"/>
  <c r="J1193" i="49"/>
  <c r="J1192" i="49"/>
  <c r="F1192" i="49"/>
  <c r="F1191" i="49"/>
  <c r="F1190" i="49"/>
  <c r="F1189" i="49"/>
  <c r="J1188" i="49"/>
  <c r="F1188" i="49"/>
  <c r="J1186" i="49"/>
  <c r="F1186" i="49"/>
  <c r="J1185" i="49"/>
  <c r="F1185" i="49"/>
  <c r="F1184" i="49"/>
  <c r="F1183" i="49"/>
  <c r="F1181" i="49"/>
  <c r="J1180" i="49"/>
  <c r="J1179" i="49"/>
  <c r="F1179" i="49"/>
  <c r="J1177" i="49"/>
  <c r="J1176" i="49"/>
  <c r="F1176" i="49"/>
  <c r="F1175" i="49"/>
  <c r="F1174" i="49"/>
  <c r="F1173" i="49"/>
  <c r="J1172" i="49"/>
  <c r="F1172" i="49"/>
  <c r="J1171" i="49"/>
  <c r="F1171" i="49"/>
  <c r="J1170" i="49"/>
  <c r="F1170" i="49"/>
  <c r="J1169" i="49"/>
  <c r="F1169" i="49"/>
  <c r="J1168" i="49"/>
  <c r="F1168" i="49"/>
  <c r="J1167" i="49"/>
  <c r="F1167" i="49"/>
  <c r="J1166" i="49"/>
  <c r="K1166" i="49" s="1"/>
  <c r="E1166" i="49"/>
  <c r="J1165" i="49"/>
  <c r="F1165" i="49"/>
  <c r="J1164" i="49"/>
  <c r="J1163" i="49"/>
  <c r="F1163" i="49"/>
  <c r="J1162" i="49"/>
  <c r="K1162" i="49" s="1"/>
  <c r="J1160" i="49"/>
  <c r="F1160" i="49"/>
  <c r="J1159" i="49"/>
  <c r="F1159" i="49"/>
  <c r="J1158" i="49"/>
  <c r="J1157" i="49"/>
  <c r="F1157" i="49"/>
  <c r="J1156" i="49"/>
  <c r="F1156" i="49"/>
  <c r="F1154" i="49"/>
  <c r="F1153" i="49"/>
  <c r="F1152" i="49"/>
  <c r="F1151" i="49"/>
  <c r="F1149" i="49"/>
  <c r="J1148" i="49"/>
  <c r="F1148" i="49"/>
  <c r="J1147" i="49"/>
  <c r="F1147" i="49"/>
  <c r="J1146" i="49"/>
  <c r="F1146" i="49"/>
  <c r="J1145" i="49"/>
  <c r="F1145" i="49"/>
  <c r="J1143" i="49"/>
  <c r="F1143" i="49"/>
  <c r="J1142" i="49"/>
  <c r="F1142" i="49"/>
  <c r="J1141" i="49"/>
  <c r="F1141" i="49"/>
  <c r="F1139" i="49"/>
  <c r="J1138" i="49"/>
  <c r="F1138" i="49"/>
  <c r="J1136" i="49"/>
  <c r="F1136" i="49"/>
  <c r="J1135" i="49"/>
  <c r="J1134" i="49"/>
  <c r="F1134" i="49"/>
  <c r="J1133" i="49"/>
  <c r="F1133" i="49"/>
  <c r="J1093" i="49"/>
  <c r="F1089" i="49"/>
  <c r="J1087" i="49"/>
  <c r="F1085" i="49"/>
  <c r="J1083" i="49"/>
  <c r="F1083" i="49"/>
  <c r="K1082" i="49"/>
  <c r="J1082" i="49"/>
  <c r="F1081" i="49"/>
  <c r="D1075" i="49"/>
  <c r="D1082" i="49" s="1"/>
  <c r="D1084" i="49" s="1"/>
  <c r="D1086" i="49" s="1"/>
  <c r="D1090" i="49" s="1"/>
  <c r="D1096" i="49" s="1"/>
  <c r="F1074" i="49"/>
  <c r="F1073" i="49"/>
  <c r="F1072" i="49"/>
  <c r="F1071" i="49"/>
  <c r="F1070" i="49"/>
  <c r="F1069" i="49"/>
  <c r="J1068" i="49"/>
  <c r="K1068" i="49" s="1"/>
  <c r="F1066" i="49"/>
  <c r="F1065" i="49"/>
  <c r="F1063" i="49"/>
  <c r="J1062" i="49"/>
  <c r="F1062" i="49"/>
  <c r="F1059" i="49"/>
  <c r="F1058" i="49"/>
  <c r="F1053" i="49"/>
  <c r="F1052" i="49"/>
  <c r="F1051" i="49"/>
  <c r="F1050" i="49"/>
  <c r="D1049" i="49"/>
  <c r="D1054" i="49" s="1"/>
  <c r="F1048" i="49"/>
  <c r="J1047" i="49"/>
  <c r="F1047" i="49"/>
  <c r="F1046" i="49"/>
  <c r="J1045" i="49"/>
  <c r="F1045" i="49"/>
  <c r="F1044" i="49"/>
  <c r="J1043" i="49"/>
  <c r="F1043" i="49"/>
  <c r="F1041" i="49"/>
  <c r="F1040" i="49"/>
  <c r="F1039" i="49"/>
  <c r="F1038" i="49"/>
  <c r="F1037" i="49"/>
  <c r="J1036" i="49"/>
  <c r="F1036" i="49"/>
  <c r="F1030" i="49"/>
  <c r="J1029" i="49"/>
  <c r="F1029" i="49"/>
  <c r="J1028" i="49"/>
  <c r="J1027" i="49"/>
  <c r="J1026" i="49"/>
  <c r="F1026" i="49"/>
  <c r="J1025" i="49"/>
  <c r="K1025" i="49" s="1"/>
  <c r="J1024" i="49"/>
  <c r="F1024" i="49"/>
  <c r="J1021" i="49"/>
  <c r="F1021" i="49"/>
  <c r="J1020" i="49"/>
  <c r="F1020" i="49"/>
  <c r="J1018" i="49"/>
  <c r="F1018" i="49"/>
  <c r="F1017" i="49"/>
  <c r="J1016" i="49"/>
  <c r="F1016" i="49"/>
  <c r="J1015" i="49"/>
  <c r="F1015" i="49"/>
  <c r="J1014" i="49"/>
  <c r="J1013" i="49"/>
  <c r="F1013" i="49"/>
  <c r="D1008" i="49"/>
  <c r="F1007" i="49"/>
  <c r="F1006" i="49"/>
  <c r="F1005" i="49"/>
  <c r="F1004" i="49"/>
  <c r="F1003" i="49"/>
  <c r="F1002" i="49"/>
  <c r="J1001" i="49"/>
  <c r="F1001" i="49"/>
  <c r="J1000" i="49"/>
  <c r="F1000" i="49"/>
  <c r="F997" i="49"/>
  <c r="F996" i="49"/>
  <c r="F995" i="49"/>
  <c r="F994" i="49"/>
  <c r="J993" i="49"/>
  <c r="F993" i="49"/>
  <c r="J992" i="49"/>
  <c r="K992" i="49" s="1"/>
  <c r="F992" i="49"/>
  <c r="J991" i="49"/>
  <c r="F991" i="49"/>
  <c r="J990" i="49"/>
  <c r="J988" i="49"/>
  <c r="F988" i="49"/>
  <c r="F987" i="49"/>
  <c r="J985" i="49"/>
  <c r="F985" i="49"/>
  <c r="D981" i="49"/>
  <c r="F981" i="49" s="1"/>
  <c r="F980" i="49"/>
  <c r="J979" i="49"/>
  <c r="F979" i="49"/>
  <c r="J978" i="49"/>
  <c r="F978" i="49"/>
  <c r="J977" i="49"/>
  <c r="F977" i="49"/>
  <c r="J974" i="49"/>
  <c r="F974" i="49"/>
  <c r="J973" i="49"/>
  <c r="F973" i="49"/>
  <c r="K969" i="49"/>
  <c r="J968" i="49"/>
  <c r="F968" i="49"/>
  <c r="J966" i="49"/>
  <c r="F966" i="49"/>
  <c r="J961" i="49"/>
  <c r="F961" i="49"/>
  <c r="J960" i="49"/>
  <c r="K960" i="49" s="1"/>
  <c r="F957" i="49"/>
  <c r="F956" i="49"/>
  <c r="J955" i="49"/>
  <c r="F955" i="49"/>
  <c r="J954" i="49"/>
  <c r="J952" i="49"/>
  <c r="K952" i="49" s="1"/>
  <c r="F947" i="49"/>
  <c r="J946" i="49"/>
  <c r="F946" i="49"/>
  <c r="J945" i="49"/>
  <c r="F945" i="49"/>
  <c r="F944" i="49"/>
  <c r="J943" i="49"/>
  <c r="F943" i="49"/>
  <c r="F942" i="49"/>
  <c r="F941" i="49"/>
  <c r="F940" i="49"/>
  <c r="F939" i="49"/>
  <c r="J936" i="49"/>
  <c r="F936" i="49"/>
  <c r="F932" i="49"/>
  <c r="K932" i="49" s="1"/>
  <c r="J931" i="49"/>
  <c r="F931" i="49"/>
  <c r="F930" i="49"/>
  <c r="J929" i="49"/>
  <c r="J928" i="49"/>
  <c r="F928" i="49"/>
  <c r="K927" i="49"/>
  <c r="J924" i="49"/>
  <c r="F923" i="49"/>
  <c r="F920" i="49"/>
  <c r="J919" i="49"/>
  <c r="F919" i="49"/>
  <c r="J915" i="49"/>
  <c r="K915" i="49" s="1"/>
  <c r="J914" i="49"/>
  <c r="F914" i="49"/>
  <c r="F894" i="49"/>
  <c r="F893" i="49"/>
  <c r="F892" i="49"/>
  <c r="J891" i="49"/>
  <c r="K891" i="49" s="1"/>
  <c r="J890" i="49"/>
  <c r="K890" i="49" s="1"/>
  <c r="J889" i="49"/>
  <c r="F889" i="49"/>
  <c r="F887" i="49"/>
  <c r="F886" i="49"/>
  <c r="J885" i="49"/>
  <c r="F885" i="49"/>
  <c r="J884" i="49"/>
  <c r="F884" i="49"/>
  <c r="J883" i="49"/>
  <c r="F883" i="49"/>
  <c r="F877" i="49"/>
  <c r="F875" i="49"/>
  <c r="F874" i="49"/>
  <c r="F873" i="49"/>
  <c r="K873" i="49" s="1"/>
  <c r="J872" i="49"/>
  <c r="K872" i="49" s="1"/>
  <c r="J871" i="49"/>
  <c r="F871" i="49"/>
  <c r="J870" i="49"/>
  <c r="F870" i="49"/>
  <c r="J869" i="49"/>
  <c r="F869" i="49"/>
  <c r="J868" i="49"/>
  <c r="K868" i="49" s="1"/>
  <c r="J867" i="49"/>
  <c r="K867" i="49" s="1"/>
  <c r="F867" i="49"/>
  <c r="J866" i="49"/>
  <c r="K866" i="49" s="1"/>
  <c r="J865" i="49"/>
  <c r="F865" i="49"/>
  <c r="J864" i="49"/>
  <c r="F864" i="49"/>
  <c r="J862" i="49"/>
  <c r="F862" i="49"/>
  <c r="K863" i="49" s="1"/>
  <c r="J860" i="49"/>
  <c r="K860" i="49" s="1"/>
  <c r="E860" i="49"/>
  <c r="F857" i="49"/>
  <c r="K857" i="49" s="1"/>
  <c r="J856" i="49"/>
  <c r="K856" i="49" s="1"/>
  <c r="J855" i="49"/>
  <c r="K855" i="49" s="1"/>
  <c r="F854" i="49"/>
  <c r="F843" i="49"/>
  <c r="F842" i="49"/>
  <c r="J841" i="49"/>
  <c r="F840" i="49"/>
  <c r="F839" i="49"/>
  <c r="F838" i="49"/>
  <c r="F837" i="49"/>
  <c r="F836" i="49"/>
  <c r="F835" i="49"/>
  <c r="F834" i="49"/>
  <c r="F833" i="49"/>
  <c r="J831" i="49"/>
  <c r="F829" i="49"/>
  <c r="D828" i="49"/>
  <c r="F828" i="49" s="1"/>
  <c r="F827" i="49"/>
  <c r="F826" i="49"/>
  <c r="F824" i="49"/>
  <c r="F822" i="49"/>
  <c r="F821" i="49"/>
  <c r="F819" i="49"/>
  <c r="F818" i="49"/>
  <c r="F817" i="49"/>
  <c r="F816" i="49"/>
  <c r="D814" i="49"/>
  <c r="F814" i="49" s="1"/>
  <c r="F813" i="49"/>
  <c r="F812" i="49"/>
  <c r="F811" i="49"/>
  <c r="F810" i="49"/>
  <c r="F809" i="49"/>
  <c r="K808" i="49"/>
  <c r="D807" i="49"/>
  <c r="J800" i="49"/>
  <c r="F800" i="49"/>
  <c r="J798" i="49"/>
  <c r="F798" i="49"/>
  <c r="F797" i="49"/>
  <c r="F796" i="49"/>
  <c r="J794" i="49"/>
  <c r="F794" i="49"/>
  <c r="D791" i="49"/>
  <c r="F791" i="49" s="1"/>
  <c r="F790" i="49"/>
  <c r="F789" i="49"/>
  <c r="F788" i="49"/>
  <c r="J787" i="49"/>
  <c r="K787" i="49" s="1"/>
  <c r="F787" i="49"/>
  <c r="J786" i="49"/>
  <c r="F786" i="49"/>
  <c r="J784" i="49"/>
  <c r="F784" i="49"/>
  <c r="K778" i="49"/>
  <c r="J777" i="49"/>
  <c r="F777" i="49"/>
  <c r="J776" i="49"/>
  <c r="F776" i="49"/>
  <c r="J773" i="49"/>
  <c r="K773" i="49" s="1"/>
  <c r="F773" i="49"/>
  <c r="J772" i="49"/>
  <c r="F772" i="49"/>
  <c r="F771" i="49"/>
  <c r="F770" i="49"/>
  <c r="F769" i="49"/>
  <c r="F768" i="49"/>
  <c r="J767" i="49"/>
  <c r="J766" i="49"/>
  <c r="F766" i="49"/>
  <c r="F765" i="49"/>
  <c r="F764" i="49"/>
  <c r="F763" i="49"/>
  <c r="J762" i="49"/>
  <c r="F762" i="49"/>
  <c r="F760" i="49"/>
  <c r="F759" i="49"/>
  <c r="J758" i="49"/>
  <c r="F758" i="49"/>
  <c r="J757" i="49"/>
  <c r="F757" i="49"/>
  <c r="F754" i="49"/>
  <c r="J752" i="49"/>
  <c r="F752" i="49"/>
  <c r="J751" i="49"/>
  <c r="F751" i="49"/>
  <c r="F750" i="49"/>
  <c r="J749" i="49"/>
  <c r="F749" i="49"/>
  <c r="J748" i="49"/>
  <c r="F748" i="49"/>
  <c r="J747" i="49"/>
  <c r="F747" i="49"/>
  <c r="J745" i="49"/>
  <c r="F745" i="49"/>
  <c r="J743" i="49"/>
  <c r="F743" i="49"/>
  <c r="K744" i="49" s="1"/>
  <c r="D742" i="49"/>
  <c r="F741" i="49"/>
  <c r="F736" i="49"/>
  <c r="F727" i="49"/>
  <c r="J724" i="49"/>
  <c r="J723" i="49"/>
  <c r="J722" i="49"/>
  <c r="J721" i="49"/>
  <c r="D716" i="49"/>
  <c r="D719" i="49" s="1"/>
  <c r="D728" i="49" s="1"/>
  <c r="D713" i="49"/>
  <c r="D708" i="49"/>
  <c r="D712" i="49" s="1"/>
  <c r="J700" i="49"/>
  <c r="J699" i="49"/>
  <c r="F699" i="49"/>
  <c r="J698" i="49"/>
  <c r="F698" i="49"/>
  <c r="J695" i="49"/>
  <c r="K695" i="49" s="1"/>
  <c r="J694" i="49"/>
  <c r="F694" i="49"/>
  <c r="J693" i="49"/>
  <c r="F693" i="49"/>
  <c r="J692" i="49"/>
  <c r="F692" i="49"/>
  <c r="J691" i="49"/>
  <c r="J690" i="49"/>
  <c r="F690" i="49"/>
  <c r="J688" i="49"/>
  <c r="F688" i="49"/>
  <c r="J686" i="49"/>
  <c r="F686" i="49"/>
  <c r="J685" i="49"/>
  <c r="F685" i="49"/>
  <c r="F684" i="49"/>
  <c r="F683" i="49"/>
  <c r="J682" i="49"/>
  <c r="F682" i="49"/>
  <c r="J681" i="49"/>
  <c r="K681" i="49" s="1"/>
  <c r="J679" i="49"/>
  <c r="F679" i="49"/>
  <c r="J678" i="49"/>
  <c r="F678" i="49"/>
  <c r="F675" i="49"/>
  <c r="F674" i="49"/>
  <c r="J672" i="49"/>
  <c r="J671" i="49"/>
  <c r="F671" i="49"/>
  <c r="J670" i="49"/>
  <c r="F670" i="49"/>
  <c r="J669" i="49"/>
  <c r="F669" i="49"/>
  <c r="J668" i="49"/>
  <c r="K668" i="49" s="1"/>
  <c r="J667" i="49"/>
  <c r="F667" i="49"/>
  <c r="J666" i="49"/>
  <c r="F666" i="49"/>
  <c r="F665" i="49"/>
  <c r="F664" i="49"/>
  <c r="J663" i="49"/>
  <c r="F663" i="49"/>
  <c r="J662" i="49"/>
  <c r="F662" i="49"/>
  <c r="D648" i="49"/>
  <c r="F646" i="49"/>
  <c r="F645" i="49"/>
  <c r="K642" i="49"/>
  <c r="D642" i="49"/>
  <c r="D644" i="49" s="1"/>
  <c r="F640" i="49"/>
  <c r="F639" i="49"/>
  <c r="F638" i="49"/>
  <c r="F637" i="49"/>
  <c r="J636" i="49"/>
  <c r="F636" i="49"/>
  <c r="F634" i="49"/>
  <c r="J633" i="49"/>
  <c r="F633" i="49"/>
  <c r="J631" i="49"/>
  <c r="F631" i="49"/>
  <c r="J630" i="49"/>
  <c r="F630" i="49"/>
  <c r="F626" i="49"/>
  <c r="E624" i="49"/>
  <c r="K622" i="49"/>
  <c r="J620" i="49"/>
  <c r="F620" i="49"/>
  <c r="J619" i="49"/>
  <c r="E619" i="49"/>
  <c r="F618" i="49"/>
  <c r="J617" i="49"/>
  <c r="F617" i="49"/>
  <c r="J616" i="49"/>
  <c r="F616" i="49"/>
  <c r="F615" i="49"/>
  <c r="F614" i="49"/>
  <c r="F613" i="49"/>
  <c r="F612" i="49"/>
  <c r="J611" i="49"/>
  <c r="F611" i="49"/>
  <c r="F605" i="49"/>
  <c r="F604" i="49"/>
  <c r="J603" i="49"/>
  <c r="F603" i="49"/>
  <c r="F598" i="49"/>
  <c r="F597" i="49"/>
  <c r="J596" i="49"/>
  <c r="F596" i="49"/>
  <c r="F595" i="49"/>
  <c r="D592" i="49"/>
  <c r="F592" i="49" s="1"/>
  <c r="F591" i="49"/>
  <c r="F590" i="49"/>
  <c r="F589" i="49"/>
  <c r="J588" i="49"/>
  <c r="F588" i="49"/>
  <c r="F586" i="49"/>
  <c r="F585" i="49"/>
  <c r="J584" i="49"/>
  <c r="F584" i="49"/>
  <c r="F583" i="49"/>
  <c r="J582" i="49"/>
  <c r="F582" i="49"/>
  <c r="F581" i="49"/>
  <c r="J580" i="49"/>
  <c r="K580" i="49" s="1"/>
  <c r="J579" i="49"/>
  <c r="F579" i="49"/>
  <c r="J578" i="49"/>
  <c r="F578" i="49"/>
  <c r="J577" i="49"/>
  <c r="F577" i="49"/>
  <c r="J576" i="49"/>
  <c r="F576" i="49"/>
  <c r="J574" i="49"/>
  <c r="F574" i="49"/>
  <c r="J573" i="49"/>
  <c r="F573" i="49"/>
  <c r="J572" i="49"/>
  <c r="F572" i="49"/>
  <c r="F571" i="49"/>
  <c r="K571" i="49" s="1"/>
  <c r="J570" i="49"/>
  <c r="F570" i="49"/>
  <c r="F569" i="49"/>
  <c r="J568" i="49"/>
  <c r="F568" i="49"/>
  <c r="J567" i="49"/>
  <c r="F567" i="49"/>
  <c r="J566" i="49"/>
  <c r="F566" i="49"/>
  <c r="J565" i="49"/>
  <c r="K565" i="49" s="1"/>
  <c r="E565" i="49"/>
  <c r="J564" i="49"/>
  <c r="F564" i="49"/>
  <c r="J563" i="49"/>
  <c r="F563" i="49"/>
  <c r="K563" i="49" s="1"/>
  <c r="F562" i="49"/>
  <c r="K562" i="49" s="1"/>
  <c r="J561" i="49"/>
  <c r="D561" i="49"/>
  <c r="F561" i="49" s="1"/>
  <c r="F560" i="49"/>
  <c r="F559" i="49"/>
  <c r="F558" i="49"/>
  <c r="J557" i="49"/>
  <c r="F557" i="49"/>
  <c r="J556" i="49"/>
  <c r="F556" i="49"/>
  <c r="J554" i="49"/>
  <c r="F554" i="49"/>
  <c r="J553" i="49"/>
  <c r="F553" i="49"/>
  <c r="F551" i="49"/>
  <c r="J550" i="49"/>
  <c r="F550" i="49"/>
  <c r="J549" i="49"/>
  <c r="F549" i="49"/>
  <c r="J548" i="49"/>
  <c r="F548" i="49"/>
  <c r="J547" i="49"/>
  <c r="F547" i="49"/>
  <c r="J546" i="49"/>
  <c r="F546" i="49"/>
  <c r="J545" i="49"/>
  <c r="K545" i="49" s="1"/>
  <c r="F543" i="49"/>
  <c r="F542" i="49"/>
  <c r="J541" i="49"/>
  <c r="F541" i="49"/>
  <c r="F540" i="49"/>
  <c r="J539" i="49"/>
  <c r="F539" i="49"/>
  <c r="F538" i="49"/>
  <c r="J537" i="49"/>
  <c r="F537" i="49"/>
  <c r="J536" i="49"/>
  <c r="J535" i="49"/>
  <c r="F535" i="49"/>
  <c r="J534" i="49"/>
  <c r="J533" i="49"/>
  <c r="J532" i="49"/>
  <c r="J531" i="49"/>
  <c r="F531" i="49"/>
  <c r="F529" i="49"/>
  <c r="J528" i="49"/>
  <c r="F528" i="49"/>
  <c r="J527" i="49"/>
  <c r="K527" i="49" s="1"/>
  <c r="F525" i="49"/>
  <c r="J524" i="49"/>
  <c r="F524" i="49"/>
  <c r="J523" i="49"/>
  <c r="F523" i="49"/>
  <c r="J522" i="49"/>
  <c r="K522" i="49" s="1"/>
  <c r="F521" i="49"/>
  <c r="J520" i="49"/>
  <c r="F520" i="49"/>
  <c r="F519" i="49"/>
  <c r="J518" i="49"/>
  <c r="F518" i="49"/>
  <c r="J517" i="49"/>
  <c r="J516" i="49"/>
  <c r="F516" i="49"/>
  <c r="J515" i="49"/>
  <c r="F515" i="49"/>
  <c r="J514" i="49"/>
  <c r="K514" i="49" s="1"/>
  <c r="F514" i="49"/>
  <c r="F513" i="49"/>
  <c r="J512" i="49"/>
  <c r="F512" i="49"/>
  <c r="J493" i="49"/>
  <c r="F493" i="49"/>
  <c r="F492" i="49"/>
  <c r="J487" i="49"/>
  <c r="F487" i="49"/>
  <c r="F486" i="49"/>
  <c r="F485" i="49"/>
  <c r="J484" i="49"/>
  <c r="F484" i="49"/>
  <c r="J483" i="49"/>
  <c r="F483" i="49"/>
  <c r="J482" i="49"/>
  <c r="F482" i="49"/>
  <c r="J481" i="49"/>
  <c r="F481" i="49"/>
  <c r="J480" i="49"/>
  <c r="F479" i="49"/>
  <c r="J478" i="49"/>
  <c r="F478" i="49"/>
  <c r="J477" i="49"/>
  <c r="F477" i="49"/>
  <c r="J476" i="49"/>
  <c r="K476" i="49" s="1"/>
  <c r="F475" i="49"/>
  <c r="J470" i="49"/>
  <c r="F469" i="49"/>
  <c r="K469" i="49" s="1"/>
  <c r="J468" i="49"/>
  <c r="F468" i="49"/>
  <c r="F467" i="49"/>
  <c r="J466" i="49"/>
  <c r="F466" i="49"/>
  <c r="J465" i="49"/>
  <c r="J464" i="49"/>
  <c r="F464" i="49"/>
  <c r="J463" i="49"/>
  <c r="F463" i="49"/>
  <c r="F449" i="49"/>
  <c r="F448" i="49"/>
  <c r="J447" i="49"/>
  <c r="K447" i="49" s="1"/>
  <c r="J446" i="49"/>
  <c r="K446" i="49" s="1"/>
  <c r="J445" i="49"/>
  <c r="F445" i="49"/>
  <c r="J444" i="49"/>
  <c r="F444" i="49"/>
  <c r="J443" i="49"/>
  <c r="K443" i="49" s="1"/>
  <c r="J442" i="49"/>
  <c r="F442" i="49"/>
  <c r="J439" i="49"/>
  <c r="F439" i="49"/>
  <c r="J438" i="49"/>
  <c r="J434" i="49"/>
  <c r="F434" i="49"/>
  <c r="J433" i="49"/>
  <c r="J432" i="49"/>
  <c r="F432" i="49"/>
  <c r="F431" i="49"/>
  <c r="K431" i="49" s="1"/>
  <c r="F430" i="49"/>
  <c r="F429" i="49"/>
  <c r="J428" i="49"/>
  <c r="F428" i="49"/>
  <c r="J427" i="49"/>
  <c r="F427" i="49"/>
  <c r="F426" i="49"/>
  <c r="J425" i="49"/>
  <c r="F425" i="49"/>
  <c r="D424" i="49"/>
  <c r="F424" i="49" s="1"/>
  <c r="J423" i="49"/>
  <c r="F423" i="49"/>
  <c r="F422" i="49"/>
  <c r="F421" i="49"/>
  <c r="J420" i="49"/>
  <c r="F420" i="49"/>
  <c r="J419" i="49"/>
  <c r="F419" i="49"/>
  <c r="F418" i="49"/>
  <c r="K418" i="49" s="1"/>
  <c r="J417" i="49"/>
  <c r="J416" i="49"/>
  <c r="F416" i="49"/>
  <c r="J415" i="49"/>
  <c r="F415" i="49"/>
  <c r="J413" i="49"/>
  <c r="F413" i="49"/>
  <c r="J412" i="49"/>
  <c r="F412" i="49"/>
  <c r="F411" i="49"/>
  <c r="J410" i="49"/>
  <c r="F410" i="49"/>
  <c r="J409" i="49"/>
  <c r="F409" i="49"/>
  <c r="F408" i="49"/>
  <c r="J407" i="49"/>
  <c r="F407" i="49"/>
  <c r="F406" i="49"/>
  <c r="K406" i="49" s="1"/>
  <c r="J404" i="49"/>
  <c r="F404" i="49"/>
  <c r="J403" i="49"/>
  <c r="F403" i="49"/>
  <c r="J402" i="49"/>
  <c r="J401" i="49"/>
  <c r="F398" i="49"/>
  <c r="J397" i="49"/>
  <c r="F397" i="49"/>
  <c r="J390" i="49"/>
  <c r="F390" i="49"/>
  <c r="J389" i="49"/>
  <c r="F389" i="49"/>
  <c r="J388" i="49"/>
  <c r="F388" i="49"/>
  <c r="J387" i="49"/>
  <c r="F387" i="49"/>
  <c r="J386" i="49"/>
  <c r="F386" i="49"/>
  <c r="F382" i="49"/>
  <c r="F381" i="49"/>
  <c r="J380" i="49"/>
  <c r="F380" i="49"/>
  <c r="J377" i="49"/>
  <c r="F377" i="49"/>
  <c r="J376" i="49"/>
  <c r="F376" i="49"/>
  <c r="F375" i="49"/>
  <c r="K375" i="49" s="1"/>
  <c r="J373" i="49"/>
  <c r="F373" i="49"/>
  <c r="J372" i="49"/>
  <c r="F372" i="49"/>
  <c r="J370" i="49"/>
  <c r="K370" i="49" s="1"/>
  <c r="J368" i="49"/>
  <c r="F368" i="49"/>
  <c r="J367" i="49"/>
  <c r="J366" i="49"/>
  <c r="F366" i="49"/>
  <c r="J365" i="49"/>
  <c r="K365" i="49" s="1"/>
  <c r="J364" i="49"/>
  <c r="F364" i="49"/>
  <c r="J362" i="49"/>
  <c r="F362" i="49"/>
  <c r="F361" i="49"/>
  <c r="J359" i="49"/>
  <c r="J355" i="49"/>
  <c r="F355" i="49"/>
  <c r="J354" i="49"/>
  <c r="F354" i="49"/>
  <c r="J353" i="49"/>
  <c r="F353" i="49"/>
  <c r="J351" i="49"/>
  <c r="K351" i="49" s="1"/>
  <c r="F349" i="49"/>
  <c r="F348" i="49"/>
  <c r="J347" i="49"/>
  <c r="F347" i="49"/>
  <c r="J343" i="49"/>
  <c r="F343" i="49"/>
  <c r="F342" i="49"/>
  <c r="J341" i="49"/>
  <c r="J340" i="49"/>
  <c r="F340" i="49"/>
  <c r="D338" i="49"/>
  <c r="F338" i="49" s="1"/>
  <c r="F337" i="49"/>
  <c r="F336" i="49"/>
  <c r="J335" i="49"/>
  <c r="F335" i="49"/>
  <c r="J334" i="49"/>
  <c r="F334" i="49"/>
  <c r="J333" i="49"/>
  <c r="F333" i="49"/>
  <c r="F331" i="49"/>
  <c r="F327" i="49"/>
  <c r="J326" i="49"/>
  <c r="J324" i="49"/>
  <c r="F324" i="49"/>
  <c r="J323" i="49"/>
  <c r="F323" i="49"/>
  <c r="J322" i="49"/>
  <c r="K322" i="49" s="1"/>
  <c r="F321" i="49"/>
  <c r="F319" i="49"/>
  <c r="F318" i="49"/>
  <c r="J316" i="49"/>
  <c r="F316" i="49"/>
  <c r="F315" i="49"/>
  <c r="J314" i="49"/>
  <c r="F314" i="49"/>
  <c r="J313" i="49"/>
  <c r="K313" i="49" s="1"/>
  <c r="J312" i="49"/>
  <c r="F312" i="49"/>
  <c r="J311" i="49"/>
  <c r="K311" i="49" s="1"/>
  <c r="J310" i="49"/>
  <c r="F310" i="49"/>
  <c r="F309" i="49"/>
  <c r="F308" i="49"/>
  <c r="F307" i="49"/>
  <c r="J306" i="49"/>
  <c r="E306" i="49"/>
  <c r="F294" i="49"/>
  <c r="F293" i="49"/>
  <c r="F292" i="49"/>
  <c r="F291" i="49"/>
  <c r="F288" i="49"/>
  <c r="F287" i="49"/>
  <c r="F286" i="49"/>
  <c r="J285" i="49"/>
  <c r="F285" i="49"/>
  <c r="E284" i="49"/>
  <c r="F283" i="49"/>
  <c r="F282" i="49"/>
  <c r="F281" i="49"/>
  <c r="F279" i="49"/>
  <c r="D278" i="49"/>
  <c r="F277" i="49"/>
  <c r="F276" i="49"/>
  <c r="J273" i="49"/>
  <c r="J272" i="49"/>
  <c r="F272" i="49"/>
  <c r="J271" i="49"/>
  <c r="F271" i="49"/>
  <c r="F269" i="49"/>
  <c r="F267" i="49"/>
  <c r="F264" i="49"/>
  <c r="F261" i="49"/>
  <c r="F260" i="49"/>
  <c r="J259" i="49"/>
  <c r="F259" i="49"/>
  <c r="D258" i="49"/>
  <c r="F258" i="49" s="1"/>
  <c r="F257" i="49"/>
  <c r="J254" i="49"/>
  <c r="F254" i="49"/>
  <c r="F252" i="49"/>
  <c r="J251" i="49"/>
  <c r="F251" i="49"/>
  <c r="J250" i="49"/>
  <c r="F250" i="49"/>
  <c r="J248" i="49"/>
  <c r="F248" i="49"/>
  <c r="F246" i="49"/>
  <c r="K243" i="49" s="1"/>
  <c r="F245" i="49"/>
  <c r="F244" i="49"/>
  <c r="F243" i="49"/>
  <c r="J242" i="49"/>
  <c r="F242" i="49"/>
  <c r="J241" i="49"/>
  <c r="F241" i="49"/>
  <c r="F240" i="49"/>
  <c r="F239" i="49"/>
  <c r="F238" i="49"/>
  <c r="J237" i="49"/>
  <c r="F237" i="49"/>
  <c r="J234" i="49"/>
  <c r="F234" i="49"/>
  <c r="F233" i="49"/>
  <c r="F232" i="49"/>
  <c r="J231" i="49"/>
  <c r="F231" i="49"/>
  <c r="F229" i="49"/>
  <c r="J227" i="49"/>
  <c r="F227" i="49"/>
  <c r="D225" i="49"/>
  <c r="F224" i="49"/>
  <c r="F223" i="49"/>
  <c r="F222" i="49"/>
  <c r="F221" i="49"/>
  <c r="F218" i="49"/>
  <c r="F214" i="49"/>
  <c r="F213" i="49"/>
  <c r="F212" i="49"/>
  <c r="F211" i="49"/>
  <c r="F210" i="49"/>
  <c r="F209" i="49"/>
  <c r="F208" i="49"/>
  <c r="F207" i="49"/>
  <c r="J206" i="49"/>
  <c r="F206" i="49"/>
  <c r="J203" i="49"/>
  <c r="J198" i="49"/>
  <c r="J197" i="49"/>
  <c r="J196" i="49"/>
  <c r="F191" i="49"/>
  <c r="J190" i="49"/>
  <c r="F190" i="49"/>
  <c r="F188" i="49"/>
  <c r="J187" i="49"/>
  <c r="K187" i="49" s="1"/>
  <c r="F186" i="49"/>
  <c r="F185" i="49"/>
  <c r="F184" i="49"/>
  <c r="F183" i="49"/>
  <c r="J182" i="49"/>
  <c r="F181" i="49"/>
  <c r="J180" i="49"/>
  <c r="F180" i="49"/>
  <c r="F179" i="49"/>
  <c r="J178" i="49"/>
  <c r="F178" i="49"/>
  <c r="J177" i="49"/>
  <c r="F177" i="49"/>
  <c r="F176" i="49"/>
  <c r="J175" i="49"/>
  <c r="F175" i="49"/>
  <c r="F172" i="49"/>
  <c r="F169" i="49"/>
  <c r="F159" i="49"/>
  <c r="D158" i="49"/>
  <c r="J157" i="49"/>
  <c r="J155" i="49"/>
  <c r="K155" i="49" s="1"/>
  <c r="J150" i="49"/>
  <c r="F150" i="49"/>
  <c r="F145" i="49"/>
  <c r="F144" i="49"/>
  <c r="J143" i="49"/>
  <c r="F143" i="49"/>
  <c r="E141" i="49"/>
  <c r="J140" i="49"/>
  <c r="F140" i="49"/>
  <c r="J136" i="49"/>
  <c r="F136" i="49"/>
  <c r="J135" i="49"/>
  <c r="F135" i="49"/>
  <c r="J132" i="49"/>
  <c r="F132" i="49"/>
  <c r="F118" i="49"/>
  <c r="J113" i="49"/>
  <c r="F113" i="49"/>
  <c r="J112" i="49"/>
  <c r="F112" i="49"/>
  <c r="J111" i="49"/>
  <c r="F111" i="49"/>
  <c r="K110" i="49"/>
  <c r="J109" i="49"/>
  <c r="F109" i="49"/>
  <c r="F107" i="49"/>
  <c r="K106" i="49"/>
  <c r="J105" i="49"/>
  <c r="F105" i="49"/>
  <c r="K103" i="49"/>
  <c r="J102" i="49"/>
  <c r="F102" i="49"/>
  <c r="J101" i="49"/>
  <c r="J100" i="49"/>
  <c r="F100" i="49"/>
  <c r="J99" i="49"/>
  <c r="F99" i="49"/>
  <c r="J98" i="49"/>
  <c r="K98" i="49" s="1"/>
  <c r="J96" i="49"/>
  <c r="F96" i="49"/>
  <c r="F95" i="49"/>
  <c r="K95" i="49" s="1"/>
  <c r="F94" i="49"/>
  <c r="F93" i="49"/>
  <c r="F92" i="49"/>
  <c r="J91" i="49"/>
  <c r="F91" i="49"/>
  <c r="J90" i="49"/>
  <c r="F90" i="49"/>
  <c r="J88" i="49"/>
  <c r="F88" i="49"/>
  <c r="J85" i="49"/>
  <c r="F85" i="49"/>
  <c r="J82" i="49"/>
  <c r="F81" i="49"/>
  <c r="F79" i="49"/>
  <c r="F75" i="49"/>
  <c r="K75" i="49" s="1"/>
  <c r="F71" i="49"/>
  <c r="K74" i="49" s="1"/>
  <c r="F70" i="49"/>
  <c r="D66" i="49"/>
  <c r="F66" i="49" s="1"/>
  <c r="J63" i="49"/>
  <c r="K63" i="49" s="1"/>
  <c r="J62" i="49"/>
  <c r="K62" i="49" s="1"/>
  <c r="J61" i="49"/>
  <c r="F61" i="49"/>
  <c r="J60" i="49"/>
  <c r="F60" i="49"/>
  <c r="F55" i="49"/>
  <c r="F54" i="49"/>
  <c r="K52" i="49" s="1"/>
  <c r="E52" i="49"/>
  <c r="J51" i="49"/>
  <c r="F51" i="49"/>
  <c r="J50" i="49"/>
  <c r="F50" i="49"/>
  <c r="J46" i="49"/>
  <c r="F46" i="49"/>
  <c r="F44" i="49"/>
  <c r="J42" i="49"/>
  <c r="F42" i="49"/>
  <c r="J40" i="49"/>
  <c r="F40" i="49"/>
  <c r="J39" i="49"/>
  <c r="F39" i="49"/>
  <c r="J37" i="49"/>
  <c r="K37" i="49" s="1"/>
  <c r="E37" i="49"/>
  <c r="F35" i="49"/>
  <c r="F34" i="49"/>
  <c r="F29" i="49"/>
  <c r="F28" i="49"/>
  <c r="J27" i="49"/>
  <c r="F27" i="49"/>
  <c r="F25" i="49"/>
  <c r="J24" i="49"/>
  <c r="F24" i="49"/>
  <c r="D23" i="49"/>
  <c r="F16" i="49"/>
  <c r="K16" i="49" s="1"/>
  <c r="J15" i="49"/>
  <c r="F15" i="49"/>
  <c r="J14" i="49"/>
  <c r="F14" i="49"/>
  <c r="F7" i="49"/>
  <c r="J5" i="49"/>
  <c r="K5" i="49" s="1"/>
  <c r="F4" i="49"/>
  <c r="J3" i="49"/>
  <c r="F3" i="49"/>
  <c r="J2" i="49"/>
  <c r="K2" i="49" s="1"/>
  <c r="K36" i="49" l="1"/>
  <c r="K1046" i="49"/>
  <c r="K886" i="49"/>
  <c r="K429" i="49"/>
  <c r="K1159" i="49"/>
  <c r="K1437" i="49"/>
  <c r="K35" i="49"/>
  <c r="J1066" i="49"/>
  <c r="K1066" i="49" s="1"/>
  <c r="K1402" i="49"/>
  <c r="K94" i="49"/>
  <c r="K1329" i="49"/>
  <c r="K1659" i="49"/>
  <c r="K1458" i="49"/>
  <c r="K936" i="49"/>
  <c r="K1021" i="49"/>
  <c r="K1301" i="49"/>
  <c r="K1366" i="49"/>
  <c r="K542" i="49"/>
  <c r="K684" i="49"/>
  <c r="K1231" i="49"/>
  <c r="K1243" i="49"/>
  <c r="K1465" i="49"/>
  <c r="K1470" i="49"/>
  <c r="K1485" i="49"/>
  <c r="K409" i="49"/>
  <c r="K444" i="49"/>
  <c r="K576" i="49"/>
  <c r="K943" i="49"/>
  <c r="K1138" i="49"/>
  <c r="K928" i="49"/>
  <c r="K945" i="49"/>
  <c r="K1000" i="49"/>
  <c r="K1241" i="49"/>
  <c r="K794" i="49"/>
  <c r="K1376" i="49"/>
  <c r="K1576" i="49"/>
  <c r="K1584" i="49"/>
  <c r="K1626" i="49"/>
  <c r="K1630" i="49"/>
  <c r="K480" i="49"/>
  <c r="K1147" i="49"/>
  <c r="K387" i="49"/>
  <c r="K1328" i="49"/>
  <c r="K82" i="49"/>
  <c r="K889" i="49"/>
  <c r="K961" i="49"/>
  <c r="K1274" i="49"/>
  <c r="K1326" i="49"/>
  <c r="K1321" i="49"/>
  <c r="K50" i="49"/>
  <c r="K70" i="49"/>
  <c r="K1136" i="49"/>
  <c r="K1171" i="49"/>
  <c r="K1259" i="49"/>
  <c r="K1266" i="49"/>
  <c r="K1287" i="49"/>
  <c r="K1289" i="49"/>
  <c r="K1347" i="49"/>
  <c r="K1375" i="49"/>
  <c r="K1559" i="49"/>
  <c r="K572" i="49"/>
  <c r="K60" i="49"/>
  <c r="K190" i="49"/>
  <c r="K425" i="49"/>
  <c r="K439" i="49"/>
  <c r="K534" i="49"/>
  <c r="K634" i="49"/>
  <c r="K764" i="49"/>
  <c r="K777" i="49"/>
  <c r="K979" i="49"/>
  <c r="K1143" i="49"/>
  <c r="K1146" i="49"/>
  <c r="K1148" i="49"/>
  <c r="K1557" i="49"/>
  <c r="K614" i="49"/>
  <c r="K113" i="49"/>
  <c r="K136" i="49"/>
  <c r="K182" i="49"/>
  <c r="K464" i="49"/>
  <c r="K488" i="49"/>
  <c r="K667" i="49"/>
  <c r="K871" i="49"/>
  <c r="K1368" i="49"/>
  <c r="K1385" i="49"/>
  <c r="K1421" i="49"/>
  <c r="K1428" i="49"/>
  <c r="K1480" i="49"/>
  <c r="K1486" i="49"/>
  <c r="K1490" i="49"/>
  <c r="K1523" i="49"/>
  <c r="K1318" i="49"/>
  <c r="K968" i="49"/>
  <c r="K353" i="49"/>
  <c r="K515" i="49"/>
  <c r="K524" i="49"/>
  <c r="K96" i="49"/>
  <c r="K442" i="49"/>
  <c r="K550" i="49"/>
  <c r="K553" i="49"/>
  <c r="K570" i="49"/>
  <c r="K603" i="49"/>
  <c r="K688" i="49"/>
  <c r="K748" i="49"/>
  <c r="K758" i="49"/>
  <c r="K977" i="49"/>
  <c r="K1134" i="49"/>
  <c r="K1206" i="49"/>
  <c r="K1244" i="49"/>
  <c r="K1349" i="49"/>
  <c r="K1381" i="49"/>
  <c r="K1598" i="49"/>
  <c r="K1651" i="49"/>
  <c r="K1689" i="49"/>
  <c r="K27" i="49"/>
  <c r="K380" i="49"/>
  <c r="K537" i="49"/>
  <c r="K749" i="49"/>
  <c r="K1177" i="49"/>
  <c r="K1193" i="49"/>
  <c r="K1194" i="49"/>
  <c r="K1217" i="49"/>
  <c r="K177" i="49"/>
  <c r="K229" i="49"/>
  <c r="K324" i="49"/>
  <c r="K331" i="49"/>
  <c r="K334" i="49"/>
  <c r="K340" i="49"/>
  <c r="K388" i="49"/>
  <c r="K412" i="49"/>
  <c r="K415" i="49"/>
  <c r="K426" i="49"/>
  <c r="K427" i="49"/>
  <c r="K531" i="49"/>
  <c r="K579" i="49"/>
  <c r="K636" i="49"/>
  <c r="F642" i="49"/>
  <c r="K662" i="49"/>
  <c r="K752" i="49"/>
  <c r="K757" i="49"/>
  <c r="K884" i="49"/>
  <c r="K978" i="49"/>
  <c r="K1016" i="49"/>
  <c r="K1149" i="49"/>
  <c r="K1185" i="49"/>
  <c r="K1190" i="49"/>
  <c r="K1215" i="49"/>
  <c r="K1382" i="49"/>
  <c r="K1387" i="49"/>
  <c r="K1394" i="49"/>
  <c r="K1425" i="49"/>
  <c r="K1431" i="49"/>
  <c r="K1455" i="49"/>
  <c r="K1489" i="49"/>
  <c r="K1491" i="49"/>
  <c r="K1589" i="49"/>
  <c r="K772" i="49"/>
  <c r="K1442" i="49"/>
  <c r="K567" i="49"/>
  <c r="K619" i="49"/>
  <c r="K630" i="49"/>
  <c r="K1058" i="49"/>
  <c r="K1600" i="49"/>
  <c r="K3" i="49"/>
  <c r="K105" i="49"/>
  <c r="K111" i="49"/>
  <c r="K143" i="49"/>
  <c r="K251" i="49"/>
  <c r="K376" i="49"/>
  <c r="K477" i="49"/>
  <c r="K679" i="49"/>
  <c r="D815" i="49"/>
  <c r="D820" i="49" s="1"/>
  <c r="D823" i="49" s="1"/>
  <c r="D825" i="49" s="1"/>
  <c r="D830" i="49" s="1"/>
  <c r="D841" i="49" s="1"/>
  <c r="D844" i="49" s="1"/>
  <c r="F844" i="49" s="1"/>
  <c r="K46" i="49"/>
  <c r="K51" i="49"/>
  <c r="K85" i="49"/>
  <c r="K88" i="49"/>
  <c r="K91" i="49"/>
  <c r="K100" i="49"/>
  <c r="K112" i="49"/>
  <c r="K269" i="49"/>
  <c r="K316" i="49"/>
  <c r="K362" i="49"/>
  <c r="K377" i="49"/>
  <c r="K468" i="49"/>
  <c r="K473" i="49"/>
  <c r="K520" i="49"/>
  <c r="K536" i="49"/>
  <c r="K547" i="49"/>
  <c r="K564" i="49"/>
  <c r="K645" i="49"/>
  <c r="K671" i="49"/>
  <c r="K678" i="49"/>
  <c r="K693" i="49"/>
  <c r="K885" i="49"/>
  <c r="K939" i="49"/>
  <c r="K1020" i="49"/>
  <c r="K1029" i="49"/>
  <c r="K1047" i="49"/>
  <c r="F1049" i="49"/>
  <c r="K1069" i="49"/>
  <c r="K1165" i="49"/>
  <c r="K1170" i="49"/>
  <c r="K1207" i="49"/>
  <c r="K1214" i="49"/>
  <c r="K1218" i="49"/>
  <c r="K1229" i="49"/>
  <c r="K1246" i="49"/>
  <c r="K1308" i="49"/>
  <c r="K1313" i="49"/>
  <c r="K1340" i="49"/>
  <c r="K1389" i="49"/>
  <c r="K1393" i="49"/>
  <c r="K1411" i="49"/>
  <c r="K1452" i="49"/>
  <c r="K1549" i="49"/>
  <c r="K1556" i="49"/>
  <c r="K14" i="49"/>
  <c r="K39" i="49"/>
  <c r="K42" i="49"/>
  <c r="K61" i="49"/>
  <c r="K218" i="49"/>
  <c r="K227" i="49"/>
  <c r="K312" i="49"/>
  <c r="K323" i="49"/>
  <c r="K364" i="49"/>
  <c r="K373" i="49"/>
  <c r="K445" i="49"/>
  <c r="K466" i="49"/>
  <c r="K518" i="49"/>
  <c r="K554" i="49"/>
  <c r="K584" i="49"/>
  <c r="K666" i="49"/>
  <c r="K751" i="49"/>
  <c r="K776" i="49"/>
  <c r="F815" i="49"/>
  <c r="F820" i="49" s="1"/>
  <c r="F823" i="49" s="1"/>
  <c r="F825" i="49" s="1"/>
  <c r="F830" i="49" s="1"/>
  <c r="K831" i="49" s="1"/>
  <c r="K919" i="49"/>
  <c r="K929" i="49"/>
  <c r="K966" i="49"/>
  <c r="K1135" i="49"/>
  <c r="K1139" i="49"/>
  <c r="K1142" i="49"/>
  <c r="K1156" i="49"/>
  <c r="K1160" i="49"/>
  <c r="K1337" i="49"/>
  <c r="K1339" i="49"/>
  <c r="K1396" i="49"/>
  <c r="K1398" i="49"/>
  <c r="K1453" i="49"/>
  <c r="K1483" i="49"/>
  <c r="K1493" i="49"/>
  <c r="K1494" i="49"/>
  <c r="K1518" i="49"/>
  <c r="K1562" i="49"/>
  <c r="K368" i="49"/>
  <c r="K1168" i="49"/>
  <c r="K109" i="49"/>
  <c r="K180" i="49"/>
  <c r="K523" i="49"/>
  <c r="F225" i="49"/>
  <c r="K220" i="49" s="1"/>
  <c r="K250" i="49"/>
  <c r="K359" i="49"/>
  <c r="K862" i="49"/>
  <c r="K1457" i="49"/>
  <c r="K1560" i="49"/>
  <c r="K691" i="49"/>
  <c r="K690" i="49"/>
  <c r="K700" i="49"/>
  <c r="K699" i="49"/>
  <c r="K1164" i="49"/>
  <c r="K1163" i="49"/>
  <c r="K1324" i="49"/>
  <c r="K1323" i="49"/>
  <c r="K237" i="49"/>
  <c r="K242" i="49"/>
  <c r="K314" i="49"/>
  <c r="K420" i="49"/>
  <c r="K517" i="49"/>
  <c r="D650" i="49"/>
  <c r="F648" i="49"/>
  <c r="K698" i="49"/>
  <c r="K1547" i="49"/>
  <c r="K1577" i="49"/>
  <c r="K1590" i="49"/>
  <c r="K1602" i="49"/>
  <c r="K1606" i="49"/>
  <c r="K135" i="49"/>
  <c r="K178" i="49"/>
  <c r="K343" i="49"/>
  <c r="K386" i="49"/>
  <c r="K423" i="49"/>
  <c r="K55" i="49"/>
  <c r="K90" i="49"/>
  <c r="K99" i="49"/>
  <c r="K132" i="49"/>
  <c r="K231" i="49"/>
  <c r="K238" i="49"/>
  <c r="K241" i="49"/>
  <c r="K254" i="49"/>
  <c r="K272" i="49"/>
  <c r="K285" i="49"/>
  <c r="K333" i="49"/>
  <c r="K355" i="49"/>
  <c r="K366" i="49"/>
  <c r="K390" i="49"/>
  <c r="K407" i="49"/>
  <c r="K413" i="49"/>
  <c r="K416" i="49"/>
  <c r="K433" i="49"/>
  <c r="K463" i="49"/>
  <c r="K484" i="49"/>
  <c r="K512" i="49"/>
  <c r="K516" i="49"/>
  <c r="K525" i="49"/>
  <c r="K548" i="49"/>
  <c r="K577" i="49"/>
  <c r="K616" i="49"/>
  <c r="K620" i="49"/>
  <c r="F742" i="49"/>
  <c r="K988" i="49"/>
  <c r="K1001" i="49"/>
  <c r="K1036" i="49"/>
  <c r="F1075" i="49"/>
  <c r="F1078" i="49" s="1"/>
  <c r="F1080" i="49" s="1"/>
  <c r="K1072" i="49"/>
  <c r="K1133" i="49"/>
  <c r="K1374" i="49"/>
  <c r="K1378" i="49"/>
  <c r="K1446" i="49"/>
  <c r="K1644" i="49"/>
  <c r="K1665" i="49"/>
  <c r="K532" i="49"/>
  <c r="K533" i="49"/>
  <c r="K566" i="49"/>
  <c r="K568" i="49"/>
  <c r="K582" i="49"/>
  <c r="K626" i="49"/>
  <c r="K631" i="49"/>
  <c r="K670" i="49"/>
  <c r="K692" i="49"/>
  <c r="K694" i="49"/>
  <c r="K747" i="49"/>
  <c r="K786" i="49"/>
  <c r="K870" i="49"/>
  <c r="K955" i="49"/>
  <c r="F1008" i="49"/>
  <c r="K1008" i="49" s="1"/>
  <c r="K1015" i="49"/>
  <c r="K1030" i="49"/>
  <c r="K1045" i="49"/>
  <c r="K1167" i="49"/>
  <c r="K1188" i="49"/>
  <c r="K1213" i="49"/>
  <c r="K1225" i="49"/>
  <c r="K1242" i="49"/>
  <c r="K1254" i="49"/>
  <c r="K1257" i="49"/>
  <c r="K1270" i="49"/>
  <c r="K1279" i="49"/>
  <c r="K1285" i="49"/>
  <c r="K1305" i="49"/>
  <c r="K1341" i="49"/>
  <c r="K1346" i="49"/>
  <c r="K1363" i="49"/>
  <c r="K1373" i="49"/>
  <c r="K1408" i="49"/>
  <c r="K1419" i="49"/>
  <c r="K1435" i="49"/>
  <c r="K1476" i="49"/>
  <c r="K1545" i="49"/>
  <c r="K1580" i="49"/>
  <c r="K1596" i="49"/>
  <c r="K1661" i="49"/>
  <c r="K528" i="49"/>
  <c r="K546" i="49"/>
  <c r="K549" i="49"/>
  <c r="K556" i="49"/>
  <c r="K573" i="49"/>
  <c r="K617" i="49"/>
  <c r="K637" i="49"/>
  <c r="K685" i="49"/>
  <c r="K759" i="49"/>
  <c r="K798" i="49"/>
  <c r="K864" i="49"/>
  <c r="K883" i="49"/>
  <c r="K924" i="49"/>
  <c r="K946" i="49"/>
  <c r="K991" i="49"/>
  <c r="K1018" i="49"/>
  <c r="K1024" i="49"/>
  <c r="K1043" i="49"/>
  <c r="K1141" i="49"/>
  <c r="K1145" i="49"/>
  <c r="K1158" i="49"/>
  <c r="K1169" i="49"/>
  <c r="K1180" i="49"/>
  <c r="K1187" i="49"/>
  <c r="K1212" i="49"/>
  <c r="K1276" i="49"/>
  <c r="K1309" i="49"/>
  <c r="K1320" i="49"/>
  <c r="K1338" i="49"/>
  <c r="K1348" i="49"/>
  <c r="K1351" i="49"/>
  <c r="K1369" i="49"/>
  <c r="K1371" i="49"/>
  <c r="K1380" i="49"/>
  <c r="K1384" i="49"/>
  <c r="K1397" i="49"/>
  <c r="K1427" i="49"/>
  <c r="K1443" i="49"/>
  <c r="K1456" i="49"/>
  <c r="K1468" i="49"/>
  <c r="K1488" i="49"/>
  <c r="K1551" i="49"/>
  <c r="K1553" i="49"/>
  <c r="K1558" i="49"/>
  <c r="K1563" i="49"/>
  <c r="K1572" i="49"/>
  <c r="K1573" i="49"/>
  <c r="K1578" i="49"/>
  <c r="K1594" i="49"/>
  <c r="K1624" i="49"/>
  <c r="K1627" i="49"/>
  <c r="K931" i="49"/>
  <c r="K1220" i="49"/>
  <c r="K15" i="49"/>
  <c r="K796" i="49"/>
  <c r="K372" i="49"/>
  <c r="K404" i="49"/>
  <c r="K432" i="49"/>
  <c r="K479" i="49"/>
  <c r="K397" i="49"/>
  <c r="K419" i="49"/>
  <c r="K483" i="49"/>
  <c r="K1208" i="49"/>
  <c r="K743" i="49"/>
  <c r="K102" i="49"/>
  <c r="K157" i="49"/>
  <c r="K1013" i="49"/>
  <c r="K1548" i="49"/>
  <c r="K1522" i="49"/>
  <c r="K1520" i="49"/>
  <c r="K1511" i="49"/>
  <c r="K1302" i="49"/>
  <c r="K1304" i="49"/>
  <c r="K993" i="49"/>
  <c r="K973" i="49"/>
  <c r="K865" i="49"/>
  <c r="K665" i="49"/>
  <c r="K561" i="49"/>
  <c r="K482" i="49"/>
  <c r="K403" i="49"/>
  <c r="K252" i="49"/>
  <c r="K188" i="49"/>
  <c r="K150" i="49"/>
  <c r="K101" i="49"/>
  <c r="K140" i="49"/>
  <c r="K234" i="49"/>
  <c r="F278" i="49"/>
  <c r="K273" i="49" s="1"/>
  <c r="K306" i="49"/>
  <c r="K354" i="49"/>
  <c r="K389" i="49"/>
  <c r="K481" i="49"/>
  <c r="K535" i="49"/>
  <c r="K574" i="49"/>
  <c r="K581" i="49"/>
  <c r="K588" i="49"/>
  <c r="K611" i="49"/>
  <c r="K669" i="49"/>
  <c r="K686" i="49"/>
  <c r="K745" i="49"/>
  <c r="K784" i="49"/>
  <c r="K892" i="49"/>
  <c r="K539" i="49"/>
  <c r="K248" i="49"/>
  <c r="K271" i="49"/>
  <c r="J309" i="49"/>
  <c r="K309" i="49" s="1"/>
  <c r="K361" i="49"/>
  <c r="K382" i="49"/>
  <c r="K417" i="49"/>
  <c r="K465" i="49"/>
  <c r="K478" i="49"/>
  <c r="K541" i="49"/>
  <c r="K578" i="49"/>
  <c r="K596" i="49"/>
  <c r="K633" i="49"/>
  <c r="K682" i="49"/>
  <c r="K762" i="49"/>
  <c r="D1057" i="49"/>
  <c r="F1057" i="49" s="1"/>
  <c r="F1054" i="49"/>
  <c r="K869" i="49"/>
  <c r="K914" i="49"/>
  <c r="K1157" i="49"/>
  <c r="K1172" i="49"/>
  <c r="K1176" i="49"/>
  <c r="K1186" i="49"/>
  <c r="K1210" i="49"/>
  <c r="K1312" i="49"/>
  <c r="K1367" i="49"/>
  <c r="K1383" i="49"/>
  <c r="K1401" i="49"/>
  <c r="K1554" i="49"/>
  <c r="K1014" i="49"/>
  <c r="K1179" i="49"/>
  <c r="K1192" i="49"/>
  <c r="K1209" i="49"/>
  <c r="K1265" i="49"/>
  <c r="K1278" i="49"/>
  <c r="K1319" i="49"/>
  <c r="K1372" i="49"/>
  <c r="K1379" i="49"/>
  <c r="K1492" i="49"/>
  <c r="K1510" i="49"/>
  <c r="K1593" i="49"/>
  <c r="F584" i="48"/>
  <c r="F992" i="48"/>
  <c r="F1517" i="48"/>
  <c r="F1516" i="48"/>
  <c r="F1514" i="48"/>
  <c r="F198" i="48"/>
  <c r="F1035" i="48"/>
  <c r="F1511" i="48"/>
  <c r="K637" i="48"/>
  <c r="J637" i="48"/>
  <c r="J1321" i="48"/>
  <c r="J105" i="48"/>
  <c r="J1116" i="48"/>
  <c r="K1116" i="48" s="1"/>
  <c r="J1459" i="48"/>
  <c r="J1510" i="48"/>
  <c r="J1509" i="48"/>
  <c r="F329" i="48"/>
  <c r="J799" i="48"/>
  <c r="J1261" i="48"/>
  <c r="F1082" i="49" l="1"/>
  <c r="F1084" i="49" s="1"/>
  <c r="F1086" i="49" s="1"/>
  <c r="K1085" i="49" s="1"/>
  <c r="F650" i="49"/>
  <c r="F841" i="49"/>
  <c r="K841" i="49" s="1"/>
  <c r="F1508" i="48"/>
  <c r="F360" i="48"/>
  <c r="J817" i="48"/>
  <c r="J1315" i="48"/>
  <c r="K1315" i="48" s="1"/>
  <c r="J1471" i="48"/>
  <c r="J1398" i="48"/>
  <c r="J104" i="48"/>
  <c r="J419" i="48"/>
  <c r="F1090" i="49" l="1"/>
  <c r="K1091" i="49" s="1"/>
  <c r="J772" i="48"/>
  <c r="K772" i="48" s="1"/>
  <c r="J779" i="47"/>
  <c r="F1096" i="49" l="1"/>
  <c r="K1096" i="49" s="1"/>
  <c r="K779" i="47"/>
  <c r="J770" i="47" l="1"/>
  <c r="K770" i="47" s="1"/>
  <c r="J784" i="46"/>
  <c r="F70" i="48" l="1"/>
  <c r="J1507" i="48"/>
  <c r="F1505" i="48"/>
  <c r="F1504" i="48"/>
  <c r="F1503" i="48"/>
  <c r="J1501" i="48"/>
  <c r="F1497" i="48"/>
  <c r="J1496" i="48"/>
  <c r="F1495" i="48"/>
  <c r="F1490" i="48"/>
  <c r="F1489" i="48"/>
  <c r="F1488" i="48"/>
  <c r="J1484" i="48"/>
  <c r="J1483" i="48"/>
  <c r="F1478" i="48"/>
  <c r="F1472" i="48"/>
  <c r="F1471" i="48"/>
  <c r="K1471" i="48" s="1"/>
  <c r="J1468" i="48"/>
  <c r="F1467" i="48"/>
  <c r="F1465" i="48"/>
  <c r="F1463" i="48"/>
  <c r="F1461" i="48"/>
  <c r="F1460" i="48"/>
  <c r="J1458" i="48"/>
  <c r="F1458" i="48"/>
  <c r="J1457" i="48"/>
  <c r="F1454" i="48"/>
  <c r="F1453" i="48"/>
  <c r="F1451" i="48"/>
  <c r="J1449" i="48"/>
  <c r="J1448" i="48"/>
  <c r="J1447" i="48"/>
  <c r="F1445" i="48"/>
  <c r="J1441" i="48"/>
  <c r="F1441" i="48"/>
  <c r="F1440" i="48"/>
  <c r="F1439" i="48"/>
  <c r="F1436" i="48"/>
  <c r="F1433" i="48"/>
  <c r="F1432" i="48"/>
  <c r="F1431" i="48"/>
  <c r="J1430" i="48"/>
  <c r="K1430" i="48" s="1"/>
  <c r="E1429" i="48"/>
  <c r="J1428" i="48"/>
  <c r="F1426" i="48"/>
  <c r="J1425" i="48"/>
  <c r="F1425" i="48"/>
  <c r="J1424" i="48"/>
  <c r="F1424" i="48"/>
  <c r="F1423" i="48"/>
  <c r="J1422" i="48"/>
  <c r="F1422" i="48"/>
  <c r="J1419" i="48"/>
  <c r="F1418" i="48"/>
  <c r="J1417" i="48"/>
  <c r="J1415" i="48"/>
  <c r="F1414" i="48"/>
  <c r="J1413" i="48"/>
  <c r="F1412" i="48"/>
  <c r="J1411" i="48"/>
  <c r="F1410" i="48"/>
  <c r="J1409" i="48"/>
  <c r="F1408" i="48"/>
  <c r="J1407" i="48"/>
  <c r="F1406" i="48"/>
  <c r="J1405" i="48"/>
  <c r="F1404" i="48"/>
  <c r="J1403" i="48"/>
  <c r="J1402" i="48"/>
  <c r="F1402" i="48"/>
  <c r="J1400" i="48"/>
  <c r="K1400" i="48" s="1"/>
  <c r="J1399" i="48"/>
  <c r="F1399" i="48"/>
  <c r="F1395" i="48"/>
  <c r="K1398" i="48" s="1"/>
  <c r="J1394" i="48"/>
  <c r="J1393" i="48"/>
  <c r="F1393" i="48"/>
  <c r="J1391" i="48"/>
  <c r="K1391" i="48" s="1"/>
  <c r="F1390" i="48"/>
  <c r="J1389" i="48"/>
  <c r="J1388" i="48"/>
  <c r="F1388" i="48"/>
  <c r="J1386" i="48"/>
  <c r="F1386" i="48"/>
  <c r="J1385" i="48"/>
  <c r="J1384" i="48"/>
  <c r="F1384" i="48"/>
  <c r="J1383" i="48"/>
  <c r="F1383" i="48"/>
  <c r="F1382" i="48"/>
  <c r="J1380" i="48"/>
  <c r="F1380" i="48"/>
  <c r="J1379" i="48"/>
  <c r="F1379" i="48"/>
  <c r="F1378" i="48"/>
  <c r="F1377" i="48"/>
  <c r="J1374" i="48"/>
  <c r="K1374" i="48" s="1"/>
  <c r="F1373" i="48"/>
  <c r="J1372" i="48"/>
  <c r="F1372" i="48"/>
  <c r="J1371" i="48"/>
  <c r="F1371" i="48"/>
  <c r="F1370" i="48"/>
  <c r="J1369" i="48"/>
  <c r="F1369" i="48"/>
  <c r="J1368" i="48"/>
  <c r="F1368" i="48"/>
  <c r="J1367" i="48"/>
  <c r="F1367" i="48"/>
  <c r="J1366" i="48"/>
  <c r="J1365" i="48"/>
  <c r="F1365" i="48"/>
  <c r="F1364" i="48"/>
  <c r="J1363" i="48"/>
  <c r="J1362" i="48"/>
  <c r="F1362" i="48"/>
  <c r="J1361" i="48"/>
  <c r="K1361" i="48" s="1"/>
  <c r="J1360" i="48"/>
  <c r="F1360" i="48"/>
  <c r="F1359" i="48"/>
  <c r="J1358" i="48"/>
  <c r="F1358" i="48"/>
  <c r="J1357" i="48"/>
  <c r="F1357" i="48"/>
  <c r="J1356" i="48"/>
  <c r="F1356" i="48"/>
  <c r="F1355" i="48"/>
  <c r="K1355" i="48" s="1"/>
  <c r="J1354" i="48"/>
  <c r="F1354" i="48"/>
  <c r="J1353" i="48"/>
  <c r="K1353" i="48" s="1"/>
  <c r="F1352" i="48"/>
  <c r="J1349" i="48"/>
  <c r="F1349" i="48"/>
  <c r="D1348" i="48"/>
  <c r="F1348" i="48" s="1"/>
  <c r="J1335" i="48"/>
  <c r="F1334" i="48"/>
  <c r="J1333" i="48"/>
  <c r="K1333" i="48" s="1"/>
  <c r="J1332" i="48"/>
  <c r="F1332" i="48"/>
  <c r="J1331" i="48"/>
  <c r="F1331" i="48"/>
  <c r="F1330" i="48"/>
  <c r="J1329" i="48"/>
  <c r="F1329" i="48"/>
  <c r="J1328" i="48"/>
  <c r="F1328" i="48"/>
  <c r="J1327" i="48"/>
  <c r="F1327" i="48"/>
  <c r="F1321" i="48"/>
  <c r="J1320" i="48"/>
  <c r="J1319" i="48"/>
  <c r="F1319" i="48"/>
  <c r="J1317" i="48"/>
  <c r="F1317" i="48"/>
  <c r="F1314" i="48"/>
  <c r="F1313" i="48"/>
  <c r="F1312" i="48"/>
  <c r="F1311" i="48"/>
  <c r="F1310" i="48"/>
  <c r="F1309" i="48"/>
  <c r="F1308" i="48"/>
  <c r="F1307" i="48"/>
  <c r="J1306" i="48"/>
  <c r="F1306" i="48"/>
  <c r="J1305" i="48"/>
  <c r="J1304" i="48"/>
  <c r="F1304" i="48"/>
  <c r="J1303" i="48"/>
  <c r="F1303" i="48"/>
  <c r="J1302" i="48"/>
  <c r="F1302" i="48"/>
  <c r="J1301" i="48"/>
  <c r="F1301" i="48"/>
  <c r="J1300" i="48"/>
  <c r="F1300" i="48"/>
  <c r="F1299" i="48"/>
  <c r="J1298" i="48"/>
  <c r="F1298" i="48"/>
  <c r="J1297" i="48"/>
  <c r="F1297" i="48"/>
  <c r="F1296" i="48"/>
  <c r="J1295" i="48"/>
  <c r="F1295" i="48"/>
  <c r="F1294" i="48"/>
  <c r="J1292" i="48"/>
  <c r="F1292" i="48"/>
  <c r="J1291" i="48"/>
  <c r="F1291" i="48"/>
  <c r="J1290" i="48"/>
  <c r="F1290" i="48"/>
  <c r="F1289" i="48"/>
  <c r="J1288" i="48"/>
  <c r="F1288" i="48"/>
  <c r="F1287" i="48"/>
  <c r="F1286" i="48"/>
  <c r="F1285" i="48"/>
  <c r="J1284" i="48"/>
  <c r="F1283" i="48"/>
  <c r="J1282" i="48"/>
  <c r="F1282" i="48"/>
  <c r="J1279" i="48"/>
  <c r="F1279" i="48"/>
  <c r="F1277" i="48"/>
  <c r="F1276" i="48"/>
  <c r="J1275" i="48"/>
  <c r="F1275" i="48"/>
  <c r="J1274" i="48"/>
  <c r="J1273" i="48"/>
  <c r="F1273" i="48"/>
  <c r="J1272" i="48"/>
  <c r="F1272" i="48"/>
  <c r="J1271" i="48"/>
  <c r="F1271" i="48"/>
  <c r="J1269" i="48"/>
  <c r="F1269" i="48"/>
  <c r="J1268" i="48"/>
  <c r="F1267" i="48"/>
  <c r="F1266" i="48"/>
  <c r="F1265" i="48"/>
  <c r="J1264" i="48"/>
  <c r="K1264" i="48" s="1"/>
  <c r="F1263" i="48"/>
  <c r="J1262" i="48"/>
  <c r="F1262" i="48"/>
  <c r="F1261" i="48"/>
  <c r="J1260" i="48"/>
  <c r="J1259" i="48"/>
  <c r="F1259" i="48"/>
  <c r="J1258" i="48"/>
  <c r="F1258" i="48"/>
  <c r="F1257" i="48"/>
  <c r="J1255" i="48"/>
  <c r="K1255" i="48" s="1"/>
  <c r="J1253" i="48"/>
  <c r="F1253" i="48"/>
  <c r="F1252" i="48"/>
  <c r="J1251" i="48"/>
  <c r="F1251" i="48"/>
  <c r="J1249" i="48"/>
  <c r="J1248" i="48"/>
  <c r="J1247" i="48"/>
  <c r="F1247" i="48"/>
  <c r="J1245" i="48"/>
  <c r="J1244" i="48"/>
  <c r="F1244" i="48"/>
  <c r="K1244" i="48" s="1"/>
  <c r="J1243" i="48"/>
  <c r="F1243" i="48"/>
  <c r="J1242" i="48"/>
  <c r="J1241" i="48"/>
  <c r="F1241" i="48"/>
  <c r="F1240" i="48"/>
  <c r="J1239" i="48"/>
  <c r="F1239" i="48"/>
  <c r="J1238" i="48"/>
  <c r="J1237" i="48"/>
  <c r="F1237" i="48"/>
  <c r="F1235" i="48"/>
  <c r="F1234" i="48"/>
  <c r="F1233" i="48"/>
  <c r="J1232" i="48"/>
  <c r="F1232" i="48"/>
  <c r="K1232" i="48" s="1"/>
  <c r="J1231" i="48"/>
  <c r="F1231" i="48"/>
  <c r="J1230" i="48"/>
  <c r="F1230" i="48"/>
  <c r="J1227" i="48"/>
  <c r="F1227" i="48"/>
  <c r="J1224" i="48"/>
  <c r="F1224" i="48"/>
  <c r="J1223" i="48"/>
  <c r="J1222" i="48"/>
  <c r="F1222" i="48"/>
  <c r="J1221" i="48"/>
  <c r="J1220" i="48"/>
  <c r="J1219" i="48"/>
  <c r="F1219" i="48"/>
  <c r="J1218" i="48"/>
  <c r="F1218" i="48"/>
  <c r="J1217" i="48"/>
  <c r="F1217" i="48"/>
  <c r="J1215" i="48"/>
  <c r="F1215" i="48"/>
  <c r="J1214" i="48"/>
  <c r="F1214" i="48"/>
  <c r="F1213" i="48"/>
  <c r="J1212" i="48"/>
  <c r="K1212" i="48" s="1"/>
  <c r="J1211" i="48"/>
  <c r="F1211" i="48"/>
  <c r="J1210" i="48"/>
  <c r="F1210" i="48"/>
  <c r="J1209" i="48"/>
  <c r="K1209" i="48" s="1"/>
  <c r="J1208" i="48"/>
  <c r="F1208" i="48"/>
  <c r="J1207" i="48"/>
  <c r="J1206" i="48"/>
  <c r="F1206" i="48"/>
  <c r="J1205" i="48"/>
  <c r="F1205" i="48"/>
  <c r="J1204" i="48"/>
  <c r="F1204" i="48"/>
  <c r="J1203" i="48"/>
  <c r="J1202" i="48"/>
  <c r="F1202" i="48"/>
  <c r="J1201" i="48"/>
  <c r="F1201" i="48"/>
  <c r="J1200" i="48"/>
  <c r="K1200" i="48" s="1"/>
  <c r="J1199" i="48"/>
  <c r="F1199" i="48"/>
  <c r="J1198" i="48"/>
  <c r="F1198" i="48"/>
  <c r="J1197" i="48"/>
  <c r="F1197" i="48"/>
  <c r="J1196" i="48"/>
  <c r="F1196" i="48"/>
  <c r="J1195" i="48"/>
  <c r="J1194" i="48"/>
  <c r="F1194" i="48"/>
  <c r="J1193" i="48"/>
  <c r="F1193" i="48"/>
  <c r="K1193" i="48" s="1"/>
  <c r="J1192" i="48"/>
  <c r="F1192" i="48"/>
  <c r="J1191" i="48"/>
  <c r="J1190" i="48"/>
  <c r="F1190" i="48"/>
  <c r="J1189" i="48"/>
  <c r="J1188" i="48"/>
  <c r="F1188" i="48"/>
  <c r="J1187" i="48"/>
  <c r="F1187" i="48"/>
  <c r="F1186" i="48"/>
  <c r="J1185" i="48"/>
  <c r="J1183" i="48"/>
  <c r="K1183" i="48" s="1"/>
  <c r="F1183" i="48"/>
  <c r="J1181" i="48"/>
  <c r="J1180" i="48"/>
  <c r="E1180" i="48"/>
  <c r="D1179" i="48"/>
  <c r="F1179" i="48" s="1"/>
  <c r="F1178" i="48"/>
  <c r="J1177" i="48"/>
  <c r="F1177" i="48"/>
  <c r="F1176" i="48"/>
  <c r="F1174" i="48"/>
  <c r="J1173" i="48"/>
  <c r="F1173" i="48"/>
  <c r="F1172" i="48"/>
  <c r="J1171" i="48"/>
  <c r="F1171" i="48"/>
  <c r="J1170" i="48"/>
  <c r="F1170" i="48"/>
  <c r="J1169" i="48"/>
  <c r="F1169" i="48"/>
  <c r="J1168" i="48"/>
  <c r="F1168" i="48"/>
  <c r="F1167" i="48"/>
  <c r="F1164" i="48"/>
  <c r="K1164" i="48" s="1"/>
  <c r="J1163" i="48"/>
  <c r="F1163" i="48"/>
  <c r="K1163" i="48" s="1"/>
  <c r="J1162" i="48"/>
  <c r="F1162" i="48"/>
  <c r="J1161" i="48"/>
  <c r="F1161" i="48"/>
  <c r="J1160" i="48"/>
  <c r="F1160" i="48"/>
  <c r="J1159" i="48"/>
  <c r="F1159" i="48"/>
  <c r="F1158" i="48"/>
  <c r="J1157" i="48"/>
  <c r="F1157" i="48"/>
  <c r="J1156" i="48"/>
  <c r="F1156" i="48"/>
  <c r="J1155" i="48"/>
  <c r="J1154" i="48"/>
  <c r="F1154" i="48"/>
  <c r="J1152" i="48"/>
  <c r="J1151" i="48"/>
  <c r="K1151" i="48" s="1"/>
  <c r="F1151" i="48"/>
  <c r="J1149" i="48"/>
  <c r="F1149" i="48"/>
  <c r="J1148" i="48"/>
  <c r="J1147" i="48"/>
  <c r="F1147" i="48"/>
  <c r="K1147" i="48" s="1"/>
  <c r="J1146" i="48"/>
  <c r="F1146" i="48"/>
  <c r="J1145" i="48"/>
  <c r="K1145" i="48" s="1"/>
  <c r="J1144" i="48"/>
  <c r="J1143" i="48"/>
  <c r="J1142" i="48"/>
  <c r="J1141" i="48"/>
  <c r="J1140" i="48"/>
  <c r="F1140" i="48"/>
  <c r="K1141" i="48" s="1"/>
  <c r="J1138" i="48"/>
  <c r="F1138" i="48"/>
  <c r="J1137" i="48"/>
  <c r="F1137" i="48"/>
  <c r="F1135" i="48"/>
  <c r="J1134" i="48"/>
  <c r="F1134" i="48"/>
  <c r="J1133" i="48"/>
  <c r="F1133" i="48"/>
  <c r="K1134" i="48" s="1"/>
  <c r="J1132" i="48"/>
  <c r="J1131" i="48"/>
  <c r="F1131" i="48"/>
  <c r="J1130" i="48"/>
  <c r="D1130" i="48"/>
  <c r="F1130" i="48" s="1"/>
  <c r="F1129" i="48"/>
  <c r="F1128" i="48"/>
  <c r="F1127" i="48"/>
  <c r="F1126" i="48"/>
  <c r="J1125" i="48"/>
  <c r="F1125" i="48"/>
  <c r="F1122" i="48"/>
  <c r="J1121" i="48"/>
  <c r="F1121" i="48"/>
  <c r="J1120" i="48"/>
  <c r="F1120" i="48"/>
  <c r="J1115" i="48"/>
  <c r="K1115" i="48" s="1"/>
  <c r="J1114" i="48"/>
  <c r="F1114" i="48"/>
  <c r="F1113" i="48"/>
  <c r="J1112" i="48"/>
  <c r="F1112" i="48"/>
  <c r="J1110" i="48"/>
  <c r="J1109" i="48"/>
  <c r="F1109" i="48"/>
  <c r="J1108" i="48"/>
  <c r="J1107" i="48"/>
  <c r="F1107" i="48"/>
  <c r="F1106" i="48"/>
  <c r="J1105" i="48"/>
  <c r="F1105" i="48"/>
  <c r="F1104" i="48"/>
  <c r="J1103" i="48"/>
  <c r="F1103" i="48"/>
  <c r="J1102" i="48"/>
  <c r="K1102" i="48" s="1"/>
  <c r="F1101" i="48"/>
  <c r="J1100" i="48"/>
  <c r="K1100" i="48" s="1"/>
  <c r="J1099" i="48"/>
  <c r="F1099" i="48"/>
  <c r="D1098" i="48"/>
  <c r="F1097" i="48"/>
  <c r="F1096" i="48"/>
  <c r="J1095" i="48"/>
  <c r="J1094" i="48"/>
  <c r="F1094" i="48"/>
  <c r="J1091" i="48"/>
  <c r="F1091" i="48"/>
  <c r="J1090" i="48"/>
  <c r="F1090" i="48"/>
  <c r="J1089" i="48"/>
  <c r="F1089" i="48"/>
  <c r="F1088" i="48"/>
  <c r="F1087" i="48"/>
  <c r="K1087" i="48" s="1"/>
  <c r="J1086" i="48"/>
  <c r="F1086" i="48"/>
  <c r="D1084" i="48"/>
  <c r="F1083" i="48"/>
  <c r="J1081" i="48"/>
  <c r="K1081" i="48" s="1"/>
  <c r="J1080" i="48"/>
  <c r="K1080" i="48" s="1"/>
  <c r="E1080" i="48"/>
  <c r="J1079" i="48"/>
  <c r="F1079" i="48"/>
  <c r="J1078" i="48"/>
  <c r="F1078" i="48"/>
  <c r="J1077" i="48"/>
  <c r="F1077" i="48"/>
  <c r="J1076" i="48"/>
  <c r="F1076" i="48"/>
  <c r="J1075" i="48"/>
  <c r="F1075" i="48"/>
  <c r="D1074" i="48"/>
  <c r="F1066" i="48"/>
  <c r="J1065" i="48"/>
  <c r="F1065" i="48"/>
  <c r="F1064" i="48"/>
  <c r="J1063" i="48"/>
  <c r="F1063" i="48"/>
  <c r="J1062" i="48"/>
  <c r="J1059" i="48"/>
  <c r="F1059" i="48"/>
  <c r="J1056" i="48"/>
  <c r="F1056" i="48"/>
  <c r="J1055" i="48"/>
  <c r="J1054" i="48"/>
  <c r="F1054" i="48"/>
  <c r="J1053" i="48"/>
  <c r="F1053" i="48"/>
  <c r="J1052" i="48"/>
  <c r="F1052" i="48"/>
  <c r="J1051" i="48"/>
  <c r="J1050" i="48"/>
  <c r="F1050" i="48"/>
  <c r="J1049" i="48"/>
  <c r="F1049" i="48"/>
  <c r="J1048" i="48"/>
  <c r="K1048" i="48" s="1"/>
  <c r="J1047" i="48"/>
  <c r="J1046" i="48"/>
  <c r="F1046" i="48"/>
  <c r="J1045" i="48"/>
  <c r="J1044" i="48"/>
  <c r="F1044" i="48"/>
  <c r="J1043" i="48"/>
  <c r="J1042" i="48"/>
  <c r="F1042" i="48"/>
  <c r="J1034" i="48"/>
  <c r="F1034" i="48"/>
  <c r="J1033" i="48"/>
  <c r="J1032" i="48"/>
  <c r="F1032" i="48"/>
  <c r="F1031" i="48"/>
  <c r="J1030" i="48"/>
  <c r="F1030" i="48"/>
  <c r="F1029" i="48"/>
  <c r="J1028" i="48"/>
  <c r="F1028" i="48"/>
  <c r="J1027" i="48"/>
  <c r="J1026" i="48"/>
  <c r="F1026" i="48"/>
  <c r="J1025" i="48"/>
  <c r="F1025" i="48"/>
  <c r="F1024" i="48"/>
  <c r="F1023" i="48"/>
  <c r="F1021" i="48"/>
  <c r="J1020" i="48"/>
  <c r="J1019" i="48"/>
  <c r="F1019" i="48"/>
  <c r="J1018" i="48"/>
  <c r="J1017" i="48"/>
  <c r="F1017" i="48"/>
  <c r="J1013" i="48"/>
  <c r="F1013" i="48"/>
  <c r="F1012" i="48"/>
  <c r="F1011" i="48"/>
  <c r="J1010" i="48"/>
  <c r="F1010" i="48"/>
  <c r="J1009" i="48"/>
  <c r="F1009" i="48"/>
  <c r="J1008" i="48"/>
  <c r="F1008" i="48"/>
  <c r="J1007" i="48"/>
  <c r="F1007" i="48"/>
  <c r="J1006" i="48"/>
  <c r="F1006" i="48"/>
  <c r="J1005" i="48"/>
  <c r="J1004" i="48"/>
  <c r="F1004" i="48"/>
  <c r="J1003" i="48"/>
  <c r="K1003" i="48" s="1"/>
  <c r="E1003" i="48"/>
  <c r="J1002" i="48"/>
  <c r="J1001" i="48"/>
  <c r="F1001" i="48"/>
  <c r="J1000" i="48"/>
  <c r="J999" i="48"/>
  <c r="F999" i="48"/>
  <c r="J998" i="48"/>
  <c r="F998" i="48"/>
  <c r="J997" i="48"/>
  <c r="F997" i="48"/>
  <c r="J996" i="48"/>
  <c r="K996" i="48" s="1"/>
  <c r="F996" i="48"/>
  <c r="J995" i="48"/>
  <c r="J994" i="48"/>
  <c r="F994" i="48"/>
  <c r="J993" i="48"/>
  <c r="F993" i="48"/>
  <c r="F991" i="48"/>
  <c r="F990" i="48"/>
  <c r="J989" i="48"/>
  <c r="F989" i="48"/>
  <c r="J988" i="48"/>
  <c r="F988" i="48"/>
  <c r="J987" i="48"/>
  <c r="F987" i="48"/>
  <c r="J986" i="48"/>
  <c r="F986" i="48"/>
  <c r="J985" i="48"/>
  <c r="F985" i="48"/>
  <c r="J984" i="48"/>
  <c r="F984" i="48"/>
  <c r="J982" i="48"/>
  <c r="F982" i="48"/>
  <c r="J981" i="48"/>
  <c r="F981" i="48"/>
  <c r="J980" i="48"/>
  <c r="F980" i="48"/>
  <c r="J979" i="48"/>
  <c r="F979" i="48"/>
  <c r="J978" i="48"/>
  <c r="F978" i="48"/>
  <c r="J977" i="48"/>
  <c r="F977" i="48"/>
  <c r="J976" i="48"/>
  <c r="J975" i="48"/>
  <c r="F975" i="48"/>
  <c r="J974" i="48"/>
  <c r="F974" i="48"/>
  <c r="J946" i="48"/>
  <c r="F942" i="48"/>
  <c r="J940" i="48"/>
  <c r="F938" i="48"/>
  <c r="J936" i="48"/>
  <c r="F936" i="48"/>
  <c r="K935" i="48"/>
  <c r="J935" i="48"/>
  <c r="F934" i="48"/>
  <c r="D928" i="48"/>
  <c r="D935" i="48" s="1"/>
  <c r="D937" i="48" s="1"/>
  <c r="D939" i="48" s="1"/>
  <c r="D943" i="48" s="1"/>
  <c r="D949" i="48" s="1"/>
  <c r="F927" i="48"/>
  <c r="F926" i="48"/>
  <c r="F925" i="48"/>
  <c r="F924" i="48"/>
  <c r="F923" i="48"/>
  <c r="F922" i="48"/>
  <c r="J921" i="48"/>
  <c r="K921" i="48" s="1"/>
  <c r="F920" i="48"/>
  <c r="F919" i="48"/>
  <c r="F917" i="48"/>
  <c r="J916" i="48"/>
  <c r="F916" i="48"/>
  <c r="J913" i="48"/>
  <c r="F912" i="48"/>
  <c r="J911" i="48"/>
  <c r="F911" i="48"/>
  <c r="F906" i="48"/>
  <c r="F905" i="48"/>
  <c r="F904" i="48"/>
  <c r="F903" i="48"/>
  <c r="D902" i="48"/>
  <c r="D907" i="48" s="1"/>
  <c r="F901" i="48"/>
  <c r="J900" i="48"/>
  <c r="F900" i="48"/>
  <c r="F899" i="48"/>
  <c r="J898" i="48"/>
  <c r="F898" i="48"/>
  <c r="F897" i="48"/>
  <c r="J896" i="48"/>
  <c r="F896" i="48"/>
  <c r="F895" i="48"/>
  <c r="J894" i="48"/>
  <c r="F894" i="48"/>
  <c r="F893" i="48"/>
  <c r="J892" i="48"/>
  <c r="F892" i="48"/>
  <c r="F891" i="48"/>
  <c r="J890" i="48"/>
  <c r="F890" i="48"/>
  <c r="J887" i="48"/>
  <c r="F887" i="48"/>
  <c r="J886" i="48"/>
  <c r="F886" i="48"/>
  <c r="K886" i="48" s="1"/>
  <c r="J885" i="48"/>
  <c r="J884" i="48"/>
  <c r="J883" i="48"/>
  <c r="F883" i="48"/>
  <c r="J882" i="48"/>
  <c r="K882" i="48" s="1"/>
  <c r="J881" i="48"/>
  <c r="F881" i="48"/>
  <c r="J880" i="48"/>
  <c r="F880" i="48"/>
  <c r="J879" i="48"/>
  <c r="F879" i="48"/>
  <c r="J878" i="48"/>
  <c r="K878" i="48" s="1"/>
  <c r="F878" i="48"/>
  <c r="F877" i="48"/>
  <c r="J876" i="48"/>
  <c r="F876" i="48"/>
  <c r="J875" i="48"/>
  <c r="F875" i="48"/>
  <c r="J874" i="48"/>
  <c r="J873" i="48"/>
  <c r="K873" i="48" s="1"/>
  <c r="F873" i="48"/>
  <c r="J868" i="48"/>
  <c r="D868" i="48"/>
  <c r="F867" i="48"/>
  <c r="F866" i="48"/>
  <c r="F865" i="48"/>
  <c r="F864" i="48"/>
  <c r="F863" i="48"/>
  <c r="F862" i="48"/>
  <c r="J861" i="48"/>
  <c r="F861" i="48"/>
  <c r="J860" i="48"/>
  <c r="F860" i="48"/>
  <c r="F857" i="48"/>
  <c r="F856" i="48"/>
  <c r="F855" i="48"/>
  <c r="F854" i="48"/>
  <c r="J853" i="48"/>
  <c r="F853" i="48"/>
  <c r="J852" i="48"/>
  <c r="J851" i="48"/>
  <c r="K851" i="48" s="1"/>
  <c r="F851" i="48"/>
  <c r="J850" i="48"/>
  <c r="F850" i="48"/>
  <c r="J849" i="48"/>
  <c r="J847" i="48"/>
  <c r="F847" i="48"/>
  <c r="F846" i="48"/>
  <c r="J844" i="48"/>
  <c r="F844" i="48"/>
  <c r="D840" i="48"/>
  <c r="F840" i="48" s="1"/>
  <c r="F839" i="48"/>
  <c r="J838" i="48"/>
  <c r="F838" i="48"/>
  <c r="J837" i="48"/>
  <c r="F837" i="48"/>
  <c r="J836" i="48"/>
  <c r="F836" i="48"/>
  <c r="J834" i="48"/>
  <c r="F834" i="48"/>
  <c r="J833" i="48"/>
  <c r="F833" i="48"/>
  <c r="J832" i="48"/>
  <c r="K832" i="48" s="1"/>
  <c r="J831" i="48"/>
  <c r="F831" i="48"/>
  <c r="J830" i="48"/>
  <c r="F830" i="48"/>
  <c r="J825" i="48"/>
  <c r="F825" i="48"/>
  <c r="J824" i="48"/>
  <c r="K824" i="48" s="1"/>
  <c r="F821" i="48"/>
  <c r="F820" i="48"/>
  <c r="J819" i="48"/>
  <c r="F819" i="48"/>
  <c r="J818" i="48"/>
  <c r="F813" i="48"/>
  <c r="J812" i="48"/>
  <c r="F812" i="48"/>
  <c r="J811" i="48"/>
  <c r="F811" i="48"/>
  <c r="F810" i="48"/>
  <c r="J809" i="48"/>
  <c r="F809" i="48"/>
  <c r="F808" i="48"/>
  <c r="J807" i="48"/>
  <c r="F807" i="48"/>
  <c r="F806" i="48"/>
  <c r="J805" i="48"/>
  <c r="F805" i="48"/>
  <c r="J802" i="48"/>
  <c r="F802" i="48"/>
  <c r="J800" i="48"/>
  <c r="F800" i="48"/>
  <c r="J798" i="48"/>
  <c r="K798" i="48" s="1"/>
  <c r="F798" i="48"/>
  <c r="F797" i="48"/>
  <c r="J796" i="48"/>
  <c r="J795" i="48"/>
  <c r="F795" i="48"/>
  <c r="K794" i="48"/>
  <c r="J791" i="48"/>
  <c r="F790" i="48"/>
  <c r="F789" i="48"/>
  <c r="J788" i="48"/>
  <c r="F788" i="48"/>
  <c r="J787" i="48"/>
  <c r="K787" i="48" s="1"/>
  <c r="J786" i="48"/>
  <c r="F786" i="48"/>
  <c r="F771" i="48"/>
  <c r="F770" i="48"/>
  <c r="J769" i="48"/>
  <c r="F769" i="48"/>
  <c r="J768" i="48"/>
  <c r="K768" i="48" s="1"/>
  <c r="K767" i="48"/>
  <c r="J767" i="48"/>
  <c r="J766" i="48"/>
  <c r="F766" i="48"/>
  <c r="J765" i="48"/>
  <c r="F765" i="48"/>
  <c r="J764" i="48"/>
  <c r="F764" i="48"/>
  <c r="J763" i="48"/>
  <c r="K763" i="48" s="1"/>
  <c r="F763" i="48"/>
  <c r="J762" i="48"/>
  <c r="F762" i="48"/>
  <c r="J761" i="48"/>
  <c r="F761" i="48"/>
  <c r="J760" i="48"/>
  <c r="F760" i="48"/>
  <c r="F759" i="48"/>
  <c r="F757" i="48"/>
  <c r="F756" i="48"/>
  <c r="F755" i="48"/>
  <c r="K755" i="48" s="1"/>
  <c r="K754" i="48"/>
  <c r="J754" i="48"/>
  <c r="J753" i="48"/>
  <c r="F753" i="48"/>
  <c r="J752" i="48"/>
  <c r="F752" i="48"/>
  <c r="J751" i="48"/>
  <c r="F751" i="48"/>
  <c r="J750" i="48"/>
  <c r="K750" i="48" s="1"/>
  <c r="J749" i="48"/>
  <c r="K749" i="48" s="1"/>
  <c r="F749" i="48"/>
  <c r="J748" i="48"/>
  <c r="K748" i="48" s="1"/>
  <c r="J747" i="48"/>
  <c r="F747" i="48"/>
  <c r="J746" i="48"/>
  <c r="F746" i="48"/>
  <c r="J745" i="48"/>
  <c r="F745" i="48"/>
  <c r="J744" i="48"/>
  <c r="K744" i="48" s="1"/>
  <c r="E744" i="48"/>
  <c r="F743" i="48"/>
  <c r="J742" i="48"/>
  <c r="K742" i="48" s="1"/>
  <c r="J741" i="48"/>
  <c r="K741" i="48" s="1"/>
  <c r="F740" i="48"/>
  <c r="J735" i="48"/>
  <c r="F734" i="48"/>
  <c r="F733" i="48"/>
  <c r="J732" i="48"/>
  <c r="F731" i="48"/>
  <c r="F730" i="48"/>
  <c r="F729" i="48"/>
  <c r="F728" i="48"/>
  <c r="F727" i="48"/>
  <c r="F726" i="48"/>
  <c r="F725" i="48"/>
  <c r="F724" i="48"/>
  <c r="J722" i="48"/>
  <c r="F720" i="48"/>
  <c r="D719" i="48"/>
  <c r="F719" i="48" s="1"/>
  <c r="F718" i="48"/>
  <c r="F717" i="48"/>
  <c r="F715" i="48"/>
  <c r="F713" i="48"/>
  <c r="F712" i="48"/>
  <c r="F710" i="48"/>
  <c r="F709" i="48"/>
  <c r="F708" i="48"/>
  <c r="F707" i="48"/>
  <c r="D705" i="48"/>
  <c r="F704" i="48"/>
  <c r="F703" i="48"/>
  <c r="F702" i="48"/>
  <c r="F701" i="48"/>
  <c r="F700" i="48"/>
  <c r="J699" i="48"/>
  <c r="K699" i="48" s="1"/>
  <c r="D698" i="48"/>
  <c r="J691" i="48"/>
  <c r="F691" i="48"/>
  <c r="J690" i="48"/>
  <c r="F690" i="48"/>
  <c r="F689" i="48"/>
  <c r="J688" i="48"/>
  <c r="F688" i="48"/>
  <c r="J687" i="48"/>
  <c r="F687" i="48"/>
  <c r="D686" i="48"/>
  <c r="F686" i="48" s="1"/>
  <c r="F685" i="48"/>
  <c r="F684" i="48"/>
  <c r="F683" i="48"/>
  <c r="J682" i="48"/>
  <c r="K682" i="48" s="1"/>
  <c r="F682" i="48"/>
  <c r="J681" i="48"/>
  <c r="F681" i="48"/>
  <c r="J679" i="48"/>
  <c r="K679" i="48" s="1"/>
  <c r="F679" i="48"/>
  <c r="J677" i="48"/>
  <c r="K677" i="48" s="1"/>
  <c r="J676" i="48"/>
  <c r="F676" i="48"/>
  <c r="J675" i="48"/>
  <c r="F675" i="48"/>
  <c r="J672" i="48"/>
  <c r="K672" i="48" s="1"/>
  <c r="F672" i="48"/>
  <c r="J671" i="48"/>
  <c r="F671" i="48"/>
  <c r="K671" i="48" s="1"/>
  <c r="F670" i="48"/>
  <c r="F669" i="48"/>
  <c r="F668" i="48"/>
  <c r="F667" i="48"/>
  <c r="J666" i="48"/>
  <c r="J665" i="48"/>
  <c r="F665" i="48"/>
  <c r="F664" i="48"/>
  <c r="F663" i="48"/>
  <c r="F662" i="48"/>
  <c r="J661" i="48"/>
  <c r="F661" i="48"/>
  <c r="F659" i="48"/>
  <c r="J658" i="48"/>
  <c r="F658" i="48"/>
  <c r="J657" i="48"/>
  <c r="F657" i="48"/>
  <c r="J656" i="48"/>
  <c r="F656" i="48"/>
  <c r="F655" i="48"/>
  <c r="J654" i="48"/>
  <c r="J653" i="48"/>
  <c r="K653" i="48" s="1"/>
  <c r="F653" i="48"/>
  <c r="J652" i="48"/>
  <c r="F652" i="48"/>
  <c r="F651" i="48"/>
  <c r="J650" i="48"/>
  <c r="F650" i="48"/>
  <c r="K650" i="48" s="1"/>
  <c r="J649" i="48"/>
  <c r="F649" i="48"/>
  <c r="J648" i="48"/>
  <c r="F648" i="48"/>
  <c r="J646" i="48"/>
  <c r="F646" i="48"/>
  <c r="J645" i="48"/>
  <c r="F645" i="48"/>
  <c r="K645" i="48" s="1"/>
  <c r="J643" i="48"/>
  <c r="D642" i="48"/>
  <c r="F641" i="48"/>
  <c r="F636" i="48"/>
  <c r="F634" i="48"/>
  <c r="J631" i="48"/>
  <c r="J630" i="48"/>
  <c r="J629" i="48"/>
  <c r="J628" i="48"/>
  <c r="D626" i="48"/>
  <c r="D635" i="48" s="1"/>
  <c r="D623" i="48"/>
  <c r="D620" i="48"/>
  <c r="D615" i="48"/>
  <c r="D619" i="48" s="1"/>
  <c r="J607" i="48"/>
  <c r="J606" i="48"/>
  <c r="F606" i="48"/>
  <c r="J605" i="48"/>
  <c r="J604" i="48"/>
  <c r="F604" i="48"/>
  <c r="J602" i="48"/>
  <c r="K602" i="48" s="1"/>
  <c r="J601" i="48"/>
  <c r="K601" i="48" s="1"/>
  <c r="J600" i="48"/>
  <c r="J599" i="48"/>
  <c r="F599" i="48"/>
  <c r="J598" i="48"/>
  <c r="F598" i="48"/>
  <c r="J597" i="48"/>
  <c r="F597" i="48"/>
  <c r="K597" i="48" s="1"/>
  <c r="J596" i="48"/>
  <c r="J595" i="48"/>
  <c r="F595" i="48"/>
  <c r="J594" i="48"/>
  <c r="F594" i="48"/>
  <c r="J593" i="48"/>
  <c r="K593" i="48" s="1"/>
  <c r="F593" i="48"/>
  <c r="J592" i="48"/>
  <c r="F592" i="48"/>
  <c r="F591" i="48"/>
  <c r="J590" i="48"/>
  <c r="F590" i="48"/>
  <c r="J589" i="48"/>
  <c r="K589" i="48" s="1"/>
  <c r="F589" i="48"/>
  <c r="J588" i="48"/>
  <c r="K588" i="48" s="1"/>
  <c r="J586" i="48"/>
  <c r="F586" i="48"/>
  <c r="J585" i="48"/>
  <c r="F585" i="48"/>
  <c r="F583" i="48"/>
  <c r="J582" i="48"/>
  <c r="J581" i="48"/>
  <c r="F581" i="48"/>
  <c r="J580" i="48"/>
  <c r="F580" i="48"/>
  <c r="J579" i="48"/>
  <c r="F579" i="48"/>
  <c r="J578" i="48"/>
  <c r="K578" i="48" s="1"/>
  <c r="J577" i="48"/>
  <c r="K577" i="48" s="1"/>
  <c r="F577" i="48"/>
  <c r="J576" i="48"/>
  <c r="F576" i="48"/>
  <c r="J575" i="48"/>
  <c r="F575" i="48"/>
  <c r="F574" i="48"/>
  <c r="J573" i="48"/>
  <c r="F573" i="48"/>
  <c r="J572" i="48"/>
  <c r="F572" i="48"/>
  <c r="D567" i="48"/>
  <c r="F567" i="48" s="1"/>
  <c r="F565" i="48"/>
  <c r="F564" i="48"/>
  <c r="K561" i="48"/>
  <c r="D561" i="48"/>
  <c r="D563" i="48" s="1"/>
  <c r="F559" i="48"/>
  <c r="F558" i="48"/>
  <c r="F557" i="48"/>
  <c r="J556" i="48"/>
  <c r="F556" i="48"/>
  <c r="J555" i="48"/>
  <c r="F555" i="48"/>
  <c r="J554" i="48"/>
  <c r="F554" i="48"/>
  <c r="J553" i="48"/>
  <c r="F553" i="48"/>
  <c r="K553" i="48" s="1"/>
  <c r="J551" i="48"/>
  <c r="F551" i="48"/>
  <c r="J550" i="48"/>
  <c r="F550" i="48"/>
  <c r="J549" i="48"/>
  <c r="F549" i="48"/>
  <c r="J547" i="48"/>
  <c r="K547" i="48" s="1"/>
  <c r="E547" i="48"/>
  <c r="J546" i="48"/>
  <c r="K546" i="48" s="1"/>
  <c r="J545" i="48"/>
  <c r="F545" i="48"/>
  <c r="J544" i="48"/>
  <c r="E544" i="48"/>
  <c r="F543" i="48"/>
  <c r="J542" i="48"/>
  <c r="F542" i="48"/>
  <c r="J541" i="48"/>
  <c r="F541" i="48"/>
  <c r="F540" i="48"/>
  <c r="J539" i="48"/>
  <c r="F539" i="48"/>
  <c r="F538" i="48"/>
  <c r="F537" i="48"/>
  <c r="J536" i="48"/>
  <c r="F536" i="48"/>
  <c r="F534" i="48"/>
  <c r="J533" i="48"/>
  <c r="F533" i="48"/>
  <c r="J532" i="48"/>
  <c r="F532" i="48"/>
  <c r="F527" i="48"/>
  <c r="F526" i="48"/>
  <c r="J525" i="48"/>
  <c r="F525" i="48"/>
  <c r="F524" i="48"/>
  <c r="D521" i="48"/>
  <c r="F521" i="48" s="1"/>
  <c r="F520" i="48"/>
  <c r="F519" i="48"/>
  <c r="F518" i="48"/>
  <c r="J517" i="48"/>
  <c r="F517" i="48"/>
  <c r="F515" i="48"/>
  <c r="F514" i="48"/>
  <c r="J513" i="48"/>
  <c r="F513" i="48"/>
  <c r="F512" i="48"/>
  <c r="J511" i="48"/>
  <c r="F511" i="48"/>
  <c r="J509" i="48"/>
  <c r="F509" i="48"/>
  <c r="J508" i="48"/>
  <c r="K508" i="48" s="1"/>
  <c r="J507" i="48"/>
  <c r="K507" i="48" s="1"/>
  <c r="F507" i="48"/>
  <c r="J506" i="48"/>
  <c r="F506" i="48"/>
  <c r="J505" i="48"/>
  <c r="F505" i="48"/>
  <c r="J504" i="48"/>
  <c r="F504" i="48"/>
  <c r="J503" i="48"/>
  <c r="F503" i="48"/>
  <c r="J502" i="48"/>
  <c r="F502" i="48"/>
  <c r="J501" i="48"/>
  <c r="F501" i="48"/>
  <c r="J500" i="48"/>
  <c r="F500" i="48"/>
  <c r="F499" i="48"/>
  <c r="K499" i="48" s="1"/>
  <c r="J498" i="48"/>
  <c r="F498" i="48"/>
  <c r="F497" i="48"/>
  <c r="J496" i="48"/>
  <c r="F496" i="48"/>
  <c r="J495" i="48"/>
  <c r="F495" i="48"/>
  <c r="J494" i="48"/>
  <c r="K494" i="48" s="1"/>
  <c r="F494" i="48"/>
  <c r="J493" i="48"/>
  <c r="K493" i="48" s="1"/>
  <c r="E493" i="48"/>
  <c r="J492" i="48"/>
  <c r="F492" i="48"/>
  <c r="J491" i="48"/>
  <c r="F491" i="48"/>
  <c r="K491" i="48" s="1"/>
  <c r="J490" i="48"/>
  <c r="F490" i="48"/>
  <c r="J489" i="48"/>
  <c r="D489" i="48"/>
  <c r="F489" i="48" s="1"/>
  <c r="F488" i="48"/>
  <c r="F487" i="48"/>
  <c r="F486" i="48"/>
  <c r="J485" i="48"/>
  <c r="F485" i="48"/>
  <c r="J484" i="48"/>
  <c r="F484" i="48"/>
  <c r="J482" i="48"/>
  <c r="F482" i="48"/>
  <c r="J481" i="48"/>
  <c r="F481" i="48"/>
  <c r="K481" i="48" s="1"/>
  <c r="J479" i="48"/>
  <c r="F479" i="48"/>
  <c r="J478" i="48"/>
  <c r="F478" i="48"/>
  <c r="K478" i="48" s="1"/>
  <c r="J477" i="48"/>
  <c r="F477" i="48"/>
  <c r="J476" i="48"/>
  <c r="F476" i="48"/>
  <c r="J475" i="48"/>
  <c r="F475" i="48"/>
  <c r="J474" i="48"/>
  <c r="F474" i="48"/>
  <c r="J473" i="48"/>
  <c r="K473" i="48" s="1"/>
  <c r="F471" i="48"/>
  <c r="F470" i="48"/>
  <c r="J469" i="48"/>
  <c r="F469" i="48"/>
  <c r="F468" i="48"/>
  <c r="J467" i="48"/>
  <c r="F467" i="48"/>
  <c r="F466" i="48"/>
  <c r="J465" i="48"/>
  <c r="F465" i="48"/>
  <c r="J464" i="48"/>
  <c r="J463" i="48"/>
  <c r="F463" i="48"/>
  <c r="J462" i="48"/>
  <c r="F462" i="48"/>
  <c r="K462" i="48" s="1"/>
  <c r="J461" i="48"/>
  <c r="F461" i="48"/>
  <c r="J460" i="48"/>
  <c r="J459" i="48"/>
  <c r="J458" i="48"/>
  <c r="F458" i="48"/>
  <c r="J457" i="48"/>
  <c r="J456" i="48"/>
  <c r="K456" i="48" s="1"/>
  <c r="F456" i="48"/>
  <c r="J455" i="48"/>
  <c r="J454" i="48"/>
  <c r="F454" i="48"/>
  <c r="J453" i="48"/>
  <c r="K453" i="48" s="1"/>
  <c r="J452" i="48"/>
  <c r="K452" i="48" s="1"/>
  <c r="J450" i="48"/>
  <c r="J449" i="48"/>
  <c r="K449" i="48" s="1"/>
  <c r="F448" i="48"/>
  <c r="K448" i="48" s="1"/>
  <c r="J447" i="48"/>
  <c r="J446" i="48"/>
  <c r="F446" i="48"/>
  <c r="J445" i="48"/>
  <c r="F445" i="48"/>
  <c r="K445" i="48" s="1"/>
  <c r="J444" i="48"/>
  <c r="K444" i="48" s="1"/>
  <c r="K443" i="48"/>
  <c r="J443" i="48"/>
  <c r="F442" i="48"/>
  <c r="J441" i="48"/>
  <c r="F441" i="48"/>
  <c r="F440" i="48"/>
  <c r="J439" i="48"/>
  <c r="F439" i="48"/>
  <c r="J438" i="48"/>
  <c r="J437" i="48"/>
  <c r="F437" i="48"/>
  <c r="J436" i="48"/>
  <c r="K436" i="48" s="1"/>
  <c r="J435" i="48"/>
  <c r="F435" i="48"/>
  <c r="J434" i="48"/>
  <c r="K434" i="48" s="1"/>
  <c r="F434" i="48"/>
  <c r="J433" i="48"/>
  <c r="F433" i="48"/>
  <c r="J432" i="48"/>
  <c r="F432" i="48"/>
  <c r="F419" i="48"/>
  <c r="F418" i="48"/>
  <c r="J414" i="48"/>
  <c r="K414" i="48" s="1"/>
  <c r="J413" i="48"/>
  <c r="F413" i="48"/>
  <c r="F412" i="48"/>
  <c r="J411" i="48"/>
  <c r="F411" i="48"/>
  <c r="J410" i="48"/>
  <c r="K410" i="48" s="1"/>
  <c r="F410" i="48"/>
  <c r="J409" i="48"/>
  <c r="K409" i="48" s="1"/>
  <c r="F409" i="48"/>
  <c r="J408" i="48"/>
  <c r="J407" i="48"/>
  <c r="F407" i="48"/>
  <c r="J406" i="48"/>
  <c r="J405" i="48"/>
  <c r="F405" i="48"/>
  <c r="J404" i="48"/>
  <c r="J403" i="48"/>
  <c r="F403" i="48"/>
  <c r="J402" i="48"/>
  <c r="F402" i="48"/>
  <c r="J401" i="48"/>
  <c r="J400" i="48"/>
  <c r="F400" i="48"/>
  <c r="K399" i="48"/>
  <c r="J399" i="48"/>
  <c r="F398" i="48"/>
  <c r="J393" i="48"/>
  <c r="K392" i="48"/>
  <c r="F392" i="48"/>
  <c r="J391" i="48"/>
  <c r="F391" i="48"/>
  <c r="F390" i="48"/>
  <c r="J389" i="48"/>
  <c r="F389" i="48"/>
  <c r="J388" i="48"/>
  <c r="J387" i="48"/>
  <c r="F387" i="48"/>
  <c r="K387" i="48" s="1"/>
  <c r="J386" i="48"/>
  <c r="J385" i="48"/>
  <c r="F385" i="48"/>
  <c r="J383" i="48"/>
  <c r="J382" i="48"/>
  <c r="J381" i="48"/>
  <c r="J380" i="48"/>
  <c r="F378" i="48"/>
  <c r="F377" i="48"/>
  <c r="J376" i="48"/>
  <c r="K376" i="48" s="1"/>
  <c r="J375" i="48"/>
  <c r="F375" i="48"/>
  <c r="J374" i="48"/>
  <c r="F374" i="48"/>
  <c r="J373" i="48"/>
  <c r="F373" i="48"/>
  <c r="K373" i="48" s="1"/>
  <c r="J371" i="48"/>
  <c r="K371" i="48" s="1"/>
  <c r="J370" i="48"/>
  <c r="K370" i="48" s="1"/>
  <c r="J369" i="48"/>
  <c r="J368" i="48"/>
  <c r="F368" i="48"/>
  <c r="J365" i="48"/>
  <c r="F365" i="48"/>
  <c r="J364" i="48"/>
  <c r="J363" i="48"/>
  <c r="F363" i="48"/>
  <c r="J362" i="48"/>
  <c r="J361" i="48"/>
  <c r="F361" i="48"/>
  <c r="J359" i="48"/>
  <c r="F359" i="48"/>
  <c r="F358" i="48"/>
  <c r="F357" i="48"/>
  <c r="J356" i="48"/>
  <c r="F356" i="48"/>
  <c r="J355" i="48"/>
  <c r="F355" i="48"/>
  <c r="J354" i="48"/>
  <c r="F354" i="48"/>
  <c r="J353" i="48"/>
  <c r="F353" i="48"/>
  <c r="J352" i="48"/>
  <c r="D352" i="48"/>
  <c r="F352" i="48" s="1"/>
  <c r="J351" i="48"/>
  <c r="F351" i="48"/>
  <c r="F350" i="48"/>
  <c r="F349" i="48"/>
  <c r="J348" i="48"/>
  <c r="F348" i="48"/>
  <c r="J347" i="48"/>
  <c r="F347" i="48"/>
  <c r="F346" i="48"/>
  <c r="K346" i="48" s="1"/>
  <c r="J345" i="48"/>
  <c r="J344" i="48"/>
  <c r="K344" i="48" s="1"/>
  <c r="F344" i="48"/>
  <c r="J343" i="48"/>
  <c r="F343" i="48"/>
  <c r="J341" i="48"/>
  <c r="F341" i="48"/>
  <c r="J340" i="48"/>
  <c r="F340" i="48"/>
  <c r="F339" i="48"/>
  <c r="J338" i="48"/>
  <c r="F338" i="48"/>
  <c r="K338" i="48" s="1"/>
  <c r="J337" i="48"/>
  <c r="F337" i="48"/>
  <c r="F336" i="48"/>
  <c r="J335" i="48"/>
  <c r="F335" i="48"/>
  <c r="K335" i="48" s="1"/>
  <c r="F334" i="48"/>
  <c r="K334" i="48" s="1"/>
  <c r="J333" i="48"/>
  <c r="F333" i="48"/>
  <c r="J332" i="48"/>
  <c r="F332" i="48"/>
  <c r="J331" i="48"/>
  <c r="J330" i="48"/>
  <c r="J328" i="48"/>
  <c r="F328" i="48"/>
  <c r="J321" i="48"/>
  <c r="F321" i="48"/>
  <c r="J320" i="48"/>
  <c r="F320" i="48"/>
  <c r="J319" i="48"/>
  <c r="F319" i="48"/>
  <c r="K319" i="48" s="1"/>
  <c r="J318" i="48"/>
  <c r="F318" i="48"/>
  <c r="J317" i="48"/>
  <c r="F317" i="48"/>
  <c r="J314" i="48"/>
  <c r="F314" i="48"/>
  <c r="F313" i="48"/>
  <c r="J312" i="48"/>
  <c r="F312" i="48"/>
  <c r="J311" i="48"/>
  <c r="F311" i="48"/>
  <c r="J310" i="48"/>
  <c r="F310" i="48"/>
  <c r="J309" i="48"/>
  <c r="F309" i="48"/>
  <c r="J308" i="48"/>
  <c r="K308" i="48" s="1"/>
  <c r="J307" i="48"/>
  <c r="F307" i="48"/>
  <c r="J306" i="48"/>
  <c r="F306" i="48"/>
  <c r="K306" i="48" s="1"/>
  <c r="J304" i="48"/>
  <c r="F304" i="48"/>
  <c r="J302" i="48"/>
  <c r="F302" i="48"/>
  <c r="J301" i="48"/>
  <c r="J300" i="48"/>
  <c r="F300" i="48"/>
  <c r="J299" i="48"/>
  <c r="K299" i="48" s="1"/>
  <c r="J298" i="48"/>
  <c r="K298" i="48" s="1"/>
  <c r="J297" i="48"/>
  <c r="F297" i="48"/>
  <c r="J295" i="48"/>
  <c r="K295" i="48" s="1"/>
  <c r="F295" i="48"/>
  <c r="J293" i="48"/>
  <c r="F293" i="48"/>
  <c r="J291" i="48"/>
  <c r="J287" i="48"/>
  <c r="F287" i="48"/>
  <c r="J286" i="48"/>
  <c r="F286" i="48"/>
  <c r="J285" i="48"/>
  <c r="F285" i="48"/>
  <c r="J284" i="48"/>
  <c r="K284" i="48" s="1"/>
  <c r="F282" i="48"/>
  <c r="F281" i="48"/>
  <c r="J280" i="48"/>
  <c r="F280" i="48"/>
  <c r="J278" i="48"/>
  <c r="J276" i="48"/>
  <c r="F276" i="48"/>
  <c r="F275" i="48"/>
  <c r="J274" i="48"/>
  <c r="K274" i="48" s="1"/>
  <c r="J273" i="48"/>
  <c r="F273" i="48"/>
  <c r="K273" i="48" s="1"/>
  <c r="D271" i="48"/>
  <c r="F271" i="48" s="1"/>
  <c r="F270" i="48"/>
  <c r="F269" i="48"/>
  <c r="J268" i="48"/>
  <c r="F268" i="48"/>
  <c r="J267" i="48"/>
  <c r="F267" i="48"/>
  <c r="J266" i="48"/>
  <c r="F266" i="48"/>
  <c r="J265" i="48"/>
  <c r="F265" i="48"/>
  <c r="F264" i="48"/>
  <c r="J263" i="48"/>
  <c r="J261" i="48"/>
  <c r="F261" i="48"/>
  <c r="J260" i="48"/>
  <c r="F260" i="48"/>
  <c r="J259" i="48"/>
  <c r="K259" i="48" s="1"/>
  <c r="F258" i="48"/>
  <c r="F256" i="48"/>
  <c r="F255" i="48"/>
  <c r="J253" i="48"/>
  <c r="F253" i="48"/>
  <c r="F252" i="48"/>
  <c r="J251" i="48"/>
  <c r="F251" i="48"/>
  <c r="J250" i="48"/>
  <c r="K250" i="48" s="1"/>
  <c r="J249" i="48"/>
  <c r="F249" i="48"/>
  <c r="J248" i="48"/>
  <c r="K248" i="48" s="1"/>
  <c r="J247" i="48"/>
  <c r="F247" i="48"/>
  <c r="F246" i="48"/>
  <c r="F245" i="48"/>
  <c r="F244" i="48"/>
  <c r="J243" i="48"/>
  <c r="E243" i="48"/>
  <c r="F242" i="48"/>
  <c r="F241" i="48"/>
  <c r="F240" i="48"/>
  <c r="J239" i="48"/>
  <c r="F239" i="48"/>
  <c r="F236" i="48"/>
  <c r="F235" i="48"/>
  <c r="F234" i="48"/>
  <c r="J233" i="48"/>
  <c r="F233" i="48"/>
  <c r="J232" i="48"/>
  <c r="K232" i="48" s="1"/>
  <c r="E232" i="48"/>
  <c r="F231" i="48"/>
  <c r="F230" i="48"/>
  <c r="F229" i="48"/>
  <c r="F227" i="48"/>
  <c r="D226" i="48"/>
  <c r="F225" i="48"/>
  <c r="F224" i="48"/>
  <c r="J221" i="48"/>
  <c r="J220" i="48"/>
  <c r="F220" i="48"/>
  <c r="J219" i="48"/>
  <c r="F219" i="48"/>
  <c r="J218" i="48"/>
  <c r="F218" i="48"/>
  <c r="F216" i="48"/>
  <c r="F213" i="48"/>
  <c r="J212" i="48"/>
  <c r="F211" i="48"/>
  <c r="F210" i="48"/>
  <c r="J209" i="48"/>
  <c r="F209" i="48"/>
  <c r="D208" i="48"/>
  <c r="F208" i="48" s="1"/>
  <c r="K204" i="48" s="1"/>
  <c r="F207" i="48"/>
  <c r="J204" i="48"/>
  <c r="F204" i="48"/>
  <c r="J203" i="48"/>
  <c r="F203" i="48"/>
  <c r="J202" i="48"/>
  <c r="F202" i="48"/>
  <c r="J201" i="48"/>
  <c r="F201" i="48"/>
  <c r="J200" i="48"/>
  <c r="F200" i="48"/>
  <c r="J199" i="48"/>
  <c r="K199" i="48" s="1"/>
  <c r="F197" i="48"/>
  <c r="F196" i="48"/>
  <c r="F195" i="48"/>
  <c r="J194" i="48"/>
  <c r="F194" i="48"/>
  <c r="J193" i="48"/>
  <c r="F193" i="48"/>
  <c r="F192" i="48"/>
  <c r="F191" i="48"/>
  <c r="J190" i="48"/>
  <c r="F190" i="48"/>
  <c r="J189" i="48"/>
  <c r="F189" i="48"/>
  <c r="J186" i="48"/>
  <c r="F186" i="48"/>
  <c r="F185" i="48"/>
  <c r="F184" i="48"/>
  <c r="J183" i="48"/>
  <c r="F183" i="48"/>
  <c r="J182" i="48"/>
  <c r="F182" i="48"/>
  <c r="J181" i="48"/>
  <c r="F181" i="48"/>
  <c r="D179" i="48"/>
  <c r="F178" i="48"/>
  <c r="F177" i="48"/>
  <c r="F176" i="48"/>
  <c r="F175" i="48"/>
  <c r="J174" i="48"/>
  <c r="J173" i="48"/>
  <c r="F173" i="48"/>
  <c r="F172" i="48"/>
  <c r="J171" i="48"/>
  <c r="F171" i="48"/>
  <c r="F170" i="48"/>
  <c r="J169" i="48"/>
  <c r="F169" i="48"/>
  <c r="F168" i="48"/>
  <c r="F167" i="48"/>
  <c r="F166" i="48"/>
  <c r="F165" i="48"/>
  <c r="J164" i="48"/>
  <c r="F164" i="48"/>
  <c r="J163" i="48"/>
  <c r="J158" i="48"/>
  <c r="J157" i="48"/>
  <c r="J156" i="48"/>
  <c r="F151" i="48"/>
  <c r="J150" i="48"/>
  <c r="F150" i="48"/>
  <c r="J149" i="48"/>
  <c r="F149" i="48"/>
  <c r="J148" i="48"/>
  <c r="K148" i="48" s="1"/>
  <c r="F147" i="48"/>
  <c r="F146" i="48"/>
  <c r="F145" i="48"/>
  <c r="F144" i="48"/>
  <c r="J143" i="48"/>
  <c r="F142" i="48"/>
  <c r="J141" i="48"/>
  <c r="F141" i="48"/>
  <c r="F140" i="48"/>
  <c r="J139" i="48"/>
  <c r="F139" i="48"/>
  <c r="J138" i="48"/>
  <c r="F138" i="48"/>
  <c r="F137" i="48"/>
  <c r="J136" i="48"/>
  <c r="F136" i="48"/>
  <c r="F133" i="48"/>
  <c r="J130" i="48"/>
  <c r="F130" i="48"/>
  <c r="J122" i="48"/>
  <c r="K122" i="48" s="1"/>
  <c r="F121" i="48"/>
  <c r="D120" i="48"/>
  <c r="J119" i="48"/>
  <c r="K119" i="48" s="1"/>
  <c r="J117" i="48"/>
  <c r="K117" i="48" s="1"/>
  <c r="J112" i="48"/>
  <c r="F112" i="48"/>
  <c r="J108" i="48"/>
  <c r="K108" i="48" s="1"/>
  <c r="F108" i="48"/>
  <c r="F107" i="48"/>
  <c r="J106" i="48"/>
  <c r="F106" i="48"/>
  <c r="K105" i="48"/>
  <c r="E105" i="48"/>
  <c r="F104" i="48"/>
  <c r="K104" i="48" s="1"/>
  <c r="J103" i="48"/>
  <c r="F103" i="48"/>
  <c r="J102" i="48"/>
  <c r="F102" i="48"/>
  <c r="J101" i="48"/>
  <c r="F101" i="48"/>
  <c r="F98" i="48"/>
  <c r="J94" i="48"/>
  <c r="F94" i="48"/>
  <c r="J93" i="48"/>
  <c r="F93" i="48"/>
  <c r="J92" i="48"/>
  <c r="F92" i="48"/>
  <c r="K91" i="48"/>
  <c r="J90" i="48"/>
  <c r="F90" i="48"/>
  <c r="J89" i="48"/>
  <c r="F89" i="48"/>
  <c r="K88" i="48"/>
  <c r="J87" i="48"/>
  <c r="F87" i="48"/>
  <c r="F86" i="48"/>
  <c r="K86" i="48" s="1"/>
  <c r="J85" i="48"/>
  <c r="F85" i="48"/>
  <c r="J84" i="48"/>
  <c r="J83" i="48"/>
  <c r="F83" i="48"/>
  <c r="J82" i="48"/>
  <c r="F82" i="48"/>
  <c r="J81" i="48"/>
  <c r="K81" i="48" s="1"/>
  <c r="J79" i="48"/>
  <c r="F79" i="48"/>
  <c r="F78" i="48"/>
  <c r="F77" i="48"/>
  <c r="F76" i="48"/>
  <c r="J75" i="48"/>
  <c r="F75" i="48"/>
  <c r="J74" i="48"/>
  <c r="F74" i="48"/>
  <c r="J73" i="48"/>
  <c r="F73" i="48"/>
  <c r="J71" i="48"/>
  <c r="F71" i="48"/>
  <c r="J70" i="48"/>
  <c r="K70" i="48" s="1"/>
  <c r="J68" i="48"/>
  <c r="F68" i="48"/>
  <c r="J65" i="48"/>
  <c r="J64" i="48"/>
  <c r="F64" i="48"/>
  <c r="J63" i="48"/>
  <c r="F63" i="48"/>
  <c r="J61" i="48"/>
  <c r="F61" i="48"/>
  <c r="F58" i="48"/>
  <c r="F57" i="48"/>
  <c r="D56" i="48"/>
  <c r="F56" i="48" s="1"/>
  <c r="J53" i="48"/>
  <c r="K53" i="48" s="1"/>
  <c r="J52" i="48"/>
  <c r="K52" i="48" s="1"/>
  <c r="J51" i="48"/>
  <c r="F51" i="48"/>
  <c r="J50" i="48"/>
  <c r="F50" i="48"/>
  <c r="K50" i="48" s="1"/>
  <c r="J45" i="48"/>
  <c r="F45" i="48"/>
  <c r="F44" i="48"/>
  <c r="K42" i="48" s="1"/>
  <c r="J42" i="48"/>
  <c r="E42" i="48"/>
  <c r="J41" i="48"/>
  <c r="F41" i="48"/>
  <c r="J40" i="48"/>
  <c r="F40" i="48"/>
  <c r="J39" i="48"/>
  <c r="F39" i="48"/>
  <c r="F37" i="48"/>
  <c r="J35" i="48"/>
  <c r="F35" i="48"/>
  <c r="J33" i="48"/>
  <c r="F33" i="48"/>
  <c r="J32" i="48"/>
  <c r="F32" i="48"/>
  <c r="J30" i="48"/>
  <c r="K30" i="48" s="1"/>
  <c r="E30" i="48"/>
  <c r="F29" i="48"/>
  <c r="J28" i="48"/>
  <c r="F28" i="48"/>
  <c r="F25" i="48"/>
  <c r="F24" i="48"/>
  <c r="J23" i="48"/>
  <c r="F23" i="48"/>
  <c r="F21" i="48"/>
  <c r="J20" i="48"/>
  <c r="F20" i="48"/>
  <c r="D19" i="48"/>
  <c r="F12" i="48"/>
  <c r="K12" i="48" s="1"/>
  <c r="J11" i="48"/>
  <c r="F11" i="48"/>
  <c r="J10" i="48"/>
  <c r="F10" i="48"/>
  <c r="K10" i="48" s="1"/>
  <c r="J6" i="48"/>
  <c r="F6" i="48"/>
  <c r="J5" i="48"/>
  <c r="K5" i="48" s="1"/>
  <c r="F4" i="48"/>
  <c r="J3" i="48"/>
  <c r="F3" i="48"/>
  <c r="J2" i="48"/>
  <c r="K2" i="48" s="1"/>
  <c r="K79" i="48" l="1"/>
  <c r="K112" i="48"/>
  <c r="K200" i="48"/>
  <c r="K594" i="48"/>
  <c r="K977" i="48"/>
  <c r="K981" i="48"/>
  <c r="K986" i="48"/>
  <c r="K1006" i="48"/>
  <c r="K1251" i="48"/>
  <c r="K1274" i="48"/>
  <c r="K1295" i="48"/>
  <c r="K1327" i="48"/>
  <c r="K513" i="48"/>
  <c r="K533" i="48"/>
  <c r="K1018" i="48"/>
  <c r="K1191" i="48"/>
  <c r="K1279" i="48"/>
  <c r="K130" i="48"/>
  <c r="K182" i="48"/>
  <c r="F226" i="48"/>
  <c r="K221" i="48" s="1"/>
  <c r="K676" i="48"/>
  <c r="K1050" i="48"/>
  <c r="K1146" i="48"/>
  <c r="K1162" i="48"/>
  <c r="K1169" i="48"/>
  <c r="K1185" i="48"/>
  <c r="K1268" i="48"/>
  <c r="K1271" i="48"/>
  <c r="K1393" i="48"/>
  <c r="K57" i="48"/>
  <c r="K190" i="48"/>
  <c r="K193" i="48"/>
  <c r="K247" i="48"/>
  <c r="K287" i="48"/>
  <c r="K304" i="48"/>
  <c r="K314" i="48"/>
  <c r="K320" i="48"/>
  <c r="K332" i="48"/>
  <c r="K458" i="48"/>
  <c r="K606" i="48"/>
  <c r="K663" i="48"/>
  <c r="K762" i="48"/>
  <c r="K788" i="48"/>
  <c r="K833" i="48"/>
  <c r="K974" i="48"/>
  <c r="K1059" i="48"/>
  <c r="K1063" i="48"/>
  <c r="K1076" i="48"/>
  <c r="K1133" i="48"/>
  <c r="K1137" i="48"/>
  <c r="K1149" i="48"/>
  <c r="K1156" i="48"/>
  <c r="K1198" i="48"/>
  <c r="K1243" i="48"/>
  <c r="K1304" i="48"/>
  <c r="K1402" i="48"/>
  <c r="K1405" i="48"/>
  <c r="K1419" i="48"/>
  <c r="K84" i="48"/>
  <c r="K233" i="48"/>
  <c r="K239" i="48"/>
  <c r="K819" i="48"/>
  <c r="K1047" i="48"/>
  <c r="K1177" i="48"/>
  <c r="K1195" i="48"/>
  <c r="K1231" i="48"/>
  <c r="K74" i="48"/>
  <c r="K89" i="48"/>
  <c r="K93" i="48"/>
  <c r="K141" i="48"/>
  <c r="K150" i="48"/>
  <c r="K460" i="48"/>
  <c r="K532" i="48"/>
  <c r="K541" i="48"/>
  <c r="K549" i="48"/>
  <c r="K554" i="48"/>
  <c r="K681" i="48"/>
  <c r="K747" i="48"/>
  <c r="K830" i="48"/>
  <c r="K834" i="48"/>
  <c r="K881" i="48"/>
  <c r="K987" i="48"/>
  <c r="K989" i="48"/>
  <c r="K993" i="48"/>
  <c r="K1004" i="48"/>
  <c r="K1009" i="48"/>
  <c r="K1052" i="48"/>
  <c r="K1065" i="48"/>
  <c r="K1130" i="48"/>
  <c r="K1197" i="48"/>
  <c r="K1214" i="48"/>
  <c r="K1272" i="48"/>
  <c r="K1282" i="48"/>
  <c r="K1306" i="48"/>
  <c r="K1366" i="48"/>
  <c r="K1411" i="48"/>
  <c r="K201" i="48"/>
  <c r="K169" i="48"/>
  <c r="K340" i="48"/>
  <c r="K590" i="48"/>
  <c r="K809" i="48"/>
  <c r="K811" i="48"/>
  <c r="K1032" i="48"/>
  <c r="K1044" i="48"/>
  <c r="K1046" i="48"/>
  <c r="K1051" i="48"/>
  <c r="K1112" i="48"/>
  <c r="K1131" i="48"/>
  <c r="K1329" i="48"/>
  <c r="K1384" i="48"/>
  <c r="K1441" i="48"/>
  <c r="K41" i="48"/>
  <c r="K68" i="48"/>
  <c r="K312" i="48"/>
  <c r="K661" i="48"/>
  <c r="K690" i="48"/>
  <c r="K900" i="48"/>
  <c r="F902" i="48"/>
  <c r="K1168" i="48"/>
  <c r="K1241" i="48"/>
  <c r="K1290" i="48"/>
  <c r="K1301" i="48"/>
  <c r="K90" i="48"/>
  <c r="K94" i="48"/>
  <c r="K102" i="48"/>
  <c r="K149" i="48"/>
  <c r="K356" i="48"/>
  <c r="K374" i="48"/>
  <c r="K386" i="48"/>
  <c r="K401" i="48"/>
  <c r="K539" i="48"/>
  <c r="F561" i="48"/>
  <c r="D569" i="48"/>
  <c r="D571" i="48" s="1"/>
  <c r="K576" i="48"/>
  <c r="K580" i="48"/>
  <c r="K586" i="48"/>
  <c r="K646" i="48"/>
  <c r="K658" i="48"/>
  <c r="K796" i="48"/>
  <c r="K812" i="48"/>
  <c r="K998" i="48"/>
  <c r="K1148" i="48"/>
  <c r="K1223" i="48"/>
  <c r="K1388" i="48"/>
  <c r="K261" i="48"/>
  <c r="K751" i="48"/>
  <c r="K838" i="48"/>
  <c r="K875" i="48"/>
  <c r="K1001" i="48"/>
  <c r="K1203" i="48"/>
  <c r="K1258" i="48"/>
  <c r="K1380" i="48"/>
  <c r="F642" i="48"/>
  <c r="D643" i="48"/>
  <c r="F643" i="48" s="1"/>
  <c r="K3" i="48"/>
  <c r="K51" i="48"/>
  <c r="K83" i="48"/>
  <c r="K139" i="48"/>
  <c r="F179" i="48"/>
  <c r="K253" i="48"/>
  <c r="K286" i="48"/>
  <c r="K347" i="48"/>
  <c r="K355" i="48"/>
  <c r="K363" i="48"/>
  <c r="K441" i="48"/>
  <c r="K489" i="48"/>
  <c r="K511" i="48"/>
  <c r="K550" i="48"/>
  <c r="K555" i="48"/>
  <c r="K657" i="48"/>
  <c r="K675" i="48"/>
  <c r="K975" i="48"/>
  <c r="K1114" i="48"/>
  <c r="K11" i="48"/>
  <c r="K32" i="48"/>
  <c r="K40" i="48"/>
  <c r="K65" i="48"/>
  <c r="K75" i="48"/>
  <c r="K455" i="48"/>
  <c r="K807" i="48"/>
  <c r="K805" i="48"/>
  <c r="K73" i="48"/>
  <c r="K23" i="48"/>
  <c r="K39" i="48"/>
  <c r="K63" i="48"/>
  <c r="K71" i="48"/>
  <c r="K101" i="48"/>
  <c r="K103" i="48"/>
  <c r="K138" i="48"/>
  <c r="K164" i="48"/>
  <c r="K337" i="48"/>
  <c r="K476" i="48"/>
  <c r="K595" i="48"/>
  <c r="K599" i="48"/>
  <c r="K745" i="48"/>
  <c r="K760" i="48"/>
  <c r="K764" i="48"/>
  <c r="K825" i="48"/>
  <c r="K853" i="48"/>
  <c r="K861" i="48"/>
  <c r="K876" i="48"/>
  <c r="K1090" i="48"/>
  <c r="K999" i="48"/>
  <c r="K1034" i="48"/>
  <c r="K1078" i="48"/>
  <c r="K1103" i="48"/>
  <c r="K1194" i="48"/>
  <c r="K1230" i="48"/>
  <c r="K1239" i="48"/>
  <c r="K1288" i="48"/>
  <c r="K1332" i="48"/>
  <c r="K1365" i="48"/>
  <c r="K1425" i="48"/>
  <c r="K1455" i="48"/>
  <c r="K181" i="48"/>
  <c r="K186" i="48"/>
  <c r="K195" i="48"/>
  <c r="K203" i="48"/>
  <c r="K218" i="48"/>
  <c r="K219" i="48"/>
  <c r="K227" i="48"/>
  <c r="K267" i="48"/>
  <c r="K276" i="48"/>
  <c r="K293" i="48"/>
  <c r="K317" i="48"/>
  <c r="K321" i="48"/>
  <c r="K343" i="48"/>
  <c r="K354" i="48"/>
  <c r="K361" i="48"/>
  <c r="K368" i="48"/>
  <c r="K391" i="48"/>
  <c r="K407" i="48"/>
  <c r="K439" i="48"/>
  <c r="K446" i="48"/>
  <c r="K463" i="48"/>
  <c r="K495" i="48"/>
  <c r="K498" i="48"/>
  <c r="K500" i="48"/>
  <c r="K504" i="48"/>
  <c r="K545" i="48"/>
  <c r="K556" i="48"/>
  <c r="K564" i="48"/>
  <c r="K572" i="48"/>
  <c r="K581" i="48"/>
  <c r="K585" i="48"/>
  <c r="K596" i="48"/>
  <c r="K648" i="48"/>
  <c r="K746" i="48"/>
  <c r="K769" i="48"/>
  <c r="K786" i="48"/>
  <c r="K802" i="48"/>
  <c r="K831" i="48"/>
  <c r="K837" i="48"/>
  <c r="F868" i="48"/>
  <c r="K868" i="48" s="1"/>
  <c r="K879" i="48"/>
  <c r="K925" i="48"/>
  <c r="K985" i="48"/>
  <c r="K1007" i="48"/>
  <c r="K1107" i="48"/>
  <c r="K1120" i="48"/>
  <c r="K1140" i="48"/>
  <c r="K1189" i="48"/>
  <c r="K1219" i="48"/>
  <c r="K1222" i="48"/>
  <c r="K1237" i="48"/>
  <c r="K1349" i="48"/>
  <c r="K1356" i="48"/>
  <c r="K1358" i="48"/>
  <c r="K1363" i="48"/>
  <c r="K1368" i="48"/>
  <c r="K1424" i="48"/>
  <c r="K243" i="48"/>
  <c r="K260" i="48"/>
  <c r="K266" i="48"/>
  <c r="K307" i="48"/>
  <c r="K309" i="48"/>
  <c r="K341" i="48"/>
  <c r="K353" i="48"/>
  <c r="K365" i="48"/>
  <c r="K375" i="48"/>
  <c r="K389" i="48"/>
  <c r="K437" i="48"/>
  <c r="K450" i="48"/>
  <c r="K461" i="48"/>
  <c r="K475" i="48"/>
  <c r="K479" i="48"/>
  <c r="K482" i="48"/>
  <c r="K492" i="48"/>
  <c r="K496" i="48"/>
  <c r="K505" i="48"/>
  <c r="K605" i="48"/>
  <c r="K850" i="48"/>
  <c r="K860" i="48"/>
  <c r="K874" i="48"/>
  <c r="F928" i="48"/>
  <c r="K979" i="48"/>
  <c r="K984" i="48"/>
  <c r="K988" i="48"/>
  <c r="K1008" i="48"/>
  <c r="K1028" i="48"/>
  <c r="K1033" i="48"/>
  <c r="K1099" i="48"/>
  <c r="K1105" i="48"/>
  <c r="K1157" i="48"/>
  <c r="K1161" i="48"/>
  <c r="K1188" i="48"/>
  <c r="K1202" i="48"/>
  <c r="K1204" i="48"/>
  <c r="K1207" i="48"/>
  <c r="K1253" i="48"/>
  <c r="K1292" i="48"/>
  <c r="K1298" i="48"/>
  <c r="K1300" i="48"/>
  <c r="K1302" i="48"/>
  <c r="K1305" i="48"/>
  <c r="K1319" i="48"/>
  <c r="K1331" i="48"/>
  <c r="K1354" i="48"/>
  <c r="K1369" i="48"/>
  <c r="K1383" i="48"/>
  <c r="K1389" i="48"/>
  <c r="K1458" i="48"/>
  <c r="K1447" i="48"/>
  <c r="K1428" i="48"/>
  <c r="K1415" i="48"/>
  <c r="K1409" i="48"/>
  <c r="K1407" i="48"/>
  <c r="K1399" i="48"/>
  <c r="K1394" i="48"/>
  <c r="K1385" i="48"/>
  <c r="K1372" i="48"/>
  <c r="K1371" i="48"/>
  <c r="K1367" i="48"/>
  <c r="K1357" i="48"/>
  <c r="K1362" i="48"/>
  <c r="K1360" i="48"/>
  <c r="K1320" i="48"/>
  <c r="K1297" i="48"/>
  <c r="K1303" i="48"/>
  <c r="K1291" i="48"/>
  <c r="K1284" i="48"/>
  <c r="K1273" i="48"/>
  <c r="K1269" i="48"/>
  <c r="K1259" i="48"/>
  <c r="K1262" i="48"/>
  <c r="K1247" i="48"/>
  <c r="K1215" i="48"/>
  <c r="K1217" i="48"/>
  <c r="K1224" i="48"/>
  <c r="K1211" i="48"/>
  <c r="K1199" i="48"/>
  <c r="K1201" i="48"/>
  <c r="K1205" i="48"/>
  <c r="K1196" i="48"/>
  <c r="K1208" i="48"/>
  <c r="K1210" i="48"/>
  <c r="K1192" i="48"/>
  <c r="K1170" i="48"/>
  <c r="K1171" i="48"/>
  <c r="K1173" i="48"/>
  <c r="K1154" i="48"/>
  <c r="K1159" i="48"/>
  <c r="K1138" i="48"/>
  <c r="K1121" i="48"/>
  <c r="K1109" i="48"/>
  <c r="K1089" i="48"/>
  <c r="K1077" i="48"/>
  <c r="K1079" i="48"/>
  <c r="K1086" i="48"/>
  <c r="K1056" i="48"/>
  <c r="K1042" i="48"/>
  <c r="K1049" i="48"/>
  <c r="K1053" i="48"/>
  <c r="K1025" i="48"/>
  <c r="K1030" i="48"/>
  <c r="K1027" i="48"/>
  <c r="K1019" i="48"/>
  <c r="K1005" i="48"/>
  <c r="K1013" i="48"/>
  <c r="K1002" i="48"/>
  <c r="K995" i="48"/>
  <c r="K982" i="48"/>
  <c r="K978" i="48"/>
  <c r="K913" i="48"/>
  <c r="K892" i="48"/>
  <c r="K880" i="48"/>
  <c r="K887" i="48"/>
  <c r="K852" i="48"/>
  <c r="K847" i="48"/>
  <c r="K836" i="48"/>
  <c r="K800" i="48"/>
  <c r="K761" i="48"/>
  <c r="K765" i="48"/>
  <c r="K752" i="48"/>
  <c r="K753" i="48"/>
  <c r="K687" i="48"/>
  <c r="K654" i="48"/>
  <c r="K656" i="48"/>
  <c r="K643" i="48"/>
  <c r="K649" i="48"/>
  <c r="K598" i="48"/>
  <c r="K604" i="48"/>
  <c r="K591" i="48"/>
  <c r="K575" i="48"/>
  <c r="K579" i="48"/>
  <c r="K551" i="48"/>
  <c r="K536" i="48"/>
  <c r="K517" i="48"/>
  <c r="K502" i="48"/>
  <c r="K506" i="48"/>
  <c r="K501" i="48"/>
  <c r="K509" i="48"/>
  <c r="K477" i="48"/>
  <c r="K467" i="48"/>
  <c r="K454" i="48"/>
  <c r="K459" i="48"/>
  <c r="K465" i="48"/>
  <c r="K435" i="48"/>
  <c r="K400" i="48"/>
  <c r="K402" i="48"/>
  <c r="K408" i="48"/>
  <c r="K413" i="48"/>
  <c r="K405" i="48"/>
  <c r="K403" i="48"/>
  <c r="K385" i="48"/>
  <c r="K369" i="48"/>
  <c r="K362" i="48"/>
  <c r="K333" i="48"/>
  <c r="K328" i="48"/>
  <c r="K318" i="48"/>
  <c r="K302" i="48"/>
  <c r="K310" i="48"/>
  <c r="K297" i="48"/>
  <c r="K291" i="48"/>
  <c r="K265" i="48"/>
  <c r="K249" i="48"/>
  <c r="K251" i="48"/>
  <c r="K220" i="48"/>
  <c r="K189" i="48"/>
  <c r="K194" i="48"/>
  <c r="K202" i="48"/>
  <c r="K174" i="48"/>
  <c r="K173" i="48"/>
  <c r="K183" i="48"/>
  <c r="K106" i="48"/>
  <c r="K92" i="48"/>
  <c r="K87" i="48"/>
  <c r="K82" i="48"/>
  <c r="K85" i="48"/>
  <c r="K61" i="48"/>
  <c r="K45" i="48"/>
  <c r="K35" i="48"/>
  <c r="K6" i="48"/>
  <c r="K345" i="48"/>
  <c r="K352" i="48"/>
  <c r="K351" i="48"/>
  <c r="K457" i="48"/>
  <c r="K411" i="48"/>
  <c r="K469" i="48"/>
  <c r="K525" i="48"/>
  <c r="D706" i="48"/>
  <c r="D711" i="48" s="1"/>
  <c r="D714" i="48" s="1"/>
  <c r="D716" i="48" s="1"/>
  <c r="D721" i="48" s="1"/>
  <c r="D732" i="48" s="1"/>
  <c r="D735" i="48" s="1"/>
  <c r="F735" i="48" s="1"/>
  <c r="K735" i="48" s="1"/>
  <c r="F705" i="48"/>
  <c r="F706" i="48" s="1"/>
  <c r="F711" i="48" s="1"/>
  <c r="F714" i="48" s="1"/>
  <c r="F716" i="48" s="1"/>
  <c r="F721" i="48" s="1"/>
  <c r="K795" i="48"/>
  <c r="K503" i="48"/>
  <c r="K348" i="48"/>
  <c r="K388" i="48"/>
  <c r="K447" i="48"/>
  <c r="K1152" i="48"/>
  <c r="J246" i="48"/>
  <c r="K246" i="48" s="1"/>
  <c r="K285" i="48"/>
  <c r="K300" i="48"/>
  <c r="K311" i="48"/>
  <c r="K359" i="48"/>
  <c r="K404" i="48"/>
  <c r="K406" i="48"/>
  <c r="K432" i="48"/>
  <c r="K433" i="48"/>
  <c r="K438" i="48"/>
  <c r="K464" i="48"/>
  <c r="K474" i="48"/>
  <c r="K484" i="48"/>
  <c r="K542" i="48"/>
  <c r="K592" i="48"/>
  <c r="K600" i="48"/>
  <c r="K607" i="48"/>
  <c r="K652" i="48"/>
  <c r="K688" i="48"/>
  <c r="K766" i="48"/>
  <c r="K791" i="48"/>
  <c r="K894" i="48"/>
  <c r="D910" i="48"/>
  <c r="F910" i="48" s="1"/>
  <c r="F907" i="48"/>
  <c r="K1075" i="48"/>
  <c r="K1094" i="48"/>
  <c r="K1095" i="48"/>
  <c r="K890" i="48"/>
  <c r="K898" i="48"/>
  <c r="K980" i="48"/>
  <c r="K1020" i="48"/>
  <c r="K1043" i="48"/>
  <c r="K1054" i="48"/>
  <c r="K1108" i="48"/>
  <c r="K1160" i="48"/>
  <c r="K1218" i="48"/>
  <c r="K1227" i="48"/>
  <c r="K1379" i="48"/>
  <c r="K896" i="48"/>
  <c r="K911" i="48"/>
  <c r="K997" i="48"/>
  <c r="K1275" i="48"/>
  <c r="K1386" i="48"/>
  <c r="K1422" i="48"/>
  <c r="K976" i="48"/>
  <c r="K994" i="48"/>
  <c r="K1000" i="48"/>
  <c r="K1010" i="48"/>
  <c r="K1017" i="48"/>
  <c r="K1026" i="48"/>
  <c r="K1045" i="48"/>
  <c r="K1110" i="48"/>
  <c r="K1190" i="48"/>
  <c r="K1206" i="48"/>
  <c r="K1403" i="48"/>
  <c r="K922" i="48"/>
  <c r="J462" i="47"/>
  <c r="J1039" i="47"/>
  <c r="J1148" i="47"/>
  <c r="J1041" i="47"/>
  <c r="J733" i="47"/>
  <c r="J1126" i="47"/>
  <c r="D1126" i="47"/>
  <c r="F1126" i="47" s="1"/>
  <c r="J84" i="47"/>
  <c r="J1397" i="47"/>
  <c r="J1312" i="47"/>
  <c r="F1312" i="47"/>
  <c r="J629" i="47"/>
  <c r="J656" i="47"/>
  <c r="J1449" i="47"/>
  <c r="J1418" i="47"/>
  <c r="J360" i="47"/>
  <c r="J999" i="47"/>
  <c r="J50" i="47"/>
  <c r="J70" i="47"/>
  <c r="J543" i="47"/>
  <c r="J1317" i="47"/>
  <c r="J350" i="47"/>
  <c r="K1312" i="47" l="1"/>
  <c r="K1126" i="47"/>
  <c r="F569" i="48"/>
  <c r="F935" i="48"/>
  <c r="F937" i="48" s="1"/>
  <c r="F939" i="48" s="1"/>
  <c r="F931" i="48"/>
  <c r="F933" i="48" s="1"/>
  <c r="K722" i="48"/>
  <c r="F732" i="48"/>
  <c r="K732" i="48" s="1"/>
  <c r="F257" i="47"/>
  <c r="F274" i="47"/>
  <c r="F943" i="48" l="1"/>
  <c r="K938" i="48"/>
  <c r="J369" i="47"/>
  <c r="K369" i="47" s="1"/>
  <c r="J1030" i="47"/>
  <c r="J1130" i="47"/>
  <c r="J455" i="47"/>
  <c r="J75" i="47"/>
  <c r="J992" i="47"/>
  <c r="J1015" i="47"/>
  <c r="J404" i="47"/>
  <c r="J218" i="47"/>
  <c r="J740" i="47"/>
  <c r="K740" i="47" s="1"/>
  <c r="J1190" i="47"/>
  <c r="J113" i="47"/>
  <c r="J641" i="47"/>
  <c r="J286" i="47"/>
  <c r="J99" i="47"/>
  <c r="J571" i="47"/>
  <c r="J1106" i="47"/>
  <c r="J298" i="47"/>
  <c r="K298" i="47" s="1"/>
  <c r="J871" i="47"/>
  <c r="J164" i="47"/>
  <c r="J1137" i="47"/>
  <c r="F1278" i="47"/>
  <c r="K1279" i="47" s="1"/>
  <c r="J1279" i="47"/>
  <c r="J1222" i="47"/>
  <c r="F1222" i="47"/>
  <c r="J1027" i="47"/>
  <c r="F1028" i="47"/>
  <c r="F1027" i="47"/>
  <c r="J1300" i="47"/>
  <c r="J1500" i="47"/>
  <c r="J1202" i="47"/>
  <c r="J1024" i="47"/>
  <c r="F741" i="47"/>
  <c r="J1186" i="47"/>
  <c r="F1498" i="47"/>
  <c r="J374" i="47"/>
  <c r="K374" i="47" s="1"/>
  <c r="J628" i="47"/>
  <c r="J451" i="47"/>
  <c r="K451" i="47" s="1"/>
  <c r="J1315" i="47"/>
  <c r="J594" i="47"/>
  <c r="J600" i="47"/>
  <c r="K600" i="47" s="1"/>
  <c r="J448" i="47"/>
  <c r="J846" i="47"/>
  <c r="J1361" i="47"/>
  <c r="J402" i="47"/>
  <c r="F1497" i="47"/>
  <c r="F1496" i="47"/>
  <c r="F581" i="47"/>
  <c r="J458" i="47"/>
  <c r="J1494" i="47"/>
  <c r="J603" i="47"/>
  <c r="J748" i="47"/>
  <c r="K748" i="47" s="1"/>
  <c r="J453" i="47"/>
  <c r="J1248" i="47"/>
  <c r="J457" i="47"/>
  <c r="J412" i="47"/>
  <c r="J627" i="47"/>
  <c r="J1389" i="47"/>
  <c r="K944" i="48" l="1"/>
  <c r="F949" i="48"/>
  <c r="K949" i="48" s="1"/>
  <c r="K951" i="48" s="1"/>
  <c r="K1222" i="47"/>
  <c r="K1027" i="47"/>
  <c r="J399" i="47"/>
  <c r="J1195" i="47"/>
  <c r="K1195" i="47" s="1"/>
  <c r="J1384" i="47"/>
  <c r="F460" i="47"/>
  <c r="J460" i="47"/>
  <c r="F1490" i="47"/>
  <c r="J1489" i="47"/>
  <c r="J442" i="47"/>
  <c r="K442" i="47" s="1"/>
  <c r="J1226" i="47"/>
  <c r="J1047" i="47"/>
  <c r="J1043" i="47"/>
  <c r="J51" i="47"/>
  <c r="J1269" i="47"/>
  <c r="J1270" i="47"/>
  <c r="J445" i="47"/>
  <c r="K460" i="47" l="1"/>
  <c r="J343" i="47"/>
  <c r="J386" i="47"/>
  <c r="J436" i="47"/>
  <c r="J1293" i="47"/>
  <c r="J384" i="47"/>
  <c r="J1144" i="47" l="1"/>
  <c r="J1104" i="47"/>
  <c r="J1380" i="47"/>
  <c r="J1358" i="47"/>
  <c r="J1198" i="47"/>
  <c r="J406" i="47"/>
  <c r="J849" i="47"/>
  <c r="J605" i="47"/>
  <c r="J598" i="47"/>
  <c r="J587" i="47"/>
  <c r="J588" i="47"/>
  <c r="F78" i="47"/>
  <c r="J1218" i="47"/>
  <c r="J45" i="47" l="1"/>
  <c r="J172" i="47"/>
  <c r="J1091" i="47"/>
  <c r="J745" i="47"/>
  <c r="J20" i="47"/>
  <c r="J1378" i="47"/>
  <c r="J1295" i="47"/>
  <c r="J1184" i="47"/>
  <c r="J434" i="47"/>
  <c r="K434" i="47" s="1"/>
  <c r="J761" i="47"/>
  <c r="F761" i="47"/>
  <c r="J1187" i="47"/>
  <c r="J242" i="47"/>
  <c r="J439" i="47"/>
  <c r="F440" i="47"/>
  <c r="F439" i="47"/>
  <c r="J339" i="47"/>
  <c r="J980" i="47"/>
  <c r="J353" i="47"/>
  <c r="J893" i="47"/>
  <c r="K761" i="47" l="1"/>
  <c r="K439" i="47"/>
  <c r="J431" i="47"/>
  <c r="J1058" i="47"/>
  <c r="J1055" i="47"/>
  <c r="J501" i="47"/>
  <c r="J53" i="47"/>
  <c r="K53" i="47" s="1"/>
  <c r="J1002" i="47"/>
  <c r="J1375" i="47"/>
  <c r="J996" i="47"/>
  <c r="J1172" i="47"/>
  <c r="J6" i="47"/>
  <c r="F1488" i="47"/>
  <c r="J1476" i="47" l="1"/>
  <c r="J1344" i="47"/>
  <c r="J1298" i="47"/>
  <c r="J1010" i="47"/>
  <c r="J73" i="47"/>
  <c r="J884" i="47"/>
  <c r="J1180" i="47"/>
  <c r="J1356" i="47"/>
  <c r="K1356" i="47" s="1"/>
  <c r="J1322" i="47"/>
  <c r="J644" i="47"/>
  <c r="J294" i="47"/>
  <c r="J822" i="47"/>
  <c r="J1169" i="47"/>
  <c r="J346" i="47" l="1"/>
  <c r="J1297" i="47"/>
  <c r="F1483" i="47"/>
  <c r="J391" i="47"/>
  <c r="F1482" i="47"/>
  <c r="J1242" i="47"/>
  <c r="J212" i="47"/>
  <c r="J1362" i="47"/>
  <c r="F37" i="47"/>
  <c r="J584" i="47"/>
  <c r="J61" i="47"/>
  <c r="J1085" i="47"/>
  <c r="F1085" i="47"/>
  <c r="J300" i="47"/>
  <c r="K1085" i="47" l="1"/>
  <c r="F148" i="47"/>
  <c r="F21" i="47"/>
  <c r="F632" i="47"/>
  <c r="J277" i="47"/>
  <c r="J1210" i="47"/>
  <c r="J65" i="47"/>
  <c r="J367" i="47"/>
  <c r="J1364" i="47"/>
  <c r="F113" i="47"/>
  <c r="J109" i="47"/>
  <c r="J1111" i="47"/>
  <c r="K1111" i="47" s="1"/>
  <c r="J1424" i="47"/>
  <c r="K1424" i="47" s="1"/>
  <c r="J1477" i="47"/>
  <c r="J634" i="47"/>
  <c r="D640" i="47"/>
  <c r="F639" i="47"/>
  <c r="F1230" i="47"/>
  <c r="F1229" i="47"/>
  <c r="F1228" i="47"/>
  <c r="J1441" i="47"/>
  <c r="J763" i="47"/>
  <c r="F188" i="46"/>
  <c r="F185" i="46"/>
  <c r="J1017" i="47"/>
  <c r="J507" i="47"/>
  <c r="J477" i="47"/>
  <c r="F225" i="46"/>
  <c r="F1481" i="47"/>
  <c r="F1289" i="47"/>
  <c r="F640" i="47" l="1"/>
  <c r="D641" i="47"/>
  <c r="F641" i="47" s="1"/>
  <c r="K641" i="47" s="1"/>
  <c r="K113" i="47"/>
  <c r="J505" i="47"/>
  <c r="J1413" i="47"/>
  <c r="J677" i="47"/>
  <c r="J1403" i="47"/>
  <c r="F1402" i="47"/>
  <c r="J1353" i="47"/>
  <c r="J381" i="47"/>
  <c r="F1344" i="47"/>
  <c r="K1344" i="47" s="1"/>
  <c r="J313" i="47"/>
  <c r="F1412" i="47"/>
  <c r="J380" i="47"/>
  <c r="J1367" i="47"/>
  <c r="J1292" i="47"/>
  <c r="J1259" i="47"/>
  <c r="K1259" i="47" s="1"/>
  <c r="F1471" i="47"/>
  <c r="K1413" i="47" l="1"/>
  <c r="K1403" i="47"/>
  <c r="F807" i="47"/>
  <c r="J329" i="47"/>
  <c r="J1435" i="47"/>
  <c r="F1256" i="47"/>
  <c r="J1153" i="47"/>
  <c r="J379" i="47"/>
  <c r="J1250" i="47"/>
  <c r="J303" i="47"/>
  <c r="F58" i="47" l="1"/>
  <c r="D56" i="47"/>
  <c r="F56" i="47" s="1"/>
  <c r="J378" i="47"/>
  <c r="J974" i="47"/>
  <c r="J1422" i="47"/>
  <c r="J1419" i="47"/>
  <c r="J292" i="47"/>
  <c r="J498" i="47"/>
  <c r="J841" i="47"/>
  <c r="F1465" i="47" l="1"/>
  <c r="F1454" i="47"/>
  <c r="J1401" i="47"/>
  <c r="J1326" i="47"/>
  <c r="J554" i="47"/>
  <c r="K109" i="47" l="1"/>
  <c r="J689" i="47"/>
  <c r="J175" i="47"/>
  <c r="J159" i="47"/>
  <c r="J1399" i="47"/>
  <c r="J23" i="47"/>
  <c r="J663" i="47"/>
  <c r="J865" i="47"/>
  <c r="J480" i="47"/>
  <c r="J1349" i="47"/>
  <c r="J1369" i="47"/>
  <c r="F1464" i="47"/>
  <c r="J545" i="47" l="1"/>
  <c r="J1461" i="47"/>
  <c r="J487" i="47"/>
  <c r="D487" i="47"/>
  <c r="F487" i="47" s="1"/>
  <c r="F486" i="47"/>
  <c r="F485" i="47"/>
  <c r="J1407" i="47"/>
  <c r="J789" i="47"/>
  <c r="J35" i="47"/>
  <c r="J231" i="47"/>
  <c r="K231" i="47" s="1"/>
  <c r="J447" i="47"/>
  <c r="K447" i="47" s="1"/>
  <c r="J1310" i="47"/>
  <c r="J882" i="47"/>
  <c r="J158" i="47"/>
  <c r="J157" i="47"/>
  <c r="J626" i="47"/>
  <c r="F73" i="47"/>
  <c r="K73" i="47" s="1"/>
  <c r="F1163" i="47"/>
  <c r="J1061" i="47"/>
  <c r="D208" i="47"/>
  <c r="F208" i="47" s="1"/>
  <c r="F207" i="47"/>
  <c r="J204" i="47"/>
  <c r="F70" i="47"/>
  <c r="K70" i="47" s="1"/>
  <c r="F169" i="47"/>
  <c r="J105" i="47"/>
  <c r="J123" i="47"/>
  <c r="K123" i="47" s="1"/>
  <c r="J804" i="47"/>
  <c r="J1253" i="47"/>
  <c r="J327" i="47"/>
  <c r="J328" i="47"/>
  <c r="J120" i="47"/>
  <c r="K1369" i="47"/>
  <c r="J797" i="47"/>
  <c r="K487" i="47" l="1"/>
  <c r="J881" i="47"/>
  <c r="J1409" i="47"/>
  <c r="J1327" i="47"/>
  <c r="F211" i="47"/>
  <c r="F210" i="47"/>
  <c r="J209" i="47"/>
  <c r="F209" i="47"/>
  <c r="J1277" i="47"/>
  <c r="F1277" i="47"/>
  <c r="J1416" i="47"/>
  <c r="F1019" i="46" l="1"/>
  <c r="F1460" i="47"/>
  <c r="J301" i="47"/>
  <c r="J706" i="46"/>
  <c r="J1405" i="47"/>
  <c r="J1112" i="47"/>
  <c r="K1112" i="47" s="1"/>
  <c r="J1052" i="47"/>
  <c r="J1324" i="47"/>
  <c r="J880" i="47" l="1"/>
  <c r="D1070" i="47"/>
  <c r="D19" i="47"/>
  <c r="F667" i="47"/>
  <c r="F666" i="47"/>
  <c r="F675" i="46"/>
  <c r="F674" i="46"/>
  <c r="D684" i="47"/>
  <c r="F684" i="47" s="1"/>
  <c r="F681" i="47"/>
  <c r="F683" i="47"/>
  <c r="F682" i="47"/>
  <c r="F692" i="46"/>
  <c r="F693" i="46"/>
  <c r="F691" i="46"/>
  <c r="F487" i="46"/>
  <c r="K487" i="46" s="1"/>
  <c r="F486" i="46"/>
  <c r="K486" i="46" s="1"/>
  <c r="F396" i="47"/>
  <c r="F1272" i="47" l="1"/>
  <c r="F1458" i="47"/>
  <c r="F1456" i="47"/>
  <c r="F917" i="47"/>
  <c r="F843" i="47"/>
  <c r="F771" i="46"/>
  <c r="F763" i="47"/>
  <c r="K763" i="47" s="1"/>
  <c r="F1453" i="47" l="1"/>
  <c r="J1326" i="46"/>
  <c r="J1300" i="46"/>
  <c r="J1141" i="47"/>
  <c r="K1141" i="47" s="1"/>
  <c r="K1250" i="47"/>
  <c r="J995" i="47"/>
  <c r="J1219" i="47"/>
  <c r="F152" i="46"/>
  <c r="F147" i="47"/>
  <c r="F522" i="47"/>
  <c r="B38" i="23"/>
  <c r="D37" i="23"/>
  <c r="E37" i="23" s="1"/>
  <c r="B37" i="23"/>
  <c r="J1388" i="47"/>
  <c r="J1396" i="47"/>
  <c r="J217" i="47"/>
  <c r="J1394" i="47"/>
  <c r="K1394" i="47" s="1"/>
  <c r="J1014" i="47"/>
  <c r="J1299" i="47"/>
  <c r="J1379" i="47"/>
  <c r="F818" i="47" l="1"/>
  <c r="F25" i="47" l="1"/>
  <c r="J398" i="47" l="1"/>
  <c r="J997" i="47"/>
  <c r="J1357" i="47"/>
  <c r="J1360" i="47"/>
  <c r="J1268" i="47"/>
  <c r="J1383" i="47"/>
  <c r="F1219" i="47" l="1"/>
  <c r="K1219" i="47" s="1"/>
  <c r="F1206" i="47"/>
  <c r="F1055" i="47"/>
  <c r="K1055" i="47" s="1"/>
  <c r="F906" i="46"/>
  <c r="F898" i="47"/>
  <c r="F900" i="47"/>
  <c r="F901" i="47"/>
  <c r="F902" i="47"/>
  <c r="F903" i="47"/>
  <c r="F909" i="46"/>
  <c r="F910" i="46"/>
  <c r="F911" i="46"/>
  <c r="F908" i="46"/>
  <c r="F894" i="47"/>
  <c r="F893" i="47"/>
  <c r="J875" i="47"/>
  <c r="F822" i="47"/>
  <c r="F662" i="47"/>
  <c r="F663" i="47"/>
  <c r="K661" i="47" s="1"/>
  <c r="F634" i="47"/>
  <c r="K634" i="47" s="1"/>
  <c r="F595" i="47"/>
  <c r="F592" i="47"/>
  <c r="K893" i="47" l="1"/>
  <c r="F584" i="47"/>
  <c r="K584" i="47" s="1"/>
  <c r="F554" i="47"/>
  <c r="K554" i="47" s="1"/>
  <c r="F548" i="47"/>
  <c r="F446" i="47"/>
  <c r="K448" i="47" s="1"/>
  <c r="F435" i="47"/>
  <c r="K436" i="47" s="1"/>
  <c r="F398" i="47"/>
  <c r="K399" i="47" s="1"/>
  <c r="F347" i="47"/>
  <c r="F348" i="47"/>
  <c r="F299" i="47"/>
  <c r="K446" i="47" l="1"/>
  <c r="F248" i="46"/>
  <c r="F217" i="47"/>
  <c r="K217" i="47" s="1"/>
  <c r="F204" i="47"/>
  <c r="F139" i="47"/>
  <c r="F138" i="47"/>
  <c r="F141" i="46"/>
  <c r="F134" i="47"/>
  <c r="F137" i="46"/>
  <c r="F86" i="47"/>
  <c r="K86" i="47" s="1"/>
  <c r="F75" i="46"/>
  <c r="J64" i="47"/>
  <c r="F63" i="47"/>
  <c r="F23" i="47"/>
  <c r="F6" i="47"/>
  <c r="J1451" i="47"/>
  <c r="F1451" i="47"/>
  <c r="J1450" i="47"/>
  <c r="F1448" i="47"/>
  <c r="K1449" i="47" s="1"/>
  <c r="F1447" i="47"/>
  <c r="F1445" i="47"/>
  <c r="J1443" i="47"/>
  <c r="J1442" i="47"/>
  <c r="F1439" i="47"/>
  <c r="K1441" i="47" s="1"/>
  <c r="F1435" i="47"/>
  <c r="K1435" i="47" s="1"/>
  <c r="F1434" i="47"/>
  <c r="F1433" i="47"/>
  <c r="F1430" i="47"/>
  <c r="F1427" i="47"/>
  <c r="F1426" i="47"/>
  <c r="F1425" i="47"/>
  <c r="E1423" i="47"/>
  <c r="F1420" i="47"/>
  <c r="K1422" i="47" s="1"/>
  <c r="F1419" i="47"/>
  <c r="K1419" i="47" s="1"/>
  <c r="F1418" i="47"/>
  <c r="K1418" i="47" s="1"/>
  <c r="F1417" i="47"/>
  <c r="F1416" i="47"/>
  <c r="J1411" i="47"/>
  <c r="F1408" i="47"/>
  <c r="K1409" i="47" s="1"/>
  <c r="F1406" i="47"/>
  <c r="F1404" i="47"/>
  <c r="K1405" i="47" s="1"/>
  <c r="F1400" i="47"/>
  <c r="K1401" i="47" s="1"/>
  <c r="F1398" i="47"/>
  <c r="K1399" i="47" s="1"/>
  <c r="F1396" i="47"/>
  <c r="J1393" i="47"/>
  <c r="F1393" i="47"/>
  <c r="F1390" i="47"/>
  <c r="F1388" i="47"/>
  <c r="J1386" i="47"/>
  <c r="K1386" i="47" s="1"/>
  <c r="F1385" i="47"/>
  <c r="F1383" i="47"/>
  <c r="J1381" i="47"/>
  <c r="F1381" i="47"/>
  <c r="F1379" i="47"/>
  <c r="F1378" i="47"/>
  <c r="K1378" i="47" s="1"/>
  <c r="F1377" i="47"/>
  <c r="F1375" i="47"/>
  <c r="J1374" i="47"/>
  <c r="F1374" i="47"/>
  <c r="F1373" i="47"/>
  <c r="F1372" i="47"/>
  <c r="F1368" i="47"/>
  <c r="F1367" i="47"/>
  <c r="K1367" i="47" s="1"/>
  <c r="J1366" i="47"/>
  <c r="F1366" i="47"/>
  <c r="F1365" i="47"/>
  <c r="F1364" i="47"/>
  <c r="K1364" i="47" s="1"/>
  <c r="J1363" i="47"/>
  <c r="F1363" i="47"/>
  <c r="F1362" i="47"/>
  <c r="K1362" i="47" s="1"/>
  <c r="F1360" i="47"/>
  <c r="F1359" i="47"/>
  <c r="F1357" i="47"/>
  <c r="J1355" i="47"/>
  <c r="F1355" i="47"/>
  <c r="F1354" i="47"/>
  <c r="F1353" i="47"/>
  <c r="J1352" i="47"/>
  <c r="F1352" i="47"/>
  <c r="J1351" i="47"/>
  <c r="F1351" i="47"/>
  <c r="F1350" i="47"/>
  <c r="F1349" i="47"/>
  <c r="K1349" i="47" s="1"/>
  <c r="J1348" i="47"/>
  <c r="K1348" i="47" s="1"/>
  <c r="F1347" i="47"/>
  <c r="D1343" i="47"/>
  <c r="F1343" i="47" s="1"/>
  <c r="J1330" i="47"/>
  <c r="F1329" i="47"/>
  <c r="J1328" i="47"/>
  <c r="K1328" i="47" s="1"/>
  <c r="F1327" i="47"/>
  <c r="K1327" i="47" s="1"/>
  <c r="F1326" i="47"/>
  <c r="K1326" i="47" s="1"/>
  <c r="F1325" i="47"/>
  <c r="F1324" i="47"/>
  <c r="J1323" i="47"/>
  <c r="F1323" i="47"/>
  <c r="F1322" i="47"/>
  <c r="K1322" i="47" s="1"/>
  <c r="F1316" i="47"/>
  <c r="J1314" i="47"/>
  <c r="F1314" i="47"/>
  <c r="K1315" i="47" s="1"/>
  <c r="F1309" i="47"/>
  <c r="K1310" i="47" s="1"/>
  <c r="F1308" i="47"/>
  <c r="F1307" i="47"/>
  <c r="F1306" i="47"/>
  <c r="F1305" i="47"/>
  <c r="F1304" i="47"/>
  <c r="F1303" i="47"/>
  <c r="F1302" i="47"/>
  <c r="J1301" i="47"/>
  <c r="F1301" i="47"/>
  <c r="F1299" i="47"/>
  <c r="F1298" i="47"/>
  <c r="K1298" i="47" s="1"/>
  <c r="F1297" i="47"/>
  <c r="K1297" i="47" s="1"/>
  <c r="J1296" i="47"/>
  <c r="F1296" i="47"/>
  <c r="F1295" i="47"/>
  <c r="K1295" i="47" s="1"/>
  <c r="F1294" i="47"/>
  <c r="F1293" i="47"/>
  <c r="K1293" i="47" s="1"/>
  <c r="F1292" i="47"/>
  <c r="K1292" i="47" s="1"/>
  <c r="F1291" i="47"/>
  <c r="J1290" i="47"/>
  <c r="F1290" i="47"/>
  <c r="J1287" i="47"/>
  <c r="F1287" i="47"/>
  <c r="J1286" i="47"/>
  <c r="F1286" i="47"/>
  <c r="J1285" i="47"/>
  <c r="F1285" i="47"/>
  <c r="F1284" i="47"/>
  <c r="J1283" i="47"/>
  <c r="F1283" i="47"/>
  <c r="F1282" i="47"/>
  <c r="F1281" i="47"/>
  <c r="F1280" i="47"/>
  <c r="J1274" i="47"/>
  <c r="F1274" i="47"/>
  <c r="F1271" i="47"/>
  <c r="F1270" i="47"/>
  <c r="F1268" i="47"/>
  <c r="J1267" i="47"/>
  <c r="F1267" i="47"/>
  <c r="J1266" i="47"/>
  <c r="F1266" i="47"/>
  <c r="J1264" i="47"/>
  <c r="F1264" i="47"/>
  <c r="J1263" i="47"/>
  <c r="F1262" i="47"/>
  <c r="F1261" i="47"/>
  <c r="F1260" i="47"/>
  <c r="F1258" i="47"/>
  <c r="J1257" i="47"/>
  <c r="F1257" i="47"/>
  <c r="J1255" i="47"/>
  <c r="J1254" i="47"/>
  <c r="F1254" i="47"/>
  <c r="F1253" i="47"/>
  <c r="K1253" i="47" s="1"/>
  <c r="F1252" i="47"/>
  <c r="F1248" i="47"/>
  <c r="F1247" i="47"/>
  <c r="J1246" i="47"/>
  <c r="F1246" i="47"/>
  <c r="J1244" i="47"/>
  <c r="J1243" i="47"/>
  <c r="F1242" i="47"/>
  <c r="K1242" i="47" s="1"/>
  <c r="J1240" i="47"/>
  <c r="J1239" i="47"/>
  <c r="F1239" i="47"/>
  <c r="J1238" i="47"/>
  <c r="F1238" i="47"/>
  <c r="J1237" i="47"/>
  <c r="J1236" i="47"/>
  <c r="F1236" i="47"/>
  <c r="F1235" i="47"/>
  <c r="J1234" i="47"/>
  <c r="F1234" i="47"/>
  <c r="J1233" i="47"/>
  <c r="J1232" i="47"/>
  <c r="F1232" i="47"/>
  <c r="J1227" i="47"/>
  <c r="F1227" i="47"/>
  <c r="F1226" i="47"/>
  <c r="J1225" i="47"/>
  <c r="F1225" i="47"/>
  <c r="J1217" i="47"/>
  <c r="F1217" i="47"/>
  <c r="K1218" i="47" s="1"/>
  <c r="J1216" i="47"/>
  <c r="J1215" i="47"/>
  <c r="J1214" i="47"/>
  <c r="F1214" i="47"/>
  <c r="J1213" i="47"/>
  <c r="F1213" i="47"/>
  <c r="J1212" i="47"/>
  <c r="F1212" i="47"/>
  <c r="F1210" i="47"/>
  <c r="J1209" i="47"/>
  <c r="F1209" i="47"/>
  <c r="F1208" i="47"/>
  <c r="J1207" i="47"/>
  <c r="K1207" i="47" s="1"/>
  <c r="J1206" i="47"/>
  <c r="K1206" i="47" s="1"/>
  <c r="J1205" i="47"/>
  <c r="F1205" i="47"/>
  <c r="J1204" i="47"/>
  <c r="K1204" i="47" s="1"/>
  <c r="J1203" i="47"/>
  <c r="F1203" i="47"/>
  <c r="J1201" i="47"/>
  <c r="F1201" i="47"/>
  <c r="K1202" i="47" s="1"/>
  <c r="J1200" i="47"/>
  <c r="F1200" i="47"/>
  <c r="J1199" i="47"/>
  <c r="F1199" i="47"/>
  <c r="J1197" i="47"/>
  <c r="F1197" i="47"/>
  <c r="K1198" i="47" s="1"/>
  <c r="J1196" i="47"/>
  <c r="F1196" i="47"/>
  <c r="J1194" i="47"/>
  <c r="F1194" i="47"/>
  <c r="J1193" i="47"/>
  <c r="F1193" i="47"/>
  <c r="J1192" i="47"/>
  <c r="F1192" i="47"/>
  <c r="J1191" i="47"/>
  <c r="F1191" i="47"/>
  <c r="J1189" i="47"/>
  <c r="F1189" i="47"/>
  <c r="K1190" i="47" s="1"/>
  <c r="J1188" i="47"/>
  <c r="F1188" i="47"/>
  <c r="K1188" i="47" s="1"/>
  <c r="F1187" i="47"/>
  <c r="J1185" i="47"/>
  <c r="F1185" i="47"/>
  <c r="K1186" i="47" s="1"/>
  <c r="J1183" i="47"/>
  <c r="F1183" i="47"/>
  <c r="K1184" i="47" s="1"/>
  <c r="J1182" i="47"/>
  <c r="F1182" i="47"/>
  <c r="F1181" i="47"/>
  <c r="K1180" i="47" s="1"/>
  <c r="J1178" i="47"/>
  <c r="K1178" i="47" s="1"/>
  <c r="F1178" i="47"/>
  <c r="J1176" i="47"/>
  <c r="J1175" i="47"/>
  <c r="E1175" i="47"/>
  <c r="D1174" i="47"/>
  <c r="F1174" i="47" s="1"/>
  <c r="F1173" i="47"/>
  <c r="F1172" i="47"/>
  <c r="D1171" i="47"/>
  <c r="F1171" i="47" s="1"/>
  <c r="F1170" i="47"/>
  <c r="F1169" i="47"/>
  <c r="F1168" i="47"/>
  <c r="J1167" i="47"/>
  <c r="F1167" i="47"/>
  <c r="J1166" i="47"/>
  <c r="F1166" i="47"/>
  <c r="J1165" i="47"/>
  <c r="F1165" i="47"/>
  <c r="J1164" i="47"/>
  <c r="F1164" i="47"/>
  <c r="F1160" i="47"/>
  <c r="J1159" i="47"/>
  <c r="F1159" i="47"/>
  <c r="J1158" i="47"/>
  <c r="F1158" i="47"/>
  <c r="J1157" i="47"/>
  <c r="F1157" i="47"/>
  <c r="J1156" i="47"/>
  <c r="F1156" i="47"/>
  <c r="J1155" i="47"/>
  <c r="F1155" i="47"/>
  <c r="F1154" i="47"/>
  <c r="F1153" i="47"/>
  <c r="J1152" i="47"/>
  <c r="F1152" i="47"/>
  <c r="J1151" i="47"/>
  <c r="J1150" i="47"/>
  <c r="F1150" i="47"/>
  <c r="J1147" i="47"/>
  <c r="F1147" i="47"/>
  <c r="K1148" i="47" s="1"/>
  <c r="J1145" i="47"/>
  <c r="F1145" i="47"/>
  <c r="J1143" i="47"/>
  <c r="F1143" i="47"/>
  <c r="K1144" i="47" s="1"/>
  <c r="J1142" i="47"/>
  <c r="F1142" i="47"/>
  <c r="J1140" i="47"/>
  <c r="J1139" i="47"/>
  <c r="J1138" i="47"/>
  <c r="J1136" i="47"/>
  <c r="F1136" i="47"/>
  <c r="K1137" i="47" s="1"/>
  <c r="J1134" i="47"/>
  <c r="F1134" i="47"/>
  <c r="J1133" i="47"/>
  <c r="F1133" i="47"/>
  <c r="F1131" i="47"/>
  <c r="F1130" i="47"/>
  <c r="J1129" i="47"/>
  <c r="F1129" i="47"/>
  <c r="K1130" i="47" s="1"/>
  <c r="J1128" i="47"/>
  <c r="J1127" i="47"/>
  <c r="F1127" i="47"/>
  <c r="F1125" i="47"/>
  <c r="F1124" i="47"/>
  <c r="F1123" i="47"/>
  <c r="F1122" i="47"/>
  <c r="J1121" i="47"/>
  <c r="F1121" i="47"/>
  <c r="F1118" i="47"/>
  <c r="J1117" i="47"/>
  <c r="F1117" i="47"/>
  <c r="J1116" i="47"/>
  <c r="F1116" i="47"/>
  <c r="J1110" i="47"/>
  <c r="F1110" i="47"/>
  <c r="F1109" i="47"/>
  <c r="J1108" i="47"/>
  <c r="F1108" i="47"/>
  <c r="J1105" i="47"/>
  <c r="F1105" i="47"/>
  <c r="K1106" i="47" s="1"/>
  <c r="J1103" i="47"/>
  <c r="F1103" i="47"/>
  <c r="K1104" i="47" s="1"/>
  <c r="F1102" i="47"/>
  <c r="J1101" i="47"/>
  <c r="F1101" i="47"/>
  <c r="F1100" i="47"/>
  <c r="J1099" i="47"/>
  <c r="F1099" i="47"/>
  <c r="J1098" i="47"/>
  <c r="K1098" i="47" s="1"/>
  <c r="F1097" i="47"/>
  <c r="J1096" i="47"/>
  <c r="K1096" i="47" s="1"/>
  <c r="J1095" i="47"/>
  <c r="F1095" i="47"/>
  <c r="D1094" i="47"/>
  <c r="F1093" i="47"/>
  <c r="F1092" i="47"/>
  <c r="J1090" i="47"/>
  <c r="F1090" i="47"/>
  <c r="K1091" i="47" s="1"/>
  <c r="J1087" i="47"/>
  <c r="F1087" i="47"/>
  <c r="J1086" i="47"/>
  <c r="F1086" i="47"/>
  <c r="F1084" i="47"/>
  <c r="F1083" i="47"/>
  <c r="K1083" i="47" s="1"/>
  <c r="J1082" i="47"/>
  <c r="F1082" i="47"/>
  <c r="D1080" i="47"/>
  <c r="F1079" i="47"/>
  <c r="J1077" i="47"/>
  <c r="K1077" i="47" s="1"/>
  <c r="J1076" i="47"/>
  <c r="K1076" i="47" s="1"/>
  <c r="E1076" i="47"/>
  <c r="J1075" i="47"/>
  <c r="F1075" i="47"/>
  <c r="J1074" i="47"/>
  <c r="F1074" i="47"/>
  <c r="J1073" i="47"/>
  <c r="F1073" i="47"/>
  <c r="J1072" i="47"/>
  <c r="F1072" i="47"/>
  <c r="J1071" i="47"/>
  <c r="F1071" i="47"/>
  <c r="F1062" i="47"/>
  <c r="F1061" i="47"/>
  <c r="K1061" i="47" s="1"/>
  <c r="F1060" i="47"/>
  <c r="J1059" i="47"/>
  <c r="F1059" i="47"/>
  <c r="F1052" i="47"/>
  <c r="J1051" i="47"/>
  <c r="J1050" i="47"/>
  <c r="F1050" i="47"/>
  <c r="J1049" i="47"/>
  <c r="F1049" i="47"/>
  <c r="J1048" i="47"/>
  <c r="F1048" i="47"/>
  <c r="J1046" i="47"/>
  <c r="F1046" i="47"/>
  <c r="K1047" i="47" s="1"/>
  <c r="J1045" i="47"/>
  <c r="F1045" i="47"/>
  <c r="J1044" i="47"/>
  <c r="K1044" i="47" s="1"/>
  <c r="J1042" i="47"/>
  <c r="F1042" i="47"/>
  <c r="K1043" i="47" s="1"/>
  <c r="J1040" i="47"/>
  <c r="F1040" i="47"/>
  <c r="K1041" i="47" s="1"/>
  <c r="J1038" i="47"/>
  <c r="F1038" i="47"/>
  <c r="K1039" i="47" s="1"/>
  <c r="J1031" i="47"/>
  <c r="F1031" i="47"/>
  <c r="J1029" i="47"/>
  <c r="F1029" i="47"/>
  <c r="K1030" i="47" s="1"/>
  <c r="F1026" i="47"/>
  <c r="J1025" i="47"/>
  <c r="F1025" i="47"/>
  <c r="J1023" i="47"/>
  <c r="F1023" i="47"/>
  <c r="K1024" i="47" s="1"/>
  <c r="J1022" i="47"/>
  <c r="F1022" i="47"/>
  <c r="F1021" i="47"/>
  <c r="F1020" i="47"/>
  <c r="F1018" i="47"/>
  <c r="J1016" i="47"/>
  <c r="F1016" i="47"/>
  <c r="K1017" i="47" s="1"/>
  <c r="F1014" i="47"/>
  <c r="F1010" i="47"/>
  <c r="F1009" i="47"/>
  <c r="F1008" i="47"/>
  <c r="J1007" i="47"/>
  <c r="F1007" i="47"/>
  <c r="J1006" i="47"/>
  <c r="F1006" i="47"/>
  <c r="J1005" i="47"/>
  <c r="F1005" i="47"/>
  <c r="J1004" i="47"/>
  <c r="F1004" i="47"/>
  <c r="J1003" i="47"/>
  <c r="F1003" i="47"/>
  <c r="J1001" i="47"/>
  <c r="F1001" i="47"/>
  <c r="K1002" i="47" s="1"/>
  <c r="J1000" i="47"/>
  <c r="K1000" i="47" s="1"/>
  <c r="E1000" i="47"/>
  <c r="J998" i="47"/>
  <c r="F998" i="47"/>
  <c r="K999" i="47" s="1"/>
  <c r="F996" i="47"/>
  <c r="F995" i="47"/>
  <c r="K995" i="47" s="1"/>
  <c r="J994" i="47"/>
  <c r="F994" i="47"/>
  <c r="J993" i="47"/>
  <c r="K993" i="47" s="1"/>
  <c r="F993" i="47"/>
  <c r="J991" i="47"/>
  <c r="F991" i="47"/>
  <c r="K992" i="47" s="1"/>
  <c r="J990" i="47"/>
  <c r="F990" i="47"/>
  <c r="F989" i="47"/>
  <c r="F988" i="47"/>
  <c r="J987" i="47"/>
  <c r="F987" i="47"/>
  <c r="J986" i="47"/>
  <c r="F986" i="47"/>
  <c r="J985" i="47"/>
  <c r="F985" i="47"/>
  <c r="J984" i="47"/>
  <c r="F984" i="47"/>
  <c r="J983" i="47"/>
  <c r="F983" i="47"/>
  <c r="J982" i="47"/>
  <c r="F982" i="47"/>
  <c r="F980" i="47"/>
  <c r="K980" i="47" s="1"/>
  <c r="J979" i="47"/>
  <c r="F979" i="47"/>
  <c r="J978" i="47"/>
  <c r="F978" i="47"/>
  <c r="J977" i="47"/>
  <c r="F977" i="47"/>
  <c r="J976" i="47"/>
  <c r="F976" i="47"/>
  <c r="J975" i="47"/>
  <c r="F975" i="47"/>
  <c r="J973" i="47"/>
  <c r="F973" i="47"/>
  <c r="K974" i="47" s="1"/>
  <c r="J972" i="47"/>
  <c r="F972" i="47"/>
  <c r="J943" i="47"/>
  <c r="F939" i="47"/>
  <c r="J937" i="47"/>
  <c r="F935" i="47"/>
  <c r="J933" i="47"/>
  <c r="F933" i="47"/>
  <c r="K932" i="47"/>
  <c r="J932" i="47"/>
  <c r="F931" i="47"/>
  <c r="D925" i="47"/>
  <c r="D932" i="47" s="1"/>
  <c r="D934" i="47" s="1"/>
  <c r="D936" i="47" s="1"/>
  <c r="D940" i="47" s="1"/>
  <c r="D946" i="47" s="1"/>
  <c r="F924" i="47"/>
  <c r="F923" i="47"/>
  <c r="F922" i="47"/>
  <c r="F921" i="47"/>
  <c r="F920" i="47"/>
  <c r="F919" i="47"/>
  <c r="J918" i="47"/>
  <c r="K918" i="47" s="1"/>
  <c r="F916" i="47"/>
  <c r="F914" i="47"/>
  <c r="J913" i="47"/>
  <c r="F913" i="47"/>
  <c r="J910" i="47"/>
  <c r="F909" i="47"/>
  <c r="J908" i="47"/>
  <c r="F908" i="47"/>
  <c r="D899" i="47"/>
  <c r="J897" i="47"/>
  <c r="F897" i="47"/>
  <c r="F896" i="47"/>
  <c r="J895" i="47"/>
  <c r="F895" i="47"/>
  <c r="F892" i="47"/>
  <c r="J891" i="47"/>
  <c r="F891" i="47"/>
  <c r="F890" i="47"/>
  <c r="J889" i="47"/>
  <c r="F889" i="47"/>
  <c r="F888" i="47"/>
  <c r="J887" i="47"/>
  <c r="F887" i="47"/>
  <c r="F884" i="47"/>
  <c r="J883" i="47"/>
  <c r="F883" i="47"/>
  <c r="F880" i="47"/>
  <c r="J879" i="47"/>
  <c r="K879" i="47" s="1"/>
  <c r="J878" i="47"/>
  <c r="F878" i="47"/>
  <c r="J877" i="47"/>
  <c r="F877" i="47"/>
  <c r="J876" i="47"/>
  <c r="F876" i="47"/>
  <c r="F875" i="47"/>
  <c r="K875" i="47" s="1"/>
  <c r="F874" i="47"/>
  <c r="J873" i="47"/>
  <c r="F873" i="47"/>
  <c r="J872" i="47"/>
  <c r="F872" i="47"/>
  <c r="J870" i="47"/>
  <c r="F870" i="47"/>
  <c r="K871" i="47" s="1"/>
  <c r="D865" i="47"/>
  <c r="F864" i="47"/>
  <c r="F863" i="47"/>
  <c r="F862" i="47"/>
  <c r="F861" i="47"/>
  <c r="F860" i="47"/>
  <c r="F859" i="47"/>
  <c r="J858" i="47"/>
  <c r="F858" i="47"/>
  <c r="J857" i="47"/>
  <c r="F857" i="47"/>
  <c r="F854" i="47"/>
  <c r="F853" i="47"/>
  <c r="F852" i="47"/>
  <c r="F851" i="47"/>
  <c r="J850" i="47"/>
  <c r="F850" i="47"/>
  <c r="J848" i="47"/>
  <c r="K848" i="47" s="1"/>
  <c r="F848" i="47"/>
  <c r="K849" i="47" s="1"/>
  <c r="J847" i="47"/>
  <c r="F847" i="47"/>
  <c r="J844" i="47"/>
  <c r="F844" i="47"/>
  <c r="F841" i="47"/>
  <c r="D837" i="47"/>
  <c r="F837" i="47" s="1"/>
  <c r="F836" i="47"/>
  <c r="J835" i="47"/>
  <c r="F835" i="47"/>
  <c r="J834" i="47"/>
  <c r="F834" i="47"/>
  <c r="J833" i="47"/>
  <c r="F833" i="47"/>
  <c r="J831" i="47"/>
  <c r="F831" i="47"/>
  <c r="J830" i="47"/>
  <c r="F830" i="47"/>
  <c r="J829" i="47"/>
  <c r="K829" i="47" s="1"/>
  <c r="J828" i="47"/>
  <c r="F828" i="47"/>
  <c r="J827" i="47"/>
  <c r="F827" i="47"/>
  <c r="J821" i="47"/>
  <c r="K821" i="47" s="1"/>
  <c r="F817" i="47"/>
  <c r="J816" i="47"/>
  <c r="F816" i="47"/>
  <c r="J815" i="47"/>
  <c r="F810" i="47"/>
  <c r="J809" i="47"/>
  <c r="F809" i="47"/>
  <c r="J808" i="47"/>
  <c r="F808" i="47"/>
  <c r="J806" i="47"/>
  <c r="F806" i="47"/>
  <c r="F805" i="47"/>
  <c r="F804" i="47"/>
  <c r="F803" i="47"/>
  <c r="J802" i="47"/>
  <c r="F802" i="47"/>
  <c r="J799" i="47"/>
  <c r="F799" i="47"/>
  <c r="F797" i="47"/>
  <c r="J796" i="47"/>
  <c r="F796" i="47"/>
  <c r="F795" i="47"/>
  <c r="J794" i="47"/>
  <c r="J793" i="47"/>
  <c r="F793" i="47"/>
  <c r="K792" i="47"/>
  <c r="F788" i="47"/>
  <c r="K789" i="47" s="1"/>
  <c r="F787" i="47"/>
  <c r="J786" i="47"/>
  <c r="F786" i="47"/>
  <c r="J785" i="47"/>
  <c r="K785" i="47" s="1"/>
  <c r="J784" i="47"/>
  <c r="F784" i="47"/>
  <c r="F769" i="47"/>
  <c r="F768" i="47"/>
  <c r="J767" i="47"/>
  <c r="F767" i="47"/>
  <c r="J766" i="47"/>
  <c r="K766" i="47" s="1"/>
  <c r="J765" i="47"/>
  <c r="K765" i="47" s="1"/>
  <c r="J764" i="47"/>
  <c r="F764" i="47"/>
  <c r="J762" i="47"/>
  <c r="F762" i="47"/>
  <c r="J760" i="47"/>
  <c r="F760" i="47"/>
  <c r="J759" i="47"/>
  <c r="F759" i="47"/>
  <c r="J758" i="47"/>
  <c r="F758" i="47"/>
  <c r="F757" i="47"/>
  <c r="F755" i="47"/>
  <c r="F754" i="47"/>
  <c r="F753" i="47"/>
  <c r="J752" i="47"/>
  <c r="K752" i="47" s="1"/>
  <c r="J751" i="47"/>
  <c r="F751" i="47"/>
  <c r="J750" i="47"/>
  <c r="F750" i="47"/>
  <c r="J749" i="47"/>
  <c r="F749" i="47"/>
  <c r="J747" i="47"/>
  <c r="K747" i="47" s="1"/>
  <c r="F747" i="47"/>
  <c r="J746" i="47"/>
  <c r="K746" i="47" s="1"/>
  <c r="F745" i="47"/>
  <c r="K745" i="47" s="1"/>
  <c r="J744" i="47"/>
  <c r="F744" i="47"/>
  <c r="J743" i="47"/>
  <c r="F743" i="47"/>
  <c r="J742" i="47"/>
  <c r="K742" i="47" s="1"/>
  <c r="E742" i="47"/>
  <c r="J739" i="47"/>
  <c r="K739" i="47" s="1"/>
  <c r="F738" i="47"/>
  <c r="F732" i="47"/>
  <c r="F731" i="47"/>
  <c r="J730" i="47"/>
  <c r="F729" i="47"/>
  <c r="F728" i="47"/>
  <c r="F727" i="47"/>
  <c r="F726" i="47"/>
  <c r="F725" i="47"/>
  <c r="F724" i="47"/>
  <c r="F723" i="47"/>
  <c r="F722" i="47"/>
  <c r="J720" i="47"/>
  <c r="F718" i="47"/>
  <c r="D717" i="47"/>
  <c r="F717" i="47" s="1"/>
  <c r="F716" i="47"/>
  <c r="F715" i="47"/>
  <c r="F713" i="47"/>
  <c r="F711" i="47"/>
  <c r="F710" i="47"/>
  <c r="F708" i="47"/>
  <c r="F707" i="47"/>
  <c r="F706" i="47"/>
  <c r="F705" i="47"/>
  <c r="D703" i="47"/>
  <c r="F702" i="47"/>
  <c r="F701" i="47"/>
  <c r="F700" i="47"/>
  <c r="F699" i="47"/>
  <c r="F698" i="47"/>
  <c r="J697" i="47"/>
  <c r="K697" i="47" s="1"/>
  <c r="D696" i="47"/>
  <c r="F689" i="47"/>
  <c r="J688" i="47"/>
  <c r="F688" i="47"/>
  <c r="F687" i="47"/>
  <c r="J686" i="47"/>
  <c r="F686" i="47"/>
  <c r="J685" i="47"/>
  <c r="F685" i="47"/>
  <c r="J680" i="47"/>
  <c r="K680" i="47" s="1"/>
  <c r="F680" i="47"/>
  <c r="J679" i="47"/>
  <c r="F679" i="47"/>
  <c r="F677" i="47"/>
  <c r="J675" i="47"/>
  <c r="K675" i="47" s="1"/>
  <c r="J674" i="47"/>
  <c r="F674" i="47"/>
  <c r="J673" i="47"/>
  <c r="F673" i="47"/>
  <c r="J670" i="47"/>
  <c r="K670" i="47" s="1"/>
  <c r="F670" i="47"/>
  <c r="J669" i="47"/>
  <c r="F669" i="47"/>
  <c r="F668" i="47"/>
  <c r="F665" i="47"/>
  <c r="J664" i="47"/>
  <c r="F661" i="47"/>
  <c r="F660" i="47"/>
  <c r="J659" i="47"/>
  <c r="F659" i="47"/>
  <c r="F657" i="47"/>
  <c r="F656" i="47"/>
  <c r="J655" i="47"/>
  <c r="F655" i="47"/>
  <c r="J654" i="47"/>
  <c r="F654" i="47"/>
  <c r="F653" i="47"/>
  <c r="J652" i="47"/>
  <c r="J651" i="47"/>
  <c r="F651" i="47"/>
  <c r="J650" i="47"/>
  <c r="F650" i="47"/>
  <c r="F649" i="47"/>
  <c r="J648" i="47"/>
  <c r="F648" i="47"/>
  <c r="J647" i="47"/>
  <c r="F647" i="47"/>
  <c r="J646" i="47"/>
  <c r="F646" i="47"/>
  <c r="F644" i="47"/>
  <c r="K644" i="47" s="1"/>
  <c r="J643" i="47"/>
  <c r="F643" i="47"/>
  <c r="D621" i="47"/>
  <c r="D624" i="47" s="1"/>
  <c r="D633" i="47" s="1"/>
  <c r="D618" i="47"/>
  <c r="D613" i="47"/>
  <c r="D617" i="47" s="1"/>
  <c r="J604" i="47"/>
  <c r="F604" i="47"/>
  <c r="K605" i="47" s="1"/>
  <c r="J602" i="47"/>
  <c r="F602" i="47"/>
  <c r="K603" i="47" s="1"/>
  <c r="J599" i="47"/>
  <c r="K599" i="47" s="1"/>
  <c r="J597" i="47"/>
  <c r="F597" i="47"/>
  <c r="K598" i="47" s="1"/>
  <c r="J596" i="47"/>
  <c r="F596" i="47"/>
  <c r="J595" i="47"/>
  <c r="K595" i="47" s="1"/>
  <c r="J593" i="47"/>
  <c r="F593" i="47"/>
  <c r="K594" i="47" s="1"/>
  <c r="J592" i="47"/>
  <c r="K592" i="47" s="1"/>
  <c r="J591" i="47"/>
  <c r="F591" i="47"/>
  <c r="J590" i="47"/>
  <c r="F590" i="47"/>
  <c r="J589" i="47"/>
  <c r="F589" i="47"/>
  <c r="F588" i="47"/>
  <c r="F587" i="47"/>
  <c r="J586" i="47"/>
  <c r="K586" i="47" s="1"/>
  <c r="J583" i="47"/>
  <c r="F583" i="47"/>
  <c r="J580" i="47"/>
  <c r="J579" i="47"/>
  <c r="F579" i="47"/>
  <c r="J578" i="47"/>
  <c r="F578" i="47"/>
  <c r="J577" i="47"/>
  <c r="F577" i="47"/>
  <c r="J576" i="47"/>
  <c r="K576" i="47" s="1"/>
  <c r="J575" i="47"/>
  <c r="F575" i="47"/>
  <c r="J574" i="47"/>
  <c r="F574" i="47"/>
  <c r="J573" i="47"/>
  <c r="F573" i="47"/>
  <c r="F572" i="47"/>
  <c r="F571" i="47"/>
  <c r="J570" i="47"/>
  <c r="F570" i="47"/>
  <c r="D565" i="47"/>
  <c r="F563" i="47"/>
  <c r="F562" i="47"/>
  <c r="K559" i="47"/>
  <c r="D559" i="47"/>
  <c r="D561" i="47" s="1"/>
  <c r="F557" i="47"/>
  <c r="F556" i="47"/>
  <c r="F555" i="47"/>
  <c r="J553" i="47"/>
  <c r="F553" i="47"/>
  <c r="J552" i="47"/>
  <c r="F552" i="47"/>
  <c r="J551" i="47"/>
  <c r="F551" i="47"/>
  <c r="J549" i="47"/>
  <c r="F549" i="47"/>
  <c r="J548" i="47"/>
  <c r="K548" i="47" s="1"/>
  <c r="J547" i="47"/>
  <c r="F547" i="47"/>
  <c r="K545" i="47"/>
  <c r="E545" i="47"/>
  <c r="J544" i="47"/>
  <c r="K544" i="47" s="1"/>
  <c r="F543" i="47"/>
  <c r="K543" i="47" s="1"/>
  <c r="J542" i="47"/>
  <c r="E542" i="47"/>
  <c r="F541" i="47"/>
  <c r="J540" i="47"/>
  <c r="F540" i="47"/>
  <c r="J539" i="47"/>
  <c r="F539" i="47"/>
  <c r="F538" i="47"/>
  <c r="J537" i="47"/>
  <c r="F537" i="47"/>
  <c r="F536" i="47"/>
  <c r="F535" i="47"/>
  <c r="J534" i="47"/>
  <c r="F534" i="47"/>
  <c r="F532" i="47"/>
  <c r="J531" i="47"/>
  <c r="F531" i="47"/>
  <c r="J530" i="47"/>
  <c r="F530" i="47"/>
  <c r="F525" i="47"/>
  <c r="F524" i="47"/>
  <c r="J523" i="47"/>
  <c r="F523" i="47"/>
  <c r="D519" i="47"/>
  <c r="F519" i="47" s="1"/>
  <c r="F518" i="47"/>
  <c r="F517" i="47"/>
  <c r="F516" i="47"/>
  <c r="J515" i="47"/>
  <c r="F515" i="47"/>
  <c r="F513" i="47"/>
  <c r="F512" i="47"/>
  <c r="J511" i="47"/>
  <c r="F511" i="47"/>
  <c r="F510" i="47"/>
  <c r="J509" i="47"/>
  <c r="F509" i="47"/>
  <c r="F507" i="47"/>
  <c r="J506" i="47"/>
  <c r="K506" i="47" s="1"/>
  <c r="F505" i="47"/>
  <c r="J504" i="47"/>
  <c r="F504" i="47"/>
  <c r="J503" i="47"/>
  <c r="F503" i="47"/>
  <c r="J502" i="47"/>
  <c r="F502" i="47"/>
  <c r="F501" i="47"/>
  <c r="J500" i="47"/>
  <c r="F500" i="47"/>
  <c r="J499" i="47"/>
  <c r="F499" i="47"/>
  <c r="F498" i="47"/>
  <c r="K498" i="47" s="1"/>
  <c r="F497" i="47"/>
  <c r="K497" i="47" s="1"/>
  <c r="J496" i="47"/>
  <c r="F496" i="47"/>
  <c r="F495" i="47"/>
  <c r="J494" i="47"/>
  <c r="F494" i="47"/>
  <c r="J493" i="47"/>
  <c r="F493" i="47"/>
  <c r="J492" i="47"/>
  <c r="F492" i="47"/>
  <c r="J491" i="47"/>
  <c r="K491" i="47" s="1"/>
  <c r="E491" i="47"/>
  <c r="J490" i="47"/>
  <c r="F490" i="47"/>
  <c r="J489" i="47"/>
  <c r="F489" i="47"/>
  <c r="K489" i="47" s="1"/>
  <c r="J488" i="47"/>
  <c r="F488" i="47"/>
  <c r="F484" i="47"/>
  <c r="J483" i="47"/>
  <c r="F483" i="47"/>
  <c r="J482" i="47"/>
  <c r="F482" i="47"/>
  <c r="F480" i="47"/>
  <c r="J479" i="47"/>
  <c r="F479" i="47"/>
  <c r="F477" i="47"/>
  <c r="J476" i="47"/>
  <c r="F476" i="47"/>
  <c r="J475" i="47"/>
  <c r="F475" i="47"/>
  <c r="J474" i="47"/>
  <c r="F474" i="47"/>
  <c r="J473" i="47"/>
  <c r="F473" i="47"/>
  <c r="J472" i="47"/>
  <c r="F472" i="47"/>
  <c r="J471" i="47"/>
  <c r="K471" i="47" s="1"/>
  <c r="F469" i="47"/>
  <c r="F468" i="47"/>
  <c r="J467" i="47"/>
  <c r="F467" i="47"/>
  <c r="F466" i="47"/>
  <c r="J465" i="47"/>
  <c r="F465" i="47"/>
  <c r="F464" i="47"/>
  <c r="J463" i="47"/>
  <c r="F463" i="47"/>
  <c r="J461" i="47"/>
  <c r="F461" i="47"/>
  <c r="K462" i="47" s="1"/>
  <c r="J459" i="47"/>
  <c r="F459" i="47"/>
  <c r="J456" i="47"/>
  <c r="F456" i="47"/>
  <c r="J454" i="47"/>
  <c r="F454" i="47"/>
  <c r="K455" i="47" s="1"/>
  <c r="J452" i="47"/>
  <c r="F452" i="47"/>
  <c r="K453" i="47" s="1"/>
  <c r="J450" i="47"/>
  <c r="K450" i="47" s="1"/>
  <c r="J444" i="47"/>
  <c r="F444" i="47"/>
  <c r="K445" i="47" s="1"/>
  <c r="J443" i="47"/>
  <c r="F443" i="47"/>
  <c r="J441" i="47"/>
  <c r="K441" i="47" s="1"/>
  <c r="F438" i="47"/>
  <c r="J437" i="47"/>
  <c r="F437" i="47"/>
  <c r="J435" i="47"/>
  <c r="K435" i="47" s="1"/>
  <c r="J433" i="47"/>
  <c r="F433" i="47"/>
  <c r="J432" i="47"/>
  <c r="K432" i="47" s="1"/>
  <c r="F432" i="47"/>
  <c r="F431" i="47"/>
  <c r="J430" i="47"/>
  <c r="F430" i="47"/>
  <c r="F417" i="47"/>
  <c r="F416" i="47"/>
  <c r="K412" i="47" s="1"/>
  <c r="J411" i="47"/>
  <c r="F411" i="47"/>
  <c r="F410" i="47"/>
  <c r="J409" i="47"/>
  <c r="F409" i="47"/>
  <c r="J408" i="47"/>
  <c r="F408" i="47"/>
  <c r="J407" i="47"/>
  <c r="F407" i="47"/>
  <c r="J405" i="47"/>
  <c r="F405" i="47"/>
  <c r="K406" i="47" s="1"/>
  <c r="J403" i="47"/>
  <c r="F403" i="47"/>
  <c r="K404" i="47" s="1"/>
  <c r="J401" i="47"/>
  <c r="F401" i="47"/>
  <c r="K402" i="47" s="1"/>
  <c r="J400" i="47"/>
  <c r="F400" i="47"/>
  <c r="J397" i="47"/>
  <c r="K397" i="47" s="1"/>
  <c r="F390" i="47"/>
  <c r="J389" i="47"/>
  <c r="F389" i="47"/>
  <c r="F388" i="47"/>
  <c r="J387" i="47"/>
  <c r="F387" i="47"/>
  <c r="J385" i="47"/>
  <c r="F385" i="47"/>
  <c r="K386" i="47" s="1"/>
  <c r="J383" i="47"/>
  <c r="F383" i="47"/>
  <c r="K384" i="47" s="1"/>
  <c r="F376" i="47"/>
  <c r="F375" i="47"/>
  <c r="J373" i="47"/>
  <c r="F373" i="47"/>
  <c r="J372" i="47"/>
  <c r="F372" i="47"/>
  <c r="J371" i="47"/>
  <c r="F371" i="47"/>
  <c r="J368" i="47"/>
  <c r="K368" i="47" s="1"/>
  <c r="J366" i="47"/>
  <c r="F366" i="47"/>
  <c r="K367" i="47" s="1"/>
  <c r="J363" i="47"/>
  <c r="F363" i="47"/>
  <c r="J362" i="47"/>
  <c r="J361" i="47"/>
  <c r="F361" i="47"/>
  <c r="J359" i="47"/>
  <c r="F359" i="47"/>
  <c r="K360" i="47" s="1"/>
  <c r="J358" i="47"/>
  <c r="F358" i="47"/>
  <c r="F357" i="47"/>
  <c r="F356" i="47"/>
  <c r="J355" i="47"/>
  <c r="F355" i="47"/>
  <c r="J354" i="47"/>
  <c r="F354" i="47"/>
  <c r="J352" i="47"/>
  <c r="F352" i="47"/>
  <c r="K353" i="47" s="1"/>
  <c r="J351" i="47"/>
  <c r="F351" i="47"/>
  <c r="D350" i="47"/>
  <c r="F350" i="47" s="1"/>
  <c r="J349" i="47"/>
  <c r="F349" i="47"/>
  <c r="F346" i="47"/>
  <c r="K346" i="47" s="1"/>
  <c r="J345" i="47"/>
  <c r="F345" i="47"/>
  <c r="F344" i="47"/>
  <c r="K344" i="47" s="1"/>
  <c r="J342" i="47"/>
  <c r="F342" i="47"/>
  <c r="K343" i="47" s="1"/>
  <c r="J341" i="47"/>
  <c r="F341" i="47"/>
  <c r="F339" i="47"/>
  <c r="J338" i="47"/>
  <c r="F338" i="47"/>
  <c r="F337" i="47"/>
  <c r="J336" i="47"/>
  <c r="F336" i="47"/>
  <c r="J335" i="47"/>
  <c r="F335" i="47"/>
  <c r="F334" i="47"/>
  <c r="J333" i="47"/>
  <c r="F333" i="47"/>
  <c r="F332" i="47"/>
  <c r="K332" i="47" s="1"/>
  <c r="J331" i="47"/>
  <c r="F331" i="47"/>
  <c r="J330" i="47"/>
  <c r="F330" i="47"/>
  <c r="F327" i="47"/>
  <c r="K327" i="47" s="1"/>
  <c r="J320" i="47"/>
  <c r="F320" i="47"/>
  <c r="J319" i="47"/>
  <c r="F319" i="47"/>
  <c r="J318" i="47"/>
  <c r="F318" i="47"/>
  <c r="J317" i="47"/>
  <c r="F317" i="47"/>
  <c r="J316" i="47"/>
  <c r="F316" i="47"/>
  <c r="F313" i="47"/>
  <c r="F312" i="47"/>
  <c r="J311" i="47"/>
  <c r="F311" i="47"/>
  <c r="J310" i="47"/>
  <c r="F310" i="47"/>
  <c r="J309" i="47"/>
  <c r="F309" i="47"/>
  <c r="J308" i="47"/>
  <c r="F308" i="47"/>
  <c r="J307" i="47"/>
  <c r="K307" i="47" s="1"/>
  <c r="J306" i="47"/>
  <c r="F306" i="47"/>
  <c r="J305" i="47"/>
  <c r="F305" i="47"/>
  <c r="F303" i="47"/>
  <c r="F301" i="47"/>
  <c r="J299" i="47"/>
  <c r="J297" i="47"/>
  <c r="K297" i="47" s="1"/>
  <c r="J296" i="47"/>
  <c r="F296" i="47"/>
  <c r="F294" i="47"/>
  <c r="F292" i="47"/>
  <c r="J290" i="47"/>
  <c r="F286" i="47"/>
  <c r="K286" i="47" s="1"/>
  <c r="J285" i="47"/>
  <c r="F285" i="47"/>
  <c r="J284" i="47"/>
  <c r="F284" i="47"/>
  <c r="J283" i="47"/>
  <c r="K283" i="47" s="1"/>
  <c r="F281" i="47"/>
  <c r="J279" i="47" s="1"/>
  <c r="F280" i="47"/>
  <c r="F279" i="47"/>
  <c r="J275" i="47"/>
  <c r="F275" i="47"/>
  <c r="J273" i="47"/>
  <c r="K273" i="47" s="1"/>
  <c r="J272" i="47"/>
  <c r="F272" i="47"/>
  <c r="D270" i="47"/>
  <c r="F270" i="47" s="1"/>
  <c r="F269" i="47"/>
  <c r="F268" i="47"/>
  <c r="J267" i="47"/>
  <c r="F267" i="47"/>
  <c r="J266" i="47"/>
  <c r="F266" i="47"/>
  <c r="J265" i="47"/>
  <c r="F265" i="47"/>
  <c r="J264" i="47"/>
  <c r="F264" i="47"/>
  <c r="F263" i="47"/>
  <c r="J262" i="47"/>
  <c r="J260" i="47"/>
  <c r="F260" i="47"/>
  <c r="J259" i="47"/>
  <c r="F259" i="47"/>
  <c r="J258" i="47"/>
  <c r="K258" i="47" s="1"/>
  <c r="F255" i="47"/>
  <c r="F254" i="47"/>
  <c r="J252" i="47"/>
  <c r="F252" i="47"/>
  <c r="F251" i="47"/>
  <c r="J250" i="47"/>
  <c r="F250" i="47"/>
  <c r="J249" i="47"/>
  <c r="K249" i="47" s="1"/>
  <c r="J248" i="47"/>
  <c r="F248" i="47"/>
  <c r="J247" i="47"/>
  <c r="K247" i="47" s="1"/>
  <c r="J246" i="47"/>
  <c r="F246" i="47"/>
  <c r="F245" i="47"/>
  <c r="J245" i="47" s="1"/>
  <c r="K245" i="47" s="1"/>
  <c r="F244" i="47"/>
  <c r="F243" i="47"/>
  <c r="E242" i="47"/>
  <c r="F241" i="47"/>
  <c r="F240" i="47"/>
  <c r="F239" i="47"/>
  <c r="J238" i="47"/>
  <c r="F238" i="47"/>
  <c r="F235" i="47"/>
  <c r="F234" i="47"/>
  <c r="F233" i="47"/>
  <c r="J232" i="47"/>
  <c r="F232" i="47"/>
  <c r="E231" i="47"/>
  <c r="F230" i="47"/>
  <c r="F229" i="47"/>
  <c r="F228" i="47"/>
  <c r="F226" i="47"/>
  <c r="D225" i="47"/>
  <c r="F224" i="47"/>
  <c r="F223" i="47"/>
  <c r="J220" i="47"/>
  <c r="J219" i="47"/>
  <c r="F219" i="47"/>
  <c r="F218" i="47"/>
  <c r="K218" i="47" s="1"/>
  <c r="F215" i="47"/>
  <c r="F213" i="47"/>
  <c r="J203" i="47"/>
  <c r="F203" i="47"/>
  <c r="J202" i="47"/>
  <c r="F202" i="47"/>
  <c r="J201" i="47"/>
  <c r="F201" i="47"/>
  <c r="J200" i="47"/>
  <c r="F200" i="47"/>
  <c r="J199" i="47"/>
  <c r="K199" i="47" s="1"/>
  <c r="F198" i="47"/>
  <c r="F197" i="47"/>
  <c r="J196" i="47"/>
  <c r="F196" i="47"/>
  <c r="J195" i="47"/>
  <c r="F195" i="47"/>
  <c r="J194" i="47"/>
  <c r="F194" i="47"/>
  <c r="F193" i="47"/>
  <c r="F192" i="47"/>
  <c r="J191" i="47"/>
  <c r="F191" i="47"/>
  <c r="J190" i="47"/>
  <c r="F190" i="47"/>
  <c r="J187" i="47"/>
  <c r="F187" i="47"/>
  <c r="F186" i="47"/>
  <c r="F185" i="47"/>
  <c r="J184" i="47"/>
  <c r="F184" i="47"/>
  <c r="J183" i="47"/>
  <c r="F183" i="47"/>
  <c r="J182" i="47"/>
  <c r="F182" i="47"/>
  <c r="D180" i="47"/>
  <c r="F179" i="47"/>
  <c r="F178" i="47"/>
  <c r="F177" i="47"/>
  <c r="F176" i="47"/>
  <c r="J174" i="47"/>
  <c r="F174" i="47"/>
  <c r="F173" i="47"/>
  <c r="F172" i="47"/>
  <c r="F171" i="47"/>
  <c r="J170" i="47"/>
  <c r="F170" i="47"/>
  <c r="F168" i="47"/>
  <c r="F167" i="47"/>
  <c r="F166" i="47"/>
  <c r="J165" i="47"/>
  <c r="F165" i="47"/>
  <c r="F152" i="47"/>
  <c r="J151" i="47"/>
  <c r="F151" i="47"/>
  <c r="J150" i="47"/>
  <c r="F150" i="47"/>
  <c r="J149" i="47"/>
  <c r="K149" i="47" s="1"/>
  <c r="F146" i="47"/>
  <c r="F145" i="47"/>
  <c r="J144" i="47"/>
  <c r="F143" i="47"/>
  <c r="J142" i="47"/>
  <c r="F142" i="47"/>
  <c r="F141" i="47"/>
  <c r="J140" i="47"/>
  <c r="F140" i="47"/>
  <c r="J139" i="47"/>
  <c r="J137" i="47"/>
  <c r="F137" i="47"/>
  <c r="J131" i="47"/>
  <c r="F131" i="47"/>
  <c r="F122" i="47"/>
  <c r="D121" i="47"/>
  <c r="J118" i="47"/>
  <c r="K118" i="47" s="1"/>
  <c r="F109" i="47"/>
  <c r="F108" i="47"/>
  <c r="J107" i="47"/>
  <c r="F107" i="47"/>
  <c r="K105" i="47"/>
  <c r="E105" i="47"/>
  <c r="F104" i="47"/>
  <c r="J103" i="47"/>
  <c r="F103" i="47"/>
  <c r="J102" i="47"/>
  <c r="F102" i="47"/>
  <c r="J101" i="47"/>
  <c r="F101" i="47"/>
  <c r="F98" i="47"/>
  <c r="J94" i="47"/>
  <c r="J93" i="47"/>
  <c r="F93" i="47"/>
  <c r="J92" i="47"/>
  <c r="F92" i="47"/>
  <c r="K91" i="47"/>
  <c r="J90" i="47"/>
  <c r="F90" i="47"/>
  <c r="J89" i="47"/>
  <c r="F89" i="47"/>
  <c r="K88" i="47"/>
  <c r="J87" i="47"/>
  <c r="F87" i="47"/>
  <c r="J85" i="47"/>
  <c r="F85" i="47"/>
  <c r="J83" i="47"/>
  <c r="F83" i="47"/>
  <c r="K84" i="47" s="1"/>
  <c r="J82" i="47"/>
  <c r="F82" i="47"/>
  <c r="J81" i="47"/>
  <c r="K81" i="47" s="1"/>
  <c r="J79" i="47"/>
  <c r="F79" i="47"/>
  <c r="F77" i="47"/>
  <c r="F76" i="47"/>
  <c r="F75" i="47"/>
  <c r="J74" i="47"/>
  <c r="F74" i="47"/>
  <c r="J71" i="47"/>
  <c r="F71" i="47"/>
  <c r="J68" i="47"/>
  <c r="F68" i="47"/>
  <c r="F64" i="47"/>
  <c r="K65" i="47" s="1"/>
  <c r="J63" i="47"/>
  <c r="F61" i="47"/>
  <c r="J57" i="47"/>
  <c r="F57" i="47"/>
  <c r="J52" i="47"/>
  <c r="K52" i="47" s="1"/>
  <c r="F51" i="47"/>
  <c r="K51" i="47" s="1"/>
  <c r="F50" i="47"/>
  <c r="K50" i="47" s="1"/>
  <c r="F45" i="47"/>
  <c r="F44" i="47"/>
  <c r="K42" i="47" s="1"/>
  <c r="J42" i="47"/>
  <c r="E42" i="47"/>
  <c r="J41" i="47"/>
  <c r="F41" i="47"/>
  <c r="J40" i="47"/>
  <c r="F40" i="47"/>
  <c r="J39" i="47"/>
  <c r="F39" i="47"/>
  <c r="F35" i="47"/>
  <c r="J33" i="47"/>
  <c r="F33" i="47"/>
  <c r="J32" i="47"/>
  <c r="F32" i="47"/>
  <c r="J30" i="47"/>
  <c r="K30" i="47" s="1"/>
  <c r="E30" i="47"/>
  <c r="F29" i="47"/>
  <c r="J28" i="47"/>
  <c r="F28" i="47"/>
  <c r="F24" i="47"/>
  <c r="F20" i="47"/>
  <c r="F12" i="47"/>
  <c r="J11" i="47"/>
  <c r="F11" i="47"/>
  <c r="J10" i="47"/>
  <c r="F10" i="47"/>
  <c r="J5" i="47"/>
  <c r="K5" i="47" s="1"/>
  <c r="F4" i="47"/>
  <c r="J3" i="47"/>
  <c r="F3" i="47"/>
  <c r="J2" i="47"/>
  <c r="K2" i="47" s="1"/>
  <c r="J952" i="46"/>
  <c r="F1456" i="46"/>
  <c r="F1387" i="46"/>
  <c r="J1385" i="46"/>
  <c r="K75" i="47" l="1"/>
  <c r="K588" i="47"/>
  <c r="K1396" i="47"/>
  <c r="K1397" i="47"/>
  <c r="K1014" i="47"/>
  <c r="K1015" i="47"/>
  <c r="K1299" i="47"/>
  <c r="K1300" i="47"/>
  <c r="K350" i="47"/>
  <c r="K1360" i="47"/>
  <c r="K1361" i="47"/>
  <c r="K1226" i="47"/>
  <c r="K1388" i="47"/>
  <c r="K1389" i="47"/>
  <c r="K458" i="47"/>
  <c r="K457" i="47"/>
  <c r="K1383" i="47"/>
  <c r="K1384" i="47"/>
  <c r="K1268" i="47"/>
  <c r="K1269" i="47"/>
  <c r="K1379" i="47"/>
  <c r="K1380" i="47"/>
  <c r="K1270" i="47"/>
  <c r="K1357" i="47"/>
  <c r="K1358" i="47"/>
  <c r="K431" i="47"/>
  <c r="K501" i="47"/>
  <c r="K1010" i="47"/>
  <c r="K997" i="47"/>
  <c r="K996" i="47"/>
  <c r="K1375" i="47"/>
  <c r="K908" i="47"/>
  <c r="K354" i="47"/>
  <c r="K1239" i="47"/>
  <c r="K799" i="47"/>
  <c r="K786" i="47"/>
  <c r="K131" i="47"/>
  <c r="K1153" i="47"/>
  <c r="K1003" i="47"/>
  <c r="K816" i="47"/>
  <c r="G1282" i="47"/>
  <c r="K23" i="47"/>
  <c r="K1374" i="47"/>
  <c r="K467" i="47"/>
  <c r="K232" i="47"/>
  <c r="K850" i="47"/>
  <c r="K184" i="47"/>
  <c r="K165" i="47"/>
  <c r="K1105" i="47"/>
  <c r="K238" i="47"/>
  <c r="K804" i="47"/>
  <c r="K1416" i="47"/>
  <c r="K1451" i="47"/>
  <c r="K430" i="47"/>
  <c r="K596" i="47"/>
  <c r="K308" i="47"/>
  <c r="K764" i="47"/>
  <c r="K1025" i="47"/>
  <c r="K1007" i="47"/>
  <c r="K1225" i="47"/>
  <c r="F899" i="47"/>
  <c r="D904" i="47"/>
  <c r="K591" i="47"/>
  <c r="K480" i="47"/>
  <c r="K339" i="47"/>
  <c r="K204" i="47"/>
  <c r="K827" i="47"/>
  <c r="K972" i="47"/>
  <c r="K991" i="47"/>
  <c r="K998" i="47"/>
  <c r="K1052" i="47"/>
  <c r="K196" i="47"/>
  <c r="K796" i="47"/>
  <c r="K443" i="47"/>
  <c r="K1074" i="47"/>
  <c r="K1158" i="47"/>
  <c r="K1199" i="47"/>
  <c r="K1201" i="47"/>
  <c r="K1267" i="47"/>
  <c r="K139" i="47"/>
  <c r="K107" i="47"/>
  <c r="K92" i="47"/>
  <c r="K472" i="47"/>
  <c r="K474" i="47"/>
  <c r="K477" i="47"/>
  <c r="K876" i="47"/>
  <c r="K878" i="47"/>
  <c r="K85" i="47"/>
  <c r="K1117" i="47"/>
  <c r="K264" i="47"/>
  <c r="K303" i="47"/>
  <c r="K1393" i="47"/>
  <c r="K101" i="47"/>
  <c r="K103" i="47"/>
  <c r="K63" i="47"/>
  <c r="K366" i="47"/>
  <c r="K390" i="47"/>
  <c r="K174" i="47"/>
  <c r="K182" i="47"/>
  <c r="K190" i="47"/>
  <c r="K1363" i="47"/>
  <c r="K57" i="47"/>
  <c r="K847" i="47"/>
  <c r="K983" i="47"/>
  <c r="K1212" i="47"/>
  <c r="K41" i="47"/>
  <c r="K151" i="47"/>
  <c r="K454" i="47"/>
  <c r="K652" i="47"/>
  <c r="K978" i="47"/>
  <c r="K120" i="47"/>
  <c r="K371" i="47"/>
  <c r="K373" i="47"/>
  <c r="K496" i="47"/>
  <c r="K562" i="47"/>
  <c r="K578" i="47"/>
  <c r="K647" i="47"/>
  <c r="K758" i="47"/>
  <c r="K760" i="47"/>
  <c r="K808" i="47"/>
  <c r="K889" i="47"/>
  <c r="K1048" i="47"/>
  <c r="K1073" i="47"/>
  <c r="K1103" i="47"/>
  <c r="K1110" i="47"/>
  <c r="K1136" i="47"/>
  <c r="K1155" i="47"/>
  <c r="K1159" i="47"/>
  <c r="K1164" i="47"/>
  <c r="K1197" i="47"/>
  <c r="K1314" i="47"/>
  <c r="K219" i="47"/>
  <c r="K306" i="47"/>
  <c r="K1254" i="47"/>
  <c r="K784" i="47"/>
  <c r="K1296" i="47"/>
  <c r="K82" i="47"/>
  <c r="K87" i="47"/>
  <c r="K246" i="47"/>
  <c r="K248" i="47"/>
  <c r="K265" i="47"/>
  <c r="K503" i="47"/>
  <c r="K547" i="47"/>
  <c r="K587" i="47"/>
  <c r="K604" i="47"/>
  <c r="K1042" i="47"/>
  <c r="K1266" i="47"/>
  <c r="K1290" i="47"/>
  <c r="K39" i="47"/>
  <c r="K61" i="47"/>
  <c r="K79" i="47"/>
  <c r="K655" i="47"/>
  <c r="K1072" i="47"/>
  <c r="K1147" i="47"/>
  <c r="K1183" i="47"/>
  <c r="K1189" i="47"/>
  <c r="K1194" i="47"/>
  <c r="K1287" i="47"/>
  <c r="K319" i="47"/>
  <c r="K400" i="47"/>
  <c r="K407" i="47"/>
  <c r="K437" i="47"/>
  <c r="K515" i="47"/>
  <c r="K570" i="47"/>
  <c r="K887" i="47"/>
  <c r="K1045" i="47"/>
  <c r="K1087" i="47"/>
  <c r="K1134" i="47"/>
  <c r="K1193" i="47"/>
  <c r="K1205" i="47"/>
  <c r="K93" i="47"/>
  <c r="K142" i="47"/>
  <c r="K284" i="47"/>
  <c r="K385" i="47"/>
  <c r="K679" i="47"/>
  <c r="K872" i="47"/>
  <c r="K1046" i="47"/>
  <c r="K1301" i="47"/>
  <c r="K1351" i="47"/>
  <c r="K296" i="47"/>
  <c r="K310" i="47"/>
  <c r="K389" i="47"/>
  <c r="K444" i="47"/>
  <c r="K463" i="47"/>
  <c r="K476" i="47"/>
  <c r="K479" i="47"/>
  <c r="K511" i="47"/>
  <c r="K643" i="47"/>
  <c r="K659" i="47"/>
  <c r="K685" i="47"/>
  <c r="K891" i="47"/>
  <c r="K1001" i="47"/>
  <c r="K1006" i="47"/>
  <c r="K1023" i="47"/>
  <c r="K1040" i="47"/>
  <c r="K1059" i="47"/>
  <c r="K1082" i="47"/>
  <c r="K1127" i="47"/>
  <c r="K1143" i="47"/>
  <c r="K1152" i="47"/>
  <c r="K1156" i="47"/>
  <c r="K1213" i="47"/>
  <c r="K1381" i="47"/>
  <c r="K32" i="47"/>
  <c r="K6" i="47"/>
  <c r="K10" i="47"/>
  <c r="K40" i="47"/>
  <c r="K45" i="47"/>
  <c r="K89" i="47"/>
  <c r="K183" i="47"/>
  <c r="K226" i="47"/>
  <c r="K252" i="47"/>
  <c r="K259" i="47"/>
  <c r="K290" i="47"/>
  <c r="K305" i="47"/>
  <c r="K338" i="47"/>
  <c r="K352" i="47"/>
  <c r="K355" i="47"/>
  <c r="K372" i="47"/>
  <c r="K433" i="47"/>
  <c r="K465" i="47"/>
  <c r="K482" i="47"/>
  <c r="K492" i="47"/>
  <c r="K505" i="47"/>
  <c r="K509" i="47"/>
  <c r="K540" i="47"/>
  <c r="K551" i="47"/>
  <c r="K593" i="47"/>
  <c r="K654" i="47"/>
  <c r="K753" i="47"/>
  <c r="K762" i="47"/>
  <c r="K806" i="47"/>
  <c r="K844" i="47"/>
  <c r="K922" i="47"/>
  <c r="K973" i="47"/>
  <c r="K976" i="47"/>
  <c r="K1071" i="47"/>
  <c r="K1145" i="47"/>
  <c r="K1285" i="47"/>
  <c r="K537" i="47"/>
  <c r="F559" i="47"/>
  <c r="K648" i="47"/>
  <c r="K1185" i="47"/>
  <c r="K1214" i="47"/>
  <c r="K1217" i="47"/>
  <c r="K1283" i="47"/>
  <c r="K1286" i="47"/>
  <c r="K1353" i="47"/>
  <c r="K35" i="47"/>
  <c r="K74" i="47"/>
  <c r="K90" i="47"/>
  <c r="K102" i="47"/>
  <c r="K140" i="47"/>
  <c r="K150" i="47"/>
  <c r="K191" i="47"/>
  <c r="K200" i="47"/>
  <c r="K202" i="47"/>
  <c r="F225" i="47"/>
  <c r="K220" i="47" s="1"/>
  <c r="K250" i="47"/>
  <c r="K260" i="47"/>
  <c r="K272" i="47"/>
  <c r="K285" i="47"/>
  <c r="K292" i="47"/>
  <c r="K311" i="47"/>
  <c r="K316" i="47"/>
  <c r="K320" i="47"/>
  <c r="K330" i="47"/>
  <c r="K335" i="47"/>
  <c r="K342" i="47"/>
  <c r="K359" i="47"/>
  <c r="K452" i="47"/>
  <c r="K456" i="47"/>
  <c r="K461" i="47"/>
  <c r="K475" i="47"/>
  <c r="K494" i="47"/>
  <c r="K500" i="47"/>
  <c r="K504" i="47"/>
  <c r="K523" i="47"/>
  <c r="K530" i="47"/>
  <c r="K539" i="47"/>
  <c r="K575" i="47"/>
  <c r="K577" i="47"/>
  <c r="K579" i="47"/>
  <c r="K743" i="47"/>
  <c r="K794" i="47"/>
  <c r="K797" i="47"/>
  <c r="K828" i="47"/>
  <c r="K895" i="47"/>
  <c r="K975" i="47"/>
  <c r="K977" i="47"/>
  <c r="K979" i="47"/>
  <c r="K982" i="47"/>
  <c r="K984" i="47"/>
  <c r="K986" i="47"/>
  <c r="K1005" i="47"/>
  <c r="K1016" i="47"/>
  <c r="K1029" i="47"/>
  <c r="K1090" i="47"/>
  <c r="K1165" i="47"/>
  <c r="K1167" i="47"/>
  <c r="K1203" i="47"/>
  <c r="K1236" i="47"/>
  <c r="K1248" i="47"/>
  <c r="K1257" i="47"/>
  <c r="K1274" i="47"/>
  <c r="K12" i="47"/>
  <c r="K11" i="47"/>
  <c r="F565" i="47"/>
  <c r="D567" i="47"/>
  <c r="F180" i="47"/>
  <c r="K175" i="47" s="1"/>
  <c r="K187" i="47"/>
  <c r="K242" i="47"/>
  <c r="K275" i="47"/>
  <c r="K294" i="47"/>
  <c r="K318" i="47"/>
  <c r="K331" i="47"/>
  <c r="K336" i="47"/>
  <c r="K345" i="47"/>
  <c r="K351" i="47"/>
  <c r="K493" i="47"/>
  <c r="K502" i="47"/>
  <c r="K552" i="47"/>
  <c r="K651" i="47"/>
  <c r="K3" i="47"/>
  <c r="K71" i="47"/>
  <c r="K195" i="47"/>
  <c r="K349" i="47"/>
  <c r="D704" i="47"/>
  <c r="D709" i="47" s="1"/>
  <c r="D712" i="47" s="1"/>
  <c r="D714" i="47" s="1"/>
  <c r="D719" i="47" s="1"/>
  <c r="D730" i="47" s="1"/>
  <c r="D733" i="47" s="1"/>
  <c r="F733" i="47" s="1"/>
  <c r="K733" i="47" s="1"/>
  <c r="F703" i="47"/>
  <c r="F704" i="47" s="1"/>
  <c r="F709" i="47" s="1"/>
  <c r="F712" i="47" s="1"/>
  <c r="F714" i="47" s="1"/>
  <c r="F719" i="47" s="1"/>
  <c r="K759" i="47"/>
  <c r="K822" i="47"/>
  <c r="K1031" i="47"/>
  <c r="K1086" i="47"/>
  <c r="K1157" i="47"/>
  <c r="K1209" i="47"/>
  <c r="K1246" i="47"/>
  <c r="K68" i="47"/>
  <c r="K83" i="47"/>
  <c r="K170" i="47"/>
  <c r="K194" i="47"/>
  <c r="K201" i="47"/>
  <c r="K203" i="47"/>
  <c r="K266" i="47"/>
  <c r="K299" i="47"/>
  <c r="K301" i="47"/>
  <c r="K309" i="47"/>
  <c r="K313" i="47"/>
  <c r="K317" i="47"/>
  <c r="K333" i="47"/>
  <c r="K341" i="47"/>
  <c r="K358" i="47"/>
  <c r="K361" i="47"/>
  <c r="K401" i="47"/>
  <c r="K405" i="47"/>
  <c r="K408" i="47"/>
  <c r="K459" i="47"/>
  <c r="K744" i="47"/>
  <c r="K809" i="47"/>
  <c r="K857" i="47"/>
  <c r="K870" i="47"/>
  <c r="K897" i="47"/>
  <c r="K985" i="47"/>
  <c r="K987" i="47"/>
  <c r="K1116" i="47"/>
  <c r="K1129" i="47"/>
  <c r="K1169" i="47"/>
  <c r="K1172" i="47"/>
  <c r="K1196" i="47"/>
  <c r="K1200" i="47"/>
  <c r="K1238" i="47"/>
  <c r="K490" i="47"/>
  <c r="K507" i="47"/>
  <c r="K656" i="47"/>
  <c r="K669" i="47"/>
  <c r="K749" i="47"/>
  <c r="K830" i="47"/>
  <c r="K835" i="47"/>
  <c r="F865" i="47"/>
  <c r="K865" i="47" s="1"/>
  <c r="K884" i="47"/>
  <c r="F925" i="47"/>
  <c r="F932" i="47" s="1"/>
  <c r="F934" i="47" s="1"/>
  <c r="F936" i="47" s="1"/>
  <c r="K1050" i="47"/>
  <c r="K1355" i="47"/>
  <c r="K363" i="47"/>
  <c r="K383" i="47"/>
  <c r="K387" i="47"/>
  <c r="K398" i="47"/>
  <c r="K411" i="47"/>
  <c r="K499" i="47"/>
  <c r="K549" i="47"/>
  <c r="K553" i="47"/>
  <c r="K574" i="47"/>
  <c r="K590" i="47"/>
  <c r="K597" i="47"/>
  <c r="K602" i="47"/>
  <c r="K650" i="47"/>
  <c r="K674" i="47"/>
  <c r="K677" i="47"/>
  <c r="K686" i="47"/>
  <c r="K750" i="47"/>
  <c r="K831" i="47"/>
  <c r="K834" i="47"/>
  <c r="K858" i="47"/>
  <c r="K873" i="47"/>
  <c r="K910" i="47"/>
  <c r="K1004" i="47"/>
  <c r="K1022" i="47"/>
  <c r="K1038" i="47"/>
  <c r="K1049" i="47"/>
  <c r="K1099" i="47"/>
  <c r="K1133" i="47"/>
  <c r="K1142" i="47"/>
  <c r="K1166" i="47"/>
  <c r="K1187" i="47"/>
  <c r="K1191" i="47"/>
  <c r="K1227" i="47"/>
  <c r="K1263" i="47"/>
  <c r="K1324" i="47"/>
  <c r="K1366" i="47"/>
  <c r="K534" i="47"/>
  <c r="K919" i="47"/>
  <c r="K409" i="47"/>
  <c r="K531" i="47"/>
  <c r="K802" i="47"/>
  <c r="K767" i="47"/>
  <c r="K1150" i="47"/>
  <c r="K403" i="47"/>
  <c r="K473" i="47"/>
  <c r="K573" i="47"/>
  <c r="K583" i="47"/>
  <c r="K589" i="47"/>
  <c r="K646" i="47"/>
  <c r="K883" i="47"/>
  <c r="K994" i="47"/>
  <c r="K1075" i="47"/>
  <c r="K1095" i="47"/>
  <c r="K1160" i="47"/>
  <c r="K673" i="47"/>
  <c r="K688" i="47"/>
  <c r="K751" i="47"/>
  <c r="K793" i="47"/>
  <c r="K833" i="47"/>
  <c r="K877" i="47"/>
  <c r="K990" i="47"/>
  <c r="K1101" i="47"/>
  <c r="K1108" i="47"/>
  <c r="K1192" i="47"/>
  <c r="K1210" i="47"/>
  <c r="K1232" i="47"/>
  <c r="K1264" i="47"/>
  <c r="K1352" i="47"/>
  <c r="K1234" i="47"/>
  <c r="F391" i="46"/>
  <c r="J1315" i="46"/>
  <c r="J436" i="46"/>
  <c r="J654" i="46"/>
  <c r="J44" i="46"/>
  <c r="J114" i="46"/>
  <c r="J68" i="46"/>
  <c r="J269" i="46"/>
  <c r="F1237" i="45"/>
  <c r="J1456" i="46"/>
  <c r="J104" i="46"/>
  <c r="F567" i="47" l="1"/>
  <c r="D569" i="47"/>
  <c r="F904" i="47"/>
  <c r="D907" i="47"/>
  <c r="F907" i="47" s="1"/>
  <c r="F928" i="47"/>
  <c r="F930" i="47" s="1"/>
  <c r="F730" i="47"/>
  <c r="K730" i="47" s="1"/>
  <c r="K720" i="47"/>
  <c r="K935" i="47"/>
  <c r="F940" i="47"/>
  <c r="F766" i="46"/>
  <c r="J1035" i="46"/>
  <c r="J162" i="46"/>
  <c r="J304" i="46"/>
  <c r="J393" i="46"/>
  <c r="F850" i="46"/>
  <c r="F94" i="47" l="1"/>
  <c r="K94" i="47" s="1"/>
  <c r="K941" i="47"/>
  <c r="F946" i="47"/>
  <c r="K946" i="47" s="1"/>
  <c r="F68" i="45"/>
  <c r="F1100" i="46"/>
  <c r="F1101" i="46"/>
  <c r="J897" i="46" l="1"/>
  <c r="J1372" i="46"/>
  <c r="F221" i="46"/>
  <c r="F226" i="46"/>
  <c r="F223" i="46"/>
  <c r="J1092" i="46"/>
  <c r="J1389" i="46"/>
  <c r="J1455" i="46"/>
  <c r="F763" i="46"/>
  <c r="F764" i="46"/>
  <c r="J1162" i="46"/>
  <c r="J587" i="46"/>
  <c r="J351" i="46"/>
  <c r="J318" i="46"/>
  <c r="K318" i="46" s="1"/>
  <c r="F1454" i="46"/>
  <c r="J616" i="46" l="1"/>
  <c r="J1111" i="46"/>
  <c r="J1275" i="46"/>
  <c r="J1375" i="46" l="1"/>
  <c r="F1451" i="46"/>
  <c r="F1453" i="46"/>
  <c r="F811" i="46"/>
  <c r="F347" i="46"/>
  <c r="F1162" i="46"/>
  <c r="K1162" i="46" s="1"/>
  <c r="J349" i="46"/>
  <c r="J317" i="46"/>
  <c r="J580" i="46"/>
  <c r="F68" i="46" l="1"/>
  <c r="K68" i="46" s="1"/>
  <c r="J58" i="46" l="1"/>
  <c r="F572" i="46"/>
  <c r="J687" i="46"/>
  <c r="K687" i="46" s="1"/>
  <c r="J312" i="46"/>
  <c r="J56" i="46"/>
  <c r="K56" i="46" s="1"/>
  <c r="J755" i="46"/>
  <c r="J988" i="46"/>
  <c r="J1131" i="46" l="1"/>
  <c r="J1130" i="46"/>
  <c r="J1404" i="46"/>
  <c r="J1363" i="46"/>
  <c r="J365" i="46"/>
  <c r="F1148" i="46"/>
  <c r="J129" i="46"/>
  <c r="K129" i="46" s="1"/>
  <c r="J517" i="46"/>
  <c r="J1449" i="46"/>
  <c r="J32" i="46"/>
  <c r="F253" i="46"/>
  <c r="J1319" i="46"/>
  <c r="F498" i="46"/>
  <c r="F499" i="46"/>
  <c r="F500" i="46"/>
  <c r="F497" i="46"/>
  <c r="J501" i="46"/>
  <c r="J499" i="46"/>
  <c r="J496" i="46"/>
  <c r="J877" i="46"/>
  <c r="J949" i="46"/>
  <c r="J943" i="46"/>
  <c r="J1365" i="46"/>
  <c r="K1365" i="46" s="1"/>
  <c r="J1277" i="46"/>
  <c r="J1150" i="46"/>
  <c r="J516" i="46"/>
  <c r="J888" i="46"/>
  <c r="J1448" i="46"/>
  <c r="J66" i="46"/>
  <c r="J1346" i="46"/>
  <c r="F264" i="46" l="1"/>
  <c r="F263" i="46"/>
  <c r="F862" i="46"/>
  <c r="F861" i="46"/>
  <c r="F1445" i="46" l="1"/>
  <c r="J1230" i="46"/>
  <c r="F676" i="46"/>
  <c r="J801" i="46"/>
  <c r="F66" i="46"/>
  <c r="K508" i="46"/>
  <c r="J683" i="46"/>
  <c r="F413" i="46"/>
  <c r="D706" i="46"/>
  <c r="J546" i="46"/>
  <c r="J1281" i="46"/>
  <c r="J1358" i="46"/>
  <c r="F1358" i="46"/>
  <c r="F923" i="46"/>
  <c r="F863" i="46"/>
  <c r="D1346" i="46"/>
  <c r="F1346" i="46" s="1"/>
  <c r="J527" i="46"/>
  <c r="K1346" i="46" l="1"/>
  <c r="K1358" i="46"/>
  <c r="F1441" i="46"/>
  <c r="F1431" i="46"/>
  <c r="F1439" i="46"/>
  <c r="F1440" i="46"/>
  <c r="F1432" i="46"/>
  <c r="F1433" i="46"/>
  <c r="F1436" i="46"/>
  <c r="J1244" i="46"/>
  <c r="J1045" i="46"/>
  <c r="F1045" i="46"/>
  <c r="J875" i="46"/>
  <c r="J508" i="46"/>
  <c r="K1045" i="46" l="1"/>
  <c r="E1430" i="46"/>
  <c r="F243" i="46"/>
  <c r="F671" i="46"/>
  <c r="F1428" i="46"/>
  <c r="F1427" i="46"/>
  <c r="F1426" i="46"/>
  <c r="F1425" i="46"/>
  <c r="F1424" i="46"/>
  <c r="J1422" i="46"/>
  <c r="F600" i="46"/>
  <c r="J1380" i="46" l="1"/>
  <c r="J173" i="46"/>
  <c r="J1182" i="46"/>
  <c r="F1012" i="46"/>
  <c r="J1325" i="46"/>
  <c r="F1325" i="46"/>
  <c r="F1324" i="46"/>
  <c r="J772" i="46"/>
  <c r="F773" i="46"/>
  <c r="F772" i="46"/>
  <c r="F556" i="46"/>
  <c r="J555" i="46"/>
  <c r="J1008" i="46"/>
  <c r="J1384" i="46"/>
  <c r="J1352" i="46"/>
  <c r="J1279" i="46"/>
  <c r="J1134" i="46"/>
  <c r="J1133" i="46"/>
  <c r="D567" i="46"/>
  <c r="D569" i="46" s="1"/>
  <c r="F569" i="46" s="1"/>
  <c r="F565" i="46"/>
  <c r="F564" i="46"/>
  <c r="F502" i="45"/>
  <c r="K1325" i="46" l="1"/>
  <c r="F567" i="46"/>
  <c r="K772" i="46"/>
  <c r="K564" i="46"/>
  <c r="F1419" i="46"/>
  <c r="F1418" i="46"/>
  <c r="F1238" i="46"/>
  <c r="F1062" i="46"/>
  <c r="F488" i="46"/>
  <c r="F1420" i="46"/>
  <c r="D589" i="45" l="1"/>
  <c r="D503" i="37"/>
  <c r="F503" i="37" s="1"/>
  <c r="F590" i="46" l="1"/>
  <c r="F171" i="46"/>
  <c r="J1361" i="46" l="1"/>
  <c r="F1360" i="46"/>
  <c r="F794" i="46"/>
  <c r="J326" i="46"/>
  <c r="F793" i="46"/>
  <c r="J1354" i="46"/>
  <c r="F1354" i="46"/>
  <c r="K1361" i="46" l="1"/>
  <c r="K1354" i="46"/>
  <c r="F1416" i="46"/>
  <c r="F1283" i="46"/>
  <c r="F426" i="45"/>
  <c r="F1282" i="46"/>
  <c r="K1182" i="46"/>
  <c r="J215" i="46"/>
  <c r="F539" i="46"/>
  <c r="F238" i="46"/>
  <c r="E239" i="46"/>
  <c r="F237" i="46"/>
  <c r="F236" i="46"/>
  <c r="F211" i="45"/>
  <c r="F312" i="46"/>
  <c r="J311" i="46"/>
  <c r="D439" i="46"/>
  <c r="F439" i="46" s="1"/>
  <c r="K436" i="46" s="1"/>
  <c r="F438" i="46"/>
  <c r="F437" i="46"/>
  <c r="J1122" i="46"/>
  <c r="D274" i="45"/>
  <c r="F274" i="45" s="1"/>
  <c r="J271" i="45"/>
  <c r="F1415" i="46"/>
  <c r="J833" i="46" l="1"/>
  <c r="J99" i="46"/>
  <c r="J1064" i="46"/>
  <c r="J746" i="46"/>
  <c r="J817" i="46"/>
  <c r="J134" i="46"/>
  <c r="J140" i="46"/>
  <c r="J275" i="46"/>
  <c r="J267" i="46"/>
  <c r="F1008" i="46" l="1"/>
  <c r="K1008" i="46" s="1"/>
  <c r="J49" i="46" l="1"/>
  <c r="J219" i="46"/>
  <c r="F971" i="46" l="1"/>
  <c r="F970" i="46"/>
  <c r="J261" i="46" l="1"/>
  <c r="F261" i="46"/>
  <c r="J6" i="46"/>
  <c r="J905" i="46"/>
  <c r="D907" i="46"/>
  <c r="D912" i="46" s="1"/>
  <c r="J1330" i="46"/>
  <c r="J81" i="46"/>
  <c r="J279" i="46"/>
  <c r="F217" i="46"/>
  <c r="D218" i="46"/>
  <c r="F218" i="46" s="1"/>
  <c r="J463" i="39"/>
  <c r="F912" i="46" l="1"/>
  <c r="D915" i="46"/>
  <c r="F907" i="46"/>
  <c r="K261" i="46"/>
  <c r="J1007" i="46"/>
  <c r="J1243" i="46"/>
  <c r="F915" i="46" l="1"/>
  <c r="F204" i="46"/>
  <c r="F821" i="39"/>
  <c r="D822" i="39"/>
  <c r="F822" i="39" s="1"/>
  <c r="F820" i="39"/>
  <c r="F449" i="46"/>
  <c r="F167" i="46"/>
  <c r="J1033" i="46" l="1"/>
  <c r="J1398" i="46"/>
  <c r="K1398" i="46" s="1"/>
  <c r="F134" i="46"/>
  <c r="J690" i="46"/>
  <c r="K690" i="46" s="1"/>
  <c r="F690" i="46"/>
  <c r="J873" i="46"/>
  <c r="D36" i="23"/>
  <c r="E36" i="23" s="1"/>
  <c r="B36" i="23"/>
  <c r="D35" i="23"/>
  <c r="E35" i="23"/>
  <c r="K134" i="46" l="1"/>
  <c r="F1409" i="46"/>
  <c r="J1405" i="46"/>
  <c r="K1405" i="46" s="1"/>
  <c r="F1404" i="46"/>
  <c r="K1404" i="46" s="1"/>
  <c r="F1401" i="46"/>
  <c r="F1400" i="46"/>
  <c r="F1397" i="46"/>
  <c r="F1394" i="46"/>
  <c r="J1392" i="46"/>
  <c r="F1392" i="46"/>
  <c r="F1391" i="46"/>
  <c r="F1388" i="46"/>
  <c r="K1389" i="46" s="1"/>
  <c r="F1385" i="46"/>
  <c r="F1384" i="46"/>
  <c r="F1383" i="46"/>
  <c r="F1382" i="46"/>
  <c r="F1381" i="46"/>
  <c r="F1379" i="46"/>
  <c r="J1378" i="46"/>
  <c r="F1378" i="46"/>
  <c r="F1377" i="46"/>
  <c r="F1374" i="46"/>
  <c r="K1375" i="46" s="1"/>
  <c r="J1373" i="46"/>
  <c r="F1373" i="46"/>
  <c r="F1371" i="46"/>
  <c r="K1372" i="46" s="1"/>
  <c r="F1370" i="46"/>
  <c r="F1367" i="46"/>
  <c r="F1366" i="46"/>
  <c r="J1362" i="46"/>
  <c r="F1362" i="46"/>
  <c r="K1363" i="46" s="1"/>
  <c r="J1357" i="46"/>
  <c r="F1357" i="46"/>
  <c r="F1353" i="46"/>
  <c r="F1350" i="46"/>
  <c r="K1352" i="46" s="1"/>
  <c r="J1349" i="46"/>
  <c r="K1349" i="46" s="1"/>
  <c r="F1348" i="46"/>
  <c r="J1333" i="46"/>
  <c r="F1332" i="46"/>
  <c r="J1331" i="46"/>
  <c r="K1331" i="46" s="1"/>
  <c r="F1329" i="46"/>
  <c r="K1330" i="46" s="1"/>
  <c r="J1327" i="46"/>
  <c r="F1326" i="46"/>
  <c r="K1326" i="46" s="1"/>
  <c r="J1320" i="46"/>
  <c r="F1320" i="46"/>
  <c r="F1317" i="46"/>
  <c r="K1319" i="46" s="1"/>
  <c r="F1313" i="46"/>
  <c r="J1312" i="46"/>
  <c r="F1312" i="46"/>
  <c r="F1311" i="46"/>
  <c r="F1310" i="46"/>
  <c r="F1309" i="46"/>
  <c r="F1308" i="46"/>
  <c r="F1307" i="46"/>
  <c r="F1306" i="46"/>
  <c r="F1305" i="46"/>
  <c r="F1304" i="46"/>
  <c r="J1301" i="46"/>
  <c r="F1301" i="46"/>
  <c r="F1299" i="46"/>
  <c r="K1300" i="46" s="1"/>
  <c r="J1297" i="46"/>
  <c r="F1293" i="46"/>
  <c r="J1292" i="46"/>
  <c r="F1291" i="46"/>
  <c r="J1290" i="46"/>
  <c r="F1290" i="46"/>
  <c r="J1289" i="46"/>
  <c r="F1287" i="46"/>
  <c r="F1286" i="46"/>
  <c r="J1285" i="46"/>
  <c r="F1284" i="46"/>
  <c r="F1281" i="46"/>
  <c r="K1281" i="46" s="1"/>
  <c r="J1280" i="46"/>
  <c r="F1280" i="46"/>
  <c r="F1279" i="46"/>
  <c r="K1279" i="46" s="1"/>
  <c r="F1277" i="46"/>
  <c r="K1277" i="46" s="1"/>
  <c r="F1276" i="46"/>
  <c r="F1275" i="46"/>
  <c r="K1275" i="46" s="1"/>
  <c r="J1274" i="46"/>
  <c r="F1273" i="46"/>
  <c r="F1272" i="46"/>
  <c r="F1271" i="46"/>
  <c r="J1267" i="46"/>
  <c r="F1267" i="46"/>
  <c r="J1266" i="46"/>
  <c r="F1265" i="46"/>
  <c r="J1264" i="46"/>
  <c r="F1263" i="46"/>
  <c r="J1262" i="46"/>
  <c r="F1261" i="46"/>
  <c r="J1260" i="46"/>
  <c r="F1260" i="46"/>
  <c r="J1259" i="46"/>
  <c r="F1259" i="46"/>
  <c r="J1257" i="46"/>
  <c r="F1257" i="46"/>
  <c r="J1256" i="46"/>
  <c r="F1255" i="46"/>
  <c r="J1254" i="46"/>
  <c r="F1252" i="46"/>
  <c r="F1251" i="46"/>
  <c r="F1250" i="46"/>
  <c r="J1248" i="46"/>
  <c r="K1248" i="46" s="1"/>
  <c r="F1246" i="46"/>
  <c r="J1245" i="46"/>
  <c r="F1245" i="46"/>
  <c r="F1243" i="46"/>
  <c r="K1243" i="46" s="1"/>
  <c r="J1242" i="46"/>
  <c r="F1239" i="46"/>
  <c r="J1236" i="46"/>
  <c r="F1235" i="46"/>
  <c r="J1232" i="46"/>
  <c r="K1232" i="46" s="1"/>
  <c r="J1229" i="46"/>
  <c r="F1228" i="46"/>
  <c r="J1227" i="46"/>
  <c r="F1227" i="46"/>
  <c r="J1225" i="46"/>
  <c r="J1224" i="46"/>
  <c r="J1223" i="46"/>
  <c r="F1222" i="46"/>
  <c r="J1220" i="46"/>
  <c r="F1219" i="46"/>
  <c r="J1217" i="46"/>
  <c r="F1217" i="46"/>
  <c r="J1216" i="46"/>
  <c r="F1216" i="46"/>
  <c r="J1215" i="46"/>
  <c r="J1214" i="46"/>
  <c r="F1214" i="46"/>
  <c r="F1213" i="46"/>
  <c r="J1212" i="46"/>
  <c r="J1211" i="46"/>
  <c r="F1211" i="46"/>
  <c r="J1210" i="46"/>
  <c r="J1209" i="46"/>
  <c r="F1209" i="46"/>
  <c r="J1208" i="46"/>
  <c r="F1208" i="46"/>
  <c r="F1207" i="46"/>
  <c r="J1206" i="46"/>
  <c r="F1206" i="46"/>
  <c r="J1205" i="46"/>
  <c r="F1204" i="46"/>
  <c r="D1203" i="46"/>
  <c r="F1203" i="46" s="1"/>
  <c r="F1202" i="46"/>
  <c r="F1201" i="46"/>
  <c r="F1199" i="46"/>
  <c r="J1198" i="46"/>
  <c r="F1198" i="46"/>
  <c r="J1197" i="46"/>
  <c r="J1196" i="46"/>
  <c r="J1195" i="46"/>
  <c r="F1195" i="46"/>
  <c r="J1194" i="46"/>
  <c r="F1194" i="46"/>
  <c r="J1193" i="46"/>
  <c r="F1193" i="46"/>
  <c r="J1192" i="46"/>
  <c r="F1192" i="46"/>
  <c r="J1191" i="46"/>
  <c r="F1191" i="46"/>
  <c r="F1190" i="46"/>
  <c r="J1189" i="46"/>
  <c r="K1189" i="46" s="1"/>
  <c r="F1188" i="46"/>
  <c r="F1187" i="46"/>
  <c r="J1186" i="46"/>
  <c r="F1186" i="46"/>
  <c r="J1185" i="46"/>
  <c r="F1185" i="46"/>
  <c r="J1184" i="46"/>
  <c r="K1184" i="46" s="1"/>
  <c r="F1181" i="46"/>
  <c r="J1180" i="46"/>
  <c r="F1180" i="46"/>
  <c r="J1179" i="46"/>
  <c r="F1179" i="46"/>
  <c r="J1178" i="46"/>
  <c r="F1178" i="46"/>
  <c r="J1177" i="46"/>
  <c r="F1177" i="46"/>
  <c r="J1176" i="46"/>
  <c r="F1176" i="46"/>
  <c r="J1175" i="46"/>
  <c r="J1174" i="46"/>
  <c r="F1174" i="46"/>
  <c r="J1173" i="46"/>
  <c r="F1173" i="46"/>
  <c r="J1172" i="46"/>
  <c r="F1172" i="46"/>
  <c r="J1171" i="46"/>
  <c r="F1171" i="46"/>
  <c r="J1170" i="46"/>
  <c r="F1170" i="46"/>
  <c r="J1169" i="46"/>
  <c r="F1169" i="46"/>
  <c r="J1168" i="46"/>
  <c r="F1168" i="46"/>
  <c r="K1168" i="46" s="1"/>
  <c r="J1166" i="46"/>
  <c r="F1166" i="46"/>
  <c r="J1165" i="46"/>
  <c r="F1165" i="46"/>
  <c r="J1164" i="46"/>
  <c r="F1164" i="46"/>
  <c r="J1163" i="46"/>
  <c r="F1163" i="46"/>
  <c r="J1161" i="46"/>
  <c r="K1161" i="46" s="1"/>
  <c r="J1159" i="46"/>
  <c r="K1159" i="46" s="1"/>
  <c r="F1159" i="46"/>
  <c r="J1158" i="46"/>
  <c r="J1157" i="46"/>
  <c r="E1157" i="46"/>
  <c r="J1156" i="46"/>
  <c r="D1156" i="46"/>
  <c r="F1156" i="46" s="1"/>
  <c r="F1155" i="46"/>
  <c r="F1154" i="46"/>
  <c r="D1153" i="46"/>
  <c r="F1153" i="46" s="1"/>
  <c r="F1151" i="46"/>
  <c r="F1150" i="46"/>
  <c r="J1147" i="46"/>
  <c r="F1147" i="46"/>
  <c r="J1146" i="46"/>
  <c r="F1146" i="46"/>
  <c r="J1145" i="46"/>
  <c r="F1145" i="46"/>
  <c r="J1144" i="46"/>
  <c r="F1144" i="46"/>
  <c r="J1143" i="46"/>
  <c r="F1143" i="46"/>
  <c r="J1142" i="46"/>
  <c r="F1142" i="46"/>
  <c r="J1141" i="46"/>
  <c r="F1141" i="46"/>
  <c r="J1140" i="46"/>
  <c r="F1140" i="46"/>
  <c r="J1139" i="46"/>
  <c r="F1139" i="46"/>
  <c r="J1138" i="46"/>
  <c r="F1138" i="46"/>
  <c r="F1137" i="46"/>
  <c r="J1136" i="46"/>
  <c r="F1135" i="46"/>
  <c r="F1133" i="46"/>
  <c r="J1132" i="46"/>
  <c r="J1129" i="46"/>
  <c r="F1129" i="46"/>
  <c r="J1128" i="46"/>
  <c r="F1128" i="46"/>
  <c r="J1126" i="46"/>
  <c r="F1126" i="46"/>
  <c r="J1125" i="46"/>
  <c r="F1125" i="46"/>
  <c r="J1124" i="46"/>
  <c r="F1124" i="46"/>
  <c r="F1123" i="46"/>
  <c r="F1119" i="46"/>
  <c r="F1117" i="46"/>
  <c r="J1116" i="46"/>
  <c r="J1115" i="46"/>
  <c r="J1114" i="46"/>
  <c r="J1113" i="46"/>
  <c r="F1113" i="46"/>
  <c r="J1110" i="46"/>
  <c r="F1110" i="46"/>
  <c r="K1111" i="46" s="1"/>
  <c r="J1109" i="46"/>
  <c r="F1109" i="46"/>
  <c r="F1108" i="46"/>
  <c r="F1106" i="46"/>
  <c r="F1105" i="46"/>
  <c r="J1104" i="46"/>
  <c r="F1104" i="46"/>
  <c r="J1103" i="46"/>
  <c r="J1102" i="46"/>
  <c r="F1102" i="46"/>
  <c r="F1099" i="46"/>
  <c r="F1098" i="46"/>
  <c r="J1097" i="46"/>
  <c r="F1097" i="46"/>
  <c r="F1091" i="46"/>
  <c r="J1090" i="46"/>
  <c r="F1090" i="46"/>
  <c r="J1089" i="46"/>
  <c r="F1089" i="46"/>
  <c r="J1088" i="46"/>
  <c r="J1085" i="46"/>
  <c r="F1085" i="46"/>
  <c r="F1084" i="46"/>
  <c r="J1083" i="46"/>
  <c r="F1083" i="46"/>
  <c r="J1082" i="46"/>
  <c r="K1082" i="46" s="1"/>
  <c r="F1082" i="46"/>
  <c r="D1081" i="46"/>
  <c r="J1080" i="46"/>
  <c r="F1080" i="46"/>
  <c r="F1079" i="46"/>
  <c r="J1078" i="46"/>
  <c r="F1078" i="46"/>
  <c r="F1077" i="46"/>
  <c r="J1076" i="46"/>
  <c r="F1076" i="46"/>
  <c r="J1075" i="46"/>
  <c r="K1075" i="46" s="1"/>
  <c r="F1074" i="46"/>
  <c r="F1073" i="46"/>
  <c r="J1072" i="46"/>
  <c r="K1072" i="46" s="1"/>
  <c r="J1071" i="46"/>
  <c r="F1071" i="46"/>
  <c r="D1070" i="46"/>
  <c r="F1069" i="46"/>
  <c r="F1068" i="46"/>
  <c r="J1067" i="46"/>
  <c r="F1067" i="46"/>
  <c r="F1064" i="46"/>
  <c r="K1064" i="46" s="1"/>
  <c r="J1063" i="46"/>
  <c r="F1063" i="46"/>
  <c r="F1061" i="46"/>
  <c r="J1060" i="46"/>
  <c r="F1060" i="46"/>
  <c r="D1058" i="46"/>
  <c r="F1057" i="46"/>
  <c r="J1055" i="46"/>
  <c r="K1055" i="46" s="1"/>
  <c r="J1054" i="46"/>
  <c r="K1054" i="46" s="1"/>
  <c r="E1054" i="46"/>
  <c r="J1053" i="46"/>
  <c r="F1053" i="46"/>
  <c r="J1052" i="46"/>
  <c r="F1052" i="46"/>
  <c r="J1051" i="46"/>
  <c r="F1051" i="46"/>
  <c r="J1050" i="46"/>
  <c r="F1050" i="46"/>
  <c r="J1049" i="46"/>
  <c r="F1049" i="46"/>
  <c r="F1046" i="46"/>
  <c r="F1044" i="46"/>
  <c r="F1043" i="46"/>
  <c r="F1042" i="46"/>
  <c r="F1041" i="46"/>
  <c r="J1040" i="46"/>
  <c r="F1040" i="46"/>
  <c r="F1035" i="46"/>
  <c r="K1035" i="46" s="1"/>
  <c r="F1033" i="46"/>
  <c r="K1033" i="46" s="1"/>
  <c r="J1032" i="46"/>
  <c r="J1031" i="46"/>
  <c r="F1031" i="46"/>
  <c r="J1030" i="46"/>
  <c r="F1030" i="46"/>
  <c r="J1029" i="46"/>
  <c r="F1029" i="46"/>
  <c r="J1028" i="46"/>
  <c r="F1028" i="46"/>
  <c r="J1027" i="46"/>
  <c r="F1027" i="46"/>
  <c r="J1026" i="46"/>
  <c r="K1026" i="46" s="1"/>
  <c r="J1025" i="46"/>
  <c r="F1025" i="46"/>
  <c r="J1024" i="46"/>
  <c r="F1024" i="46"/>
  <c r="J1023" i="46"/>
  <c r="F1023" i="46"/>
  <c r="J1020" i="46"/>
  <c r="K1020" i="46" s="1"/>
  <c r="J1018" i="46"/>
  <c r="F1018" i="46"/>
  <c r="J1017" i="46"/>
  <c r="F1017" i="46"/>
  <c r="F1016" i="46"/>
  <c r="J1015" i="46"/>
  <c r="F1015" i="46"/>
  <c r="J1014" i="46"/>
  <c r="F1014" i="46"/>
  <c r="J1013" i="46"/>
  <c r="F1013" i="46"/>
  <c r="F1011" i="46"/>
  <c r="F1009" i="46"/>
  <c r="F1001" i="46"/>
  <c r="K1007" i="46" s="1"/>
  <c r="F997" i="46"/>
  <c r="F996" i="46"/>
  <c r="F995" i="46"/>
  <c r="J994" i="46"/>
  <c r="F994" i="46"/>
  <c r="J992" i="46"/>
  <c r="F992" i="46"/>
  <c r="J991" i="46"/>
  <c r="F991" i="46"/>
  <c r="J990" i="46"/>
  <c r="F990" i="46"/>
  <c r="J989" i="46"/>
  <c r="F989" i="46"/>
  <c r="F987" i="46"/>
  <c r="J986" i="46"/>
  <c r="F986" i="46"/>
  <c r="J985" i="46"/>
  <c r="F985" i="46"/>
  <c r="J984" i="46"/>
  <c r="K984" i="46" s="1"/>
  <c r="E984" i="46"/>
  <c r="J983" i="46"/>
  <c r="F983" i="46"/>
  <c r="F982" i="46"/>
  <c r="J981" i="46"/>
  <c r="I981" i="46"/>
  <c r="F979" i="46"/>
  <c r="J978" i="46"/>
  <c r="F978" i="46"/>
  <c r="F977" i="46"/>
  <c r="J976" i="46"/>
  <c r="K976" i="46" s="1"/>
  <c r="F976" i="46"/>
  <c r="J975" i="46"/>
  <c r="J974" i="46"/>
  <c r="F974" i="46"/>
  <c r="J973" i="46"/>
  <c r="F973" i="46"/>
  <c r="J969" i="46"/>
  <c r="F969" i="46"/>
  <c r="J968" i="46"/>
  <c r="F968" i="46"/>
  <c r="J967" i="46"/>
  <c r="F967" i="46"/>
  <c r="J966" i="46"/>
  <c r="F966" i="46"/>
  <c r="J965" i="46"/>
  <c r="F965" i="46"/>
  <c r="J964" i="46"/>
  <c r="F964" i="46"/>
  <c r="J962" i="46"/>
  <c r="F962" i="46"/>
  <c r="J961" i="46"/>
  <c r="F961" i="46"/>
  <c r="J960" i="46"/>
  <c r="F960" i="46"/>
  <c r="J959" i="46"/>
  <c r="F959" i="46"/>
  <c r="J958" i="46"/>
  <c r="F958" i="46"/>
  <c r="J957" i="46"/>
  <c r="F957" i="46"/>
  <c r="J956" i="46"/>
  <c r="F956" i="46"/>
  <c r="J955" i="46"/>
  <c r="F955" i="46"/>
  <c r="F945" i="46"/>
  <c r="F941" i="46"/>
  <c r="J939" i="46"/>
  <c r="F939" i="46"/>
  <c r="K938" i="46"/>
  <c r="J938" i="46"/>
  <c r="F937" i="46"/>
  <c r="D931" i="46"/>
  <c r="D938" i="46" s="1"/>
  <c r="D940" i="46" s="1"/>
  <c r="D942" i="46" s="1"/>
  <c r="D946" i="46" s="1"/>
  <c r="D952" i="46" s="1"/>
  <c r="F930" i="46"/>
  <c r="F929" i="46"/>
  <c r="F928" i="46"/>
  <c r="F927" i="46"/>
  <c r="F926" i="46"/>
  <c r="F925" i="46"/>
  <c r="J924" i="46"/>
  <c r="K924" i="46" s="1"/>
  <c r="F921" i="46"/>
  <c r="J920" i="46"/>
  <c r="F920" i="46"/>
  <c r="J917" i="46"/>
  <c r="F917" i="46"/>
  <c r="J916" i="46"/>
  <c r="F916" i="46"/>
  <c r="F905" i="46"/>
  <c r="K905" i="46" s="1"/>
  <c r="F904" i="46"/>
  <c r="J903" i="46"/>
  <c r="F903" i="46"/>
  <c r="F902" i="46"/>
  <c r="F901" i="46"/>
  <c r="F898" i="46"/>
  <c r="F897" i="46"/>
  <c r="F896" i="46"/>
  <c r="J895" i="46"/>
  <c r="F895" i="46"/>
  <c r="F894" i="46"/>
  <c r="J893" i="46"/>
  <c r="F893" i="46"/>
  <c r="F892" i="46"/>
  <c r="J891" i="46"/>
  <c r="F891" i="46"/>
  <c r="J890" i="46"/>
  <c r="F890" i="46"/>
  <c r="J889" i="46"/>
  <c r="F889" i="46"/>
  <c r="D888" i="46"/>
  <c r="F888" i="46" s="1"/>
  <c r="K888" i="46" s="1"/>
  <c r="F887" i="46"/>
  <c r="F886" i="46"/>
  <c r="F885" i="46"/>
  <c r="J884" i="46"/>
  <c r="K884" i="46" s="1"/>
  <c r="J883" i="46"/>
  <c r="F883" i="46"/>
  <c r="J882" i="46"/>
  <c r="F882" i="46"/>
  <c r="J881" i="46"/>
  <c r="F881" i="46"/>
  <c r="J879" i="46"/>
  <c r="F879" i="46"/>
  <c r="F878" i="46"/>
  <c r="F877" i="46"/>
  <c r="J876" i="46"/>
  <c r="F876" i="46"/>
  <c r="F875" i="46"/>
  <c r="D873" i="46"/>
  <c r="F872" i="46"/>
  <c r="F871" i="46"/>
  <c r="F870" i="46"/>
  <c r="F869" i="46"/>
  <c r="F868" i="46"/>
  <c r="F867" i="46"/>
  <c r="J866" i="46"/>
  <c r="F866" i="46"/>
  <c r="J865" i="46"/>
  <c r="F865" i="46"/>
  <c r="J864" i="46"/>
  <c r="F864" i="46"/>
  <c r="J860" i="46"/>
  <c r="F860" i="46"/>
  <c r="J859" i="46"/>
  <c r="K859" i="46" s="1"/>
  <c r="F859" i="46"/>
  <c r="J858" i="46"/>
  <c r="F858" i="46"/>
  <c r="J853" i="46"/>
  <c r="J852" i="46"/>
  <c r="F852" i="46"/>
  <c r="D846" i="46"/>
  <c r="F846" i="46" s="1"/>
  <c r="F845" i="46"/>
  <c r="J844" i="46"/>
  <c r="F844" i="46"/>
  <c r="J843" i="46"/>
  <c r="F843" i="46"/>
  <c r="J842" i="46"/>
  <c r="F842" i="46"/>
  <c r="J840" i="46"/>
  <c r="F840" i="46"/>
  <c r="J839" i="46"/>
  <c r="F839" i="46"/>
  <c r="J838" i="46"/>
  <c r="K838" i="46" s="1"/>
  <c r="J837" i="46"/>
  <c r="F837" i="46"/>
  <c r="J836" i="46"/>
  <c r="F836" i="46"/>
  <c r="F833" i="46"/>
  <c r="K833" i="46" s="1"/>
  <c r="F827" i="46"/>
  <c r="F826" i="46"/>
  <c r="J825" i="46"/>
  <c r="F825" i="46"/>
  <c r="J824" i="46"/>
  <c r="K824" i="46" s="1"/>
  <c r="F820" i="46"/>
  <c r="J819" i="46"/>
  <c r="F819" i="46"/>
  <c r="J818" i="46"/>
  <c r="J816" i="46"/>
  <c r="F816" i="46"/>
  <c r="J810" i="46"/>
  <c r="F810" i="46"/>
  <c r="J809" i="46"/>
  <c r="F809" i="46"/>
  <c r="J808" i="46"/>
  <c r="F808" i="46"/>
  <c r="F807" i="46"/>
  <c r="F806" i="46"/>
  <c r="F805" i="46"/>
  <c r="J804" i="46"/>
  <c r="F804" i="46"/>
  <c r="F801" i="46"/>
  <c r="K801" i="46" s="1"/>
  <c r="J800" i="46"/>
  <c r="F800" i="46"/>
  <c r="J799" i="46"/>
  <c r="F799" i="46"/>
  <c r="F798" i="46"/>
  <c r="J797" i="46"/>
  <c r="J796" i="46"/>
  <c r="F796" i="46"/>
  <c r="J795" i="46"/>
  <c r="K795" i="46" s="1"/>
  <c r="J794" i="46"/>
  <c r="K794" i="46" s="1"/>
  <c r="J792" i="46"/>
  <c r="F792" i="46"/>
  <c r="J791" i="46"/>
  <c r="K791" i="46" s="1"/>
  <c r="J790" i="46"/>
  <c r="F790" i="46"/>
  <c r="K784" i="46"/>
  <c r="F783" i="46"/>
  <c r="F782" i="46"/>
  <c r="J781" i="46"/>
  <c r="F781" i="46"/>
  <c r="J780" i="46"/>
  <c r="K780" i="46" s="1"/>
  <c r="J779" i="46"/>
  <c r="K779" i="46" s="1"/>
  <c r="J776" i="46"/>
  <c r="F775" i="46"/>
  <c r="J774" i="46"/>
  <c r="F774" i="46"/>
  <c r="J770" i="46"/>
  <c r="F770" i="46"/>
  <c r="J769" i="46"/>
  <c r="F769" i="46"/>
  <c r="J768" i="46"/>
  <c r="F768" i="46"/>
  <c r="J767" i="46"/>
  <c r="F767" i="46"/>
  <c r="J762" i="46"/>
  <c r="F762" i="46"/>
  <c r="J761" i="46"/>
  <c r="K761" i="46" s="1"/>
  <c r="J760" i="46"/>
  <c r="F760" i="46"/>
  <c r="J759" i="46"/>
  <c r="F759" i="46"/>
  <c r="J758" i="46"/>
  <c r="F758" i="46"/>
  <c r="J757" i="46"/>
  <c r="K757" i="46" s="1"/>
  <c r="F757" i="46"/>
  <c r="J756" i="46"/>
  <c r="K756" i="46" s="1"/>
  <c r="F753" i="46"/>
  <c r="K755" i="46" s="1"/>
  <c r="J752" i="46"/>
  <c r="F752" i="46"/>
  <c r="J751" i="46"/>
  <c r="F751" i="46"/>
  <c r="J750" i="46"/>
  <c r="K750" i="46" s="1"/>
  <c r="E750" i="46"/>
  <c r="J749" i="46"/>
  <c r="K749" i="46" s="1"/>
  <c r="F748" i="46"/>
  <c r="F745" i="46"/>
  <c r="F744" i="46"/>
  <c r="J743" i="46"/>
  <c r="F742" i="46"/>
  <c r="F741" i="46"/>
  <c r="F740" i="46"/>
  <c r="F739" i="46"/>
  <c r="F738" i="46"/>
  <c r="F737" i="46"/>
  <c r="F736" i="46"/>
  <c r="F735" i="46"/>
  <c r="J733" i="46"/>
  <c r="F731" i="46"/>
  <c r="D730" i="46"/>
  <c r="F730" i="46" s="1"/>
  <c r="F729" i="46"/>
  <c r="F728" i="46"/>
  <c r="F726" i="46"/>
  <c r="F724" i="46"/>
  <c r="F723" i="46"/>
  <c r="F721" i="46"/>
  <c r="F720" i="46"/>
  <c r="F719" i="46"/>
  <c r="F718" i="46"/>
  <c r="D716" i="46"/>
  <c r="D717" i="46" s="1"/>
  <c r="D722" i="46" s="1"/>
  <c r="D725" i="46" s="1"/>
  <c r="D727" i="46" s="1"/>
  <c r="F715" i="46"/>
  <c r="F714" i="46"/>
  <c r="F713" i="46"/>
  <c r="F712" i="46"/>
  <c r="F711" i="46"/>
  <c r="J708" i="46"/>
  <c r="K708" i="46" s="1"/>
  <c r="F708" i="46"/>
  <c r="F699" i="46"/>
  <c r="J698" i="46"/>
  <c r="F698" i="46"/>
  <c r="F697" i="46"/>
  <c r="J696" i="46"/>
  <c r="F696" i="46"/>
  <c r="J695" i="46"/>
  <c r="F695" i="46"/>
  <c r="F694" i="46"/>
  <c r="K694" i="46" s="1"/>
  <c r="J689" i="46"/>
  <c r="F689" i="46"/>
  <c r="J685" i="46"/>
  <c r="F685" i="46"/>
  <c r="K683" i="46"/>
  <c r="J682" i="46"/>
  <c r="F682" i="46"/>
  <c r="J681" i="46"/>
  <c r="F681" i="46"/>
  <c r="J678" i="46"/>
  <c r="F678" i="46"/>
  <c r="J677" i="46"/>
  <c r="F677" i="46"/>
  <c r="F673" i="46"/>
  <c r="J672" i="46"/>
  <c r="F670" i="46"/>
  <c r="J669" i="46"/>
  <c r="F669" i="46"/>
  <c r="F667" i="46"/>
  <c r="J666" i="46"/>
  <c r="F666" i="46"/>
  <c r="J665" i="46"/>
  <c r="F665" i="46"/>
  <c r="J664" i="46"/>
  <c r="F664" i="46"/>
  <c r="F663" i="46"/>
  <c r="J662" i="46"/>
  <c r="J661" i="46"/>
  <c r="F661" i="46"/>
  <c r="J660" i="46"/>
  <c r="F660" i="46"/>
  <c r="F659" i="46"/>
  <c r="J658" i="46"/>
  <c r="F658" i="46"/>
  <c r="J657" i="46"/>
  <c r="F657" i="46"/>
  <c r="J656" i="46"/>
  <c r="F656" i="46"/>
  <c r="F654" i="46"/>
  <c r="J653" i="46"/>
  <c r="F653" i="46"/>
  <c r="D652" i="46"/>
  <c r="F652" i="46" s="1"/>
  <c r="F649" i="46"/>
  <c r="F648" i="46"/>
  <c r="F646" i="46"/>
  <c r="D642" i="46"/>
  <c r="D645" i="46" s="1"/>
  <c r="D639" i="46"/>
  <c r="D634" i="46"/>
  <c r="D638" i="46" s="1"/>
  <c r="J626" i="46"/>
  <c r="F626" i="46"/>
  <c r="J625" i="46"/>
  <c r="F625" i="46"/>
  <c r="J624" i="46"/>
  <c r="K624" i="46" s="1"/>
  <c r="J623" i="46"/>
  <c r="F623" i="46"/>
  <c r="J622" i="46"/>
  <c r="F622" i="46"/>
  <c r="D621" i="46"/>
  <c r="F621" i="46" s="1"/>
  <c r="K616" i="46" s="1"/>
  <c r="F620" i="46"/>
  <c r="F619" i="46"/>
  <c r="F618" i="46"/>
  <c r="F617" i="46"/>
  <c r="F616" i="46"/>
  <c r="J615" i="46"/>
  <c r="F615" i="46"/>
  <c r="F614" i="46"/>
  <c r="F611" i="46"/>
  <c r="J610" i="46"/>
  <c r="F610" i="46"/>
  <c r="D609" i="46"/>
  <c r="F609" i="46" s="1"/>
  <c r="F608" i="46"/>
  <c r="F607" i="46"/>
  <c r="J606" i="46"/>
  <c r="F606" i="46"/>
  <c r="J605" i="46"/>
  <c r="F605" i="46"/>
  <c r="J604" i="46"/>
  <c r="F604" i="46"/>
  <c r="F603" i="46"/>
  <c r="J602" i="46"/>
  <c r="F602" i="46"/>
  <c r="J601" i="46"/>
  <c r="K601" i="46" s="1"/>
  <c r="D598" i="46"/>
  <c r="F598" i="46" s="1"/>
  <c r="F597" i="46"/>
  <c r="F596" i="46"/>
  <c r="F595" i="46"/>
  <c r="J594" i="46"/>
  <c r="F594" i="46"/>
  <c r="J593" i="46"/>
  <c r="F593" i="46"/>
  <c r="J592" i="46"/>
  <c r="F592" i="46"/>
  <c r="F588" i="46"/>
  <c r="F587" i="46"/>
  <c r="F585" i="46"/>
  <c r="F584" i="46"/>
  <c r="F583" i="46"/>
  <c r="D582" i="46"/>
  <c r="D586" i="46" s="1"/>
  <c r="D589" i="46" s="1"/>
  <c r="D591" i="46" s="1"/>
  <c r="F591" i="46" s="1"/>
  <c r="F581" i="46"/>
  <c r="F580" i="46"/>
  <c r="J579" i="46"/>
  <c r="F579" i="46"/>
  <c r="J578" i="46"/>
  <c r="F578" i="46"/>
  <c r="J577" i="46"/>
  <c r="F577" i="46"/>
  <c r="J576" i="46"/>
  <c r="K576" i="46" s="1"/>
  <c r="J575" i="46"/>
  <c r="F575" i="46"/>
  <c r="J574" i="46"/>
  <c r="F574" i="46"/>
  <c r="J573" i="46"/>
  <c r="F573" i="46"/>
  <c r="F571" i="46"/>
  <c r="K571" i="46" s="1"/>
  <c r="J570" i="46"/>
  <c r="F570" i="46"/>
  <c r="K561" i="46"/>
  <c r="D561" i="46"/>
  <c r="D563" i="46" s="1"/>
  <c r="F559" i="46"/>
  <c r="F558" i="46"/>
  <c r="F557" i="46"/>
  <c r="F554" i="46"/>
  <c r="F553" i="46"/>
  <c r="F552" i="46"/>
  <c r="J551" i="46"/>
  <c r="F551" i="46"/>
  <c r="J550" i="46"/>
  <c r="F550" i="46"/>
  <c r="J549" i="46"/>
  <c r="F549" i="46"/>
  <c r="J548" i="46"/>
  <c r="F548" i="46"/>
  <c r="F546" i="46"/>
  <c r="F545" i="46"/>
  <c r="J543" i="46"/>
  <c r="F543" i="46"/>
  <c r="J542" i="46"/>
  <c r="F542" i="46"/>
  <c r="J541" i="46"/>
  <c r="K541" i="46" s="1"/>
  <c r="E541" i="46"/>
  <c r="J540" i="46"/>
  <c r="K540" i="46" s="1"/>
  <c r="J538" i="46"/>
  <c r="E538" i="46"/>
  <c r="F537" i="46"/>
  <c r="J536" i="46"/>
  <c r="F536" i="46"/>
  <c r="J535" i="46"/>
  <c r="F535" i="46"/>
  <c r="F534" i="46"/>
  <c r="J533" i="46"/>
  <c r="F533" i="46"/>
  <c r="F532" i="46"/>
  <c r="F531" i="46"/>
  <c r="J530" i="46"/>
  <c r="F530" i="46"/>
  <c r="F528" i="46"/>
  <c r="F527" i="46"/>
  <c r="J526" i="46"/>
  <c r="F526" i="46"/>
  <c r="J521" i="46"/>
  <c r="K521" i="46" s="1"/>
  <c r="F520" i="46"/>
  <c r="F519" i="46"/>
  <c r="F518" i="46"/>
  <c r="D515" i="46"/>
  <c r="F515" i="46" s="1"/>
  <c r="F514" i="46"/>
  <c r="F513" i="46"/>
  <c r="F512" i="46"/>
  <c r="J511" i="46"/>
  <c r="F511" i="46"/>
  <c r="F507" i="46"/>
  <c r="F506" i="46"/>
  <c r="J505" i="46"/>
  <c r="F505" i="46"/>
  <c r="F504" i="46"/>
  <c r="J503" i="46"/>
  <c r="F503" i="46"/>
  <c r="J502" i="46"/>
  <c r="F502" i="46"/>
  <c r="J495" i="46"/>
  <c r="F495" i="46"/>
  <c r="J494" i="46"/>
  <c r="F494" i="46"/>
  <c r="J493" i="46"/>
  <c r="F493" i="46"/>
  <c r="J492" i="46"/>
  <c r="F492" i="46"/>
  <c r="F491" i="46"/>
  <c r="J490" i="46"/>
  <c r="F490" i="46"/>
  <c r="J489" i="46"/>
  <c r="F489" i="46"/>
  <c r="F485" i="46"/>
  <c r="J484" i="46"/>
  <c r="F484" i="46"/>
  <c r="F483" i="46"/>
  <c r="J482" i="46"/>
  <c r="F482" i="46"/>
  <c r="J481" i="46"/>
  <c r="F481" i="46"/>
  <c r="J480" i="46"/>
  <c r="F480" i="46"/>
  <c r="J479" i="46"/>
  <c r="K479" i="46" s="1"/>
  <c r="E479" i="46"/>
  <c r="J478" i="46"/>
  <c r="F478" i="46"/>
  <c r="F477" i="46"/>
  <c r="F476" i="46"/>
  <c r="J475" i="46"/>
  <c r="F475" i="46"/>
  <c r="K475" i="46" s="1"/>
  <c r="J474" i="46"/>
  <c r="F474" i="46"/>
  <c r="F470" i="46"/>
  <c r="J469" i="46"/>
  <c r="F469" i="46"/>
  <c r="J468" i="46"/>
  <c r="F468" i="46"/>
  <c r="D467" i="46"/>
  <c r="F467" i="46" s="1"/>
  <c r="F466" i="46"/>
  <c r="F465" i="46"/>
  <c r="J464" i="46"/>
  <c r="F464" i="46"/>
  <c r="J463" i="46"/>
  <c r="F463" i="46"/>
  <c r="J462" i="46"/>
  <c r="F462" i="46"/>
  <c r="J461" i="46"/>
  <c r="F461" i="46"/>
  <c r="F460" i="46"/>
  <c r="K460" i="46" s="1"/>
  <c r="J459" i="46"/>
  <c r="J458" i="46"/>
  <c r="F458" i="46"/>
  <c r="J457" i="46"/>
  <c r="F457" i="46"/>
  <c r="J456" i="46"/>
  <c r="F456" i="46"/>
  <c r="J455" i="46"/>
  <c r="F455" i="46"/>
  <c r="J454" i="46"/>
  <c r="K454" i="46" s="1"/>
  <c r="F452" i="46"/>
  <c r="F451" i="46"/>
  <c r="J450" i="46"/>
  <c r="F450" i="46"/>
  <c r="J448" i="46"/>
  <c r="F448" i="46"/>
  <c r="F447" i="46"/>
  <c r="J446" i="46"/>
  <c r="F446" i="46"/>
  <c r="J445" i="46"/>
  <c r="F445" i="46"/>
  <c r="J444" i="46"/>
  <c r="F444" i="46"/>
  <c r="J443" i="46"/>
  <c r="F443" i="46"/>
  <c r="J442" i="46"/>
  <c r="F442" i="46"/>
  <c r="J441" i="46"/>
  <c r="F441" i="46"/>
  <c r="J440" i="46"/>
  <c r="K440" i="46" s="1"/>
  <c r="F436" i="46"/>
  <c r="J435" i="46"/>
  <c r="F435" i="46"/>
  <c r="J434" i="46"/>
  <c r="F434" i="46"/>
  <c r="J433" i="46"/>
  <c r="K433" i="46" s="1"/>
  <c r="F432" i="46"/>
  <c r="J431" i="46"/>
  <c r="F431" i="46"/>
  <c r="F430" i="46"/>
  <c r="F429" i="46"/>
  <c r="F428" i="46"/>
  <c r="J427" i="46"/>
  <c r="F427" i="46"/>
  <c r="J426" i="46"/>
  <c r="F426" i="46"/>
  <c r="J425" i="46"/>
  <c r="K425" i="46" s="1"/>
  <c r="F425" i="46"/>
  <c r="F424" i="46"/>
  <c r="J423" i="46"/>
  <c r="F423" i="46"/>
  <c r="J414" i="46"/>
  <c r="F414" i="46"/>
  <c r="K409" i="46"/>
  <c r="J408" i="46"/>
  <c r="F408" i="46"/>
  <c r="F407" i="46"/>
  <c r="J406" i="46"/>
  <c r="F406" i="46"/>
  <c r="J405" i="46"/>
  <c r="F405" i="46"/>
  <c r="J404" i="46"/>
  <c r="F404" i="46"/>
  <c r="J403" i="46"/>
  <c r="F403" i="46"/>
  <c r="J402" i="46"/>
  <c r="F402" i="46"/>
  <c r="J401" i="46"/>
  <c r="F401" i="46"/>
  <c r="J400" i="46"/>
  <c r="F400" i="46"/>
  <c r="F399" i="46"/>
  <c r="F398" i="46"/>
  <c r="J396" i="46"/>
  <c r="F396" i="46"/>
  <c r="J395" i="46"/>
  <c r="K395" i="46" s="1"/>
  <c r="F393" i="46"/>
  <c r="J392" i="46"/>
  <c r="F392" i="46"/>
  <c r="J390" i="46"/>
  <c r="F390" i="46"/>
  <c r="J389" i="46"/>
  <c r="F389" i="46"/>
  <c r="J388" i="46"/>
  <c r="F388" i="46"/>
  <c r="F386" i="46"/>
  <c r="F385" i="46"/>
  <c r="J384" i="46"/>
  <c r="F384" i="46"/>
  <c r="J383" i="46"/>
  <c r="F383" i="46"/>
  <c r="J382" i="46"/>
  <c r="F382" i="46"/>
  <c r="J381" i="46"/>
  <c r="K381" i="46" s="1"/>
  <c r="J380" i="46"/>
  <c r="F380" i="46"/>
  <c r="J377" i="46"/>
  <c r="F377" i="46"/>
  <c r="J376" i="46"/>
  <c r="J375" i="46"/>
  <c r="F375" i="46"/>
  <c r="J374" i="46"/>
  <c r="F374" i="46"/>
  <c r="J373" i="46"/>
  <c r="F373" i="46"/>
  <c r="F372" i="46"/>
  <c r="F371" i="46"/>
  <c r="J370" i="46"/>
  <c r="F370" i="46"/>
  <c r="F369" i="46"/>
  <c r="J368" i="46"/>
  <c r="F368" i="46"/>
  <c r="J367" i="46"/>
  <c r="F367" i="46"/>
  <c r="J366" i="46"/>
  <c r="F366" i="46"/>
  <c r="J364" i="46"/>
  <c r="F364" i="46"/>
  <c r="D363" i="46"/>
  <c r="F363" i="46" s="1"/>
  <c r="J362" i="46"/>
  <c r="F362" i="46"/>
  <c r="J361" i="46"/>
  <c r="F360" i="46"/>
  <c r="F359" i="46"/>
  <c r="F358" i="46"/>
  <c r="J357" i="46"/>
  <c r="F357" i="46"/>
  <c r="F356" i="46"/>
  <c r="K356" i="46" s="1"/>
  <c r="J355" i="46"/>
  <c r="F355" i="46"/>
  <c r="J354" i="46"/>
  <c r="F354" i="46"/>
  <c r="F353" i="46"/>
  <c r="F352" i="46"/>
  <c r="F351" i="46"/>
  <c r="F350" i="46"/>
  <c r="F349" i="46"/>
  <c r="J348" i="46"/>
  <c r="F348" i="46"/>
  <c r="J346" i="46"/>
  <c r="F346" i="46"/>
  <c r="J345" i="46"/>
  <c r="F345" i="46"/>
  <c r="F344" i="46"/>
  <c r="J343" i="46"/>
  <c r="F343" i="46"/>
  <c r="F342" i="46"/>
  <c r="K342" i="46" s="1"/>
  <c r="J341" i="46"/>
  <c r="F341" i="46"/>
  <c r="J340" i="46"/>
  <c r="F340" i="46"/>
  <c r="J339" i="46"/>
  <c r="F339" i="46"/>
  <c r="J332" i="46"/>
  <c r="F332" i="46"/>
  <c r="J331" i="46"/>
  <c r="F331" i="46"/>
  <c r="J330" i="46"/>
  <c r="F330" i="46"/>
  <c r="J329" i="46"/>
  <c r="F329" i="46"/>
  <c r="J328" i="46"/>
  <c r="F328" i="46"/>
  <c r="F326" i="46"/>
  <c r="F325" i="46"/>
  <c r="J324" i="46"/>
  <c r="F324" i="46"/>
  <c r="J323" i="46"/>
  <c r="F323" i="46"/>
  <c r="J322" i="46"/>
  <c r="F322" i="46"/>
  <c r="F321" i="46"/>
  <c r="F320" i="46"/>
  <c r="J319" i="46"/>
  <c r="F319" i="46"/>
  <c r="K317" i="46"/>
  <c r="J316" i="46"/>
  <c r="F316" i="46"/>
  <c r="J315" i="46"/>
  <c r="F315" i="46"/>
  <c r="J314" i="46"/>
  <c r="F314" i="46"/>
  <c r="J313" i="46"/>
  <c r="F313" i="46"/>
  <c r="J310" i="46"/>
  <c r="F310" i="46"/>
  <c r="J309" i="46"/>
  <c r="K309" i="46" s="1"/>
  <c r="J308" i="46"/>
  <c r="F308" i="46"/>
  <c r="J307" i="46"/>
  <c r="F307" i="46"/>
  <c r="J306" i="46"/>
  <c r="F306" i="46"/>
  <c r="F300" i="46"/>
  <c r="K304" i="46" s="1"/>
  <c r="J299" i="46"/>
  <c r="F299" i="46"/>
  <c r="J298" i="46"/>
  <c r="F298" i="46"/>
  <c r="J297" i="46"/>
  <c r="K297" i="46" s="1"/>
  <c r="F295" i="46"/>
  <c r="F294" i="46"/>
  <c r="J293" i="46"/>
  <c r="F293" i="46"/>
  <c r="J292" i="46"/>
  <c r="F292" i="46"/>
  <c r="K290" i="46"/>
  <c r="J288" i="46"/>
  <c r="F288" i="46"/>
  <c r="J286" i="46"/>
  <c r="K286" i="46" s="1"/>
  <c r="J285" i="46"/>
  <c r="F285" i="46"/>
  <c r="D283" i="46"/>
  <c r="F283" i="46" s="1"/>
  <c r="F282" i="46"/>
  <c r="F281" i="46"/>
  <c r="J280" i="46"/>
  <c r="F280" i="46"/>
  <c r="F279" i="46"/>
  <c r="J278" i="46"/>
  <c r="F278" i="46"/>
  <c r="J277" i="46"/>
  <c r="F277" i="46"/>
  <c r="D273" i="46"/>
  <c r="F273" i="46" s="1"/>
  <c r="F272" i="46"/>
  <c r="F271" i="46"/>
  <c r="F270" i="46"/>
  <c r="F267" i="46"/>
  <c r="J266" i="46"/>
  <c r="F266" i="46"/>
  <c r="J265" i="46"/>
  <c r="K265" i="46" s="1"/>
  <c r="F260" i="46"/>
  <c r="J259" i="46"/>
  <c r="F259" i="46"/>
  <c r="J258" i="46"/>
  <c r="K258" i="46" s="1"/>
  <c r="J257" i="46"/>
  <c r="F257" i="46"/>
  <c r="J256" i="46"/>
  <c r="K256" i="46" s="1"/>
  <c r="J255" i="46"/>
  <c r="F255" i="46"/>
  <c r="F254" i="46"/>
  <c r="J254" i="46" s="1"/>
  <c r="F252" i="46"/>
  <c r="J251" i="46"/>
  <c r="E251" i="46"/>
  <c r="F250" i="46"/>
  <c r="F249" i="46"/>
  <c r="F247" i="46"/>
  <c r="J246" i="46"/>
  <c r="F246" i="46"/>
  <c r="F242" i="46"/>
  <c r="F241" i="46"/>
  <c r="J240" i="46"/>
  <c r="F240" i="46"/>
  <c r="F234" i="46"/>
  <c r="K234" i="46" s="1"/>
  <c r="D233" i="46"/>
  <c r="F232" i="46"/>
  <c r="F231" i="46"/>
  <c r="J228" i="46"/>
  <c r="J227" i="46"/>
  <c r="F227" i="46"/>
  <c r="K219" i="46"/>
  <c r="J216" i="46"/>
  <c r="F216" i="46"/>
  <c r="F215" i="46"/>
  <c r="K215" i="46" s="1"/>
  <c r="F209" i="46"/>
  <c r="F210" i="46" s="1"/>
  <c r="E210" i="46" s="1"/>
  <c r="J208" i="46"/>
  <c r="K208" i="46" s="1"/>
  <c r="J207" i="46"/>
  <c r="F207" i="46"/>
  <c r="J206" i="46"/>
  <c r="F206" i="46"/>
  <c r="J205" i="46"/>
  <c r="F205" i="46"/>
  <c r="J204" i="46"/>
  <c r="K204" i="46" s="1"/>
  <c r="J203" i="46"/>
  <c r="K203" i="46" s="1"/>
  <c r="F198" i="46"/>
  <c r="F197" i="46"/>
  <c r="J196" i="46"/>
  <c r="F196" i="46"/>
  <c r="J195" i="46"/>
  <c r="F195" i="46"/>
  <c r="J194" i="46"/>
  <c r="F194" i="46"/>
  <c r="F193" i="46"/>
  <c r="F192" i="46"/>
  <c r="J191" i="46"/>
  <c r="F191" i="46"/>
  <c r="J190" i="46"/>
  <c r="F190" i="46"/>
  <c r="J188" i="46"/>
  <c r="J185" i="46"/>
  <c r="F184" i="46"/>
  <c r="F183" i="46"/>
  <c r="J182" i="46"/>
  <c r="F182" i="46"/>
  <c r="J181" i="46"/>
  <c r="F181" i="46"/>
  <c r="J180" i="46"/>
  <c r="F180" i="46"/>
  <c r="D178" i="46"/>
  <c r="F177" i="46"/>
  <c r="F176" i="46"/>
  <c r="F175" i="46"/>
  <c r="F174" i="46"/>
  <c r="J172" i="46"/>
  <c r="F172" i="46"/>
  <c r="F170" i="46"/>
  <c r="F169" i="46"/>
  <c r="J168" i="46"/>
  <c r="F168" i="46"/>
  <c r="F166" i="46"/>
  <c r="F165" i="46"/>
  <c r="J164" i="46"/>
  <c r="F164" i="46"/>
  <c r="J161" i="46"/>
  <c r="F161" i="46"/>
  <c r="J160" i="46"/>
  <c r="F160" i="46"/>
  <c r="J159" i="46"/>
  <c r="F159" i="46"/>
  <c r="F157" i="46"/>
  <c r="J153" i="46"/>
  <c r="K153" i="46" s="1"/>
  <c r="F153" i="46"/>
  <c r="F151" i="46"/>
  <c r="F150" i="46"/>
  <c r="J149" i="46"/>
  <c r="F148" i="46"/>
  <c r="J147" i="46"/>
  <c r="F147" i="46"/>
  <c r="F146" i="46"/>
  <c r="J145" i="46"/>
  <c r="F145" i="46"/>
  <c r="D144" i="46"/>
  <c r="F144" i="46" s="1"/>
  <c r="J142" i="46"/>
  <c r="F140" i="46"/>
  <c r="F128" i="46"/>
  <c r="D127" i="46"/>
  <c r="J126" i="46"/>
  <c r="J124" i="46"/>
  <c r="K124" i="46" s="1"/>
  <c r="D123" i="46"/>
  <c r="F123" i="46" s="1"/>
  <c r="F122" i="46"/>
  <c r="J119" i="46"/>
  <c r="F119" i="46"/>
  <c r="F118" i="46"/>
  <c r="F117" i="46"/>
  <c r="J116" i="46"/>
  <c r="F116" i="46"/>
  <c r="J115" i="46"/>
  <c r="K115" i="46" s="1"/>
  <c r="E115" i="46"/>
  <c r="J113" i="46"/>
  <c r="F112" i="46"/>
  <c r="J111" i="46"/>
  <c r="F111" i="46"/>
  <c r="F108" i="46"/>
  <c r="J108" i="46"/>
  <c r="J107" i="46"/>
  <c r="F107" i="46"/>
  <c r="F103" i="46"/>
  <c r="F98" i="46"/>
  <c r="F97" i="46"/>
  <c r="F96" i="46"/>
  <c r="F94" i="46"/>
  <c r="F91" i="46"/>
  <c r="F89" i="46"/>
  <c r="D88" i="46"/>
  <c r="D90" i="46" s="1"/>
  <c r="J87" i="46"/>
  <c r="F87" i="46"/>
  <c r="J86" i="46"/>
  <c r="F86" i="46"/>
  <c r="F85" i="46"/>
  <c r="K81" i="46" s="1"/>
  <c r="F82" i="46"/>
  <c r="F81" i="46"/>
  <c r="K80" i="46"/>
  <c r="J79" i="46"/>
  <c r="F79" i="46"/>
  <c r="J78" i="46"/>
  <c r="F78" i="46"/>
  <c r="K77" i="46"/>
  <c r="J76" i="46"/>
  <c r="F76" i="46"/>
  <c r="F74" i="46"/>
  <c r="F73" i="46"/>
  <c r="J72" i="46"/>
  <c r="F72" i="46"/>
  <c r="J71" i="46"/>
  <c r="F71" i="46"/>
  <c r="J70" i="46"/>
  <c r="F70" i="46"/>
  <c r="J69" i="46"/>
  <c r="K69" i="46" s="1"/>
  <c r="K66" i="46"/>
  <c r="F65" i="46"/>
  <c r="F64" i="46"/>
  <c r="J63" i="46"/>
  <c r="F63" i="46"/>
  <c r="J62" i="46"/>
  <c r="F62" i="46"/>
  <c r="J61" i="46"/>
  <c r="F61" i="46"/>
  <c r="J59" i="46"/>
  <c r="F59" i="46"/>
  <c r="F56" i="46"/>
  <c r="K58" i="46" s="1"/>
  <c r="D55" i="46"/>
  <c r="F55" i="46" s="1"/>
  <c r="F54" i="46"/>
  <c r="F53" i="46"/>
  <c r="J52" i="46"/>
  <c r="F52" i="46"/>
  <c r="J51" i="46"/>
  <c r="F51" i="46"/>
  <c r="F49" i="46"/>
  <c r="K49" i="46" s="1"/>
  <c r="F47" i="46"/>
  <c r="J46" i="46"/>
  <c r="K46" i="46" s="1"/>
  <c r="F45" i="46"/>
  <c r="F44" i="46"/>
  <c r="J43" i="46"/>
  <c r="F43" i="46"/>
  <c r="F42" i="46"/>
  <c r="K40" i="46" s="1"/>
  <c r="J40" i="46"/>
  <c r="E40" i="46"/>
  <c r="J39" i="46"/>
  <c r="F39" i="46"/>
  <c r="D38" i="46"/>
  <c r="F38" i="46" s="1"/>
  <c r="F37" i="46"/>
  <c r="F36" i="46"/>
  <c r="J35" i="46"/>
  <c r="F35" i="46"/>
  <c r="J34" i="46"/>
  <c r="F34" i="46"/>
  <c r="F33" i="46"/>
  <c r="K32" i="46" s="1"/>
  <c r="F32" i="46"/>
  <c r="J31" i="46"/>
  <c r="F31" i="46"/>
  <c r="J30" i="46"/>
  <c r="F30" i="46"/>
  <c r="J29" i="46"/>
  <c r="F29" i="46"/>
  <c r="J27" i="46"/>
  <c r="K27" i="46" s="1"/>
  <c r="E27" i="46"/>
  <c r="F26" i="46"/>
  <c r="J25" i="46"/>
  <c r="F25" i="46"/>
  <c r="F21" i="46"/>
  <c r="F20" i="46"/>
  <c r="F19" i="46"/>
  <c r="F18" i="46"/>
  <c r="F17" i="46"/>
  <c r="F16" i="46"/>
  <c r="F15" i="46"/>
  <c r="J14" i="46"/>
  <c r="F14" i="46"/>
  <c r="J13" i="46"/>
  <c r="F13" i="46"/>
  <c r="J12" i="46"/>
  <c r="F12" i="46"/>
  <c r="J11" i="46"/>
  <c r="F11" i="46"/>
  <c r="J10" i="46"/>
  <c r="F10" i="46"/>
  <c r="D9" i="46"/>
  <c r="F9" i="46" s="1"/>
  <c r="K6" i="46" s="1"/>
  <c r="F6" i="46"/>
  <c r="J5" i="46"/>
  <c r="K5" i="46" s="1"/>
  <c r="F4" i="46"/>
  <c r="J3" i="46"/>
  <c r="F3" i="46"/>
  <c r="J2" i="46"/>
  <c r="K2" i="46" s="1"/>
  <c r="K44" i="46" l="1"/>
  <c r="K1285" i="46"/>
  <c r="K1217" i="46"/>
  <c r="K43" i="46"/>
  <c r="K390" i="46"/>
  <c r="K580" i="46"/>
  <c r="K587" i="46"/>
  <c r="K610" i="46"/>
  <c r="K897" i="46"/>
  <c r="K1297" i="46"/>
  <c r="K349" i="46"/>
  <c r="K351" i="46"/>
  <c r="K543" i="46"/>
  <c r="K400" i="46"/>
  <c r="K1373" i="46"/>
  <c r="K358" i="46"/>
  <c r="K361" i="46"/>
  <c r="K119" i="46"/>
  <c r="K1131" i="46"/>
  <c r="K1130" i="46"/>
  <c r="K1147" i="46"/>
  <c r="K251" i="46"/>
  <c r="K606" i="46"/>
  <c r="K3" i="46"/>
  <c r="K530" i="46"/>
  <c r="K533" i="46"/>
  <c r="K969" i="46"/>
  <c r="K1136" i="46"/>
  <c r="K551" i="46"/>
  <c r="K1023" i="46"/>
  <c r="K1242" i="46"/>
  <c r="K448" i="46"/>
  <c r="K1143" i="46"/>
  <c r="K1145" i="46"/>
  <c r="K1163" i="46"/>
  <c r="K1198" i="46"/>
  <c r="K1256" i="46"/>
  <c r="K1028" i="46"/>
  <c r="K464" i="46"/>
  <c r="K511" i="46"/>
  <c r="K768" i="46"/>
  <c r="K770" i="46"/>
  <c r="K796" i="46"/>
  <c r="K799" i="46"/>
  <c r="K889" i="46"/>
  <c r="K149" i="46"/>
  <c r="K844" i="46"/>
  <c r="K890" i="46"/>
  <c r="K903" i="46"/>
  <c r="K164" i="46"/>
  <c r="K168" i="46"/>
  <c r="K259" i="46"/>
  <c r="K31" i="46"/>
  <c r="K340" i="46"/>
  <c r="K408" i="46"/>
  <c r="K495" i="46"/>
  <c r="K664" i="46"/>
  <c r="K666" i="46"/>
  <c r="K752" i="46"/>
  <c r="K808" i="46"/>
  <c r="K810" i="46"/>
  <c r="K917" i="46"/>
  <c r="K1060" i="46"/>
  <c r="K1176" i="46"/>
  <c r="K1178" i="46"/>
  <c r="K1180" i="46"/>
  <c r="K1050" i="46"/>
  <c r="K975" i="46"/>
  <c r="K797" i="46"/>
  <c r="K1014" i="46"/>
  <c r="K10" i="46"/>
  <c r="K12" i="46"/>
  <c r="K30" i="46"/>
  <c r="K51" i="46"/>
  <c r="K180" i="46"/>
  <c r="K190" i="46"/>
  <c r="K285" i="46"/>
  <c r="K492" i="46"/>
  <c r="K574" i="46"/>
  <c r="K883" i="46"/>
  <c r="K990" i="46"/>
  <c r="K1209" i="46"/>
  <c r="K1301" i="46"/>
  <c r="K1227" i="46"/>
  <c r="K1133" i="46"/>
  <c r="K1067" i="46"/>
  <c r="K992" i="46"/>
  <c r="K875" i="46"/>
  <c r="K860" i="46"/>
  <c r="K865" i="46"/>
  <c r="K751" i="46"/>
  <c r="K653" i="46"/>
  <c r="K494" i="46"/>
  <c r="K62" i="46"/>
  <c r="K70" i="46"/>
  <c r="K161" i="46"/>
  <c r="K277" i="46"/>
  <c r="K310" i="46"/>
  <c r="K380" i="46"/>
  <c r="K403" i="46"/>
  <c r="K446" i="46"/>
  <c r="K840" i="46"/>
  <c r="F233" i="46"/>
  <c r="K228" i="46" s="1"/>
  <c r="K343" i="46"/>
  <c r="K406" i="46"/>
  <c r="K443" i="46"/>
  <c r="K605" i="46"/>
  <c r="K774" i="46"/>
  <c r="K800" i="46"/>
  <c r="K804" i="46"/>
  <c r="K526" i="46"/>
  <c r="K502" i="46"/>
  <c r="K493" i="46"/>
  <c r="K357" i="46"/>
  <c r="K389" i="46"/>
  <c r="K989" i="46"/>
  <c r="K355" i="46"/>
  <c r="K367" i="46"/>
  <c r="K431" i="46"/>
  <c r="K457" i="46"/>
  <c r="K462" i="46"/>
  <c r="K489" i="46"/>
  <c r="K698" i="46"/>
  <c r="K961" i="46"/>
  <c r="K966" i="46"/>
  <c r="K1128" i="46"/>
  <c r="K1185" i="46"/>
  <c r="K1266" i="46"/>
  <c r="K205" i="46"/>
  <c r="K313" i="46"/>
  <c r="K339" i="46"/>
  <c r="K426" i="46"/>
  <c r="K442" i="46"/>
  <c r="K458" i="46"/>
  <c r="K476" i="46"/>
  <c r="K662" i="46"/>
  <c r="K669" i="46"/>
  <c r="K678" i="46"/>
  <c r="K699" i="46"/>
  <c r="K956" i="46"/>
  <c r="K960" i="46"/>
  <c r="K962" i="46"/>
  <c r="K965" i="46"/>
  <c r="K967" i="46"/>
  <c r="K1113" i="46"/>
  <c r="D1120" i="46"/>
  <c r="F1120" i="46" s="1"/>
  <c r="D1121" i="46" s="1"/>
  <c r="K1129" i="46"/>
  <c r="K1140" i="46"/>
  <c r="K1164" i="46"/>
  <c r="K1166" i="46"/>
  <c r="K1169" i="46"/>
  <c r="K1171" i="46"/>
  <c r="K1173" i="46"/>
  <c r="K1192" i="46"/>
  <c r="K1194" i="46"/>
  <c r="K1260" i="46"/>
  <c r="K1264" i="46"/>
  <c r="K1267" i="46"/>
  <c r="K1312" i="46"/>
  <c r="K463" i="46"/>
  <c r="K255" i="46"/>
  <c r="K328" i="46"/>
  <c r="K402" i="46"/>
  <c r="K78" i="46"/>
  <c r="K107" i="46"/>
  <c r="K147" i="46"/>
  <c r="F178" i="46"/>
  <c r="K173" i="46" s="1"/>
  <c r="K288" i="46"/>
  <c r="K293" i="46"/>
  <c r="K299" i="46"/>
  <c r="K331" i="46"/>
  <c r="K348" i="46"/>
  <c r="K354" i="46"/>
  <c r="K362" i="46"/>
  <c r="K384" i="46"/>
  <c r="K405" i="46"/>
  <c r="K461" i="46"/>
  <c r="K550" i="46"/>
  <c r="K577" i="46"/>
  <c r="K689" i="46"/>
  <c r="K816" i="46"/>
  <c r="K958" i="46"/>
  <c r="K985" i="46"/>
  <c r="K1025" i="46"/>
  <c r="K1063" i="46"/>
  <c r="K1212" i="46"/>
  <c r="K1223" i="46"/>
  <c r="K1262" i="46"/>
  <c r="K1280" i="46"/>
  <c r="K1292" i="46"/>
  <c r="K1378" i="46"/>
  <c r="K292" i="46"/>
  <c r="K316" i="46"/>
  <c r="K480" i="46"/>
  <c r="K661" i="46"/>
  <c r="F716" i="46"/>
  <c r="F717" i="46" s="1"/>
  <c r="F722" i="46" s="1"/>
  <c r="F725" i="46" s="1"/>
  <c r="F727" i="46" s="1"/>
  <c r="F732" i="46" s="1"/>
  <c r="F743" i="46" s="1"/>
  <c r="K743" i="46" s="1"/>
  <c r="K769" i="46"/>
  <c r="K1049" i="46"/>
  <c r="K1177" i="46"/>
  <c r="K1206" i="46"/>
  <c r="K1257" i="46"/>
  <c r="K39" i="46"/>
  <c r="K79" i="46"/>
  <c r="K322" i="46"/>
  <c r="K374" i="46"/>
  <c r="K383" i="46"/>
  <c r="K392" i="46"/>
  <c r="K435" i="46"/>
  <c r="J518" i="46"/>
  <c r="K518" i="46" s="1"/>
  <c r="K546" i="46"/>
  <c r="K549" i="46"/>
  <c r="K570" i="46"/>
  <c r="K573" i="46"/>
  <c r="K575" i="46"/>
  <c r="K656" i="46"/>
  <c r="K658" i="46"/>
  <c r="K682" i="46"/>
  <c r="K685" i="46"/>
  <c r="K876" i="46"/>
  <c r="K959" i="46"/>
  <c r="K968" i="46"/>
  <c r="K991" i="46"/>
  <c r="K1017" i="46"/>
  <c r="K1024" i="46"/>
  <c r="K1061" i="46"/>
  <c r="K1085" i="46"/>
  <c r="K1102" i="46"/>
  <c r="K1142" i="46"/>
  <c r="K1146" i="46"/>
  <c r="K1165" i="46"/>
  <c r="K1175" i="46"/>
  <c r="K1216" i="46"/>
  <c r="K1236" i="46"/>
  <c r="K1290" i="46"/>
  <c r="K1362" i="46"/>
  <c r="K1392" i="46"/>
  <c r="K414" i="46"/>
  <c r="K404" i="46"/>
  <c r="K388" i="46"/>
  <c r="K382" i="46"/>
  <c r="K373" i="46"/>
  <c r="K346" i="46"/>
  <c r="K332" i="46"/>
  <c r="K307" i="46"/>
  <c r="K278" i="46"/>
  <c r="K266" i="46"/>
  <c r="K13" i="46"/>
  <c r="K29" i="46"/>
  <c r="K63" i="46"/>
  <c r="K71" i="46"/>
  <c r="K145" i="46"/>
  <c r="K159" i="46"/>
  <c r="K185" i="46"/>
  <c r="K206" i="46"/>
  <c r="K227" i="46"/>
  <c r="D275" i="46"/>
  <c r="F275" i="46" s="1"/>
  <c r="K275" i="46" s="1"/>
  <c r="K330" i="46"/>
  <c r="K377" i="46"/>
  <c r="K396" i="46"/>
  <c r="K423" i="46"/>
  <c r="K481" i="46"/>
  <c r="K602" i="46"/>
  <c r="K623" i="46"/>
  <c r="K625" i="46"/>
  <c r="K695" i="46"/>
  <c r="K696" i="46"/>
  <c r="K866" i="46"/>
  <c r="K955" i="46"/>
  <c r="K957" i="46"/>
  <c r="K983" i="46"/>
  <c r="K1027" i="46"/>
  <c r="K1030" i="46"/>
  <c r="K1139" i="46"/>
  <c r="K1141" i="46"/>
  <c r="K1170" i="46"/>
  <c r="K1205" i="46"/>
  <c r="K15" i="46"/>
  <c r="K59" i="46"/>
  <c r="K72" i="46"/>
  <c r="K76" i="46"/>
  <c r="K86" i="46"/>
  <c r="F88" i="46"/>
  <c r="K116" i="46"/>
  <c r="K172" i="46"/>
  <c r="K207" i="46"/>
  <c r="K240" i="46"/>
  <c r="K267" i="46"/>
  <c r="K279" i="46"/>
  <c r="K306" i="46"/>
  <c r="K308" i="46"/>
  <c r="K315" i="46"/>
  <c r="K323" i="46"/>
  <c r="K326" i="46"/>
  <c r="K329" i="46"/>
  <c r="K366" i="46"/>
  <c r="K434" i="46"/>
  <c r="K445" i="46"/>
  <c r="K456" i="46"/>
  <c r="K468" i="46"/>
  <c r="K536" i="46"/>
  <c r="K542" i="46"/>
  <c r="F561" i="46"/>
  <c r="K626" i="46"/>
  <c r="K660" i="46"/>
  <c r="K762" i="46"/>
  <c r="K837" i="46"/>
  <c r="K839" i="46"/>
  <c r="K858" i="46"/>
  <c r="K1089" i="46"/>
  <c r="K1104" i="46"/>
  <c r="K1156" i="46"/>
  <c r="K1191" i="46"/>
  <c r="K1214" i="46"/>
  <c r="K1272" i="46"/>
  <c r="K758" i="46"/>
  <c r="K819" i="46"/>
  <c r="K852" i="46"/>
  <c r="K973" i="46"/>
  <c r="K986" i="46"/>
  <c r="K1029" i="46"/>
  <c r="K1053" i="46"/>
  <c r="K1078" i="46"/>
  <c r="K1083" i="46"/>
  <c r="K1126" i="46"/>
  <c r="K1174" i="46"/>
  <c r="K1195" i="46"/>
  <c r="K257" i="46"/>
  <c r="K298" i="46"/>
  <c r="K314" i="46"/>
  <c r="K345" i="46"/>
  <c r="K393" i="46"/>
  <c r="K401" i="46"/>
  <c r="K441" i="46"/>
  <c r="K444" i="46"/>
  <c r="K455" i="46"/>
  <c r="K478" i="46"/>
  <c r="K484" i="46"/>
  <c r="K490" i="46"/>
  <c r="K535" i="46"/>
  <c r="K548" i="46"/>
  <c r="K579" i="46"/>
  <c r="K592" i="46"/>
  <c r="K657" i="46"/>
  <c r="K677" i="46"/>
  <c r="K681" i="46"/>
  <c r="K759" i="46"/>
  <c r="K767" i="46"/>
  <c r="K836" i="46"/>
  <c r="K864" i="46"/>
  <c r="F873" i="46"/>
  <c r="K873" i="46" s="1"/>
  <c r="K882" i="46"/>
  <c r="K928" i="46"/>
  <c r="K974" i="46"/>
  <c r="K978" i="46"/>
  <c r="K1031" i="46"/>
  <c r="K1040" i="46"/>
  <c r="K1052" i="46"/>
  <c r="K1071" i="46"/>
  <c r="K1090" i="46"/>
  <c r="K1109" i="46"/>
  <c r="K1125" i="46"/>
  <c r="K1138" i="46"/>
  <c r="K1179" i="46"/>
  <c r="K1186" i="46"/>
  <c r="K1208" i="46"/>
  <c r="K1211" i="46"/>
  <c r="K1229" i="46"/>
  <c r="K1245" i="46"/>
  <c r="K1259" i="46"/>
  <c r="K1289" i="46"/>
  <c r="K1357" i="46"/>
  <c r="K194" i="46"/>
  <c r="K195" i="46"/>
  <c r="K188" i="46"/>
  <c r="K191" i="46"/>
  <c r="K181" i="46"/>
  <c r="K160" i="46"/>
  <c r="K142" i="46"/>
  <c r="K126" i="46"/>
  <c r="K113" i="46"/>
  <c r="K108" i="46"/>
  <c r="K111" i="46"/>
  <c r="K61" i="46"/>
  <c r="K52" i="46"/>
  <c r="K34" i="46"/>
  <c r="K11" i="46"/>
  <c r="F90" i="46"/>
  <c r="D93" i="46"/>
  <c r="K35" i="46"/>
  <c r="F931" i="46"/>
  <c r="K925" i="46"/>
  <c r="D732" i="46"/>
  <c r="D743" i="46" s="1"/>
  <c r="D746" i="46" s="1"/>
  <c r="F746" i="46" s="1"/>
  <c r="K746" i="46" s="1"/>
  <c r="K1097" i="46"/>
  <c r="K254" i="46"/>
  <c r="K324" i="46"/>
  <c r="K370" i="46"/>
  <c r="K482" i="46"/>
  <c r="K505" i="46"/>
  <c r="K672" i="46"/>
  <c r="K781" i="46"/>
  <c r="K809" i="46"/>
  <c r="K843" i="46"/>
  <c r="K881" i="46"/>
  <c r="F586" i="46"/>
  <c r="K341" i="46"/>
  <c r="K368" i="46"/>
  <c r="K375" i="46"/>
  <c r="K485" i="46"/>
  <c r="K503" i="46"/>
  <c r="K527" i="46"/>
  <c r="K578" i="46"/>
  <c r="K891" i="46"/>
  <c r="K916" i="46"/>
  <c r="K1013" i="46"/>
  <c r="K1080" i="46"/>
  <c r="K1110" i="46"/>
  <c r="K594" i="46"/>
  <c r="K615" i="46"/>
  <c r="K842" i="46"/>
  <c r="K879" i="46"/>
  <c r="K895" i="46"/>
  <c r="K1051" i="46"/>
  <c r="K1076" i="46"/>
  <c r="K1144" i="46"/>
  <c r="F582" i="46"/>
  <c r="K604" i="46"/>
  <c r="K665" i="46"/>
  <c r="K760" i="46"/>
  <c r="K790" i="46"/>
  <c r="K825" i="46"/>
  <c r="K877" i="46"/>
  <c r="K893" i="46"/>
  <c r="K964" i="46"/>
  <c r="K1018" i="46"/>
  <c r="K1124" i="46"/>
  <c r="K1150" i="46"/>
  <c r="K1172" i="46"/>
  <c r="K1193" i="46"/>
  <c r="J899" i="45"/>
  <c r="J1163" i="45"/>
  <c r="J941" i="45"/>
  <c r="F942" i="45"/>
  <c r="F941" i="45"/>
  <c r="J618" i="45"/>
  <c r="F618" i="45"/>
  <c r="F617" i="45"/>
  <c r="J695" i="45"/>
  <c r="J1027" i="45"/>
  <c r="J129" i="45"/>
  <c r="F130" i="45"/>
  <c r="F129" i="45"/>
  <c r="J854" i="45"/>
  <c r="I854" i="45"/>
  <c r="J1158" i="45"/>
  <c r="J742" i="45"/>
  <c r="J848" i="45"/>
  <c r="J955" i="45"/>
  <c r="J1021" i="45"/>
  <c r="J1062" i="45"/>
  <c r="D572" i="45"/>
  <c r="J353" i="45"/>
  <c r="J885" i="45"/>
  <c r="K618" i="45" l="1"/>
  <c r="K129" i="45"/>
  <c r="K941" i="45"/>
  <c r="K733" i="46"/>
  <c r="F1121" i="46"/>
  <c r="D1122" i="46" s="1"/>
  <c r="F1122" i="46" s="1"/>
  <c r="F934" i="46"/>
  <c r="F936" i="46" s="1"/>
  <c r="F938" i="46"/>
  <c r="F940" i="46" s="1"/>
  <c r="F942" i="46" s="1"/>
  <c r="D99" i="46"/>
  <c r="F99" i="46" s="1"/>
  <c r="K99" i="46" s="1"/>
  <c r="F93" i="46"/>
  <c r="F589" i="46"/>
  <c r="F1089" i="45"/>
  <c r="F1162" i="45"/>
  <c r="K1163" i="45" s="1"/>
  <c r="K941" i="46" l="1"/>
  <c r="F946" i="46"/>
  <c r="F149" i="45"/>
  <c r="F1057" i="45"/>
  <c r="F1236" i="45"/>
  <c r="J1234" i="45"/>
  <c r="K1234" i="45" s="1"/>
  <c r="F1233" i="45"/>
  <c r="F376" i="45"/>
  <c r="J375" i="45"/>
  <c r="F672" i="45"/>
  <c r="F553" i="45"/>
  <c r="D554" i="45"/>
  <c r="D582" i="45"/>
  <c r="J576" i="45"/>
  <c r="J578" i="45"/>
  <c r="F1231" i="45"/>
  <c r="F1151" i="45"/>
  <c r="F1152" i="45"/>
  <c r="F1153" i="45"/>
  <c r="F1154" i="45"/>
  <c r="F1155" i="45"/>
  <c r="F1156" i="45"/>
  <c r="F1157" i="45"/>
  <c r="F345" i="45"/>
  <c r="J61" i="45"/>
  <c r="J372" i="45"/>
  <c r="F261" i="45"/>
  <c r="F1230" i="45"/>
  <c r="F630" i="45"/>
  <c r="F1227" i="45"/>
  <c r="F793" i="45"/>
  <c r="F792" i="45"/>
  <c r="J117" i="45"/>
  <c r="K947" i="46" l="1"/>
  <c r="F952" i="46"/>
  <c r="K952" i="46" s="1"/>
  <c r="F1021" i="39"/>
  <c r="F957" i="45"/>
  <c r="J949" i="37"/>
  <c r="J369" i="39" l="1"/>
  <c r="F1194" i="45" l="1"/>
  <c r="F1192" i="45"/>
  <c r="F1224" i="45" l="1"/>
  <c r="E25" i="15"/>
  <c r="E26" i="15"/>
  <c r="F579" i="45"/>
  <c r="J335" i="45" l="1"/>
  <c r="J1222" i="45"/>
  <c r="F1222" i="45"/>
  <c r="J557" i="45"/>
  <c r="J1108" i="45"/>
  <c r="J1055" i="45"/>
  <c r="J687" i="45"/>
  <c r="J1120" i="45"/>
  <c r="F1221" i="45"/>
  <c r="F1220" i="45"/>
  <c r="F355" i="45"/>
  <c r="J176" i="45"/>
  <c r="J185" i="45"/>
  <c r="F1218" i="45"/>
  <c r="B181" i="27"/>
  <c r="F176" i="27"/>
  <c r="E176" i="27"/>
  <c r="E175" i="27"/>
  <c r="F175" i="27" s="1"/>
  <c r="F174" i="27"/>
  <c r="E174" i="27"/>
  <c r="E173" i="27"/>
  <c r="F173" i="27" s="1"/>
  <c r="F172" i="27"/>
  <c r="E172" i="27"/>
  <c r="E171" i="27"/>
  <c r="F171" i="27" s="1"/>
  <c r="F170" i="27"/>
  <c r="E170" i="27"/>
  <c r="E169" i="27"/>
  <c r="F169" i="27" s="1"/>
  <c r="F167" i="27"/>
  <c r="E167" i="27"/>
  <c r="D167" i="27"/>
  <c r="E166" i="27"/>
  <c r="F166" i="27" s="1"/>
  <c r="E165" i="27"/>
  <c r="E179" i="27" s="1"/>
  <c r="B165" i="27"/>
  <c r="B179" i="27" s="1"/>
  <c r="D164" i="27"/>
  <c r="D163" i="27"/>
  <c r="D162" i="27"/>
  <c r="D161" i="27"/>
  <c r="D165" i="27" s="1"/>
  <c r="D179" i="27" s="1"/>
  <c r="J1126" i="45"/>
  <c r="J834" i="45"/>
  <c r="F1217" i="45"/>
  <c r="F1216" i="45"/>
  <c r="F1215" i="45"/>
  <c r="F1214" i="45"/>
  <c r="F1213" i="45"/>
  <c r="J1144" i="45"/>
  <c r="J1139" i="45"/>
  <c r="J56" i="45"/>
  <c r="J69" i="45"/>
  <c r="F69" i="45"/>
  <c r="J105" i="45"/>
  <c r="J1112" i="45"/>
  <c r="J1110" i="45"/>
  <c r="J1212" i="45"/>
  <c r="F1212" i="45"/>
  <c r="J596" i="45"/>
  <c r="J1117" i="45"/>
  <c r="J781" i="45"/>
  <c r="J1129" i="45"/>
  <c r="J1128" i="45"/>
  <c r="F1127" i="45"/>
  <c r="J1137" i="45"/>
  <c r="K1222" i="45" l="1"/>
  <c r="K1212" i="45"/>
  <c r="K1128" i="45"/>
  <c r="K69" i="45"/>
  <c r="F179" i="27"/>
  <c r="B180" i="27" s="1"/>
  <c r="B182" i="27" s="1"/>
  <c r="J1119" i="45"/>
  <c r="J1136" i="45"/>
  <c r="F1091" i="45"/>
  <c r="F356" i="45"/>
  <c r="F312" i="45"/>
  <c r="K312" i="45" s="1"/>
  <c r="F311" i="45"/>
  <c r="K311" i="45" s="1"/>
  <c r="F310" i="45"/>
  <c r="K310" i="45" s="1"/>
  <c r="F313" i="45"/>
  <c r="J1100" i="45"/>
  <c r="F1098" i="45"/>
  <c r="J1132" i="45"/>
  <c r="J919" i="45"/>
  <c r="K919" i="45" s="1"/>
  <c r="J369" i="45"/>
  <c r="F1211" i="45"/>
  <c r="F1210" i="45"/>
  <c r="J29" i="45"/>
  <c r="F1209" i="45"/>
  <c r="J1209" i="45"/>
  <c r="F282" i="45"/>
  <c r="F401" i="45"/>
  <c r="J1067" i="45" l="1"/>
  <c r="F1069" i="45"/>
  <c r="J71" i="45"/>
  <c r="J321" i="45"/>
  <c r="J260" i="45"/>
  <c r="J1177" i="45"/>
  <c r="F1176" i="45"/>
  <c r="F1208" i="45"/>
  <c r="F1207" i="45" l="1"/>
  <c r="F1204" i="45"/>
  <c r="F485" i="45"/>
  <c r="D575" i="45"/>
  <c r="B119" i="43" l="1"/>
  <c r="H118" i="43"/>
  <c r="F115" i="43"/>
  <c r="H115" i="43" s="1"/>
  <c r="F116" i="43"/>
  <c r="H116" i="43" s="1"/>
  <c r="F117" i="43"/>
  <c r="H117" i="43" s="1"/>
  <c r="F118" i="43"/>
  <c r="F114" i="43"/>
  <c r="H114" i="43" s="1"/>
  <c r="B120" i="43" s="1"/>
  <c r="B107" i="43"/>
  <c r="F106" i="43"/>
  <c r="H106" i="43" s="1"/>
  <c r="B108" i="43" s="1"/>
  <c r="B79" i="8"/>
  <c r="B78" i="8"/>
  <c r="B77" i="8"/>
  <c r="B74" i="8"/>
  <c r="B73" i="8"/>
  <c r="J525" i="45" l="1"/>
  <c r="J39" i="45"/>
  <c r="J31" i="45"/>
  <c r="F1203" i="45"/>
  <c r="F71" i="45"/>
  <c r="J1124" i="45"/>
  <c r="J926" i="45"/>
  <c r="F589" i="45" l="1"/>
  <c r="J96" i="45" l="1"/>
  <c r="F179" i="45"/>
  <c r="J835" i="45"/>
  <c r="J167" i="45"/>
  <c r="J2" i="45"/>
  <c r="K2" i="45" s="1"/>
  <c r="J3" i="45"/>
  <c r="J833" i="45"/>
  <c r="J1201" i="45"/>
  <c r="F1201" i="45"/>
  <c r="J832" i="45"/>
  <c r="J977" i="45"/>
  <c r="J366" i="45"/>
  <c r="J600" i="45"/>
  <c r="J14" i="45"/>
  <c r="J711" i="45"/>
  <c r="J539" i="45"/>
  <c r="J1073" i="45"/>
  <c r="K1201" i="45" l="1"/>
  <c r="J156" i="45"/>
  <c r="J124" i="45"/>
  <c r="J1102" i="45"/>
  <c r="J612" i="45"/>
  <c r="K612" i="45" s="1"/>
  <c r="F1083" i="45"/>
  <c r="J1084" i="45"/>
  <c r="J327" i="45"/>
  <c r="J1198" i="45"/>
  <c r="J801" i="45"/>
  <c r="K1084" i="45" l="1"/>
  <c r="F475" i="45"/>
  <c r="F456" i="45"/>
  <c r="F457" i="45"/>
  <c r="F458" i="45"/>
  <c r="D459" i="45"/>
  <c r="F459" i="45" s="1"/>
  <c r="F3" i="45"/>
  <c r="J986" i="45"/>
  <c r="J1094" i="45"/>
  <c r="K1094" i="45" s="1"/>
  <c r="F750" i="39"/>
  <c r="F751" i="39"/>
  <c r="J765" i="45"/>
  <c r="J989" i="45"/>
  <c r="F990" i="45"/>
  <c r="J880" i="45" l="1"/>
  <c r="J1088" i="45"/>
  <c r="J80" i="45"/>
  <c r="F909" i="45"/>
  <c r="F908" i="45"/>
  <c r="J343" i="45"/>
  <c r="F216" i="45" l="1"/>
  <c r="F215" i="45"/>
  <c r="F218" i="45" l="1"/>
  <c r="C17" i="15"/>
  <c r="F219" i="45"/>
  <c r="F3" i="15"/>
  <c r="E16" i="15"/>
  <c r="E11" i="15"/>
  <c r="D9" i="45"/>
  <c r="J824" i="45"/>
  <c r="D774" i="45"/>
  <c r="F774" i="45" s="1"/>
  <c r="F773" i="45"/>
  <c r="F772" i="45"/>
  <c r="F665" i="45"/>
  <c r="F664" i="45"/>
  <c r="F1198" i="45"/>
  <c r="K1198" i="45" s="1"/>
  <c r="D567" i="45" l="1"/>
  <c r="D571" i="45" s="1"/>
  <c r="F420" i="45" l="1"/>
  <c r="F1125" i="45" l="1"/>
  <c r="J115" i="45"/>
  <c r="J463" i="45"/>
  <c r="J266" i="45"/>
  <c r="F266" i="45"/>
  <c r="J1147" i="45"/>
  <c r="F605" i="45"/>
  <c r="J831" i="45"/>
  <c r="J629" i="45"/>
  <c r="J663" i="45"/>
  <c r="J842" i="45"/>
  <c r="F842" i="45"/>
  <c r="J705" i="45"/>
  <c r="K705" i="45" s="1"/>
  <c r="J1077" i="45"/>
  <c r="F1077" i="45"/>
  <c r="F882" i="45"/>
  <c r="J928" i="45"/>
  <c r="J776" i="45"/>
  <c r="K776" i="45" s="1"/>
  <c r="F826" i="45"/>
  <c r="C129" i="31"/>
  <c r="F162" i="45"/>
  <c r="F146" i="45"/>
  <c r="J144" i="45"/>
  <c r="J1079" i="45"/>
  <c r="F1078" i="45"/>
  <c r="J203" i="45"/>
  <c r="J1191" i="45"/>
  <c r="K1191" i="45" s="1"/>
  <c r="J491" i="45"/>
  <c r="J159" i="45"/>
  <c r="F159" i="45"/>
  <c r="K266" i="45" l="1"/>
  <c r="K159" i="45"/>
  <c r="K1077" i="45"/>
  <c r="K842" i="45"/>
  <c r="K1079" i="45"/>
  <c r="J455" i="45"/>
  <c r="F45" i="45"/>
  <c r="F198" i="45"/>
  <c r="F416" i="45"/>
  <c r="F415" i="45"/>
  <c r="J1064" i="45"/>
  <c r="J165" i="45"/>
  <c r="J134" i="45"/>
  <c r="K134" i="45" s="1"/>
  <c r="J53" i="45"/>
  <c r="J405" i="45"/>
  <c r="J628" i="45"/>
  <c r="F1190" i="45"/>
  <c r="J1175" i="45"/>
  <c r="K1175" i="45" s="1"/>
  <c r="F1174" i="45"/>
  <c r="J1172" i="45" l="1"/>
  <c r="F245" i="45"/>
  <c r="D246" i="45"/>
  <c r="F246" i="45" s="1"/>
  <c r="F90" i="45"/>
  <c r="F91" i="45"/>
  <c r="F89" i="45"/>
  <c r="F87" i="45"/>
  <c r="F78" i="45"/>
  <c r="J1113" i="45"/>
  <c r="F1113" i="45"/>
  <c r="J199" i="45"/>
  <c r="J242" i="45"/>
  <c r="F320" i="45"/>
  <c r="F319" i="45"/>
  <c r="F1171" i="45"/>
  <c r="J127" i="45"/>
  <c r="F781" i="45"/>
  <c r="J1059" i="45"/>
  <c r="F228" i="45"/>
  <c r="J1061" i="45"/>
  <c r="J1165" i="45"/>
  <c r="F616" i="45"/>
  <c r="K1113" i="45" l="1"/>
  <c r="K781" i="45"/>
  <c r="F795" i="45"/>
  <c r="J927" i="45" l="1"/>
  <c r="F926" i="45"/>
  <c r="K926" i="45" s="1"/>
  <c r="F886" i="45"/>
  <c r="F835" i="45"/>
  <c r="K835" i="45" s="1"/>
  <c r="F832" i="45"/>
  <c r="K832" i="45" s="1"/>
  <c r="F802" i="45"/>
  <c r="F796" i="45"/>
  <c r="K796" i="45" s="1"/>
  <c r="F794" i="45"/>
  <c r="F718" i="45"/>
  <c r="F708" i="45"/>
  <c r="F694" i="45"/>
  <c r="F692" i="45"/>
  <c r="F693" i="45"/>
  <c r="F683" i="45"/>
  <c r="F628" i="45"/>
  <c r="K628" i="45" s="1"/>
  <c r="F578" i="45"/>
  <c r="F559" i="45"/>
  <c r="F556" i="45"/>
  <c r="F555" i="45"/>
  <c r="E479" i="45"/>
  <c r="F441" i="45"/>
  <c r="F393" i="45"/>
  <c r="F377" i="45"/>
  <c r="F375" i="45"/>
  <c r="K375" i="45" s="1"/>
  <c r="F357" i="45"/>
  <c r="F223" i="45"/>
  <c r="F145" i="45"/>
  <c r="F147" i="45"/>
  <c r="F1165" i="45"/>
  <c r="F1164" i="45"/>
  <c r="F1159" i="45"/>
  <c r="F1158" i="45"/>
  <c r="K1158" i="45" s="1"/>
  <c r="F1150" i="45"/>
  <c r="F1147" i="45"/>
  <c r="K1147" i="45" s="1"/>
  <c r="F1146" i="45"/>
  <c r="F1140" i="45"/>
  <c r="F1138" i="45"/>
  <c r="K1139" i="45" s="1"/>
  <c r="F1137" i="45"/>
  <c r="K1137" i="45" s="1"/>
  <c r="F1134" i="45"/>
  <c r="K1136" i="45" s="1"/>
  <c r="F1133" i="45"/>
  <c r="F1131" i="45"/>
  <c r="F1126" i="45"/>
  <c r="K1126" i="45" s="1"/>
  <c r="F1123" i="45"/>
  <c r="F1122" i="45"/>
  <c r="F1118" i="45"/>
  <c r="F1116" i="45"/>
  <c r="F1115" i="45"/>
  <c r="F1114" i="45"/>
  <c r="F1111" i="45"/>
  <c r="K1112" i="45" s="1"/>
  <c r="F1109" i="45"/>
  <c r="K1110" i="45" s="1"/>
  <c r="F1107" i="45"/>
  <c r="K1108" i="45" s="1"/>
  <c r="J1106" i="45"/>
  <c r="F1106" i="45"/>
  <c r="J1105" i="45"/>
  <c r="F1105" i="45"/>
  <c r="J1103" i="45"/>
  <c r="F1103" i="45"/>
  <c r="F1101" i="45"/>
  <c r="K1102" i="45" s="1"/>
  <c r="F1097" i="45"/>
  <c r="F1096" i="45"/>
  <c r="F1092" i="45"/>
  <c r="J1090" i="45"/>
  <c r="F1090" i="45"/>
  <c r="F1085" i="45"/>
  <c r="J1080" i="45"/>
  <c r="K1080" i="45" s="1"/>
  <c r="J1075" i="45"/>
  <c r="J1074" i="45"/>
  <c r="F1072" i="45"/>
  <c r="K1073" i="45" s="1"/>
  <c r="J1070" i="45"/>
  <c r="F1067" i="45"/>
  <c r="J1066" i="45"/>
  <c r="F1066" i="45"/>
  <c r="J1065" i="45"/>
  <c r="F1064" i="45"/>
  <c r="K1064" i="45" s="1"/>
  <c r="F1063" i="45"/>
  <c r="F1061" i="45"/>
  <c r="J1060" i="45"/>
  <c r="F1059" i="45"/>
  <c r="K1059" i="45" s="1"/>
  <c r="J1058" i="45"/>
  <c r="F1058" i="45"/>
  <c r="J1056" i="45"/>
  <c r="F1056" i="45"/>
  <c r="F1054" i="45"/>
  <c r="K1055" i="45" s="1"/>
  <c r="D1053" i="45"/>
  <c r="F1053" i="45" s="1"/>
  <c r="F1052" i="45"/>
  <c r="F1051" i="45"/>
  <c r="F1049" i="45"/>
  <c r="J1048" i="45"/>
  <c r="F1048" i="45"/>
  <c r="J1047" i="45"/>
  <c r="J1046" i="45"/>
  <c r="J1045" i="45"/>
  <c r="F1045" i="45"/>
  <c r="J1044" i="45"/>
  <c r="F1044" i="45"/>
  <c r="J1043" i="45"/>
  <c r="F1043" i="45"/>
  <c r="J1042" i="45"/>
  <c r="F1042" i="45"/>
  <c r="J1041" i="45"/>
  <c r="F1041" i="45"/>
  <c r="F1040" i="45"/>
  <c r="J1039" i="45"/>
  <c r="K1039" i="45" s="1"/>
  <c r="F1038" i="45"/>
  <c r="F1037" i="45"/>
  <c r="J1036" i="45"/>
  <c r="F1036" i="45"/>
  <c r="J1035" i="45"/>
  <c r="F1035" i="45"/>
  <c r="J1034" i="45"/>
  <c r="K1034" i="45" s="1"/>
  <c r="J1033" i="45"/>
  <c r="F1033" i="45"/>
  <c r="J1032" i="45"/>
  <c r="F1032" i="45"/>
  <c r="J1031" i="45"/>
  <c r="F1031" i="45"/>
  <c r="J1030" i="45"/>
  <c r="F1030" i="45"/>
  <c r="J1029" i="45"/>
  <c r="F1029" i="45"/>
  <c r="J1028" i="45"/>
  <c r="F1028" i="45"/>
  <c r="J1026" i="45"/>
  <c r="F1026" i="45"/>
  <c r="K1027" i="45" s="1"/>
  <c r="J1025" i="45"/>
  <c r="F1025" i="45"/>
  <c r="J1024" i="45"/>
  <c r="F1024" i="45"/>
  <c r="J1023" i="45"/>
  <c r="F1023" i="45"/>
  <c r="J1022" i="45"/>
  <c r="F1022" i="45"/>
  <c r="F1021" i="45"/>
  <c r="K1021" i="45" s="1"/>
  <c r="J1020" i="45"/>
  <c r="F1020" i="45"/>
  <c r="K1020" i="45" s="1"/>
  <c r="J1018" i="45"/>
  <c r="F1018" i="45"/>
  <c r="J1017" i="45"/>
  <c r="F1017" i="45"/>
  <c r="J1016" i="45"/>
  <c r="F1016" i="45"/>
  <c r="J1015" i="45"/>
  <c r="F1015" i="45"/>
  <c r="J1013" i="45"/>
  <c r="K1013" i="45" s="1"/>
  <c r="J1011" i="45"/>
  <c r="K1011" i="45" s="1"/>
  <c r="F1011" i="45"/>
  <c r="J1010" i="45"/>
  <c r="J1009" i="45"/>
  <c r="E1009" i="45"/>
  <c r="J1008" i="45"/>
  <c r="D1008" i="45"/>
  <c r="F1008" i="45" s="1"/>
  <c r="F1007" i="45"/>
  <c r="F1006" i="45"/>
  <c r="D1005" i="45"/>
  <c r="F1005" i="45" s="1"/>
  <c r="F1003" i="45"/>
  <c r="J1002" i="45"/>
  <c r="F1002" i="45"/>
  <c r="J1000" i="45"/>
  <c r="F1000" i="45"/>
  <c r="J999" i="45"/>
  <c r="F999" i="45"/>
  <c r="J998" i="45"/>
  <c r="F998" i="45"/>
  <c r="J997" i="45"/>
  <c r="F997" i="45"/>
  <c r="J996" i="45"/>
  <c r="F996" i="45"/>
  <c r="J995" i="45"/>
  <c r="F995" i="45"/>
  <c r="J994" i="45"/>
  <c r="F994" i="45"/>
  <c r="J993" i="45"/>
  <c r="F993" i="45"/>
  <c r="J992" i="45"/>
  <c r="F992" i="45"/>
  <c r="J991" i="45"/>
  <c r="F991" i="45"/>
  <c r="F988" i="45"/>
  <c r="F986" i="45"/>
  <c r="J985" i="45"/>
  <c r="J984" i="45"/>
  <c r="F984" i="45"/>
  <c r="J983" i="45"/>
  <c r="F983" i="45"/>
  <c r="J981" i="45"/>
  <c r="F981" i="45"/>
  <c r="J980" i="45"/>
  <c r="F980" i="45"/>
  <c r="J979" i="45"/>
  <c r="F979" i="45"/>
  <c r="F978" i="45"/>
  <c r="F974" i="45"/>
  <c r="F972" i="45"/>
  <c r="J971" i="45"/>
  <c r="J970" i="45"/>
  <c r="J969" i="45"/>
  <c r="J968" i="45"/>
  <c r="F968" i="45"/>
  <c r="J966" i="45"/>
  <c r="F966" i="45"/>
  <c r="J965" i="45"/>
  <c r="F965" i="45"/>
  <c r="F964" i="45"/>
  <c r="F962" i="45"/>
  <c r="F961" i="45"/>
  <c r="J960" i="45"/>
  <c r="F960" i="45"/>
  <c r="J959" i="45"/>
  <c r="J958" i="45"/>
  <c r="F958" i="45"/>
  <c r="F956" i="45"/>
  <c r="F955" i="45"/>
  <c r="F952" i="45"/>
  <c r="J951" i="45"/>
  <c r="F951" i="45"/>
  <c r="J950" i="45"/>
  <c r="F950" i="45"/>
  <c r="J949" i="45"/>
  <c r="J948" i="45"/>
  <c r="F948" i="45"/>
  <c r="F947" i="45"/>
  <c r="J946" i="45"/>
  <c r="F946" i="45"/>
  <c r="J945" i="45"/>
  <c r="F945" i="45"/>
  <c r="K945" i="45" s="1"/>
  <c r="D944" i="45"/>
  <c r="J943" i="45"/>
  <c r="F943" i="45"/>
  <c r="F940" i="45"/>
  <c r="J939" i="45"/>
  <c r="F939" i="45"/>
  <c r="J938" i="45"/>
  <c r="K938" i="45" s="1"/>
  <c r="F937" i="45"/>
  <c r="F936" i="45"/>
  <c r="J935" i="45"/>
  <c r="K935" i="45" s="1"/>
  <c r="J934" i="45"/>
  <c r="F934" i="45"/>
  <c r="D933" i="45"/>
  <c r="F932" i="45"/>
  <c r="F931" i="45"/>
  <c r="J930" i="45"/>
  <c r="F930" i="45"/>
  <c r="F927" i="45"/>
  <c r="J925" i="45"/>
  <c r="F925" i="45"/>
  <c r="J924" i="45"/>
  <c r="F924" i="45"/>
  <c r="D922" i="45"/>
  <c r="F921" i="45"/>
  <c r="J918" i="45"/>
  <c r="K918" i="45" s="1"/>
  <c r="E918" i="45"/>
  <c r="J917" i="45"/>
  <c r="F917" i="45"/>
  <c r="J916" i="45"/>
  <c r="F916" i="45"/>
  <c r="J915" i="45"/>
  <c r="F915" i="45"/>
  <c r="J914" i="45"/>
  <c r="F914" i="45"/>
  <c r="J913" i="45"/>
  <c r="F913" i="45"/>
  <c r="F910" i="45"/>
  <c r="F907" i="45"/>
  <c r="F906" i="45"/>
  <c r="J905" i="45"/>
  <c r="F905" i="45"/>
  <c r="J904" i="45"/>
  <c r="F904" i="45"/>
  <c r="F903" i="45"/>
  <c r="J902" i="45"/>
  <c r="J901" i="45"/>
  <c r="F901" i="45"/>
  <c r="J900" i="45"/>
  <c r="F900" i="45"/>
  <c r="J898" i="45"/>
  <c r="F898" i="45"/>
  <c r="K899" i="45" s="1"/>
  <c r="J897" i="45"/>
  <c r="F897" i="45"/>
  <c r="J896" i="45"/>
  <c r="F896" i="45"/>
  <c r="J895" i="45"/>
  <c r="K895" i="45" s="1"/>
  <c r="J894" i="45"/>
  <c r="F894" i="45"/>
  <c r="J893" i="45"/>
  <c r="F893" i="45"/>
  <c r="J892" i="45"/>
  <c r="F892" i="45"/>
  <c r="J889" i="45"/>
  <c r="K889" i="45" s="1"/>
  <c r="J888" i="45"/>
  <c r="F888" i="45"/>
  <c r="J887" i="45"/>
  <c r="F887" i="45"/>
  <c r="F885" i="45"/>
  <c r="J884" i="45"/>
  <c r="F884" i="45"/>
  <c r="J883" i="45"/>
  <c r="F883" i="45"/>
  <c r="F880" i="45"/>
  <c r="F873" i="45"/>
  <c r="F869" i="45"/>
  <c r="F868" i="45"/>
  <c r="F867" i="45"/>
  <c r="J866" i="45"/>
  <c r="F866" i="45"/>
  <c r="J864" i="45"/>
  <c r="F864" i="45"/>
  <c r="J863" i="45"/>
  <c r="F863" i="45"/>
  <c r="J862" i="45"/>
  <c r="F862" i="45"/>
  <c r="J861" i="45"/>
  <c r="F861" i="45"/>
  <c r="F860" i="45"/>
  <c r="J859" i="45"/>
  <c r="F859" i="45"/>
  <c r="J858" i="45"/>
  <c r="F858" i="45"/>
  <c r="J857" i="45"/>
  <c r="K857" i="45" s="1"/>
  <c r="E857" i="45"/>
  <c r="J856" i="45"/>
  <c r="F856" i="45"/>
  <c r="F855" i="45"/>
  <c r="F852" i="45"/>
  <c r="J851" i="45"/>
  <c r="F851" i="45"/>
  <c r="F850" i="45"/>
  <c r="J849" i="45"/>
  <c r="K849" i="45" s="1"/>
  <c r="F849" i="45"/>
  <c r="J847" i="45"/>
  <c r="F847" i="45"/>
  <c r="K848" i="45" s="1"/>
  <c r="J846" i="45"/>
  <c r="F846" i="45"/>
  <c r="J841" i="45"/>
  <c r="F841" i="45"/>
  <c r="J840" i="45"/>
  <c r="F840" i="45"/>
  <c r="J839" i="45"/>
  <c r="F839" i="45"/>
  <c r="J838" i="45"/>
  <c r="F838" i="45"/>
  <c r="J837" i="45"/>
  <c r="F837" i="45"/>
  <c r="F834" i="45"/>
  <c r="K834" i="45" s="1"/>
  <c r="F833" i="45"/>
  <c r="K833" i="45" s="1"/>
  <c r="F831" i="45"/>
  <c r="J830" i="45"/>
  <c r="F830" i="45"/>
  <c r="J829" i="45"/>
  <c r="F829" i="45"/>
  <c r="J828" i="45"/>
  <c r="F828" i="45"/>
  <c r="F822" i="45"/>
  <c r="J820" i="45"/>
  <c r="F820" i="45"/>
  <c r="K819" i="45"/>
  <c r="J819" i="45"/>
  <c r="F818" i="45"/>
  <c r="D812" i="45"/>
  <c r="D819" i="45" s="1"/>
  <c r="D821" i="45" s="1"/>
  <c r="D823" i="45" s="1"/>
  <c r="D827" i="45" s="1"/>
  <c r="F811" i="45"/>
  <c r="F810" i="45"/>
  <c r="F809" i="45"/>
  <c r="F808" i="45"/>
  <c r="F807" i="45"/>
  <c r="F806" i="45"/>
  <c r="J805" i="45"/>
  <c r="K805" i="45" s="1"/>
  <c r="F801" i="45"/>
  <c r="J798" i="45"/>
  <c r="F798" i="45"/>
  <c r="J797" i="45"/>
  <c r="F797" i="45"/>
  <c r="J794" i="45"/>
  <c r="F789" i="45"/>
  <c r="J788" i="45"/>
  <c r="F788" i="45"/>
  <c r="F787" i="45"/>
  <c r="J786" i="45"/>
  <c r="F786" i="45"/>
  <c r="F785" i="45"/>
  <c r="J784" i="45"/>
  <c r="F784" i="45"/>
  <c r="F783" i="45"/>
  <c r="J782" i="45"/>
  <c r="F782" i="45"/>
  <c r="F776" i="45"/>
  <c r="J775" i="45"/>
  <c r="F775" i="45"/>
  <c r="F771" i="45"/>
  <c r="J770" i="45"/>
  <c r="K770" i="45" s="1"/>
  <c r="J769" i="45"/>
  <c r="F769" i="45"/>
  <c r="J768" i="45"/>
  <c r="F768" i="45"/>
  <c r="J767" i="45"/>
  <c r="F767" i="45"/>
  <c r="F765" i="45"/>
  <c r="K765" i="45" s="1"/>
  <c r="F764" i="45"/>
  <c r="J763" i="45"/>
  <c r="F763" i="45"/>
  <c r="J762" i="45"/>
  <c r="F762" i="45"/>
  <c r="J761" i="45"/>
  <c r="F761" i="45"/>
  <c r="D759" i="45"/>
  <c r="F758" i="45"/>
  <c r="F757" i="45"/>
  <c r="F756" i="45"/>
  <c r="F755" i="45"/>
  <c r="F754" i="45"/>
  <c r="F753" i="45"/>
  <c r="J752" i="45"/>
  <c r="F752" i="45"/>
  <c r="J751" i="45"/>
  <c r="F751" i="45"/>
  <c r="J750" i="45"/>
  <c r="F750" i="45"/>
  <c r="J749" i="45"/>
  <c r="F749" i="45"/>
  <c r="J748" i="45"/>
  <c r="K748" i="45" s="1"/>
  <c r="F748" i="45"/>
  <c r="J747" i="45"/>
  <c r="F747" i="45"/>
  <c r="J741" i="45"/>
  <c r="F741" i="45"/>
  <c r="D740" i="45"/>
  <c r="F740" i="45" s="1"/>
  <c r="F739" i="45"/>
  <c r="J738" i="45"/>
  <c r="F738" i="45"/>
  <c r="J737" i="45"/>
  <c r="F737" i="45"/>
  <c r="J736" i="45"/>
  <c r="F736" i="45"/>
  <c r="J734" i="45"/>
  <c r="F734" i="45"/>
  <c r="J733" i="45"/>
  <c r="F733" i="45"/>
  <c r="J732" i="45"/>
  <c r="K732" i="45" s="1"/>
  <c r="J731" i="45"/>
  <c r="F731" i="45"/>
  <c r="J730" i="45"/>
  <c r="F730" i="45"/>
  <c r="F729" i="45"/>
  <c r="F728" i="45"/>
  <c r="F727" i="45"/>
  <c r="J726" i="45"/>
  <c r="F726" i="45"/>
  <c r="J725" i="45"/>
  <c r="K725" i="45" s="1"/>
  <c r="F724" i="45"/>
  <c r="J723" i="45"/>
  <c r="F723" i="45"/>
  <c r="J722" i="45"/>
  <c r="J721" i="45"/>
  <c r="F721" i="45"/>
  <c r="J720" i="45"/>
  <c r="F720" i="45"/>
  <c r="J719" i="45"/>
  <c r="F719" i="45"/>
  <c r="J718" i="45"/>
  <c r="F717" i="45"/>
  <c r="F716" i="45"/>
  <c r="F715" i="45"/>
  <c r="J714" i="45"/>
  <c r="F714" i="45"/>
  <c r="F711" i="45"/>
  <c r="K711" i="45" s="1"/>
  <c r="J710" i="45"/>
  <c r="F710" i="45"/>
  <c r="J709" i="45"/>
  <c r="F709" i="45"/>
  <c r="J707" i="45"/>
  <c r="J706" i="45"/>
  <c r="F706" i="45"/>
  <c r="J704" i="45"/>
  <c r="K704" i="45" s="1"/>
  <c r="J703" i="45"/>
  <c r="F703" i="45"/>
  <c r="J702" i="45"/>
  <c r="K702" i="45" s="1"/>
  <c r="J701" i="45"/>
  <c r="F701" i="45"/>
  <c r="K695" i="45"/>
  <c r="J692" i="45"/>
  <c r="J691" i="45"/>
  <c r="K691" i="45" s="1"/>
  <c r="J690" i="45"/>
  <c r="K690" i="45" s="1"/>
  <c r="F686" i="45"/>
  <c r="J685" i="45"/>
  <c r="F685" i="45"/>
  <c r="J683" i="45"/>
  <c r="J682" i="45"/>
  <c r="F682" i="45"/>
  <c r="J681" i="45"/>
  <c r="F681" i="45"/>
  <c r="J680" i="45"/>
  <c r="F680" i="45"/>
  <c r="J679" i="45"/>
  <c r="F679" i="45"/>
  <c r="J678" i="45"/>
  <c r="K678" i="45" s="1"/>
  <c r="J677" i="45"/>
  <c r="F677" i="45"/>
  <c r="J676" i="45"/>
  <c r="F676" i="45"/>
  <c r="J675" i="45"/>
  <c r="F675" i="45"/>
  <c r="J674" i="45"/>
  <c r="K674" i="45" s="1"/>
  <c r="F674" i="45"/>
  <c r="J673" i="45"/>
  <c r="K673" i="45" s="1"/>
  <c r="J671" i="45"/>
  <c r="F671" i="45"/>
  <c r="J670" i="45"/>
  <c r="F670" i="45"/>
  <c r="J669" i="45"/>
  <c r="K669" i="45" s="1"/>
  <c r="E669" i="45"/>
  <c r="J668" i="45"/>
  <c r="K668" i="45" s="1"/>
  <c r="F667" i="45"/>
  <c r="F662" i="45"/>
  <c r="F661" i="45"/>
  <c r="F660" i="45"/>
  <c r="F659" i="45"/>
  <c r="F658" i="45"/>
  <c r="F657" i="45"/>
  <c r="F656" i="45"/>
  <c r="F655" i="45"/>
  <c r="J653" i="45"/>
  <c r="F651" i="45"/>
  <c r="D650" i="45"/>
  <c r="F650" i="45" s="1"/>
  <c r="F649" i="45"/>
  <c r="F648" i="45"/>
  <c r="F646" i="45"/>
  <c r="F644" i="45"/>
  <c r="F643" i="45"/>
  <c r="F641" i="45"/>
  <c r="F640" i="45"/>
  <c r="F639" i="45"/>
  <c r="F638" i="45"/>
  <c r="D636" i="45"/>
  <c r="D637" i="45" s="1"/>
  <c r="D642" i="45" s="1"/>
  <c r="D645" i="45" s="1"/>
  <c r="D647" i="45" s="1"/>
  <c r="F635" i="45"/>
  <c r="F634" i="45"/>
  <c r="F633" i="45"/>
  <c r="F632" i="45"/>
  <c r="F631" i="45"/>
  <c r="J624" i="45"/>
  <c r="F624" i="45"/>
  <c r="J623" i="45"/>
  <c r="F623" i="45"/>
  <c r="F622" i="45"/>
  <c r="J621" i="45"/>
  <c r="F621" i="45"/>
  <c r="J620" i="45"/>
  <c r="F620" i="45"/>
  <c r="F619" i="45"/>
  <c r="K619" i="45" s="1"/>
  <c r="J615" i="45"/>
  <c r="F615" i="45"/>
  <c r="J614" i="45"/>
  <c r="F614" i="45"/>
  <c r="J613" i="45"/>
  <c r="F613" i="45"/>
  <c r="J611" i="45"/>
  <c r="F611" i="45"/>
  <c r="J610" i="45"/>
  <c r="F610" i="45"/>
  <c r="J609" i="45"/>
  <c r="F609" i="45"/>
  <c r="J608" i="45"/>
  <c r="F608" i="45"/>
  <c r="F607" i="45"/>
  <c r="J606" i="45"/>
  <c r="J604" i="45"/>
  <c r="F604" i="45"/>
  <c r="F602" i="45"/>
  <c r="J601" i="45"/>
  <c r="F601" i="45"/>
  <c r="F600" i="45"/>
  <c r="K600" i="45" s="1"/>
  <c r="J599" i="45"/>
  <c r="F599" i="45"/>
  <c r="F598" i="45"/>
  <c r="J597" i="45"/>
  <c r="J595" i="45"/>
  <c r="F595" i="45"/>
  <c r="J594" i="45"/>
  <c r="F594" i="45"/>
  <c r="F593" i="45"/>
  <c r="J592" i="45"/>
  <c r="F592" i="45"/>
  <c r="J591" i="45"/>
  <c r="F591" i="45"/>
  <c r="J590" i="45"/>
  <c r="F590" i="45"/>
  <c r="F584" i="45"/>
  <c r="J583" i="45"/>
  <c r="F583" i="45"/>
  <c r="F576" i="45"/>
  <c r="J559" i="45"/>
  <c r="J558" i="45"/>
  <c r="F558" i="45"/>
  <c r="K557" i="45"/>
  <c r="J556" i="45"/>
  <c r="J555" i="45"/>
  <c r="F554" i="45"/>
  <c r="F552" i="45"/>
  <c r="F551" i="45"/>
  <c r="F550" i="45"/>
  <c r="J549" i="45"/>
  <c r="F549" i="45"/>
  <c r="J548" i="45"/>
  <c r="F548" i="45"/>
  <c r="F547" i="45"/>
  <c r="F544" i="45"/>
  <c r="J543" i="45"/>
  <c r="F543" i="45"/>
  <c r="D542" i="45"/>
  <c r="F542" i="45" s="1"/>
  <c r="F541" i="45"/>
  <c r="F540" i="45"/>
  <c r="F539" i="45"/>
  <c r="J538" i="45"/>
  <c r="F538" i="45"/>
  <c r="J537" i="45"/>
  <c r="F537" i="45"/>
  <c r="J536" i="45"/>
  <c r="F536" i="45"/>
  <c r="F535" i="45"/>
  <c r="J534" i="45"/>
  <c r="F534" i="45"/>
  <c r="J533" i="45"/>
  <c r="K533" i="45" s="1"/>
  <c r="D532" i="45"/>
  <c r="F532" i="45" s="1"/>
  <c r="F531" i="45"/>
  <c r="F530" i="45"/>
  <c r="F529" i="45"/>
  <c r="J528" i="45"/>
  <c r="F528" i="45"/>
  <c r="J527" i="45"/>
  <c r="F527" i="45"/>
  <c r="J526" i="45"/>
  <c r="F526" i="45"/>
  <c r="F524" i="45"/>
  <c r="F523" i="45"/>
  <c r="F521" i="45"/>
  <c r="F520" i="45"/>
  <c r="F519" i="45"/>
  <c r="D518" i="45"/>
  <c r="F517" i="45"/>
  <c r="J516" i="45"/>
  <c r="F516" i="45"/>
  <c r="J515" i="45"/>
  <c r="F515" i="45"/>
  <c r="J514" i="45"/>
  <c r="F514" i="45"/>
  <c r="J513" i="45"/>
  <c r="F513" i="45"/>
  <c r="J512" i="45"/>
  <c r="K512" i="45" s="1"/>
  <c r="J511" i="45"/>
  <c r="F511" i="45"/>
  <c r="J510" i="45"/>
  <c r="F510" i="45"/>
  <c r="J509" i="45"/>
  <c r="F509" i="45"/>
  <c r="F508" i="45"/>
  <c r="K508" i="45" s="1"/>
  <c r="J507" i="45"/>
  <c r="F507" i="45"/>
  <c r="F504" i="45"/>
  <c r="F506" i="45" s="1"/>
  <c r="D499" i="45"/>
  <c r="D501" i="45" s="1"/>
  <c r="F497" i="45"/>
  <c r="F496" i="45"/>
  <c r="F495" i="45"/>
  <c r="F494" i="45"/>
  <c r="F493" i="45"/>
  <c r="F492" i="45"/>
  <c r="F491" i="45"/>
  <c r="J490" i="45"/>
  <c r="F490" i="45"/>
  <c r="J489" i="45"/>
  <c r="F489" i="45"/>
  <c r="J488" i="45"/>
  <c r="F488" i="45"/>
  <c r="J486" i="45"/>
  <c r="F486" i="45"/>
  <c r="J483" i="45"/>
  <c r="F483" i="45"/>
  <c r="J482" i="45"/>
  <c r="F482" i="45"/>
  <c r="J481" i="45"/>
  <c r="K481" i="45" s="1"/>
  <c r="E481" i="45"/>
  <c r="J480" i="45"/>
  <c r="K480" i="45" s="1"/>
  <c r="J479" i="45"/>
  <c r="F478" i="45"/>
  <c r="J477" i="45"/>
  <c r="F477" i="45"/>
  <c r="J476" i="45"/>
  <c r="F476" i="45"/>
  <c r="J474" i="45"/>
  <c r="F474" i="45"/>
  <c r="F473" i="45"/>
  <c r="F472" i="45"/>
  <c r="F471" i="45"/>
  <c r="F470" i="45"/>
  <c r="J469" i="45"/>
  <c r="F469" i="45"/>
  <c r="F468" i="45"/>
  <c r="J467" i="45"/>
  <c r="F467" i="45"/>
  <c r="J466" i="45"/>
  <c r="F466" i="45"/>
  <c r="F462" i="45"/>
  <c r="F461" i="45"/>
  <c r="F460" i="45"/>
  <c r="F455" i="45"/>
  <c r="F454" i="45"/>
  <c r="F453" i="45"/>
  <c r="J452" i="45"/>
  <c r="F452" i="45"/>
  <c r="F451" i="45"/>
  <c r="J450" i="45"/>
  <c r="F450" i="45"/>
  <c r="J449" i="45"/>
  <c r="F449" i="45"/>
  <c r="J443" i="45"/>
  <c r="K443" i="45" s="1"/>
  <c r="J442" i="45"/>
  <c r="F442" i="45"/>
  <c r="J441" i="45"/>
  <c r="J440" i="45"/>
  <c r="F440" i="45"/>
  <c r="J439" i="45"/>
  <c r="F439" i="45"/>
  <c r="F438" i="45"/>
  <c r="J437" i="45"/>
  <c r="F437" i="45"/>
  <c r="F436" i="45"/>
  <c r="J435" i="45"/>
  <c r="F435" i="45"/>
  <c r="J434" i="45"/>
  <c r="F434" i="45"/>
  <c r="J433" i="45"/>
  <c r="F433" i="45"/>
  <c r="F432" i="45"/>
  <c r="J431" i="45"/>
  <c r="F431" i="45"/>
  <c r="J430" i="45"/>
  <c r="F430" i="45"/>
  <c r="J429" i="45"/>
  <c r="F429" i="45"/>
  <c r="J428" i="45"/>
  <c r="K428" i="45" s="1"/>
  <c r="E428" i="45"/>
  <c r="J427" i="45"/>
  <c r="F427" i="45"/>
  <c r="F424" i="45"/>
  <c r="F423" i="45"/>
  <c r="J422" i="45"/>
  <c r="F422" i="45"/>
  <c r="K422" i="45" s="1"/>
  <c r="J421" i="45"/>
  <c r="F421" i="45"/>
  <c r="J419" i="45"/>
  <c r="F419" i="45"/>
  <c r="J418" i="45"/>
  <c r="F418" i="45"/>
  <c r="D417" i="45"/>
  <c r="F417" i="45" s="1"/>
  <c r="J414" i="45"/>
  <c r="F414" i="45"/>
  <c r="J413" i="45"/>
  <c r="F413" i="45"/>
  <c r="J412" i="45"/>
  <c r="F412" i="45"/>
  <c r="J411" i="45"/>
  <c r="F411" i="45"/>
  <c r="J410" i="45"/>
  <c r="F410" i="45"/>
  <c r="F409" i="45"/>
  <c r="K409" i="45" s="1"/>
  <c r="J408" i="45"/>
  <c r="J407" i="45"/>
  <c r="F407" i="45"/>
  <c r="J406" i="45"/>
  <c r="F406" i="45"/>
  <c r="F405" i="45"/>
  <c r="K405" i="45" s="1"/>
  <c r="J404" i="45"/>
  <c r="F404" i="45"/>
  <c r="J403" i="45"/>
  <c r="K403" i="45" s="1"/>
  <c r="F400" i="45"/>
  <c r="J399" i="45"/>
  <c r="F399" i="45"/>
  <c r="J397" i="45"/>
  <c r="F397" i="45"/>
  <c r="F396" i="45"/>
  <c r="J395" i="45"/>
  <c r="F395" i="45"/>
  <c r="J394" i="45"/>
  <c r="F394" i="45"/>
  <c r="J393" i="45"/>
  <c r="J392" i="45"/>
  <c r="F392" i="45"/>
  <c r="J391" i="45"/>
  <c r="F391" i="45"/>
  <c r="J390" i="45"/>
  <c r="F390" i="45"/>
  <c r="J389" i="45"/>
  <c r="K389" i="45" s="1"/>
  <c r="J388" i="45"/>
  <c r="F388" i="45"/>
  <c r="J387" i="45"/>
  <c r="F387" i="45"/>
  <c r="J386" i="45"/>
  <c r="F386" i="45"/>
  <c r="J385" i="45"/>
  <c r="K385" i="45" s="1"/>
  <c r="F384" i="45"/>
  <c r="J383" i="45"/>
  <c r="F383" i="45"/>
  <c r="F382" i="45"/>
  <c r="F381" i="45"/>
  <c r="F380" i="45"/>
  <c r="J379" i="45"/>
  <c r="F379" i="45"/>
  <c r="J378" i="45"/>
  <c r="F378" i="45"/>
  <c r="J377" i="45"/>
  <c r="K377" i="45" s="1"/>
  <c r="F369" i="45"/>
  <c r="K366" i="45"/>
  <c r="J365" i="45"/>
  <c r="F365" i="45"/>
  <c r="F364" i="45"/>
  <c r="J363" i="45"/>
  <c r="F363" i="45"/>
  <c r="J362" i="45"/>
  <c r="F362" i="45"/>
  <c r="J361" i="45"/>
  <c r="F361" i="45"/>
  <c r="J360" i="45"/>
  <c r="F360" i="45"/>
  <c r="J359" i="45"/>
  <c r="F359" i="45"/>
  <c r="J358" i="45"/>
  <c r="F358" i="45"/>
  <c r="J357" i="45"/>
  <c r="F353" i="45"/>
  <c r="J352" i="45"/>
  <c r="K352" i="45" s="1"/>
  <c r="J351" i="45"/>
  <c r="F351" i="45"/>
  <c r="J350" i="45"/>
  <c r="F350" i="45"/>
  <c r="J349" i="45"/>
  <c r="F349" i="45"/>
  <c r="J348" i="45"/>
  <c r="F348" i="45"/>
  <c r="J347" i="45"/>
  <c r="F347" i="45"/>
  <c r="F344" i="45"/>
  <c r="F343" i="45"/>
  <c r="J342" i="45"/>
  <c r="F342" i="45"/>
  <c r="J341" i="45"/>
  <c r="F341" i="45"/>
  <c r="J340" i="45"/>
  <c r="K340" i="45" s="1"/>
  <c r="J339" i="45"/>
  <c r="F339" i="45"/>
  <c r="J336" i="45"/>
  <c r="F336" i="45"/>
  <c r="J334" i="45"/>
  <c r="F334" i="45"/>
  <c r="J333" i="45"/>
  <c r="F333" i="45"/>
  <c r="J332" i="45"/>
  <c r="F332" i="45"/>
  <c r="F331" i="45"/>
  <c r="F330" i="45"/>
  <c r="J329" i="45"/>
  <c r="F329" i="45"/>
  <c r="F328" i="45"/>
  <c r="F327" i="45"/>
  <c r="J326" i="45"/>
  <c r="F326" i="45"/>
  <c r="J325" i="45"/>
  <c r="F325" i="45"/>
  <c r="J324" i="45"/>
  <c r="F324" i="45"/>
  <c r="D323" i="45"/>
  <c r="F323" i="45" s="1"/>
  <c r="J322" i="45"/>
  <c r="F322" i="45"/>
  <c r="F318" i="45"/>
  <c r="J317" i="45"/>
  <c r="F317" i="45"/>
  <c r="F316" i="45"/>
  <c r="K316" i="45" s="1"/>
  <c r="J315" i="45"/>
  <c r="F315" i="45"/>
  <c r="J314" i="45"/>
  <c r="F314" i="45"/>
  <c r="F309" i="45"/>
  <c r="J308" i="45"/>
  <c r="F308" i="45"/>
  <c r="J307" i="45"/>
  <c r="F307" i="45"/>
  <c r="J306" i="45"/>
  <c r="F306" i="45"/>
  <c r="F305" i="45"/>
  <c r="J304" i="45"/>
  <c r="F304" i="45"/>
  <c r="F303" i="45"/>
  <c r="K303" i="45" s="1"/>
  <c r="J302" i="45"/>
  <c r="F302" i="45"/>
  <c r="F301" i="45"/>
  <c r="J300" i="45"/>
  <c r="F300" i="45"/>
  <c r="J293" i="45"/>
  <c r="F293" i="45"/>
  <c r="J292" i="45"/>
  <c r="F292" i="45"/>
  <c r="J291" i="45"/>
  <c r="F291" i="45"/>
  <c r="J290" i="45"/>
  <c r="F290" i="45"/>
  <c r="J289" i="45"/>
  <c r="F289" i="45"/>
  <c r="J287" i="45"/>
  <c r="F287" i="45"/>
  <c r="F286" i="45"/>
  <c r="J285" i="45"/>
  <c r="F285" i="45"/>
  <c r="J284" i="45"/>
  <c r="F284" i="45"/>
  <c r="J283" i="45"/>
  <c r="F283" i="45"/>
  <c r="F281" i="45"/>
  <c r="J280" i="45"/>
  <c r="F280" i="45"/>
  <c r="K279" i="45"/>
  <c r="J278" i="45"/>
  <c r="F278" i="45"/>
  <c r="J277" i="45"/>
  <c r="F277" i="45"/>
  <c r="J276" i="45"/>
  <c r="F276" i="45"/>
  <c r="J275" i="45"/>
  <c r="F275" i="45"/>
  <c r="J270" i="45"/>
  <c r="F270" i="45"/>
  <c r="J269" i="45"/>
  <c r="K269" i="45" s="1"/>
  <c r="J268" i="45"/>
  <c r="F268" i="45"/>
  <c r="J267" i="45"/>
  <c r="F267" i="45"/>
  <c r="F260" i="45"/>
  <c r="J259" i="45"/>
  <c r="F259" i="45"/>
  <c r="J258" i="45"/>
  <c r="K258" i="45" s="1"/>
  <c r="F257" i="45"/>
  <c r="F256" i="45"/>
  <c r="J255" i="45"/>
  <c r="F255" i="45"/>
  <c r="J254" i="45"/>
  <c r="F254" i="45"/>
  <c r="K252" i="45"/>
  <c r="J250" i="45"/>
  <c r="F250" i="45"/>
  <c r="J249" i="45"/>
  <c r="K249" i="45" s="1"/>
  <c r="J248" i="45"/>
  <c r="F248" i="45"/>
  <c r="F244" i="45"/>
  <c r="J243" i="45"/>
  <c r="F243" i="45"/>
  <c r="F242" i="45"/>
  <c r="K242" i="45" s="1"/>
  <c r="J241" i="45"/>
  <c r="F241" i="45"/>
  <c r="J240" i="45"/>
  <c r="F240" i="45"/>
  <c r="D237" i="45"/>
  <c r="D239" i="45" s="1"/>
  <c r="F239" i="45" s="1"/>
  <c r="F236" i="45"/>
  <c r="F235" i="45"/>
  <c r="F234" i="45"/>
  <c r="J233" i="45"/>
  <c r="F233" i="45"/>
  <c r="J232" i="45"/>
  <c r="F232" i="45"/>
  <c r="J231" i="45"/>
  <c r="K231" i="45" s="1"/>
  <c r="J227" i="45"/>
  <c r="F227" i="45"/>
  <c r="J226" i="45"/>
  <c r="K226" i="45" s="1"/>
  <c r="J225" i="45"/>
  <c r="K225" i="45" s="1"/>
  <c r="J224" i="45"/>
  <c r="F224" i="45"/>
  <c r="F221" i="45"/>
  <c r="J220" i="45"/>
  <c r="E220" i="45"/>
  <c r="F217" i="45"/>
  <c r="J215" i="45"/>
  <c r="F214" i="45"/>
  <c r="F213" i="45"/>
  <c r="J212" i="45"/>
  <c r="F212" i="45"/>
  <c r="F209" i="45"/>
  <c r="D208" i="45"/>
  <c r="F207" i="45"/>
  <c r="F206" i="45"/>
  <c r="J202" i="45"/>
  <c r="F202" i="45"/>
  <c r="J201" i="45"/>
  <c r="K201" i="45" s="1"/>
  <c r="F199" i="45"/>
  <c r="F192" i="45"/>
  <c r="F193" i="45" s="1"/>
  <c r="E193" i="45" s="1"/>
  <c r="J191" i="45"/>
  <c r="K191" i="45" s="1"/>
  <c r="J190" i="45"/>
  <c r="F190" i="45"/>
  <c r="J189" i="45"/>
  <c r="J188" i="45"/>
  <c r="F188" i="45"/>
  <c r="J187" i="45"/>
  <c r="F187" i="45"/>
  <c r="J186" i="45"/>
  <c r="F186" i="45"/>
  <c r="J184" i="45"/>
  <c r="K184" i="45" s="1"/>
  <c r="J183" i="45"/>
  <c r="K183" i="45" s="1"/>
  <c r="F178" i="45"/>
  <c r="J177" i="45"/>
  <c r="F177" i="45"/>
  <c r="J175" i="45"/>
  <c r="F175" i="45"/>
  <c r="J174" i="45"/>
  <c r="F174" i="45"/>
  <c r="J173" i="45"/>
  <c r="F173" i="45"/>
  <c r="F172" i="45"/>
  <c r="F171" i="45"/>
  <c r="J170" i="45"/>
  <c r="F170" i="45"/>
  <c r="J169" i="45"/>
  <c r="F169" i="45"/>
  <c r="D167" i="45"/>
  <c r="F167" i="45" s="1"/>
  <c r="K167" i="45" s="1"/>
  <c r="K165" i="45"/>
  <c r="J163" i="45"/>
  <c r="F163" i="45"/>
  <c r="F161" i="45"/>
  <c r="J160" i="45"/>
  <c r="F160" i="45"/>
  <c r="J158" i="45"/>
  <c r="F158" i="45"/>
  <c r="D156" i="45"/>
  <c r="F155" i="45"/>
  <c r="F154" i="45"/>
  <c r="F153" i="45"/>
  <c r="F152" i="45"/>
  <c r="J150" i="45"/>
  <c r="F150" i="45"/>
  <c r="F148" i="45"/>
  <c r="J147" i="45"/>
  <c r="F144" i="45"/>
  <c r="J142" i="45"/>
  <c r="F142" i="45"/>
  <c r="J141" i="45"/>
  <c r="F141" i="45"/>
  <c r="J140" i="45"/>
  <c r="F140" i="45"/>
  <c r="F138" i="45"/>
  <c r="F134" i="45"/>
  <c r="F133" i="45"/>
  <c r="F132" i="45"/>
  <c r="J131" i="45"/>
  <c r="F128" i="45"/>
  <c r="F127" i="45"/>
  <c r="D126" i="45"/>
  <c r="F126" i="45" s="1"/>
  <c r="K124" i="45" s="1"/>
  <c r="F123" i="45"/>
  <c r="F121" i="45"/>
  <c r="F120" i="45"/>
  <c r="F119" i="45"/>
  <c r="F118" i="45"/>
  <c r="D117" i="45"/>
  <c r="F117" i="45" s="1"/>
  <c r="K115" i="45"/>
  <c r="F114" i="45"/>
  <c r="D113" i="45"/>
  <c r="J112" i="45"/>
  <c r="J110" i="45"/>
  <c r="K110" i="45" s="1"/>
  <c r="D109" i="45"/>
  <c r="F109" i="45" s="1"/>
  <c r="F108" i="45"/>
  <c r="F105" i="45"/>
  <c r="F104" i="45"/>
  <c r="F103" i="45"/>
  <c r="J102" i="45"/>
  <c r="F102" i="45"/>
  <c r="J101" i="45"/>
  <c r="K101" i="45" s="1"/>
  <c r="E101" i="45"/>
  <c r="J100" i="45"/>
  <c r="F99" i="45"/>
  <c r="J98" i="45"/>
  <c r="F98" i="45"/>
  <c r="F97" i="45"/>
  <c r="K96" i="45" s="1"/>
  <c r="F96" i="45"/>
  <c r="J95" i="45"/>
  <c r="F95" i="45"/>
  <c r="F93" i="45"/>
  <c r="F84" i="45"/>
  <c r="F82" i="45"/>
  <c r="D81" i="45"/>
  <c r="F81" i="45" s="1"/>
  <c r="F80" i="45"/>
  <c r="J79" i="45"/>
  <c r="F79" i="45"/>
  <c r="F75" i="45"/>
  <c r="F74" i="45"/>
  <c r="K73" i="45"/>
  <c r="J72" i="45"/>
  <c r="F72" i="45"/>
  <c r="K71" i="45"/>
  <c r="K70" i="45"/>
  <c r="F67" i="45"/>
  <c r="F66" i="45"/>
  <c r="F65" i="45"/>
  <c r="J64" i="45"/>
  <c r="F64" i="45"/>
  <c r="J63" i="45"/>
  <c r="F63" i="45"/>
  <c r="J62" i="45"/>
  <c r="K62" i="45" s="1"/>
  <c r="F60" i="45"/>
  <c r="F59" i="45"/>
  <c r="J58" i="45"/>
  <c r="F58" i="45"/>
  <c r="J57" i="45"/>
  <c r="F57" i="45"/>
  <c r="F56" i="45"/>
  <c r="J55" i="45"/>
  <c r="F55" i="45"/>
  <c r="J52" i="45"/>
  <c r="F52" i="45"/>
  <c r="K53" i="45" s="1"/>
  <c r="D51" i="45"/>
  <c r="F51" i="45" s="1"/>
  <c r="F50" i="45"/>
  <c r="F49" i="45"/>
  <c r="J48" i="45"/>
  <c r="F48" i="45"/>
  <c r="J47" i="45"/>
  <c r="F47" i="45"/>
  <c r="F43" i="45"/>
  <c r="J42" i="45"/>
  <c r="K42" i="45" s="1"/>
  <c r="J41" i="45"/>
  <c r="F41" i="45"/>
  <c r="J40" i="45"/>
  <c r="F40" i="45"/>
  <c r="K40" i="45" s="1"/>
  <c r="F39" i="45"/>
  <c r="F38" i="45"/>
  <c r="K36" i="45" s="1"/>
  <c r="J36" i="45"/>
  <c r="E36" i="45"/>
  <c r="J35" i="45"/>
  <c r="F35" i="45"/>
  <c r="D34" i="45"/>
  <c r="F34" i="45" s="1"/>
  <c r="K31" i="45" s="1"/>
  <c r="F33" i="45"/>
  <c r="F32" i="45"/>
  <c r="F31" i="45"/>
  <c r="J30" i="45"/>
  <c r="F30" i="45"/>
  <c r="F29" i="45"/>
  <c r="K29" i="45" s="1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423" i="45" l="1"/>
  <c r="K955" i="45"/>
  <c r="K927" i="45"/>
  <c r="K1008" i="45"/>
  <c r="K1061" i="45"/>
  <c r="K1062" i="45"/>
  <c r="K61" i="45"/>
  <c r="K960" i="45"/>
  <c r="D975" i="45"/>
  <c r="F975" i="45" s="1"/>
  <c r="D976" i="45" s="1"/>
  <c r="K63" i="45"/>
  <c r="K1002" i="45"/>
  <c r="K583" i="45"/>
  <c r="K741" i="45"/>
  <c r="K1119" i="45"/>
  <c r="K1120" i="45"/>
  <c r="K362" i="45"/>
  <c r="K1115" i="45"/>
  <c r="K12" i="45"/>
  <c r="K393" i="45"/>
  <c r="K707" i="45"/>
  <c r="K559" i="45"/>
  <c r="K718" i="45"/>
  <c r="K763" i="45"/>
  <c r="K15" i="45"/>
  <c r="K528" i="45"/>
  <c r="K946" i="45"/>
  <c r="K327" i="45"/>
  <c r="K441" i="45"/>
  <c r="G460" i="45"/>
  <c r="J460" i="45" s="1"/>
  <c r="K460" i="45" s="1"/>
  <c r="G472" i="45"/>
  <c r="J472" i="45" s="1"/>
  <c r="K472" i="45" s="1"/>
  <c r="K604" i="45"/>
  <c r="K786" i="45"/>
  <c r="K905" i="45"/>
  <c r="K784" i="45"/>
  <c r="K611" i="45"/>
  <c r="K859" i="45"/>
  <c r="K683" i="45"/>
  <c r="K466" i="45"/>
  <c r="K692" i="45"/>
  <c r="K127" i="45"/>
  <c r="J223" i="45"/>
  <c r="K223" i="45" s="1"/>
  <c r="K556" i="45"/>
  <c r="K483" i="45"/>
  <c r="K488" i="45"/>
  <c r="K141" i="45"/>
  <c r="K260" i="45"/>
  <c r="K268" i="45"/>
  <c r="K342" i="45"/>
  <c r="K353" i="45"/>
  <c r="K365" i="45"/>
  <c r="K482" i="45"/>
  <c r="K486" i="45"/>
  <c r="K489" i="45"/>
  <c r="K304" i="45"/>
  <c r="K671" i="45"/>
  <c r="K1058" i="45"/>
  <c r="K1066" i="45"/>
  <c r="K490" i="45"/>
  <c r="K1103" i="45"/>
  <c r="K395" i="45"/>
  <c r="K283" i="45"/>
  <c r="K407" i="45"/>
  <c r="K951" i="45"/>
  <c r="K440" i="45"/>
  <c r="K703" i="45"/>
  <c r="K590" i="45"/>
  <c r="K939" i="45"/>
  <c r="K1056" i="45"/>
  <c r="K599" i="45"/>
  <c r="K609" i="45"/>
  <c r="K614" i="45"/>
  <c r="K624" i="45"/>
  <c r="K709" i="45"/>
  <c r="K736" i="45"/>
  <c r="K750" i="45"/>
  <c r="K752" i="45"/>
  <c r="K768" i="45"/>
  <c r="K828" i="45"/>
  <c r="K830" i="45"/>
  <c r="K837" i="45"/>
  <c r="K864" i="45"/>
  <c r="K896" i="45"/>
  <c r="K900" i="45"/>
  <c r="K914" i="45"/>
  <c r="K917" i="45"/>
  <c r="K943" i="45"/>
  <c r="K948" i="45"/>
  <c r="K981" i="45"/>
  <c r="K1035" i="45"/>
  <c r="K1048" i="45"/>
  <c r="K404" i="45"/>
  <c r="K350" i="45"/>
  <c r="K339" i="45"/>
  <c r="K326" i="45"/>
  <c r="K314" i="45"/>
  <c r="K58" i="45"/>
  <c r="K64" i="45"/>
  <c r="K209" i="45"/>
  <c r="K851" i="45"/>
  <c r="K856" i="45"/>
  <c r="K858" i="45"/>
  <c r="K892" i="45"/>
  <c r="K74" i="45"/>
  <c r="K608" i="45"/>
  <c r="K613" i="45"/>
  <c r="K677" i="45"/>
  <c r="K681" i="45"/>
  <c r="K706" i="45"/>
  <c r="K719" i="45"/>
  <c r="K767" i="45"/>
  <c r="K769" i="45"/>
  <c r="K798" i="45"/>
  <c r="K838" i="45"/>
  <c r="K840" i="45"/>
  <c r="K301" i="45"/>
  <c r="K306" i="45"/>
  <c r="K329" i="45"/>
  <c r="K280" i="45"/>
  <c r="F759" i="45"/>
  <c r="K759" i="45" s="1"/>
  <c r="K788" i="45"/>
  <c r="K232" i="45"/>
  <c r="K255" i="45"/>
  <c r="K341" i="45"/>
  <c r="K241" i="45"/>
  <c r="K248" i="45"/>
  <c r="K254" i="45"/>
  <c r="K270" i="45"/>
  <c r="K289" i="45"/>
  <c r="K309" i="45"/>
  <c r="K315" i="45"/>
  <c r="K333" i="45"/>
  <c r="K336" i="45"/>
  <c r="K349" i="45"/>
  <c r="K351" i="45"/>
  <c r="K383" i="45"/>
  <c r="K406" i="45"/>
  <c r="K413" i="45"/>
  <c r="K436" i="45"/>
  <c r="K442" i="45"/>
  <c r="K513" i="45"/>
  <c r="K515" i="45"/>
  <c r="K730" i="45"/>
  <c r="K762" i="45"/>
  <c r="K775" i="45"/>
  <c r="K992" i="45"/>
  <c r="K994" i="45"/>
  <c r="K996" i="45"/>
  <c r="K998" i="45"/>
  <c r="K1036" i="45"/>
  <c r="K1106" i="45"/>
  <c r="K934" i="45"/>
  <c r="K950" i="45"/>
  <c r="K966" i="45"/>
  <c r="K983" i="45"/>
  <c r="K1023" i="45"/>
  <c r="K1025" i="45"/>
  <c r="K1028" i="45"/>
  <c r="K1032" i="45"/>
  <c r="K1042" i="45"/>
  <c r="K292" i="45"/>
  <c r="K1016" i="45"/>
  <c r="K291" i="45"/>
  <c r="K386" i="45"/>
  <c r="K1000" i="45"/>
  <c r="K430" i="45"/>
  <c r="K721" i="45"/>
  <c r="K169" i="45"/>
  <c r="K361" i="45"/>
  <c r="K880" i="45"/>
  <c r="K883" i="45"/>
  <c r="K904" i="45"/>
  <c r="K968" i="45"/>
  <c r="K984" i="45"/>
  <c r="K302" i="45"/>
  <c r="K307" i="45"/>
  <c r="K317" i="45"/>
  <c r="K591" i="45"/>
  <c r="K829" i="45"/>
  <c r="K173" i="45"/>
  <c r="K188" i="45"/>
  <c r="K190" i="45"/>
  <c r="K679" i="45"/>
  <c r="K751" i="45"/>
  <c r="K392" i="45"/>
  <c r="K592" i="45"/>
  <c r="K597" i="45"/>
  <c r="K601" i="45"/>
  <c r="K797" i="45"/>
  <c r="K30" i="45"/>
  <c r="K56" i="45"/>
  <c r="K95" i="45"/>
  <c r="K10" i="45"/>
  <c r="K277" i="45"/>
  <c r="K290" i="45"/>
  <c r="K308" i="45"/>
  <c r="K334" i="45"/>
  <c r="K348" i="45"/>
  <c r="K390" i="45"/>
  <c r="K411" i="45"/>
  <c r="K434" i="45"/>
  <c r="K584" i="45"/>
  <c r="K714" i="45"/>
  <c r="K723" i="45"/>
  <c r="K809" i="45"/>
  <c r="K1017" i="45"/>
  <c r="K65" i="45"/>
  <c r="K100" i="45"/>
  <c r="K112" i="45"/>
  <c r="K170" i="45"/>
  <c r="F208" i="45"/>
  <c r="K203" i="45" s="1"/>
  <c r="K220" i="45"/>
  <c r="K233" i="45"/>
  <c r="K27" i="45"/>
  <c r="K187" i="45"/>
  <c r="K514" i="45"/>
  <c r="K670" i="45"/>
  <c r="K682" i="45"/>
  <c r="K701" i="45"/>
  <c r="K710" i="45"/>
  <c r="K887" i="45"/>
  <c r="K893" i="45"/>
  <c r="K901" i="45"/>
  <c r="K913" i="45"/>
  <c r="K915" i="45"/>
  <c r="K916" i="45"/>
  <c r="K930" i="45"/>
  <c r="K980" i="45"/>
  <c r="K986" i="45"/>
  <c r="K991" i="45"/>
  <c r="K993" i="45"/>
  <c r="K995" i="45"/>
  <c r="K997" i="45"/>
  <c r="K999" i="45"/>
  <c r="K369" i="45"/>
  <c r="K534" i="45"/>
  <c r="D652" i="45"/>
  <c r="D663" i="45" s="1"/>
  <c r="D666" i="45" s="1"/>
  <c r="F666" i="45" s="1"/>
  <c r="K733" i="45"/>
  <c r="K1044" i="45"/>
  <c r="K1090" i="45"/>
  <c r="K1105" i="45"/>
  <c r="K250" i="45"/>
  <c r="K359" i="45"/>
  <c r="K399" i="45"/>
  <c r="K437" i="45"/>
  <c r="K11" i="45"/>
  <c r="K35" i="45"/>
  <c r="K55" i="45"/>
  <c r="K102" i="45"/>
  <c r="K142" i="45"/>
  <c r="K150" i="45"/>
  <c r="K163" i="45"/>
  <c r="K177" i="45"/>
  <c r="K186" i="45"/>
  <c r="K202" i="45"/>
  <c r="K212" i="45"/>
  <c r="K224" i="45"/>
  <c r="K259" i="45"/>
  <c r="K284" i="45"/>
  <c r="K318" i="45"/>
  <c r="K322" i="45"/>
  <c r="K325" i="45"/>
  <c r="K343" i="45"/>
  <c r="K360" i="45"/>
  <c r="K363" i="45"/>
  <c r="K391" i="45"/>
  <c r="K394" i="45"/>
  <c r="K418" i="45"/>
  <c r="K427" i="45"/>
  <c r="K429" i="45"/>
  <c r="K435" i="45"/>
  <c r="K449" i="45"/>
  <c r="K450" i="45"/>
  <c r="K477" i="45"/>
  <c r="K507" i="45"/>
  <c r="K509" i="45"/>
  <c r="K511" i="45"/>
  <c r="K538" i="45"/>
  <c r="K548" i="45"/>
  <c r="K606" i="45"/>
  <c r="K620" i="45"/>
  <c r="K685" i="45"/>
  <c r="K726" i="45"/>
  <c r="K734" i="45"/>
  <c r="K737" i="45"/>
  <c r="K749" i="45"/>
  <c r="K761" i="45"/>
  <c r="K782" i="45"/>
  <c r="K841" i="45"/>
  <c r="K846" i="45"/>
  <c r="K861" i="45"/>
  <c r="K884" i="45"/>
  <c r="K898" i="45"/>
  <c r="K925" i="45"/>
  <c r="K958" i="45"/>
  <c r="K965" i="45"/>
  <c r="K1015" i="45"/>
  <c r="K1022" i="45"/>
  <c r="K1024" i="45"/>
  <c r="K1026" i="45"/>
  <c r="K1029" i="45"/>
  <c r="K1031" i="45"/>
  <c r="K1041" i="45"/>
  <c r="K1043" i="45"/>
  <c r="K1045" i="45"/>
  <c r="K79" i="45"/>
  <c r="K72" i="45"/>
  <c r="K57" i="45"/>
  <c r="K47" i="45"/>
  <c r="D122" i="45"/>
  <c r="F122" i="45" s="1"/>
  <c r="K117" i="45" s="1"/>
  <c r="F156" i="45"/>
  <c r="K158" i="45"/>
  <c r="K160" i="45"/>
  <c r="K174" i="45"/>
  <c r="K240" i="45"/>
  <c r="K358" i="45"/>
  <c r="K387" i="45"/>
  <c r="K397" i="45"/>
  <c r="K720" i="45"/>
  <c r="K731" i="45"/>
  <c r="K747" i="45"/>
  <c r="K28" i="45"/>
  <c r="K48" i="45"/>
  <c r="K98" i="45"/>
  <c r="K267" i="45"/>
  <c r="K276" i="45"/>
  <c r="K278" i="45"/>
  <c r="K300" i="45"/>
  <c r="K324" i="45"/>
  <c r="K433" i="45"/>
  <c r="K452" i="45"/>
  <c r="K526" i="45"/>
  <c r="F636" i="45"/>
  <c r="F637" i="45" s="1"/>
  <c r="F642" i="45" s="1"/>
  <c r="F645" i="45" s="1"/>
  <c r="F647" i="45" s="1"/>
  <c r="F652" i="45" s="1"/>
  <c r="K6" i="45"/>
  <c r="K140" i="45"/>
  <c r="K175" i="45"/>
  <c r="K275" i="45"/>
  <c r="K287" i="45"/>
  <c r="K332" i="45"/>
  <c r="K347" i="45"/>
  <c r="K357" i="45"/>
  <c r="K378" i="45"/>
  <c r="K388" i="45"/>
  <c r="F499" i="45"/>
  <c r="K499" i="45" s="1"/>
  <c r="K558" i="45"/>
  <c r="K621" i="45"/>
  <c r="K862" i="45"/>
  <c r="K25" i="45"/>
  <c r="D83" i="45"/>
  <c r="K285" i="45"/>
  <c r="K293" i="45"/>
  <c r="K410" i="45"/>
  <c r="K412" i="45"/>
  <c r="K467" i="45"/>
  <c r="K537" i="45"/>
  <c r="K594" i="45"/>
  <c r="K610" i="45"/>
  <c r="K675" i="45"/>
  <c r="K680" i="45"/>
  <c r="K888" i="45"/>
  <c r="K1033" i="45"/>
  <c r="K26" i="45"/>
  <c r="K13" i="45"/>
  <c r="D522" i="45"/>
  <c r="F518" i="45"/>
  <c r="K189" i="45"/>
  <c r="F237" i="45"/>
  <c r="K431" i="45"/>
  <c r="K439" i="45"/>
  <c r="K476" i="45"/>
  <c r="K510" i="45"/>
  <c r="K595" i="45"/>
  <c r="K623" i="45"/>
  <c r="F812" i="45"/>
  <c r="K806" i="45"/>
  <c r="K831" i="45"/>
  <c r="K839" i="45"/>
  <c r="K863" i="45"/>
  <c r="K894" i="45"/>
  <c r="K924" i="45"/>
  <c r="K979" i="45"/>
  <c r="K1018" i="45"/>
  <c r="K1030" i="45"/>
  <c r="K676" i="45"/>
  <c r="K847" i="45"/>
  <c r="K897" i="45"/>
  <c r="F976" i="45" l="1"/>
  <c r="D977" i="45" s="1"/>
  <c r="D86" i="45"/>
  <c r="D92" i="45" s="1"/>
  <c r="K653" i="45"/>
  <c r="F663" i="45"/>
  <c r="K663" i="45" s="1"/>
  <c r="F83" i="45"/>
  <c r="F815" i="45"/>
  <c r="F817" i="45" s="1"/>
  <c r="F819" i="45"/>
  <c r="F821" i="45" s="1"/>
  <c r="F823" i="45" s="1"/>
  <c r="K822" i="45" s="1"/>
  <c r="F522" i="45"/>
  <c r="D525" i="45"/>
  <c r="B22" i="44"/>
  <c r="F977" i="45" l="1"/>
  <c r="K977" i="45" s="1"/>
  <c r="F827" i="45"/>
  <c r="F86" i="45"/>
  <c r="F92" i="45" s="1"/>
  <c r="F525" i="45"/>
  <c r="K525" i="45" s="1"/>
  <c r="K516" i="45"/>
  <c r="B71" i="8"/>
  <c r="F548" i="39" l="1"/>
  <c r="F919" i="39"/>
  <c r="F117" i="39" l="1"/>
  <c r="F120" i="39"/>
  <c r="F119" i="39"/>
  <c r="F118" i="39"/>
  <c r="J114" i="39"/>
  <c r="F107" i="39"/>
  <c r="F104" i="39"/>
  <c r="D108" i="39"/>
  <c r="F108" i="39" s="1"/>
  <c r="F1185" i="39" l="1"/>
  <c r="F995" i="37"/>
  <c r="F894" i="35"/>
  <c r="F508" i="39"/>
  <c r="F510" i="39" s="1"/>
  <c r="F1184" i="39"/>
  <c r="F745" i="39"/>
  <c r="F744" i="39"/>
  <c r="F743" i="39"/>
  <c r="D194" i="39"/>
  <c r="F192" i="39"/>
  <c r="F193" i="39" s="1"/>
  <c r="E193" i="39" s="1"/>
  <c r="F1183" i="39"/>
  <c r="J1072" i="39"/>
  <c r="J797" i="39"/>
  <c r="J584" i="39"/>
  <c r="J431" i="39"/>
  <c r="D431" i="39"/>
  <c r="F431" i="39" s="1"/>
  <c r="J179" i="39"/>
  <c r="F1181" i="39"/>
  <c r="F1179" i="39"/>
  <c r="F1114" i="39"/>
  <c r="D167" i="39" l="1"/>
  <c r="F167" i="39" s="1"/>
  <c r="J162" i="39"/>
  <c r="K162" i="39" s="1"/>
  <c r="J140" i="39"/>
  <c r="J295" i="39"/>
  <c r="J993" i="39"/>
  <c r="J41" i="39"/>
  <c r="J1116" i="39"/>
  <c r="J690" i="39"/>
  <c r="J762" i="39" l="1"/>
  <c r="J234" i="39"/>
  <c r="J1115" i="39"/>
  <c r="J390" i="39"/>
  <c r="J946" i="39"/>
  <c r="J685" i="39"/>
  <c r="J1019" i="39"/>
  <c r="F1180" i="39"/>
  <c r="F1112" i="39"/>
  <c r="D1113" i="39"/>
  <c r="F1113" i="39" s="1"/>
  <c r="F1176" i="39"/>
  <c r="F551" i="39"/>
  <c r="F1175" i="39"/>
  <c r="K41" i="39"/>
  <c r="F1138" i="39" l="1"/>
  <c r="F1137" i="39"/>
  <c r="F429" i="39"/>
  <c r="F383" i="39"/>
  <c r="F382" i="39"/>
  <c r="F1161" i="39"/>
  <c r="F1160" i="39"/>
  <c r="F899" i="39"/>
  <c r="J988" i="39"/>
  <c r="F915" i="39"/>
  <c r="J701" i="39"/>
  <c r="J1108" i="39"/>
  <c r="J765" i="39" l="1"/>
  <c r="J56" i="39"/>
  <c r="J1008" i="39"/>
  <c r="F135" i="39" l="1"/>
  <c r="D974" i="37"/>
  <c r="D125" i="39"/>
  <c r="D411" i="39"/>
  <c r="F411" i="39" s="1"/>
  <c r="K411" i="39" s="1"/>
  <c r="F410" i="39"/>
  <c r="K410" i="39" s="1"/>
  <c r="F409" i="39"/>
  <c r="K409" i="39" s="1"/>
  <c r="D351" i="37"/>
  <c r="F351" i="37" s="1"/>
  <c r="K351" i="37" s="1"/>
  <c r="F350" i="37"/>
  <c r="K350" i="37" s="1"/>
  <c r="F349" i="37"/>
  <c r="K349" i="37" s="1"/>
  <c r="F586" i="39" l="1"/>
  <c r="C39" i="44"/>
  <c r="F215" i="39" l="1"/>
  <c r="E8" i="15"/>
  <c r="F641" i="39"/>
  <c r="F640" i="39"/>
  <c r="F528" i="39"/>
  <c r="D208" i="39"/>
  <c r="F207" i="39"/>
  <c r="F527" i="39"/>
  <c r="F153" i="39"/>
  <c r="D154" i="39"/>
  <c r="F152" i="39"/>
  <c r="F151" i="39"/>
  <c r="F150" i="39"/>
  <c r="F154" i="39" l="1"/>
  <c r="F717" i="39"/>
  <c r="F718" i="39"/>
  <c r="F719" i="39"/>
  <c r="F720" i="39"/>
  <c r="F721" i="39"/>
  <c r="F716" i="39"/>
  <c r="D722" i="39"/>
  <c r="F722" i="39" s="1"/>
  <c r="J558" i="39"/>
  <c r="J371" i="39"/>
  <c r="J563" i="39"/>
  <c r="J825" i="39"/>
  <c r="F348" i="39"/>
  <c r="J374" i="39"/>
  <c r="K374" i="39" s="1"/>
  <c r="F45" i="39" l="1"/>
  <c r="F560" i="39"/>
  <c r="F559" i="39"/>
  <c r="D373" i="39"/>
  <c r="F373" i="39" s="1"/>
  <c r="K371" i="39" s="1"/>
  <c r="F588" i="39"/>
  <c r="J731" i="39"/>
  <c r="J71" i="39"/>
  <c r="F784" i="39"/>
  <c r="F1173" i="39"/>
  <c r="F1111" i="39"/>
  <c r="F1172" i="39"/>
  <c r="F1171" i="39"/>
  <c r="F1169" i="39"/>
  <c r="J734" i="39"/>
  <c r="F734" i="39"/>
  <c r="J1076" i="39"/>
  <c r="F1076" i="39"/>
  <c r="J505" i="39"/>
  <c r="J281" i="39"/>
  <c r="K281" i="39" s="1"/>
  <c r="K734" i="39" l="1"/>
  <c r="K1076" i="39"/>
  <c r="F3" i="39"/>
  <c r="F4" i="39"/>
  <c r="F556" i="39"/>
  <c r="D557" i="39"/>
  <c r="F557" i="39" s="1"/>
  <c r="B64" i="8"/>
  <c r="B63" i="8"/>
  <c r="F1168" i="39"/>
  <c r="F1157" i="39"/>
  <c r="F1155" i="39"/>
  <c r="F1156" i="39"/>
  <c r="J186" i="39"/>
  <c r="K186" i="39" s="1"/>
  <c r="F1167" i="39"/>
  <c r="F31" i="39"/>
  <c r="K31" i="39" s="1"/>
  <c r="F30" i="39"/>
  <c r="K30" i="39" s="1"/>
  <c r="F877" i="39"/>
  <c r="F1165" i="39"/>
  <c r="B99" i="43"/>
  <c r="B90" i="43"/>
  <c r="B77" i="43"/>
  <c r="B55" i="43"/>
  <c r="B37" i="43"/>
  <c r="B28" i="43"/>
  <c r="B19" i="43"/>
  <c r="F876" i="39" l="1"/>
  <c r="F1053" i="39"/>
  <c r="J1096" i="39"/>
  <c r="F1097" i="39"/>
  <c r="F1096" i="39"/>
  <c r="F1098" i="39"/>
  <c r="J10" i="39"/>
  <c r="F10" i="39"/>
  <c r="J1070" i="39"/>
  <c r="D1067" i="39"/>
  <c r="F1067" i="39" s="1"/>
  <c r="F27" i="39"/>
  <c r="J813" i="37"/>
  <c r="J310" i="39"/>
  <c r="J532" i="39"/>
  <c r="J53" i="39"/>
  <c r="J52" i="39"/>
  <c r="F1164" i="39"/>
  <c r="F1163" i="39"/>
  <c r="F1162" i="39"/>
  <c r="K1096" i="39" l="1"/>
  <c r="F1159" i="39"/>
  <c r="F674" i="39"/>
  <c r="F673" i="39"/>
  <c r="F672" i="39"/>
  <c r="F671" i="39"/>
  <c r="F670" i="39"/>
  <c r="F669" i="39"/>
  <c r="F668" i="39"/>
  <c r="J665" i="39"/>
  <c r="F956" i="39" l="1"/>
  <c r="F467" i="39"/>
  <c r="D425" i="39"/>
  <c r="F425" i="39" s="1"/>
  <c r="F858" i="39" l="1"/>
  <c r="K855" i="39"/>
  <c r="J856" i="39"/>
  <c r="J855" i="39"/>
  <c r="F757" i="39"/>
  <c r="F756" i="39"/>
  <c r="D758" i="39"/>
  <c r="F758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B23" i="43" s="1"/>
  <c r="J626" i="39"/>
  <c r="J1092" i="39"/>
  <c r="F1092" i="39"/>
  <c r="J290" i="39"/>
  <c r="F290" i="39"/>
  <c r="K1092" i="39" l="1"/>
  <c r="K290" i="39"/>
  <c r="B24" i="43"/>
  <c r="B25" i="43" s="1"/>
  <c r="B30" i="43" s="1"/>
  <c r="B32" i="43" s="1"/>
  <c r="J1095" i="39"/>
  <c r="F1095" i="39"/>
  <c r="J1140" i="39"/>
  <c r="F1140" i="39"/>
  <c r="F354" i="39"/>
  <c r="J879" i="39"/>
  <c r="D51" i="39"/>
  <c r="F51" i="39" s="1"/>
  <c r="F95" i="39"/>
  <c r="J1152" i="39"/>
  <c r="F1152" i="39"/>
  <c r="J1151" i="39"/>
  <c r="F1151" i="39"/>
  <c r="J841" i="39"/>
  <c r="J1059" i="39"/>
  <c r="F1059" i="39"/>
  <c r="J604" i="39"/>
  <c r="D604" i="39"/>
  <c r="F604" i="39" s="1"/>
  <c r="K604" i="39" s="1"/>
  <c r="F19" i="39"/>
  <c r="J963" i="39"/>
  <c r="D966" i="39"/>
  <c r="F966" i="39" s="1"/>
  <c r="J1149" i="39"/>
  <c r="F1149" i="39"/>
  <c r="F249" i="39"/>
  <c r="F130" i="39"/>
  <c r="F725" i="39"/>
  <c r="J297" i="39"/>
  <c r="F1148" i="39"/>
  <c r="F1145" i="39"/>
  <c r="J760" i="39"/>
  <c r="J1133" i="39"/>
  <c r="K1133" i="39" s="1"/>
  <c r="D648" i="39"/>
  <c r="D649" i="39" s="1"/>
  <c r="F667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D132" i="27"/>
  <c r="D131" i="27"/>
  <c r="D130" i="27"/>
  <c r="J705" i="39"/>
  <c r="K705" i="39" s="1"/>
  <c r="J1010" i="39"/>
  <c r="F500" i="37"/>
  <c r="J785" i="39"/>
  <c r="F545" i="39"/>
  <c r="K545" i="39" s="1"/>
  <c r="F544" i="39"/>
  <c r="K544" i="39" s="1"/>
  <c r="D546" i="39"/>
  <c r="F546" i="39" s="1"/>
  <c r="K546" i="39" s="1"/>
  <c r="F1144" i="39"/>
  <c r="J1102" i="39"/>
  <c r="F1102" i="39"/>
  <c r="J1103" i="39"/>
  <c r="F1103" i="39"/>
  <c r="J829" i="39"/>
  <c r="J1093" i="39"/>
  <c r="J823" i="39"/>
  <c r="J1094" i="39"/>
  <c r="K1094" i="39" s="1"/>
  <c r="J597" i="39"/>
  <c r="F1141" i="39"/>
  <c r="E148" i="27" l="1"/>
  <c r="K1140" i="39"/>
  <c r="K1095" i="39"/>
  <c r="K1151" i="39"/>
  <c r="K1059" i="39"/>
  <c r="K1152" i="39"/>
  <c r="B33" i="43"/>
  <c r="B34" i="43" s="1"/>
  <c r="B39" i="43" s="1"/>
  <c r="B41" i="43" s="1"/>
  <c r="K1149" i="39"/>
  <c r="K963" i="39"/>
  <c r="D148" i="27"/>
  <c r="F148" i="27"/>
  <c r="B149" i="27" s="1"/>
  <c r="B151" i="27" s="1"/>
  <c r="K1103" i="39"/>
  <c r="K1102" i="39"/>
  <c r="D536" i="39"/>
  <c r="B42" i="43" l="1"/>
  <c r="B43" i="43" s="1"/>
  <c r="B57" i="43" s="1"/>
  <c r="B59" i="43" s="1"/>
  <c r="B60" i="43" s="1"/>
  <c r="B61" i="43" s="1"/>
  <c r="B64" i="43" s="1"/>
  <c r="F326" i="39"/>
  <c r="J791" i="39"/>
  <c r="F778" i="37"/>
  <c r="F777" i="37"/>
  <c r="F776" i="37"/>
  <c r="J776" i="37"/>
  <c r="K776" i="37" s="1"/>
  <c r="H40" i="26"/>
  <c r="F40" i="26" s="1"/>
  <c r="I40" i="26" s="1"/>
  <c r="F437" i="39"/>
  <c r="B65" i="43" l="1"/>
  <c r="B66" i="43" s="1"/>
  <c r="B79" i="43" s="1"/>
  <c r="B81" i="43" s="1"/>
  <c r="J266" i="39"/>
  <c r="F265" i="39"/>
  <c r="J181" i="39"/>
  <c r="K181" i="39" s="1"/>
  <c r="J500" i="39"/>
  <c r="J189" i="39"/>
  <c r="F83" i="39"/>
  <c r="J191" i="39"/>
  <c r="K191" i="39" s="1"/>
  <c r="F926" i="39"/>
  <c r="J925" i="39"/>
  <c r="F925" i="39"/>
  <c r="F906" i="39"/>
  <c r="J221" i="39"/>
  <c r="D200" i="39"/>
  <c r="F200" i="39" s="1"/>
  <c r="F199" i="39"/>
  <c r="J198" i="39"/>
  <c r="F711" i="39"/>
  <c r="J865" i="39"/>
  <c r="F812" i="39"/>
  <c r="F811" i="39"/>
  <c r="F810" i="39"/>
  <c r="F809" i="39"/>
  <c r="F808" i="39"/>
  <c r="F807" i="39"/>
  <c r="D813" i="39"/>
  <c r="J802" i="39"/>
  <c r="J800" i="39"/>
  <c r="J1139" i="39"/>
  <c r="F1139" i="39"/>
  <c r="J1031" i="39"/>
  <c r="J764" i="39"/>
  <c r="F88" i="39"/>
  <c r="C103" i="31"/>
  <c r="J257" i="39"/>
  <c r="F1119" i="39"/>
  <c r="F1120" i="39"/>
  <c r="J247" i="39"/>
  <c r="F247" i="39"/>
  <c r="J282" i="39"/>
  <c r="F282" i="39"/>
  <c r="B82" i="43" l="1"/>
  <c r="B83" i="43" s="1"/>
  <c r="B92" i="43" s="1"/>
  <c r="B94" i="43" s="1"/>
  <c r="K247" i="39"/>
  <c r="F1025" i="39"/>
  <c r="J815" i="39"/>
  <c r="J1129" i="39"/>
  <c r="J1125" i="39"/>
  <c r="F1065" i="39"/>
  <c r="J968" i="39"/>
  <c r="J1128" i="39"/>
  <c r="B95" i="43" l="1"/>
  <c r="B96" i="43" s="1"/>
  <c r="B101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27" i="39"/>
  <c r="B103" i="43" l="1"/>
  <c r="B104" i="43" s="1"/>
  <c r="B105" i="43" s="1"/>
  <c r="B109" i="43" s="1"/>
  <c r="B111" i="43" s="1"/>
  <c r="E106" i="27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B112" i="43" l="1"/>
  <c r="B113" i="43" s="1"/>
  <c r="B121" i="43" s="1"/>
  <c r="B123" i="43" s="1"/>
  <c r="F116" i="27"/>
  <c r="B117" i="27" s="1"/>
  <c r="B119" i="27" s="1"/>
  <c r="B7" i="41"/>
  <c r="J111" i="39"/>
  <c r="F1124" i="39"/>
  <c r="F1052" i="39"/>
  <c r="F910" i="39"/>
  <c r="F967" i="39"/>
  <c r="F837" i="37"/>
  <c r="J837" i="37"/>
  <c r="J967" i="39"/>
  <c r="J678" i="39"/>
  <c r="J233" i="39"/>
  <c r="B9" i="41" l="1"/>
  <c r="B15" i="41" s="1"/>
  <c r="J742" i="39"/>
  <c r="F742" i="39"/>
  <c r="J201" i="39"/>
  <c r="K201" i="39" s="1"/>
  <c r="F146" i="39"/>
  <c r="F144" i="39"/>
  <c r="F145" i="39"/>
  <c r="J143" i="39"/>
  <c r="F536" i="39"/>
  <c r="F532" i="39"/>
  <c r="J531" i="39"/>
  <c r="F491" i="37"/>
  <c r="F582" i="39"/>
  <c r="K584" i="39" s="1"/>
  <c r="J537" i="39"/>
  <c r="J538" i="39"/>
  <c r="J540" i="39"/>
  <c r="J541" i="39"/>
  <c r="J542" i="39"/>
  <c r="J547" i="39"/>
  <c r="J552" i="39"/>
  <c r="J553" i="39"/>
  <c r="J561" i="39"/>
  <c r="K561" i="39" s="1"/>
  <c r="J1123" i="39"/>
  <c r="F1123" i="39"/>
  <c r="J1122" i="39"/>
  <c r="F1121" i="39"/>
  <c r="J1118" i="39"/>
  <c r="F1117" i="39"/>
  <c r="F1116" i="39"/>
  <c r="K1116" i="39" s="1"/>
  <c r="F1115" i="39"/>
  <c r="K1115" i="39" s="1"/>
  <c r="F1109" i="39"/>
  <c r="F1108" i="39"/>
  <c r="K1108" i="39" s="1"/>
  <c r="J1107" i="39"/>
  <c r="J1106" i="39"/>
  <c r="J1105" i="39"/>
  <c r="F1105" i="39"/>
  <c r="J1104" i="39"/>
  <c r="F1104" i="39"/>
  <c r="J1101" i="39"/>
  <c r="F1101" i="39"/>
  <c r="F1100" i="39"/>
  <c r="J1099" i="39"/>
  <c r="K1099" i="39" s="1"/>
  <c r="F1093" i="39"/>
  <c r="K1093" i="39" s="1"/>
  <c r="J1091" i="39"/>
  <c r="F1091" i="39"/>
  <c r="J1090" i="39"/>
  <c r="F1090" i="39"/>
  <c r="J1089" i="39"/>
  <c r="F1089" i="39"/>
  <c r="J1088" i="39"/>
  <c r="F1088" i="39"/>
  <c r="J1086" i="39"/>
  <c r="F1086" i="39"/>
  <c r="J1085" i="39"/>
  <c r="F1085" i="39"/>
  <c r="J1084" i="39"/>
  <c r="F1084" i="39"/>
  <c r="J1083" i="39"/>
  <c r="F1083" i="39"/>
  <c r="J1082" i="39"/>
  <c r="F1082" i="39"/>
  <c r="J1081" i="39"/>
  <c r="F1081" i="39"/>
  <c r="K1081" i="39" s="1"/>
  <c r="J1079" i="39"/>
  <c r="F1079" i="39"/>
  <c r="J1078" i="39"/>
  <c r="F1078" i="39"/>
  <c r="J1077" i="39"/>
  <c r="F1077" i="39"/>
  <c r="J1075" i="39"/>
  <c r="K1075" i="39" s="1"/>
  <c r="J1073" i="39"/>
  <c r="K1073" i="39" s="1"/>
  <c r="F1073" i="39"/>
  <c r="J1071" i="39"/>
  <c r="E1071" i="39"/>
  <c r="D1070" i="39"/>
  <c r="F1070" i="39" s="1"/>
  <c r="F1069" i="39"/>
  <c r="F1068" i="39"/>
  <c r="J1064" i="39"/>
  <c r="F1064" i="39"/>
  <c r="J1063" i="39"/>
  <c r="F1063" i="39"/>
  <c r="J1062" i="39"/>
  <c r="F1062" i="39"/>
  <c r="J1061" i="39"/>
  <c r="F1061" i="39"/>
  <c r="J1060" i="39"/>
  <c r="F1060" i="39"/>
  <c r="J1058" i="39"/>
  <c r="F1058" i="39"/>
  <c r="J1057" i="39"/>
  <c r="F1057" i="39"/>
  <c r="J1056" i="39"/>
  <c r="F1056" i="39"/>
  <c r="J1055" i="39"/>
  <c r="F1055" i="39"/>
  <c r="J1054" i="39"/>
  <c r="F1054" i="39"/>
  <c r="J1051" i="39"/>
  <c r="F1051" i="39"/>
  <c r="J1050" i="39"/>
  <c r="J1049" i="39"/>
  <c r="F1049" i="39"/>
  <c r="J1048" i="39"/>
  <c r="F1048" i="39"/>
  <c r="J1046" i="39"/>
  <c r="J1045" i="39"/>
  <c r="F1045" i="39"/>
  <c r="J1044" i="39"/>
  <c r="F1044" i="39"/>
  <c r="J1043" i="39"/>
  <c r="F1043" i="39"/>
  <c r="F1042" i="39"/>
  <c r="F1040" i="39"/>
  <c r="D1041" i="39" s="1"/>
  <c r="F1041" i="39" s="1"/>
  <c r="F1039" i="39"/>
  <c r="F1037" i="39"/>
  <c r="J1036" i="39"/>
  <c r="J1035" i="39"/>
  <c r="J1034" i="39"/>
  <c r="J1033" i="39"/>
  <c r="F1033" i="39"/>
  <c r="F1031" i="39"/>
  <c r="J1030" i="39"/>
  <c r="F1030" i="39"/>
  <c r="J1029" i="39"/>
  <c r="F1029" i="39"/>
  <c r="F1028" i="39"/>
  <c r="F1026" i="39"/>
  <c r="J1024" i="39"/>
  <c r="F1024" i="39"/>
  <c r="J1023" i="39"/>
  <c r="J1022" i="39"/>
  <c r="F1022" i="39"/>
  <c r="F1020" i="39"/>
  <c r="F1019" i="39"/>
  <c r="F1016" i="39"/>
  <c r="J1015" i="39"/>
  <c r="F1015" i="39"/>
  <c r="J1014" i="39"/>
  <c r="F1014" i="39"/>
  <c r="J1013" i="39"/>
  <c r="J1012" i="39"/>
  <c r="F1012" i="39"/>
  <c r="F1011" i="39"/>
  <c r="F1010" i="39"/>
  <c r="F1008" i="39"/>
  <c r="D1007" i="39"/>
  <c r="J1006" i="39"/>
  <c r="F1006" i="39"/>
  <c r="F1005" i="39"/>
  <c r="J1004" i="39"/>
  <c r="F1004" i="39"/>
  <c r="J1003" i="39"/>
  <c r="K1003" i="39" s="1"/>
  <c r="F1002" i="39"/>
  <c r="F1001" i="39"/>
  <c r="J1000" i="39"/>
  <c r="K1000" i="39" s="1"/>
  <c r="J999" i="39"/>
  <c r="F999" i="39"/>
  <c r="D998" i="39"/>
  <c r="F997" i="39"/>
  <c r="F996" i="39"/>
  <c r="J995" i="39"/>
  <c r="F995" i="39"/>
  <c r="F988" i="39"/>
  <c r="J987" i="39"/>
  <c r="F987" i="39"/>
  <c r="F986" i="39"/>
  <c r="F985" i="39"/>
  <c r="J984" i="39"/>
  <c r="F984" i="39"/>
  <c r="J983" i="39"/>
  <c r="F983" i="39"/>
  <c r="D981" i="39"/>
  <c r="F980" i="39"/>
  <c r="J978" i="39"/>
  <c r="K978" i="39" s="1"/>
  <c r="J977" i="39"/>
  <c r="K977" i="39" s="1"/>
  <c r="E977" i="39"/>
  <c r="J976" i="39"/>
  <c r="F976" i="39"/>
  <c r="J975" i="39"/>
  <c r="F975" i="39"/>
  <c r="J974" i="39"/>
  <c r="F974" i="39"/>
  <c r="J973" i="39"/>
  <c r="F973" i="39"/>
  <c r="J972" i="39"/>
  <c r="F972" i="39"/>
  <c r="J971" i="39"/>
  <c r="F971" i="39"/>
  <c r="F965" i="39"/>
  <c r="F964" i="39"/>
  <c r="F963" i="39"/>
  <c r="F962" i="39"/>
  <c r="J957" i="39"/>
  <c r="K957" i="39" s="1"/>
  <c r="J955" i="39"/>
  <c r="F955" i="39"/>
  <c r="F953" i="39"/>
  <c r="F952" i="39"/>
  <c r="J951" i="39"/>
  <c r="J950" i="39"/>
  <c r="F950" i="39"/>
  <c r="J949" i="39"/>
  <c r="F949" i="39"/>
  <c r="J948" i="39"/>
  <c r="J947" i="39"/>
  <c r="F947" i="39"/>
  <c r="J945" i="39"/>
  <c r="F945" i="39"/>
  <c r="K946" i="39" s="1"/>
  <c r="J944" i="39"/>
  <c r="F944" i="39"/>
  <c r="J943" i="39"/>
  <c r="K943" i="39" s="1"/>
  <c r="J942" i="39"/>
  <c r="F942" i="39"/>
  <c r="J941" i="39"/>
  <c r="F941" i="39"/>
  <c r="J940" i="39"/>
  <c r="F940" i="39"/>
  <c r="J937" i="39"/>
  <c r="K937" i="39" s="1"/>
  <c r="J936" i="39"/>
  <c r="J935" i="39"/>
  <c r="F935" i="39"/>
  <c r="J934" i="39"/>
  <c r="F934" i="39"/>
  <c r="F933" i="39"/>
  <c r="J930" i="39"/>
  <c r="F930" i="39"/>
  <c r="J929" i="39"/>
  <c r="F929" i="39"/>
  <c r="J928" i="39"/>
  <c r="F928" i="39"/>
  <c r="F927" i="39"/>
  <c r="K925" i="39"/>
  <c r="F914" i="39"/>
  <c r="F913" i="39"/>
  <c r="J912" i="39"/>
  <c r="F912" i="39"/>
  <c r="J910" i="39"/>
  <c r="K910" i="39" s="1"/>
  <c r="J909" i="39"/>
  <c r="F909" i="39"/>
  <c r="J908" i="39"/>
  <c r="F908" i="39"/>
  <c r="J907" i="39"/>
  <c r="F907" i="39"/>
  <c r="J905" i="39"/>
  <c r="F905" i="39"/>
  <c r="J904" i="39"/>
  <c r="F904" i="39"/>
  <c r="J903" i="39"/>
  <c r="K903" i="39" s="1"/>
  <c r="E903" i="39"/>
  <c r="J902" i="39"/>
  <c r="F902" i="39"/>
  <c r="F901" i="39"/>
  <c r="J898" i="39"/>
  <c r="F898" i="39"/>
  <c r="F897" i="39"/>
  <c r="J896" i="39"/>
  <c r="K896" i="39" s="1"/>
  <c r="F896" i="39"/>
  <c r="J895" i="39"/>
  <c r="J894" i="39"/>
  <c r="F894" i="39"/>
  <c r="J893" i="39"/>
  <c r="F893" i="39"/>
  <c r="D891" i="39"/>
  <c r="J887" i="39"/>
  <c r="F887" i="39"/>
  <c r="J886" i="39"/>
  <c r="F886" i="39"/>
  <c r="J885" i="39"/>
  <c r="F885" i="39"/>
  <c r="J884" i="39"/>
  <c r="F884" i="39"/>
  <c r="J883" i="39"/>
  <c r="F883" i="39"/>
  <c r="J882" i="39"/>
  <c r="F882" i="39"/>
  <c r="F881" i="39"/>
  <c r="K879" i="39" s="1"/>
  <c r="F880" i="39"/>
  <c r="F879" i="39"/>
  <c r="J878" i="39"/>
  <c r="F878" i="39"/>
  <c r="F875" i="39"/>
  <c r="J874" i="39"/>
  <c r="F872" i="39"/>
  <c r="F871" i="39"/>
  <c r="F870" i="39"/>
  <c r="F869" i="39"/>
  <c r="F868" i="39"/>
  <c r="F867" i="39"/>
  <c r="F865" i="39"/>
  <c r="J864" i="39"/>
  <c r="F864" i="39"/>
  <c r="J863" i="39"/>
  <c r="F863" i="39"/>
  <c r="J862" i="39"/>
  <c r="F862" i="39"/>
  <c r="F856" i="39"/>
  <c r="F854" i="39"/>
  <c r="D848" i="39"/>
  <c r="D855" i="39" s="1"/>
  <c r="D857" i="39" s="1"/>
  <c r="D859" i="39" s="1"/>
  <c r="F847" i="39"/>
  <c r="F846" i="39"/>
  <c r="F845" i="39"/>
  <c r="F844" i="39"/>
  <c r="F843" i="39"/>
  <c r="F842" i="39"/>
  <c r="K841" i="39"/>
  <c r="D839" i="39"/>
  <c r="F839" i="39" s="1"/>
  <c r="F838" i="39"/>
  <c r="F837" i="39"/>
  <c r="F836" i="39"/>
  <c r="F835" i="39"/>
  <c r="F834" i="39"/>
  <c r="F833" i="39"/>
  <c r="F830" i="39"/>
  <c r="F829" i="39"/>
  <c r="F825" i="39"/>
  <c r="K825" i="39" s="1"/>
  <c r="F823" i="39"/>
  <c r="K823" i="39" s="1"/>
  <c r="D819" i="39"/>
  <c r="F819" i="39" s="1"/>
  <c r="K815" i="39" s="1"/>
  <c r="F818" i="39"/>
  <c r="F817" i="39"/>
  <c r="F816" i="39"/>
  <c r="F815" i="39"/>
  <c r="J806" i="39"/>
  <c r="F806" i="39"/>
  <c r="F813" i="39" s="1"/>
  <c r="F805" i="39"/>
  <c r="J804" i="39"/>
  <c r="F804" i="39"/>
  <c r="F803" i="39"/>
  <c r="F802" i="39"/>
  <c r="F801" i="39"/>
  <c r="F800" i="39"/>
  <c r="F799" i="39"/>
  <c r="J798" i="39"/>
  <c r="F798" i="39"/>
  <c r="J795" i="39"/>
  <c r="F795" i="39"/>
  <c r="F794" i="39"/>
  <c r="J793" i="39"/>
  <c r="F793" i="39"/>
  <c r="F791" i="39"/>
  <c r="J790" i="39"/>
  <c r="K790" i="39" s="1"/>
  <c r="J789" i="39"/>
  <c r="F789" i="39"/>
  <c r="J788" i="39"/>
  <c r="F788" i="39"/>
  <c r="J787" i="39"/>
  <c r="F787" i="39"/>
  <c r="F785" i="39"/>
  <c r="J783" i="39"/>
  <c r="F783" i="39"/>
  <c r="J782" i="39"/>
  <c r="F782" i="39"/>
  <c r="J781" i="39"/>
  <c r="F781" i="39"/>
  <c r="D779" i="39"/>
  <c r="F778" i="39"/>
  <c r="F777" i="39"/>
  <c r="F776" i="39"/>
  <c r="F775" i="39"/>
  <c r="F774" i="39"/>
  <c r="F773" i="39"/>
  <c r="J772" i="39"/>
  <c r="F772" i="39"/>
  <c r="J771" i="39"/>
  <c r="F771" i="39"/>
  <c r="J769" i="39"/>
  <c r="F769" i="39"/>
  <c r="J768" i="39"/>
  <c r="F768" i="39"/>
  <c r="J766" i="39"/>
  <c r="K766" i="39" s="1"/>
  <c r="F766" i="39"/>
  <c r="F764" i="39"/>
  <c r="J761" i="39"/>
  <c r="J759" i="39"/>
  <c r="F759" i="39"/>
  <c r="J756" i="39"/>
  <c r="J755" i="39"/>
  <c r="F755" i="39"/>
  <c r="J754" i="39"/>
  <c r="F754" i="39"/>
  <c r="J752" i="39"/>
  <c r="F752" i="39"/>
  <c r="F749" i="39"/>
  <c r="J748" i="39"/>
  <c r="K748" i="39" s="1"/>
  <c r="J747" i="39"/>
  <c r="F747" i="39"/>
  <c r="J746" i="39"/>
  <c r="F746" i="39"/>
  <c r="J741" i="39"/>
  <c r="K741" i="39" s="1"/>
  <c r="F740" i="39"/>
  <c r="J739" i="39"/>
  <c r="F739" i="39"/>
  <c r="J738" i="39"/>
  <c r="J737" i="39"/>
  <c r="F737" i="39"/>
  <c r="J736" i="39"/>
  <c r="J735" i="39"/>
  <c r="F735" i="39"/>
  <c r="F733" i="39"/>
  <c r="K731" i="39" s="1"/>
  <c r="F732" i="39"/>
  <c r="F731" i="39"/>
  <c r="F730" i="39"/>
  <c r="F729" i="39"/>
  <c r="F728" i="39"/>
  <c r="J727" i="39"/>
  <c r="F727" i="39"/>
  <c r="J724" i="39"/>
  <c r="F724" i="39"/>
  <c r="J723" i="39"/>
  <c r="F723" i="39"/>
  <c r="J715" i="39"/>
  <c r="K715" i="39" s="1"/>
  <c r="J714" i="39"/>
  <c r="F714" i="39"/>
  <c r="J712" i="39"/>
  <c r="K712" i="39" s="1"/>
  <c r="J711" i="39"/>
  <c r="K711" i="39" s="1"/>
  <c r="J710" i="39"/>
  <c r="K710" i="39" s="1"/>
  <c r="J709" i="39"/>
  <c r="F709" i="39"/>
  <c r="F703" i="39"/>
  <c r="J702" i="39"/>
  <c r="K702" i="39" s="1"/>
  <c r="F702" i="39"/>
  <c r="K701" i="39"/>
  <c r="J700" i="39"/>
  <c r="K700" i="39" s="1"/>
  <c r="F698" i="39"/>
  <c r="J697" i="39"/>
  <c r="F697" i="39"/>
  <c r="D696" i="39"/>
  <c r="F696" i="39" s="1"/>
  <c r="F695" i="39"/>
  <c r="F694" i="39"/>
  <c r="J693" i="39"/>
  <c r="F693" i="39"/>
  <c r="J692" i="39"/>
  <c r="F692" i="39"/>
  <c r="J691" i="39"/>
  <c r="F691" i="39"/>
  <c r="J689" i="39"/>
  <c r="F689" i="39"/>
  <c r="K690" i="39" s="1"/>
  <c r="J688" i="39"/>
  <c r="F688" i="39"/>
  <c r="J687" i="39"/>
  <c r="K687" i="39" s="1"/>
  <c r="J686" i="39"/>
  <c r="F686" i="39"/>
  <c r="J684" i="39"/>
  <c r="F684" i="39"/>
  <c r="K685" i="39" s="1"/>
  <c r="J683" i="39"/>
  <c r="F683" i="39"/>
  <c r="J682" i="39"/>
  <c r="K682" i="39" s="1"/>
  <c r="F682" i="39"/>
  <c r="J681" i="39"/>
  <c r="K681" i="39" s="1"/>
  <c r="J680" i="39"/>
  <c r="F680" i="39"/>
  <c r="J679" i="39"/>
  <c r="F679" i="39"/>
  <c r="K678" i="39"/>
  <c r="E678" i="39"/>
  <c r="J677" i="39"/>
  <c r="K677" i="39" s="1"/>
  <c r="F676" i="39"/>
  <c r="F663" i="39"/>
  <c r="D662" i="39"/>
  <c r="F662" i="39" s="1"/>
  <c r="F661" i="39"/>
  <c r="F660" i="39"/>
  <c r="F658" i="39"/>
  <c r="F656" i="39"/>
  <c r="F655" i="39"/>
  <c r="F653" i="39"/>
  <c r="F652" i="39"/>
  <c r="F651" i="39"/>
  <c r="F650" i="39"/>
  <c r="F647" i="39"/>
  <c r="F646" i="39"/>
  <c r="F645" i="39"/>
  <c r="F644" i="39"/>
  <c r="F643" i="39"/>
  <c r="F642" i="39"/>
  <c r="F639" i="39"/>
  <c r="F638" i="39"/>
  <c r="J637" i="39"/>
  <c r="F637" i="39"/>
  <c r="J636" i="39"/>
  <c r="F636" i="39"/>
  <c r="F635" i="39"/>
  <c r="J634" i="39"/>
  <c r="F634" i="39"/>
  <c r="J633" i="39"/>
  <c r="F633" i="39"/>
  <c r="F632" i="39"/>
  <c r="K632" i="39" s="1"/>
  <c r="J630" i="39"/>
  <c r="F630" i="39"/>
  <c r="J629" i="39"/>
  <c r="F629" i="39"/>
  <c r="J628" i="39"/>
  <c r="F628" i="39"/>
  <c r="D620" i="39"/>
  <c r="F619" i="39"/>
  <c r="F618" i="39"/>
  <c r="J615" i="39"/>
  <c r="F615" i="39"/>
  <c r="J614" i="39"/>
  <c r="F614" i="39"/>
  <c r="J613" i="39"/>
  <c r="F613" i="39"/>
  <c r="J612" i="39"/>
  <c r="F612" i="39"/>
  <c r="F611" i="39"/>
  <c r="J610" i="39"/>
  <c r="J608" i="39"/>
  <c r="F608" i="39"/>
  <c r="F606" i="39"/>
  <c r="J605" i="39"/>
  <c r="F605" i="39"/>
  <c r="F602" i="39"/>
  <c r="F601" i="39"/>
  <c r="F600" i="39"/>
  <c r="K600" i="39" s="1"/>
  <c r="J599" i="39"/>
  <c r="F599" i="39"/>
  <c r="F598" i="39"/>
  <c r="K597" i="39" s="1"/>
  <c r="J596" i="39"/>
  <c r="F596" i="39"/>
  <c r="J595" i="39"/>
  <c r="F595" i="39"/>
  <c r="F594" i="39"/>
  <c r="J593" i="39"/>
  <c r="F593" i="39"/>
  <c r="F592" i="39"/>
  <c r="J591" i="39"/>
  <c r="F591" i="39"/>
  <c r="J590" i="39"/>
  <c r="F590" i="39"/>
  <c r="F589" i="39"/>
  <c r="J587" i="39"/>
  <c r="F587" i="39"/>
  <c r="J582" i="39"/>
  <c r="D573" i="39"/>
  <c r="D575" i="39" s="1"/>
  <c r="J571" i="39"/>
  <c r="K571" i="39" s="1"/>
  <c r="J568" i="39"/>
  <c r="K568" i="39" s="1"/>
  <c r="E568" i="39"/>
  <c r="F567" i="39"/>
  <c r="J566" i="39"/>
  <c r="F566" i="39"/>
  <c r="J565" i="39"/>
  <c r="F565" i="39"/>
  <c r="K563" i="39"/>
  <c r="F562" i="39"/>
  <c r="F558" i="39"/>
  <c r="F555" i="39"/>
  <c r="F554" i="39"/>
  <c r="F553" i="39"/>
  <c r="F552" i="39"/>
  <c r="F547" i="39"/>
  <c r="F543" i="39"/>
  <c r="F542" i="39"/>
  <c r="F541" i="39"/>
  <c r="F540" i="39"/>
  <c r="F539" i="39"/>
  <c r="F538" i="39"/>
  <c r="K537" i="39"/>
  <c r="F535" i="39"/>
  <c r="F534" i="39"/>
  <c r="F533" i="39"/>
  <c r="F531" i="39"/>
  <c r="J530" i="39"/>
  <c r="F530" i="39"/>
  <c r="F525" i="39"/>
  <c r="F524" i="39"/>
  <c r="F523" i="39"/>
  <c r="D522" i="39"/>
  <c r="F521" i="39"/>
  <c r="J520" i="39"/>
  <c r="F520" i="39"/>
  <c r="J519" i="39"/>
  <c r="F519" i="39"/>
  <c r="J518" i="39"/>
  <c r="F518" i="39"/>
  <c r="J517" i="39"/>
  <c r="F517" i="39"/>
  <c r="J516" i="39"/>
  <c r="K516" i="39" s="1"/>
  <c r="J515" i="39"/>
  <c r="F515" i="39"/>
  <c r="J514" i="39"/>
  <c r="F514" i="39"/>
  <c r="J513" i="39"/>
  <c r="F513" i="39"/>
  <c r="F512" i="39"/>
  <c r="K512" i="39" s="1"/>
  <c r="J511" i="39"/>
  <c r="F511" i="39"/>
  <c r="D505" i="39"/>
  <c r="D507" i="39" s="1"/>
  <c r="F503" i="39"/>
  <c r="F502" i="39"/>
  <c r="F501" i="39"/>
  <c r="F500" i="39"/>
  <c r="K500" i="39" s="1"/>
  <c r="F499" i="39"/>
  <c r="J498" i="39"/>
  <c r="F498" i="39"/>
  <c r="J497" i="39"/>
  <c r="F497" i="39"/>
  <c r="J496" i="39"/>
  <c r="F496" i="39"/>
  <c r="J495" i="39"/>
  <c r="F495" i="39"/>
  <c r="J494" i="39"/>
  <c r="F494" i="39"/>
  <c r="J492" i="39"/>
  <c r="F492" i="39"/>
  <c r="J491" i="39"/>
  <c r="F491" i="39"/>
  <c r="J490" i="39"/>
  <c r="F490" i="39"/>
  <c r="J489" i="39"/>
  <c r="K489" i="39" s="1"/>
  <c r="E489" i="39"/>
  <c r="J488" i="39"/>
  <c r="K488" i="39" s="1"/>
  <c r="F486" i="39"/>
  <c r="F485" i="39"/>
  <c r="J484" i="39"/>
  <c r="F484" i="39"/>
  <c r="F483" i="39"/>
  <c r="J482" i="39"/>
  <c r="F482" i="39"/>
  <c r="J481" i="39"/>
  <c r="F481" i="39"/>
  <c r="J479" i="39"/>
  <c r="F479" i="39"/>
  <c r="J478" i="39"/>
  <c r="F478" i="39"/>
  <c r="F477" i="39"/>
  <c r="J476" i="39"/>
  <c r="F476" i="39"/>
  <c r="F475" i="39"/>
  <c r="F474" i="39"/>
  <c r="J473" i="39"/>
  <c r="F473" i="39"/>
  <c r="F472" i="39"/>
  <c r="J471" i="39"/>
  <c r="F471" i="39"/>
  <c r="D470" i="39"/>
  <c r="F470" i="39" s="1"/>
  <c r="F469" i="39"/>
  <c r="J468" i="39"/>
  <c r="F468" i="39"/>
  <c r="F466" i="39"/>
  <c r="J465" i="39"/>
  <c r="F465" i="39"/>
  <c r="F463" i="39"/>
  <c r="F462" i="39"/>
  <c r="F461" i="39"/>
  <c r="J460" i="39"/>
  <c r="F460" i="39"/>
  <c r="F459" i="39"/>
  <c r="J458" i="39"/>
  <c r="F458" i="39"/>
  <c r="J457" i="39"/>
  <c r="F457" i="39"/>
  <c r="J456" i="39"/>
  <c r="K456" i="39" s="1"/>
  <c r="J455" i="39"/>
  <c r="F455" i="39"/>
  <c r="F454" i="39"/>
  <c r="J453" i="39"/>
  <c r="F453" i="39"/>
  <c r="J452" i="39"/>
  <c r="F452" i="39"/>
  <c r="J451" i="39"/>
  <c r="F451" i="39"/>
  <c r="F450" i="39"/>
  <c r="J449" i="39"/>
  <c r="F449" i="39"/>
  <c r="J448" i="39"/>
  <c r="F448" i="39"/>
  <c r="J447" i="39"/>
  <c r="F447" i="39"/>
  <c r="J446" i="39"/>
  <c r="F446" i="39"/>
  <c r="J445" i="39"/>
  <c r="F445" i="39"/>
  <c r="F444" i="39"/>
  <c r="J443" i="39"/>
  <c r="F443" i="39"/>
  <c r="J442" i="39"/>
  <c r="F442" i="39"/>
  <c r="J440" i="39"/>
  <c r="F440" i="39"/>
  <c r="J439" i="39"/>
  <c r="K439" i="39" s="1"/>
  <c r="E439" i="39"/>
  <c r="J438" i="39"/>
  <c r="F438" i="39"/>
  <c r="J436" i="39"/>
  <c r="F436" i="39"/>
  <c r="J435" i="39"/>
  <c r="F435" i="39"/>
  <c r="K435" i="39" s="1"/>
  <c r="F434" i="39"/>
  <c r="F433" i="39"/>
  <c r="J432" i="39"/>
  <c r="F432" i="39"/>
  <c r="F430" i="39"/>
  <c r="J428" i="39"/>
  <c r="F428" i="39"/>
  <c r="J427" i="39"/>
  <c r="F427" i="39"/>
  <c r="F426" i="39"/>
  <c r="K426" i="39" s="1"/>
  <c r="J422" i="39"/>
  <c r="F422" i="39"/>
  <c r="J421" i="39"/>
  <c r="F421" i="39"/>
  <c r="J418" i="39"/>
  <c r="F418" i="39"/>
  <c r="J417" i="39"/>
  <c r="F417" i="39"/>
  <c r="J416" i="39"/>
  <c r="F416" i="39"/>
  <c r="F415" i="39"/>
  <c r="K415" i="39" s="1"/>
  <c r="J414" i="39"/>
  <c r="J413" i="39"/>
  <c r="F413" i="39"/>
  <c r="J412" i="39"/>
  <c r="F412" i="39"/>
  <c r="F408" i="39"/>
  <c r="K408" i="39" s="1"/>
  <c r="J407" i="39"/>
  <c r="F407" i="39"/>
  <c r="J406" i="39"/>
  <c r="K406" i="39" s="1"/>
  <c r="F405" i="39"/>
  <c r="J404" i="39"/>
  <c r="F404" i="39"/>
  <c r="J402" i="39"/>
  <c r="F402" i="39"/>
  <c r="F401" i="39"/>
  <c r="J400" i="39"/>
  <c r="F400" i="39"/>
  <c r="J399" i="39"/>
  <c r="F399" i="39"/>
  <c r="F398" i="39"/>
  <c r="F397" i="39"/>
  <c r="F396" i="39"/>
  <c r="J395" i="39"/>
  <c r="F395" i="39"/>
  <c r="J394" i="39"/>
  <c r="F394" i="39"/>
  <c r="J393" i="39"/>
  <c r="F393" i="39"/>
  <c r="J392" i="39"/>
  <c r="F392" i="39"/>
  <c r="J391" i="39"/>
  <c r="K391" i="39" s="1"/>
  <c r="J389" i="39"/>
  <c r="F389" i="39"/>
  <c r="K390" i="39" s="1"/>
  <c r="J388" i="39"/>
  <c r="F388" i="39"/>
  <c r="J387" i="39"/>
  <c r="F387" i="39"/>
  <c r="J386" i="39"/>
  <c r="K386" i="39" s="1"/>
  <c r="F385" i="39"/>
  <c r="J384" i="39"/>
  <c r="F384" i="39"/>
  <c r="F381" i="39"/>
  <c r="J380" i="39"/>
  <c r="F380" i="39"/>
  <c r="J379" i="39"/>
  <c r="F379" i="39"/>
  <c r="D378" i="39"/>
  <c r="F378" i="39" s="1"/>
  <c r="F377" i="39"/>
  <c r="F376" i="39"/>
  <c r="F375" i="39"/>
  <c r="F374" i="39"/>
  <c r="F371" i="39"/>
  <c r="J367" i="39"/>
  <c r="F367" i="39"/>
  <c r="J366" i="39"/>
  <c r="K366" i="39" s="1"/>
  <c r="J365" i="39"/>
  <c r="F365" i="39"/>
  <c r="F364" i="39"/>
  <c r="J363" i="39"/>
  <c r="F363" i="39"/>
  <c r="F361" i="39"/>
  <c r="J360" i="39"/>
  <c r="F360" i="39"/>
  <c r="J359" i="39"/>
  <c r="J358" i="39"/>
  <c r="F358" i="39"/>
  <c r="J357" i="39"/>
  <c r="F357" i="39"/>
  <c r="J356" i="39"/>
  <c r="F356" i="39"/>
  <c r="J355" i="39"/>
  <c r="F355" i="39"/>
  <c r="J352" i="39"/>
  <c r="K352" i="39" s="1"/>
  <c r="F352" i="39"/>
  <c r="J351" i="39"/>
  <c r="F351" i="39"/>
  <c r="J350" i="39"/>
  <c r="K350" i="39" s="1"/>
  <c r="J349" i="39"/>
  <c r="F349" i="39"/>
  <c r="J348" i="39"/>
  <c r="K348" i="39" s="1"/>
  <c r="J347" i="39"/>
  <c r="F347" i="39"/>
  <c r="J346" i="39"/>
  <c r="F346" i="39"/>
  <c r="J345" i="39"/>
  <c r="F345" i="39"/>
  <c r="F343" i="39"/>
  <c r="J340" i="39"/>
  <c r="F340" i="39"/>
  <c r="J339" i="39"/>
  <c r="F339" i="39"/>
  <c r="J338" i="39"/>
  <c r="F338" i="39"/>
  <c r="J337" i="39"/>
  <c r="J336" i="39"/>
  <c r="F336" i="39"/>
  <c r="J333" i="39"/>
  <c r="F333" i="39"/>
  <c r="J332" i="39"/>
  <c r="F332" i="39"/>
  <c r="J331" i="39"/>
  <c r="F331" i="39"/>
  <c r="J330" i="39"/>
  <c r="F330" i="39"/>
  <c r="F329" i="39"/>
  <c r="F328" i="39"/>
  <c r="J327" i="39"/>
  <c r="F327" i="39"/>
  <c r="F325" i="39"/>
  <c r="J324" i="39"/>
  <c r="F324" i="39"/>
  <c r="J323" i="39"/>
  <c r="F323" i="39"/>
  <c r="J322" i="39"/>
  <c r="F322" i="39"/>
  <c r="D321" i="39"/>
  <c r="F321" i="39" s="1"/>
  <c r="J320" i="39"/>
  <c r="F320" i="39"/>
  <c r="J319" i="39"/>
  <c r="F319" i="39"/>
  <c r="J318" i="39"/>
  <c r="F318" i="39"/>
  <c r="F317" i="39"/>
  <c r="K317" i="39" s="1"/>
  <c r="J316" i="39"/>
  <c r="F316" i="39"/>
  <c r="J315" i="39"/>
  <c r="F315" i="39"/>
  <c r="J313" i="39"/>
  <c r="F313" i="39"/>
  <c r="J312" i="39"/>
  <c r="F312" i="39"/>
  <c r="J309" i="39"/>
  <c r="F309" i="39"/>
  <c r="K310" i="39" s="1"/>
  <c r="J308" i="39"/>
  <c r="F308" i="39"/>
  <c r="F307" i="39"/>
  <c r="J306" i="39"/>
  <c r="F306" i="39"/>
  <c r="F305" i="39"/>
  <c r="K305" i="39" s="1"/>
  <c r="J304" i="39"/>
  <c r="F304" i="39"/>
  <c r="J303" i="39"/>
  <c r="F303" i="39"/>
  <c r="J302" i="39"/>
  <c r="F302" i="39"/>
  <c r="F297" i="39"/>
  <c r="K297" i="39" s="1"/>
  <c r="J296" i="39"/>
  <c r="F296" i="39"/>
  <c r="J294" i="39"/>
  <c r="F294" i="39"/>
  <c r="J293" i="39"/>
  <c r="F293" i="39"/>
  <c r="J292" i="39"/>
  <c r="F292" i="39"/>
  <c r="F289" i="39"/>
  <c r="J288" i="39"/>
  <c r="F288" i="39"/>
  <c r="J287" i="39"/>
  <c r="F287" i="39"/>
  <c r="J285" i="39"/>
  <c r="J284" i="39"/>
  <c r="F284" i="39"/>
  <c r="F283" i="39"/>
  <c r="K282" i="39" s="1"/>
  <c r="J280" i="39"/>
  <c r="F280" i="39"/>
  <c r="J279" i="39"/>
  <c r="F279" i="39"/>
  <c r="J278" i="39"/>
  <c r="F278" i="39"/>
  <c r="J276" i="39"/>
  <c r="F276" i="39"/>
  <c r="J275" i="39"/>
  <c r="F275" i="39"/>
  <c r="F273" i="39"/>
  <c r="J272" i="39"/>
  <c r="K272" i="39" s="1"/>
  <c r="F272" i="39"/>
  <c r="J271" i="39"/>
  <c r="F271" i="39"/>
  <c r="J270" i="39"/>
  <c r="F270" i="39"/>
  <c r="F266" i="39"/>
  <c r="K266" i="39" s="1"/>
  <c r="J265" i="39"/>
  <c r="K265" i="39" s="1"/>
  <c r="F264" i="39"/>
  <c r="J263" i="39"/>
  <c r="F263" i="39"/>
  <c r="F262" i="39"/>
  <c r="F261" i="39"/>
  <c r="J260" i="39"/>
  <c r="F260" i="39"/>
  <c r="J259" i="39"/>
  <c r="F259" i="39"/>
  <c r="J256" i="39"/>
  <c r="K256" i="39" s="1"/>
  <c r="J254" i="39"/>
  <c r="F254" i="39"/>
  <c r="J253" i="39"/>
  <c r="K253" i="39" s="1"/>
  <c r="J252" i="39"/>
  <c r="F252" i="39"/>
  <c r="J248" i="39"/>
  <c r="F248" i="39"/>
  <c r="F246" i="39"/>
  <c r="K246" i="39" s="1"/>
  <c r="J245" i="39"/>
  <c r="F245" i="39"/>
  <c r="J244" i="39"/>
  <c r="J243" i="39"/>
  <c r="J242" i="39"/>
  <c r="F242" i="39"/>
  <c r="D239" i="39"/>
  <c r="F239" i="39" s="1"/>
  <c r="F238" i="39"/>
  <c r="F237" i="39"/>
  <c r="F236" i="39"/>
  <c r="J235" i="39"/>
  <c r="F235" i="39"/>
  <c r="F233" i="39"/>
  <c r="J232" i="39"/>
  <c r="F232" i="39"/>
  <c r="J231" i="39"/>
  <c r="K231" i="39" s="1"/>
  <c r="J227" i="39"/>
  <c r="F227" i="39"/>
  <c r="J226" i="39"/>
  <c r="K226" i="39" s="1"/>
  <c r="J225" i="39"/>
  <c r="F225" i="39"/>
  <c r="J224" i="39"/>
  <c r="F224" i="39"/>
  <c r="J223" i="39"/>
  <c r="K223" i="39" s="1"/>
  <c r="J222" i="39"/>
  <c r="F222" i="39"/>
  <c r="F220" i="39"/>
  <c r="K221" i="39" s="1"/>
  <c r="F219" i="39"/>
  <c r="F218" i="39"/>
  <c r="F217" i="39"/>
  <c r="J216" i="39"/>
  <c r="E216" i="39"/>
  <c r="J214" i="39"/>
  <c r="K214" i="39" s="1"/>
  <c r="F213" i="39"/>
  <c r="F212" i="39"/>
  <c r="J211" i="39"/>
  <c r="F211" i="39"/>
  <c r="J209" i="39"/>
  <c r="F209" i="39"/>
  <c r="F206" i="39"/>
  <c r="J202" i="39"/>
  <c r="F202" i="39"/>
  <c r="F198" i="39"/>
  <c r="F197" i="39"/>
  <c r="F196" i="39"/>
  <c r="J195" i="39"/>
  <c r="F195" i="39"/>
  <c r="J190" i="39"/>
  <c r="F190" i="39"/>
  <c r="J188" i="39"/>
  <c r="F188" i="39"/>
  <c r="K189" i="39" s="1"/>
  <c r="J185" i="39"/>
  <c r="F185" i="39"/>
  <c r="J184" i="39"/>
  <c r="F184" i="39"/>
  <c r="J180" i="39"/>
  <c r="K180" i="39" s="1"/>
  <c r="J178" i="39"/>
  <c r="F178" i="39"/>
  <c r="J177" i="39"/>
  <c r="K177" i="39" s="1"/>
  <c r="F176" i="39"/>
  <c r="J175" i="39"/>
  <c r="F175" i="39"/>
  <c r="J174" i="39"/>
  <c r="F174" i="39"/>
  <c r="J173" i="39"/>
  <c r="F173" i="39"/>
  <c r="J172" i="39"/>
  <c r="F172" i="39"/>
  <c r="F171" i="39"/>
  <c r="F170" i="39"/>
  <c r="J169" i="39"/>
  <c r="F169" i="39"/>
  <c r="J168" i="39"/>
  <c r="F168" i="39"/>
  <c r="J160" i="39"/>
  <c r="F160" i="39"/>
  <c r="F159" i="39"/>
  <c r="J158" i="39"/>
  <c r="F158" i="39"/>
  <c r="J156" i="39"/>
  <c r="K156" i="39" s="1"/>
  <c r="E156" i="39"/>
  <c r="J155" i="39"/>
  <c r="F155" i="39"/>
  <c r="J148" i="39"/>
  <c r="K148" i="39" s="1"/>
  <c r="E148" i="39"/>
  <c r="J147" i="39"/>
  <c r="F147" i="39"/>
  <c r="F142" i="39"/>
  <c r="F141" i="39"/>
  <c r="J139" i="39"/>
  <c r="F139" i="39"/>
  <c r="J138" i="39"/>
  <c r="F138" i="39"/>
  <c r="J137" i="39"/>
  <c r="F137" i="39"/>
  <c r="F131" i="39"/>
  <c r="F129" i="39"/>
  <c r="J128" i="39"/>
  <c r="F127" i="39"/>
  <c r="F126" i="39"/>
  <c r="F122" i="39"/>
  <c r="D116" i="39"/>
  <c r="K114" i="39"/>
  <c r="F113" i="39"/>
  <c r="K111" i="39" s="1"/>
  <c r="D112" i="39"/>
  <c r="J109" i="39"/>
  <c r="K109" i="39" s="1"/>
  <c r="J104" i="39"/>
  <c r="K104" i="39" s="1"/>
  <c r="F103" i="39"/>
  <c r="F102" i="39"/>
  <c r="J101" i="39"/>
  <c r="F101" i="39"/>
  <c r="J100" i="39"/>
  <c r="K100" i="39" s="1"/>
  <c r="J99" i="39"/>
  <c r="K99" i="39" s="1"/>
  <c r="E99" i="39"/>
  <c r="J98" i="39"/>
  <c r="F97" i="39"/>
  <c r="J96" i="39"/>
  <c r="F96" i="39"/>
  <c r="J94" i="39"/>
  <c r="F94" i="39"/>
  <c r="J93" i="39"/>
  <c r="J92" i="39"/>
  <c r="F92" i="39"/>
  <c r="F81" i="39"/>
  <c r="D80" i="39"/>
  <c r="D82" i="39" s="1"/>
  <c r="J79" i="39"/>
  <c r="F79" i="39"/>
  <c r="J78" i="39"/>
  <c r="F78" i="39"/>
  <c r="F77" i="39"/>
  <c r="J76" i="39"/>
  <c r="F76" i="39"/>
  <c r="K75" i="39"/>
  <c r="J74" i="39"/>
  <c r="F74" i="39"/>
  <c r="K73" i="39"/>
  <c r="K72" i="39"/>
  <c r="F70" i="39"/>
  <c r="F68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6" i="39" l="1"/>
  <c r="D121" i="39"/>
  <c r="F121" i="39" s="1"/>
  <c r="K65" i="39"/>
  <c r="K233" i="39"/>
  <c r="K234" i="39"/>
  <c r="K804" i="39"/>
  <c r="K1019" i="39"/>
  <c r="K395" i="39"/>
  <c r="K764" i="39"/>
  <c r="K765" i="39"/>
  <c r="K566" i="39"/>
  <c r="K798" i="39"/>
  <c r="F208" i="39"/>
  <c r="E575" i="39"/>
  <c r="D577" i="39"/>
  <c r="K987" i="39"/>
  <c r="K263" i="39"/>
  <c r="K476" i="39"/>
  <c r="K453" i="39"/>
  <c r="K465" i="39"/>
  <c r="K742" i="39"/>
  <c r="K806" i="39"/>
  <c r="F82" i="39"/>
  <c r="K79" i="39" s="1"/>
  <c r="D86" i="39"/>
  <c r="F86" i="39" s="1"/>
  <c r="K1079" i="39"/>
  <c r="K788" i="39"/>
  <c r="K1056" i="39"/>
  <c r="K400" i="39"/>
  <c r="K1051" i="39"/>
  <c r="K1057" i="39"/>
  <c r="K101" i="39"/>
  <c r="K169" i="39"/>
  <c r="K693" i="39"/>
  <c r="B17" i="41"/>
  <c r="K158" i="39"/>
  <c r="K306" i="39"/>
  <c r="K445" i="39"/>
  <c r="K98" i="39"/>
  <c r="K337" i="39"/>
  <c r="K421" i="39"/>
  <c r="K442" i="39"/>
  <c r="K160" i="39"/>
  <c r="K172" i="39"/>
  <c r="K178" i="39"/>
  <c r="K384" i="39"/>
  <c r="K387" i="39"/>
  <c r="K428" i="39"/>
  <c r="K446" i="39"/>
  <c r="K478" i="39"/>
  <c r="K481" i="39"/>
  <c r="K389" i="39"/>
  <c r="K1082" i="39"/>
  <c r="K1084" i="39"/>
  <c r="K1086" i="39"/>
  <c r="K1089" i="39"/>
  <c r="K1063" i="39"/>
  <c r="K1006" i="39"/>
  <c r="K976" i="39"/>
  <c r="K629" i="39"/>
  <c r="K908" i="39"/>
  <c r="K944" i="39"/>
  <c r="K973" i="39"/>
  <c r="K930" i="39"/>
  <c r="K886" i="39"/>
  <c r="K782" i="39"/>
  <c r="K785" i="39"/>
  <c r="K747" i="39"/>
  <c r="K709" i="39"/>
  <c r="K691" i="39"/>
  <c r="K680" i="39"/>
  <c r="K683" i="39"/>
  <c r="K318" i="39"/>
  <c r="K339" i="39"/>
  <c r="K781" i="39"/>
  <c r="K787" i="39"/>
  <c r="K697" i="39"/>
  <c r="K736" i="39"/>
  <c r="K863" i="39"/>
  <c r="K1078" i="39"/>
  <c r="F873" i="39"/>
  <c r="K873" i="39" s="1"/>
  <c r="K887" i="39"/>
  <c r="K898" i="39"/>
  <c r="K929" i="39"/>
  <c r="K945" i="39"/>
  <c r="K972" i="39"/>
  <c r="K974" i="39"/>
  <c r="K975" i="39"/>
  <c r="K1029" i="39"/>
  <c r="K1045" i="39"/>
  <c r="K1060" i="39"/>
  <c r="K1105" i="39"/>
  <c r="K1123" i="39"/>
  <c r="K596" i="39"/>
  <c r="K455" i="39"/>
  <c r="K137" i="39"/>
  <c r="K270" i="39"/>
  <c r="K491" i="39"/>
  <c r="K494" i="39"/>
  <c r="K496" i="39"/>
  <c r="K513" i="39"/>
  <c r="K530" i="39"/>
  <c r="K540" i="39"/>
  <c r="K542" i="39"/>
  <c r="K590" i="39"/>
  <c r="K599" i="39"/>
  <c r="K608" i="39"/>
  <c r="K679" i="39"/>
  <c r="K752" i="39"/>
  <c r="K769" i="39"/>
  <c r="K260" i="39"/>
  <c r="K271" i="39"/>
  <c r="K418" i="39"/>
  <c r="K417" i="39"/>
  <c r="K346" i="39"/>
  <c r="K351" i="39"/>
  <c r="K355" i="39"/>
  <c r="K333" i="39"/>
  <c r="K356" i="39"/>
  <c r="K303" i="39"/>
  <c r="K490" i="39"/>
  <c r="K495" i="39"/>
  <c r="K47" i="39"/>
  <c r="K58" i="39"/>
  <c r="K139" i="39"/>
  <c r="K203" i="39"/>
  <c r="K225" i="39"/>
  <c r="K242" i="39"/>
  <c r="K254" i="39"/>
  <c r="K312" i="39"/>
  <c r="K324" i="39"/>
  <c r="K359" i="39"/>
  <c r="K360" i="39"/>
  <c r="K380" i="39"/>
  <c r="K637" i="39"/>
  <c r="K940" i="39"/>
  <c r="K1004" i="39"/>
  <c r="K1015" i="39"/>
  <c r="K138" i="39"/>
  <c r="K988" i="39"/>
  <c r="K9" i="39"/>
  <c r="K23" i="39"/>
  <c r="K33" i="39"/>
  <c r="K78" i="39"/>
  <c r="K209" i="39"/>
  <c r="K216" i="39"/>
  <c r="K279" i="39"/>
  <c r="K288" i="39"/>
  <c r="K293" i="39"/>
  <c r="K304" i="39"/>
  <c r="K309" i="39"/>
  <c r="K313" i="39"/>
  <c r="K316" i="39"/>
  <c r="K325" i="39"/>
  <c r="K349" i="39"/>
  <c r="K511" i="39"/>
  <c r="K630" i="39"/>
  <c r="K746" i="39"/>
  <c r="K941" i="39"/>
  <c r="K949" i="39"/>
  <c r="K983" i="39"/>
  <c r="K995" i="39"/>
  <c r="K1022" i="39"/>
  <c r="K1085" i="39"/>
  <c r="K614" i="39"/>
  <c r="K636" i="39"/>
  <c r="K1091" i="39"/>
  <c r="K64" i="39"/>
  <c r="K332" i="39"/>
  <c r="K388" i="39"/>
  <c r="K438" i="39"/>
  <c r="K452" i="39"/>
  <c r="K457" i="39"/>
  <c r="K727" i="39"/>
  <c r="K882" i="39"/>
  <c r="K912" i="39"/>
  <c r="K1044" i="39"/>
  <c r="K1101" i="39"/>
  <c r="K55" i="39"/>
  <c r="K6" i="39"/>
  <c r="K202" i="39"/>
  <c r="K365" i="39"/>
  <c r="K907" i="39"/>
  <c r="K248" i="39"/>
  <c r="K235" i="39"/>
  <c r="K227" i="39"/>
  <c r="K232" i="39"/>
  <c r="K184" i="39"/>
  <c r="K190" i="39"/>
  <c r="K96" i="39"/>
  <c r="K74" i="39"/>
  <c r="K63" i="39"/>
  <c r="K358" i="39"/>
  <c r="K402" i="39"/>
  <c r="K684" i="39"/>
  <c r="K735" i="39"/>
  <c r="F779" i="39"/>
  <c r="K779" i="39" s="1"/>
  <c r="K284" i="39"/>
  <c r="K7" i="39"/>
  <c r="K28" i="39"/>
  <c r="K128" i="39"/>
  <c r="K245" i="39"/>
  <c r="K276" i="39"/>
  <c r="K319" i="39"/>
  <c r="K320" i="39"/>
  <c r="K323" i="39"/>
  <c r="K336" i="39"/>
  <c r="K345" i="39"/>
  <c r="K347" i="39"/>
  <c r="K357" i="39"/>
  <c r="K363" i="39"/>
  <c r="K393" i="39"/>
  <c r="K399" i="39"/>
  <c r="K404" i="39"/>
  <c r="K407" i="39"/>
  <c r="K412" i="39"/>
  <c r="K427" i="39"/>
  <c r="K447" i="39"/>
  <c r="K451" i="39"/>
  <c r="K492" i="39"/>
  <c r="K497" i="39"/>
  <c r="K514" i="39"/>
  <c r="K553" i="39"/>
  <c r="K565" i="39"/>
  <c r="K592" i="39"/>
  <c r="K595" i="39"/>
  <c r="K605" i="39"/>
  <c r="K686" i="39"/>
  <c r="K688" i="39"/>
  <c r="K739" i="39"/>
  <c r="K755" i="39"/>
  <c r="K789" i="39"/>
  <c r="K947" i="39"/>
  <c r="K48" i="39"/>
  <c r="K188" i="39"/>
  <c r="K8" i="39"/>
  <c r="K11" i="39"/>
  <c r="K24" i="39"/>
  <c r="K26" i="39"/>
  <c r="K59" i="39"/>
  <c r="K76" i="39"/>
  <c r="K92" i="39"/>
  <c r="K147" i="39"/>
  <c r="K155" i="39"/>
  <c r="K168" i="39"/>
  <c r="K173" i="39"/>
  <c r="K175" i="39"/>
  <c r="K222" i="39"/>
  <c r="K252" i="39"/>
  <c r="K275" i="39"/>
  <c r="K278" i="39"/>
  <c r="K280" i="39"/>
  <c r="K292" i="39"/>
  <c r="K294" i="39"/>
  <c r="K315" i="39"/>
  <c r="K330" i="39"/>
  <c r="K394" i="39"/>
  <c r="K413" i="39"/>
  <c r="K416" i="39"/>
  <c r="K422" i="39"/>
  <c r="K440" i="39"/>
  <c r="K471" i="39"/>
  <c r="F487" i="39"/>
  <c r="K517" i="39"/>
  <c r="K519" i="39"/>
  <c r="K541" i="39"/>
  <c r="K543" i="39"/>
  <c r="K552" i="39"/>
  <c r="K591" i="39"/>
  <c r="K593" i="39"/>
  <c r="K610" i="39"/>
  <c r="K628" i="39"/>
  <c r="K633" i="39"/>
  <c r="K689" i="39"/>
  <c r="K692" i="39"/>
  <c r="K723" i="39"/>
  <c r="K737" i="39"/>
  <c r="K749" i="39"/>
  <c r="K754" i="39"/>
  <c r="K756" i="39"/>
  <c r="K768" i="39"/>
  <c r="K771" i="39"/>
  <c r="K793" i="39"/>
  <c r="K845" i="39"/>
  <c r="K885" i="39"/>
  <c r="K928" i="39"/>
  <c r="K942" i="39"/>
  <c r="K950" i="39"/>
  <c r="K971" i="39"/>
  <c r="K984" i="39"/>
  <c r="K1030" i="39"/>
  <c r="K1033" i="39"/>
  <c r="K1058" i="39"/>
  <c r="K1077" i="39"/>
  <c r="K1104" i="39"/>
  <c r="K29" i="39"/>
  <c r="K25" i="39"/>
  <c r="K195" i="39"/>
  <c r="K379" i="39"/>
  <c r="K479" i="39"/>
  <c r="K515" i="39"/>
  <c r="K547" i="39"/>
  <c r="K909" i="39"/>
  <c r="K934" i="39"/>
  <c r="K999" i="39"/>
  <c r="K1048" i="39"/>
  <c r="K1054" i="39"/>
  <c r="K1088" i="39"/>
  <c r="F80" i="39"/>
  <c r="K93" i="39"/>
  <c r="K131" i="39"/>
  <c r="K174" i="39"/>
  <c r="K259" i="39"/>
  <c r="K302" i="39"/>
  <c r="K322" i="39"/>
  <c r="K367" i="39"/>
  <c r="K460" i="39"/>
  <c r="K613" i="39"/>
  <c r="K724" i="39"/>
  <c r="K772" i="39"/>
  <c r="K862" i="39"/>
  <c r="K864" i="39"/>
  <c r="K883" i="39"/>
  <c r="K893" i="39"/>
  <c r="K955" i="39"/>
  <c r="K1014" i="39"/>
  <c r="K1090" i="39"/>
  <c r="K94" i="39"/>
  <c r="K185" i="39"/>
  <c r="D241" i="39"/>
  <c r="F241" i="39" s="1"/>
  <c r="K287" i="39"/>
  <c r="K296" i="39"/>
  <c r="K458" i="39"/>
  <c r="K518" i="39"/>
  <c r="K612" i="39"/>
  <c r="K948" i="39"/>
  <c r="K1012" i="39"/>
  <c r="K1062" i="39"/>
  <c r="K308" i="39"/>
  <c r="K331" i="39"/>
  <c r="K338" i="39"/>
  <c r="K340" i="39"/>
  <c r="K392" i="39"/>
  <c r="K443" i="39"/>
  <c r="K634" i="39"/>
  <c r="K714" i="39"/>
  <c r="K795" i="39"/>
  <c r="K865" i="39"/>
  <c r="K884" i="39"/>
  <c r="K902" i="39"/>
  <c r="K904" i="39"/>
  <c r="K1043" i="39"/>
  <c r="K1049" i="39"/>
  <c r="K1055" i="39"/>
  <c r="K1061" i="39"/>
  <c r="K1083" i="39"/>
  <c r="K211" i="39"/>
  <c r="D526" i="39"/>
  <c r="F522" i="39"/>
  <c r="K37" i="39"/>
  <c r="K327" i="39"/>
  <c r="K935" i="39"/>
  <c r="K936" i="39"/>
  <c r="K894" i="39"/>
  <c r="K895" i="39"/>
  <c r="D654" i="39"/>
  <c r="D657" i="39" s="1"/>
  <c r="D659" i="39" s="1"/>
  <c r="D664" i="39" s="1"/>
  <c r="D675" i="39" s="1"/>
  <c r="F648" i="39"/>
  <c r="F649" i="39" s="1"/>
  <c r="F654" i="39" s="1"/>
  <c r="F657" i="39" s="1"/>
  <c r="F659" i="39" s="1"/>
  <c r="F664" i="39" s="1"/>
  <c r="K482" i="39"/>
  <c r="F848" i="39"/>
  <c r="K842" i="39"/>
  <c r="K436" i="39"/>
  <c r="K448" i="39"/>
  <c r="K449" i="39"/>
  <c r="K498" i="39"/>
  <c r="F505" i="39"/>
  <c r="F507" i="39" s="1"/>
  <c r="K505" i="39" s="1"/>
  <c r="K538" i="39"/>
  <c r="K1046" i="39"/>
  <c r="F554" i="37"/>
  <c r="F412" i="37"/>
  <c r="J750" i="37"/>
  <c r="F577" i="39" l="1"/>
  <c r="D581" i="39"/>
  <c r="F526" i="39"/>
  <c r="D529" i="39"/>
  <c r="F675" i="39"/>
  <c r="K665" i="39"/>
  <c r="F855" i="39"/>
  <c r="F857" i="39" s="1"/>
  <c r="F859" i="39" s="1"/>
  <c r="F851" i="39"/>
  <c r="F853" i="39" s="1"/>
  <c r="J872" i="37"/>
  <c r="F873" i="37"/>
  <c r="F872" i="37"/>
  <c r="J32" i="37"/>
  <c r="J810" i="37"/>
  <c r="J642" i="37"/>
  <c r="J821" i="37"/>
  <c r="J993" i="37"/>
  <c r="F993" i="37"/>
  <c r="J913" i="37"/>
  <c r="J954" i="37"/>
  <c r="J916" i="37"/>
  <c r="J100" i="37"/>
  <c r="J897" i="37"/>
  <c r="J79" i="37"/>
  <c r="J992" i="37"/>
  <c r="F699" i="37"/>
  <c r="F697" i="37"/>
  <c r="F991" i="37"/>
  <c r="J977" i="37"/>
  <c r="J303" i="37"/>
  <c r="J212" i="37"/>
  <c r="K212" i="37" s="1"/>
  <c r="J976" i="37"/>
  <c r="F976" i="37"/>
  <c r="D937" i="37"/>
  <c r="F936" i="37"/>
  <c r="F933" i="37"/>
  <c r="D934" i="37"/>
  <c r="D532" i="37"/>
  <c r="D537" i="37" s="1"/>
  <c r="F987" i="37"/>
  <c r="J988" i="37"/>
  <c r="K976" i="37" l="1"/>
  <c r="K993" i="37"/>
  <c r="K520" i="39"/>
  <c r="F529" i="39"/>
  <c r="K872" i="37"/>
  <c r="F372" i="37"/>
  <c r="F371" i="37"/>
  <c r="J75" i="37" l="1"/>
  <c r="J900" i="37"/>
  <c r="J386" i="37"/>
  <c r="J579" i="37"/>
  <c r="F945" i="37"/>
  <c r="J959" i="37"/>
  <c r="F959" i="37"/>
  <c r="J783" i="37"/>
  <c r="J274" i="37"/>
  <c r="F986" i="37"/>
  <c r="J878" i="37"/>
  <c r="F982" i="37"/>
  <c r="F985" i="37"/>
  <c r="J623" i="37"/>
  <c r="J74" i="37"/>
  <c r="D864" i="37"/>
  <c r="F863" i="37"/>
  <c r="F862" i="37"/>
  <c r="F480" i="37"/>
  <c r="J285" i="37"/>
  <c r="F853" i="37"/>
  <c r="J283" i="37"/>
  <c r="F807" i="37"/>
  <c r="F282" i="35"/>
  <c r="K959" i="37" l="1"/>
  <c r="B13" i="9"/>
  <c r="D322" i="37" l="1"/>
  <c r="F954" i="37"/>
  <c r="K954" i="37" s="1"/>
  <c r="F983" i="37"/>
  <c r="F339" i="37"/>
  <c r="F338" i="37"/>
  <c r="F118" i="37"/>
  <c r="D597" i="37"/>
  <c r="F597" i="37" s="1"/>
  <c r="F596" i="37"/>
  <c r="F595" i="37"/>
  <c r="D572" i="35"/>
  <c r="F572" i="35" s="1"/>
  <c r="F571" i="35"/>
  <c r="F570" i="35"/>
  <c r="J547" i="37" l="1"/>
  <c r="F299" i="37"/>
  <c r="J298" i="37"/>
  <c r="F106" i="37"/>
  <c r="F105" i="37"/>
  <c r="J488" i="37"/>
  <c r="K488" i="37" s="1"/>
  <c r="J804" i="37"/>
  <c r="J23" i="37"/>
  <c r="J193" i="37"/>
  <c r="K193" i="37" s="1"/>
  <c r="J362" i="37"/>
  <c r="K362" i="37" s="1"/>
  <c r="L397" i="20" l="1"/>
  <c r="F213" i="37" l="1"/>
  <c r="F212" i="37"/>
  <c r="D630" i="37" l="1"/>
  <c r="J263" i="37"/>
  <c r="J269" i="37"/>
  <c r="J944" i="37"/>
  <c r="F944" i="37"/>
  <c r="J497" i="37"/>
  <c r="J483" i="37"/>
  <c r="D490" i="37"/>
  <c r="J491" i="37"/>
  <c r="K491" i="37" s="1"/>
  <c r="J700" i="37"/>
  <c r="J288" i="37"/>
  <c r="J45" i="37"/>
  <c r="J43" i="37"/>
  <c r="J42" i="37"/>
  <c r="D779" i="37"/>
  <c r="D17" i="37"/>
  <c r="F17" i="37" s="1"/>
  <c r="F16" i="37"/>
  <c r="F12" i="37"/>
  <c r="F11" i="37"/>
  <c r="F15" i="37"/>
  <c r="F14" i="37"/>
  <c r="F13" i="37"/>
  <c r="F639" i="37"/>
  <c r="F638" i="37"/>
  <c r="F637" i="37"/>
  <c r="J946" i="37"/>
  <c r="J787" i="37"/>
  <c r="J942" i="37"/>
  <c r="K942" i="37" s="1"/>
  <c r="J452" i="37"/>
  <c r="K944" i="37" l="1"/>
  <c r="D574" i="37"/>
  <c r="J517" i="37"/>
  <c r="F878" i="37"/>
  <c r="K878" i="37" s="1"/>
  <c r="F327" i="37"/>
  <c r="D100" i="37"/>
  <c r="F497" i="37"/>
  <c r="K497" i="37" s="1"/>
  <c r="B85" i="27"/>
  <c r="F84" i="27"/>
  <c r="E84" i="27"/>
  <c r="D84" i="27"/>
  <c r="B84" i="27"/>
  <c r="E71" i="27"/>
  <c r="D71" i="27"/>
  <c r="B71" i="27"/>
  <c r="D70" i="27"/>
  <c r="D69" i="27"/>
  <c r="K607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7" i="37"/>
  <c r="F72" i="27" l="1"/>
  <c r="B87" i="27" s="1"/>
  <c r="D41" i="37"/>
  <c r="F40" i="37"/>
  <c r="F39" i="37"/>
  <c r="F477" i="37"/>
  <c r="F456" i="37" l="1"/>
  <c r="F457" i="37"/>
  <c r="F455" i="37"/>
  <c r="F701" i="37"/>
  <c r="F748" i="37"/>
  <c r="D740" i="37"/>
  <c r="D747" i="37" s="1"/>
  <c r="D749" i="37" s="1"/>
  <c r="F746" i="37"/>
  <c r="F406" i="37"/>
  <c r="D707" i="35"/>
  <c r="D714" i="35" s="1"/>
  <c r="F713" i="35"/>
  <c r="J622" i="36"/>
  <c r="D407" i="37"/>
  <c r="F407" i="37" s="1"/>
  <c r="F698" i="37" l="1"/>
  <c r="J860" i="37" l="1"/>
  <c r="J932" i="37"/>
  <c r="J958" i="37"/>
  <c r="J953" i="37"/>
  <c r="F953" i="37"/>
  <c r="J981" i="37"/>
  <c r="J980" i="37"/>
  <c r="F206" i="37"/>
  <c r="J207" i="37"/>
  <c r="J857" i="37"/>
  <c r="J957" i="37"/>
  <c r="J935" i="37"/>
  <c r="J979" i="37"/>
  <c r="F979" i="37"/>
  <c r="K979" i="37" l="1"/>
  <c r="K953" i="37"/>
  <c r="C15" i="34"/>
  <c r="J540" i="37"/>
  <c r="J509" i="37"/>
  <c r="J931" i="37"/>
  <c r="J764" i="37"/>
  <c r="J732" i="37"/>
  <c r="F150" i="37"/>
  <c r="F149" i="37"/>
  <c r="J766" i="37" l="1"/>
  <c r="J382" i="37"/>
  <c r="J413" i="37"/>
  <c r="F739" i="37"/>
  <c r="J704" i="35"/>
  <c r="J703" i="35"/>
  <c r="J702" i="35"/>
  <c r="J701" i="35"/>
  <c r="C78" i="31"/>
  <c r="F785" i="37"/>
  <c r="F321" i="37"/>
  <c r="J527" i="37"/>
  <c r="J910" i="37"/>
  <c r="J403" i="37"/>
  <c r="J408" i="37"/>
  <c r="J969" i="37"/>
  <c r="D464" i="37"/>
  <c r="F969" i="37"/>
  <c r="J528" i="37"/>
  <c r="K528" i="37" s="1"/>
  <c r="F531" i="37"/>
  <c r="J310" i="35"/>
  <c r="K309" i="35"/>
  <c r="J309" i="35"/>
  <c r="J314" i="37"/>
  <c r="J311" i="37"/>
  <c r="J828" i="37"/>
  <c r="K969" i="37" l="1"/>
  <c r="F958" i="37"/>
  <c r="K958" i="37" s="1"/>
  <c r="F957" i="37"/>
  <c r="K957" i="37" s="1"/>
  <c r="F968" i="37" l="1"/>
  <c r="J175" i="37"/>
  <c r="J499" i="37"/>
  <c r="J967" i="37"/>
  <c r="K967" i="37" s="1"/>
  <c r="J329" i="37"/>
  <c r="F62" i="37"/>
  <c r="D181" i="37"/>
  <c r="D183" i="37" s="1"/>
  <c r="F183" i="37" s="1"/>
  <c r="F180" i="37"/>
  <c r="J89" i="37"/>
  <c r="K89" i="37" s="1"/>
  <c r="D88" i="35"/>
  <c r="F87" i="35"/>
  <c r="F86" i="35"/>
  <c r="F85" i="35"/>
  <c r="J85" i="35"/>
  <c r="F575" i="37"/>
  <c r="J426" i="37"/>
  <c r="J198" i="37"/>
  <c r="F60" i="37" l="1"/>
  <c r="J920" i="37"/>
  <c r="F920" i="37"/>
  <c r="F511" i="37"/>
  <c r="J923" i="37"/>
  <c r="J858" i="37"/>
  <c r="K920" i="37" l="1"/>
  <c r="F515" i="37"/>
  <c r="F695" i="37"/>
  <c r="F700" i="37"/>
  <c r="F369" i="37"/>
  <c r="F931" i="37"/>
  <c r="K931" i="37" s="1"/>
  <c r="F834" i="37"/>
  <c r="F835" i="37"/>
  <c r="F836" i="37"/>
  <c r="F49" i="37"/>
  <c r="F48" i="37"/>
  <c r="F574" i="37"/>
  <c r="F573" i="37"/>
  <c r="F572" i="37"/>
  <c r="F132" i="37"/>
  <c r="F223" i="37"/>
  <c r="F58" i="37"/>
  <c r="F59" i="37"/>
  <c r="F768" i="37" l="1"/>
  <c r="F767" i="37"/>
  <c r="F769" i="37"/>
  <c r="J431" i="37"/>
  <c r="J310" i="37"/>
  <c r="F320" i="37"/>
  <c r="F319" i="37"/>
  <c r="F322" i="37"/>
  <c r="F166" i="37"/>
  <c r="F165" i="37"/>
  <c r="F141" i="36"/>
  <c r="J142" i="36"/>
  <c r="F150" i="30"/>
  <c r="F404" i="37" l="1"/>
  <c r="F403" i="37"/>
  <c r="F392" i="37" l="1"/>
  <c r="F961" i="37"/>
  <c r="J145" i="37"/>
  <c r="J70" i="37"/>
  <c r="J153" i="37"/>
  <c r="J120" i="37"/>
  <c r="K120" i="37" s="1"/>
  <c r="F216" i="37"/>
  <c r="J799" i="37"/>
  <c r="F801" i="37"/>
  <c r="F204" i="37"/>
  <c r="K828" i="37"/>
  <c r="J786" i="37"/>
  <c r="J811" i="37"/>
  <c r="K811" i="37" s="1"/>
  <c r="J496" i="37" l="1"/>
  <c r="J606" i="37"/>
  <c r="K606" i="37" s="1"/>
  <c r="J124" i="37"/>
  <c r="J921" i="37"/>
  <c r="J894" i="37"/>
  <c r="F305" i="37"/>
  <c r="J277" i="37"/>
  <c r="J85" i="37"/>
  <c r="K85" i="37" s="1"/>
  <c r="J844" i="37"/>
  <c r="F717" i="37"/>
  <c r="F715" i="37"/>
  <c r="J922" i="37"/>
  <c r="F922" i="37"/>
  <c r="J218" i="37"/>
  <c r="J722" i="37"/>
  <c r="J405" i="37"/>
  <c r="F405" i="37"/>
  <c r="J918" i="37"/>
  <c r="F876" i="37"/>
  <c r="F148" i="37"/>
  <c r="F696" i="37"/>
  <c r="E789" i="37"/>
  <c r="J917" i="37"/>
  <c r="J753" i="37"/>
  <c r="J430" i="37"/>
  <c r="J664" i="37"/>
  <c r="J401" i="37"/>
  <c r="J122" i="37"/>
  <c r="F152" i="37"/>
  <c r="D159" i="35"/>
  <c r="F159" i="35" s="1"/>
  <c r="J928" i="37"/>
  <c r="J899" i="37"/>
  <c r="J952" i="37"/>
  <c r="J951" i="37"/>
  <c r="K405" i="37" l="1"/>
  <c r="K922" i="37"/>
  <c r="J371" i="35"/>
  <c r="F164" i="37" l="1"/>
  <c r="F172" i="35"/>
  <c r="F153" i="30"/>
  <c r="F162" i="28"/>
  <c r="F143" i="36"/>
  <c r="J86" i="37" l="1"/>
  <c r="J912" i="37"/>
  <c r="F912" i="37"/>
  <c r="K913" i="37" s="1"/>
  <c r="J809" i="37"/>
  <c r="F896" i="37"/>
  <c r="K897" i="37" s="1"/>
  <c r="J580" i="37"/>
  <c r="K580" i="37" s="1"/>
  <c r="J915" i="37"/>
  <c r="K912" i="37" l="1"/>
  <c r="J896" i="37"/>
  <c r="K896" i="37" s="1"/>
  <c r="F689" i="37"/>
  <c r="F652" i="37"/>
  <c r="F632" i="37"/>
  <c r="F436" i="37"/>
  <c r="F401" i="37" l="1"/>
  <c r="K401" i="37" s="1"/>
  <c r="J358" i="35"/>
  <c r="F342" i="37"/>
  <c r="D264" i="37"/>
  <c r="F264" i="37" s="1"/>
  <c r="F263" i="37"/>
  <c r="J230" i="37"/>
  <c r="D233" i="37"/>
  <c r="F233" i="37" s="1"/>
  <c r="F230" i="37"/>
  <c r="J20" i="35"/>
  <c r="F490" i="35"/>
  <c r="J489" i="35"/>
  <c r="F651" i="37"/>
  <c r="F650" i="37"/>
  <c r="F88" i="37" l="1"/>
  <c r="D71" i="37"/>
  <c r="F71" i="37" s="1"/>
  <c r="F72" i="37"/>
  <c r="F70" i="37"/>
  <c r="J56" i="37"/>
  <c r="J956" i="37"/>
  <c r="F956" i="37"/>
  <c r="F952" i="37"/>
  <c r="K952" i="37" s="1"/>
  <c r="F951" i="37"/>
  <c r="K951" i="37" s="1"/>
  <c r="J950" i="37"/>
  <c r="F950" i="37"/>
  <c r="F949" i="37"/>
  <c r="K949" i="37" s="1"/>
  <c r="J948" i="37"/>
  <c r="F948" i="37"/>
  <c r="K948" i="37" s="1"/>
  <c r="F946" i="37"/>
  <c r="J945" i="37"/>
  <c r="K945" i="37" s="1"/>
  <c r="J940" i="37"/>
  <c r="K940" i="37" s="1"/>
  <c r="F940" i="37"/>
  <c r="J938" i="37"/>
  <c r="E938" i="37"/>
  <c r="F935" i="37"/>
  <c r="K935" i="37" s="1"/>
  <c r="F932" i="37"/>
  <c r="K932" i="37" s="1"/>
  <c r="J930" i="37"/>
  <c r="F930" i="37"/>
  <c r="J929" i="37"/>
  <c r="F929" i="37"/>
  <c r="F928" i="37"/>
  <c r="K928" i="37" s="1"/>
  <c r="J926" i="37"/>
  <c r="F926" i="37"/>
  <c r="J925" i="37"/>
  <c r="F925" i="37"/>
  <c r="J924" i="37"/>
  <c r="F924" i="37"/>
  <c r="F923" i="37"/>
  <c r="F921" i="37"/>
  <c r="K921" i="37" s="1"/>
  <c r="J919" i="37"/>
  <c r="F917" i="37"/>
  <c r="F915" i="37"/>
  <c r="J911" i="37"/>
  <c r="F911" i="37"/>
  <c r="F910" i="37"/>
  <c r="K910" i="37" s="1"/>
  <c r="F909" i="37"/>
  <c r="F907" i="37"/>
  <c r="D908" i="37" s="1"/>
  <c r="F908" i="37" s="1"/>
  <c r="F906" i="37"/>
  <c r="F904" i="37"/>
  <c r="J903" i="37"/>
  <c r="J902" i="37"/>
  <c r="J901" i="37"/>
  <c r="F899" i="37"/>
  <c r="J895" i="37"/>
  <c r="F895" i="37"/>
  <c r="F894" i="37"/>
  <c r="K894" i="37" s="1"/>
  <c r="F893" i="37"/>
  <c r="F891" i="37"/>
  <c r="J890" i="37"/>
  <c r="F890" i="37"/>
  <c r="J889" i="37"/>
  <c r="J888" i="37"/>
  <c r="F888" i="37"/>
  <c r="F887" i="37"/>
  <c r="J886" i="37"/>
  <c r="F886" i="37"/>
  <c r="F883" i="37"/>
  <c r="J882" i="37"/>
  <c r="F882" i="37"/>
  <c r="J881" i="37"/>
  <c r="F881" i="37"/>
  <c r="J880" i="37"/>
  <c r="J879" i="37"/>
  <c r="F879" i="37"/>
  <c r="J877" i="37"/>
  <c r="F877" i="37"/>
  <c r="D875" i="37"/>
  <c r="J874" i="37"/>
  <c r="F874" i="37"/>
  <c r="F871" i="37"/>
  <c r="J870" i="37"/>
  <c r="F870" i="37"/>
  <c r="J869" i="37"/>
  <c r="K869" i="37" s="1"/>
  <c r="F868" i="37"/>
  <c r="F867" i="37"/>
  <c r="J866" i="37"/>
  <c r="K866" i="37" s="1"/>
  <c r="J865" i="37"/>
  <c r="F865" i="37"/>
  <c r="J861" i="37"/>
  <c r="F861" i="37"/>
  <c r="F859" i="37"/>
  <c r="F858" i="37"/>
  <c r="F857" i="37"/>
  <c r="F856" i="37"/>
  <c r="F855" i="37"/>
  <c r="J854" i="37"/>
  <c r="F854" i="37"/>
  <c r="J853" i="37"/>
  <c r="D851" i="37"/>
  <c r="F850" i="37"/>
  <c r="J848" i="37"/>
  <c r="K848" i="37" s="1"/>
  <c r="J847" i="37"/>
  <c r="K847" i="37" s="1"/>
  <c r="E847" i="37"/>
  <c r="J846" i="37"/>
  <c r="F846" i="37"/>
  <c r="J845" i="37"/>
  <c r="F845" i="37"/>
  <c r="F844" i="37"/>
  <c r="J843" i="37"/>
  <c r="F843" i="37"/>
  <c r="J842" i="37"/>
  <c r="F842" i="37"/>
  <c r="J841" i="37"/>
  <c r="F841" i="37"/>
  <c r="J840" i="37"/>
  <c r="F840" i="37"/>
  <c r="F833" i="37"/>
  <c r="J827" i="37"/>
  <c r="F827" i="37"/>
  <c r="J826" i="37"/>
  <c r="F826" i="37"/>
  <c r="J825" i="37"/>
  <c r="F825" i="37"/>
  <c r="J824" i="37"/>
  <c r="J823" i="37"/>
  <c r="F823" i="37"/>
  <c r="J822" i="37"/>
  <c r="F822" i="37"/>
  <c r="J820" i="37"/>
  <c r="F820" i="37"/>
  <c r="K821" i="37" s="1"/>
  <c r="J819" i="37"/>
  <c r="F819" i="37"/>
  <c r="J818" i="37"/>
  <c r="F818" i="37"/>
  <c r="J817" i="37"/>
  <c r="K817" i="37" s="1"/>
  <c r="J816" i="37"/>
  <c r="F816" i="37"/>
  <c r="J815" i="37"/>
  <c r="F815" i="37"/>
  <c r="J814" i="37"/>
  <c r="F814" i="37"/>
  <c r="F809" i="37"/>
  <c r="J808" i="37"/>
  <c r="F808" i="37"/>
  <c r="F804" i="37"/>
  <c r="J803" i="37"/>
  <c r="F803" i="37"/>
  <c r="J802" i="37"/>
  <c r="F802" i="37"/>
  <c r="D799" i="37"/>
  <c r="F799" i="37" s="1"/>
  <c r="F798" i="37"/>
  <c r="F797" i="37"/>
  <c r="J796" i="37"/>
  <c r="F796" i="37"/>
  <c r="J795" i="37"/>
  <c r="K795" i="37" s="1"/>
  <c r="J794" i="37"/>
  <c r="F794" i="37"/>
  <c r="J793" i="37"/>
  <c r="F793" i="37"/>
  <c r="J792" i="37"/>
  <c r="F792" i="37"/>
  <c r="J791" i="37"/>
  <c r="F791" i="37"/>
  <c r="J790" i="37"/>
  <c r="F790" i="37"/>
  <c r="J789" i="37"/>
  <c r="K789" i="37" s="1"/>
  <c r="J788" i="37"/>
  <c r="F788" i="37"/>
  <c r="F787" i="37"/>
  <c r="K787" i="37" s="1"/>
  <c r="F786" i="37"/>
  <c r="K786" i="37" s="1"/>
  <c r="F784" i="37"/>
  <c r="J782" i="37"/>
  <c r="F782" i="37"/>
  <c r="K783" i="37" s="1"/>
  <c r="J781" i="37"/>
  <c r="F781" i="37"/>
  <c r="J775" i="37"/>
  <c r="F775" i="37"/>
  <c r="J774" i="37"/>
  <c r="F774" i="37"/>
  <c r="J773" i="37"/>
  <c r="F773" i="37"/>
  <c r="J772" i="37"/>
  <c r="F772" i="37"/>
  <c r="J771" i="37"/>
  <c r="F771" i="37"/>
  <c r="J770" i="37"/>
  <c r="F770" i="37"/>
  <c r="F766" i="37"/>
  <c r="F765" i="37"/>
  <c r="F762" i="37"/>
  <c r="F761" i="37"/>
  <c r="F760" i="37"/>
  <c r="F759" i="37"/>
  <c r="F758" i="37"/>
  <c r="F757" i="37"/>
  <c r="J756" i="37"/>
  <c r="F756" i="37"/>
  <c r="J755" i="37"/>
  <c r="F755" i="37"/>
  <c r="J754" i="37"/>
  <c r="F754" i="37"/>
  <c r="F753" i="37"/>
  <c r="K753" i="37" s="1"/>
  <c r="F738" i="37"/>
  <c r="F737" i="37"/>
  <c r="F736" i="37"/>
  <c r="F735" i="37"/>
  <c r="F734" i="37"/>
  <c r="J733" i="37"/>
  <c r="K733" i="37" s="1"/>
  <c r="D731" i="37"/>
  <c r="F731" i="37" s="1"/>
  <c r="F730" i="37"/>
  <c r="F729" i="37"/>
  <c r="F728" i="37"/>
  <c r="F727" i="37"/>
  <c r="F726" i="37"/>
  <c r="F725" i="37"/>
  <c r="F722" i="37"/>
  <c r="J721" i="37"/>
  <c r="F721" i="37"/>
  <c r="D714" i="37"/>
  <c r="F714" i="37" s="1"/>
  <c r="F713" i="37"/>
  <c r="F712" i="37"/>
  <c r="F711" i="37"/>
  <c r="F710" i="37"/>
  <c r="K710" i="37" s="1"/>
  <c r="J702" i="37"/>
  <c r="F702" i="37"/>
  <c r="J694" i="37"/>
  <c r="F694" i="37"/>
  <c r="J692" i="37"/>
  <c r="F692" i="37"/>
  <c r="F691" i="37"/>
  <c r="J690" i="37"/>
  <c r="F690" i="37"/>
  <c r="J689" i="37"/>
  <c r="J688" i="37"/>
  <c r="K688" i="37" s="1"/>
  <c r="J687" i="37"/>
  <c r="F687" i="37"/>
  <c r="J686" i="37"/>
  <c r="F686" i="37"/>
  <c r="J685" i="37"/>
  <c r="F685" i="37"/>
  <c r="J684" i="37"/>
  <c r="F684" i="37"/>
  <c r="J683" i="37"/>
  <c r="F683" i="37"/>
  <c r="K683" i="37" s="1"/>
  <c r="J682" i="37"/>
  <c r="F682" i="37"/>
  <c r="J681" i="37"/>
  <c r="F681" i="37"/>
  <c r="D679" i="37"/>
  <c r="F678" i="37"/>
  <c r="F677" i="37"/>
  <c r="F676" i="37"/>
  <c r="F675" i="37"/>
  <c r="F674" i="37"/>
  <c r="F673" i="37"/>
  <c r="J672" i="37"/>
  <c r="F672" i="37"/>
  <c r="J671" i="37"/>
  <c r="F671" i="37"/>
  <c r="J669" i="37"/>
  <c r="F669" i="37"/>
  <c r="J668" i="37"/>
  <c r="F668" i="37"/>
  <c r="J666" i="37"/>
  <c r="K666" i="37" s="1"/>
  <c r="F666" i="37"/>
  <c r="F665" i="37"/>
  <c r="J663" i="37"/>
  <c r="F663" i="37"/>
  <c r="J662" i="37"/>
  <c r="F662" i="37"/>
  <c r="J661" i="37"/>
  <c r="F661" i="37"/>
  <c r="J660" i="37"/>
  <c r="F660" i="37"/>
  <c r="J658" i="37"/>
  <c r="F658" i="37"/>
  <c r="J656" i="37"/>
  <c r="F656" i="37"/>
  <c r="J655" i="37"/>
  <c r="K655" i="37" s="1"/>
  <c r="J654" i="37"/>
  <c r="F654" i="37"/>
  <c r="J653" i="37"/>
  <c r="F653" i="37"/>
  <c r="F648" i="37"/>
  <c r="J647" i="37"/>
  <c r="K647" i="37" s="1"/>
  <c r="F646" i="37"/>
  <c r="J645" i="37"/>
  <c r="F645" i="37"/>
  <c r="J644" i="37"/>
  <c r="J643" i="37"/>
  <c r="F643" i="37"/>
  <c r="J641" i="37"/>
  <c r="F641" i="37"/>
  <c r="K642" i="37" s="1"/>
  <c r="F636" i="37"/>
  <c r="F635" i="37"/>
  <c r="F634" i="37"/>
  <c r="J633" i="37"/>
  <c r="F633" i="37"/>
  <c r="J632" i="37"/>
  <c r="J631" i="37"/>
  <c r="F631" i="37"/>
  <c r="J622" i="37"/>
  <c r="F622" i="37"/>
  <c r="J620" i="37"/>
  <c r="K620" i="37" s="1"/>
  <c r="J619" i="37"/>
  <c r="K619" i="37" s="1"/>
  <c r="J618" i="37"/>
  <c r="K618" i="37" s="1"/>
  <c r="J617" i="37"/>
  <c r="F617" i="37"/>
  <c r="F605" i="37"/>
  <c r="J604" i="37"/>
  <c r="F604" i="37"/>
  <c r="J602" i="37"/>
  <c r="K602" i="37" s="1"/>
  <c r="J601" i="37"/>
  <c r="K601" i="37" s="1"/>
  <c r="F599" i="37"/>
  <c r="J598" i="37"/>
  <c r="F598" i="37"/>
  <c r="J594" i="37"/>
  <c r="F594" i="37"/>
  <c r="J593" i="37"/>
  <c r="F593" i="37"/>
  <c r="J592" i="37"/>
  <c r="F592" i="37"/>
  <c r="J591" i="37"/>
  <c r="F591" i="37"/>
  <c r="J590" i="37"/>
  <c r="F590" i="37"/>
  <c r="J589" i="37"/>
  <c r="K589" i="37" s="1"/>
  <c r="J588" i="37"/>
  <c r="F588" i="37"/>
  <c r="J587" i="37"/>
  <c r="F587" i="37"/>
  <c r="J586" i="37"/>
  <c r="F586" i="37"/>
  <c r="J585" i="37"/>
  <c r="K585" i="37" s="1"/>
  <c r="F585" i="37"/>
  <c r="J584" i="37"/>
  <c r="K584" i="37" s="1"/>
  <c r="J583" i="37"/>
  <c r="F583" i="37"/>
  <c r="J582" i="37"/>
  <c r="F582" i="37"/>
  <c r="E580" i="37"/>
  <c r="F579" i="37"/>
  <c r="F578" i="37"/>
  <c r="J570" i="37"/>
  <c r="F570" i="37"/>
  <c r="F568" i="37"/>
  <c r="F567" i="37"/>
  <c r="F565" i="37"/>
  <c r="F564" i="37"/>
  <c r="F563" i="37"/>
  <c r="F562" i="37"/>
  <c r="D560" i="37"/>
  <c r="D561" i="37" s="1"/>
  <c r="D566" i="37" s="1"/>
  <c r="D569" i="37" s="1"/>
  <c r="D571" i="37" s="1"/>
  <c r="D576" i="37" s="1"/>
  <c r="D577" i="37" s="1"/>
  <c r="F559" i="37"/>
  <c r="F558" i="37"/>
  <c r="F557" i="37"/>
  <c r="F556" i="37"/>
  <c r="F555" i="37"/>
  <c r="F553" i="37"/>
  <c r="F552" i="37"/>
  <c r="J551" i="37"/>
  <c r="F551" i="37"/>
  <c r="J550" i="37"/>
  <c r="F550" i="37"/>
  <c r="F549" i="37"/>
  <c r="J548" i="37"/>
  <c r="F548" i="37"/>
  <c r="J546" i="37"/>
  <c r="F546" i="37"/>
  <c r="J545" i="37"/>
  <c r="F545" i="37"/>
  <c r="J544" i="37"/>
  <c r="K544" i="37" s="1"/>
  <c r="E544" i="37"/>
  <c r="F543" i="37"/>
  <c r="K543" i="37" s="1"/>
  <c r="J542" i="37"/>
  <c r="J541" i="37"/>
  <c r="F541" i="37"/>
  <c r="F540" i="37"/>
  <c r="K540" i="37" s="1"/>
  <c r="F530" i="37"/>
  <c r="F527" i="37"/>
  <c r="J526" i="37"/>
  <c r="F526" i="37"/>
  <c r="J525" i="37"/>
  <c r="F525" i="37"/>
  <c r="J524" i="37"/>
  <c r="F524" i="37"/>
  <c r="F523" i="37"/>
  <c r="J522" i="37"/>
  <c r="J520" i="37"/>
  <c r="F520" i="37"/>
  <c r="F518" i="37"/>
  <c r="F517" i="37"/>
  <c r="F514" i="37"/>
  <c r="F513" i="37"/>
  <c r="J512" i="37"/>
  <c r="F512" i="37"/>
  <c r="K510" i="37"/>
  <c r="J508" i="37"/>
  <c r="F508" i="37"/>
  <c r="J507" i="37"/>
  <c r="F507" i="37"/>
  <c r="F506" i="37"/>
  <c r="J505" i="37"/>
  <c r="F505" i="37"/>
  <c r="J504" i="37"/>
  <c r="F504" i="37"/>
  <c r="F499" i="37"/>
  <c r="K499" i="37" s="1"/>
  <c r="J498" i="37"/>
  <c r="F498" i="37"/>
  <c r="J495" i="37"/>
  <c r="F495" i="37"/>
  <c r="F484" i="37"/>
  <c r="F483" i="37"/>
  <c r="J482" i="37"/>
  <c r="F482" i="37"/>
  <c r="J481" i="37"/>
  <c r="K481" i="37" s="1"/>
  <c r="J479" i="37"/>
  <c r="K479" i="37" s="1"/>
  <c r="J478" i="37"/>
  <c r="F478" i="37"/>
  <c r="F476" i="37"/>
  <c r="J475" i="37"/>
  <c r="F475" i="37"/>
  <c r="J474" i="37"/>
  <c r="F474" i="37"/>
  <c r="J473" i="37"/>
  <c r="F473" i="37"/>
  <c r="J472" i="37"/>
  <c r="F472" i="37"/>
  <c r="J471" i="37"/>
  <c r="F471" i="37"/>
  <c r="J470" i="37"/>
  <c r="F470" i="37"/>
  <c r="J469" i="37"/>
  <c r="F469" i="37"/>
  <c r="F468" i="37"/>
  <c r="J467" i="37"/>
  <c r="F467" i="37"/>
  <c r="J466" i="37"/>
  <c r="K466" i="37" s="1"/>
  <c r="J464" i="37"/>
  <c r="F463" i="37"/>
  <c r="F462" i="37"/>
  <c r="F461" i="37"/>
  <c r="F460" i="37"/>
  <c r="J459" i="37"/>
  <c r="F459" i="37"/>
  <c r="D454" i="37"/>
  <c r="F453" i="37"/>
  <c r="F452" i="37"/>
  <c r="J451" i="37"/>
  <c r="F451" i="37"/>
  <c r="J450" i="37"/>
  <c r="F450" i="37"/>
  <c r="J449" i="37"/>
  <c r="F449" i="37"/>
  <c r="J448" i="37"/>
  <c r="K448" i="37" s="1"/>
  <c r="J447" i="37"/>
  <c r="F447" i="37"/>
  <c r="J446" i="37"/>
  <c r="F446" i="37"/>
  <c r="J445" i="37"/>
  <c r="F445" i="37"/>
  <c r="F444" i="37"/>
  <c r="J443" i="37"/>
  <c r="F443" i="37"/>
  <c r="J441" i="37"/>
  <c r="D441" i="37"/>
  <c r="F439" i="37"/>
  <c r="F438" i="37"/>
  <c r="F437" i="37"/>
  <c r="F435" i="37"/>
  <c r="J434" i="37"/>
  <c r="F434" i="37"/>
  <c r="J433" i="37"/>
  <c r="F433" i="37"/>
  <c r="J432" i="37"/>
  <c r="F432" i="37"/>
  <c r="F431" i="37"/>
  <c r="K431" i="37" s="1"/>
  <c r="F430" i="37"/>
  <c r="J428" i="37"/>
  <c r="F428" i="37"/>
  <c r="J427" i="37"/>
  <c r="F427" i="37"/>
  <c r="F426" i="37"/>
  <c r="J425" i="37"/>
  <c r="K425" i="37" s="1"/>
  <c r="E425" i="37"/>
  <c r="J424" i="37"/>
  <c r="K424" i="37" s="1"/>
  <c r="F422" i="37"/>
  <c r="F421" i="37"/>
  <c r="J420" i="37"/>
  <c r="F420" i="37"/>
  <c r="F419" i="37"/>
  <c r="J418" i="37"/>
  <c r="F418" i="37"/>
  <c r="J417" i="37"/>
  <c r="F417" i="37"/>
  <c r="J416" i="37"/>
  <c r="F416" i="37"/>
  <c r="J415" i="37"/>
  <c r="F415" i="37"/>
  <c r="F414" i="37"/>
  <c r="F413" i="37"/>
  <c r="F411" i="37"/>
  <c r="J410" i="37"/>
  <c r="F410" i="37"/>
  <c r="F409" i="37"/>
  <c r="F408" i="37"/>
  <c r="F400" i="37"/>
  <c r="F399" i="37"/>
  <c r="J398" i="37"/>
  <c r="F398" i="37"/>
  <c r="F397" i="37"/>
  <c r="J396" i="37"/>
  <c r="F396" i="37"/>
  <c r="J395" i="37"/>
  <c r="F395" i="37"/>
  <c r="J394" i="37"/>
  <c r="K394" i="37" s="1"/>
  <c r="J393" i="37"/>
  <c r="F393" i="37"/>
  <c r="J391" i="37"/>
  <c r="F391" i="37"/>
  <c r="J390" i="37"/>
  <c r="F390" i="37"/>
  <c r="J389" i="37"/>
  <c r="F389" i="37"/>
  <c r="F388" i="37"/>
  <c r="J387" i="37"/>
  <c r="F387" i="37"/>
  <c r="J385" i="37"/>
  <c r="F385" i="37"/>
  <c r="K386" i="37" s="1"/>
  <c r="J384" i="37"/>
  <c r="F384" i="37"/>
  <c r="J383" i="37"/>
  <c r="F383" i="37"/>
  <c r="F382" i="37"/>
  <c r="K382" i="37" s="1"/>
  <c r="F381" i="37"/>
  <c r="J380" i="37"/>
  <c r="F380" i="37"/>
  <c r="J379" i="37"/>
  <c r="F379" i="37"/>
  <c r="J377" i="37"/>
  <c r="F377" i="37"/>
  <c r="J376" i="37"/>
  <c r="K376" i="37" s="1"/>
  <c r="E376" i="37"/>
  <c r="J375" i="37"/>
  <c r="F375" i="37"/>
  <c r="J374" i="37"/>
  <c r="F374" i="37"/>
  <c r="J373" i="37"/>
  <c r="F373" i="37"/>
  <c r="K373" i="37" s="1"/>
  <c r="J370" i="37"/>
  <c r="F370" i="37"/>
  <c r="J368" i="37"/>
  <c r="F368" i="37"/>
  <c r="J367" i="37"/>
  <c r="F367" i="37"/>
  <c r="F366" i="37"/>
  <c r="J365" i="37"/>
  <c r="F365" i="37"/>
  <c r="J364" i="37"/>
  <c r="F364" i="37"/>
  <c r="J361" i="37"/>
  <c r="F361" i="37"/>
  <c r="J358" i="37"/>
  <c r="F358" i="37"/>
  <c r="J357" i="37"/>
  <c r="F357" i="37"/>
  <c r="J356" i="37"/>
  <c r="F356" i="37"/>
  <c r="F355" i="37"/>
  <c r="K355" i="37" s="1"/>
  <c r="J354" i="37"/>
  <c r="J353" i="37"/>
  <c r="F353" i="37"/>
  <c r="J352" i="37"/>
  <c r="F352" i="37"/>
  <c r="F348" i="37"/>
  <c r="J347" i="37"/>
  <c r="F347" i="37"/>
  <c r="J346" i="37"/>
  <c r="K346" i="37" s="1"/>
  <c r="F345" i="37"/>
  <c r="J344" i="37"/>
  <c r="F344" i="37"/>
  <c r="J343" i="37"/>
  <c r="F343" i="37"/>
  <c r="J342" i="37"/>
  <c r="K342" i="37" s="1"/>
  <c r="J341" i="37"/>
  <c r="F341" i="37"/>
  <c r="J340" i="37"/>
  <c r="F340" i="37"/>
  <c r="F337" i="37"/>
  <c r="J336" i="37"/>
  <c r="F336" i="37"/>
  <c r="J335" i="37"/>
  <c r="F335" i="37"/>
  <c r="J334" i="37"/>
  <c r="F334" i="37"/>
  <c r="J333" i="37"/>
  <c r="F333" i="37"/>
  <c r="J332" i="37"/>
  <c r="K332" i="37" s="1"/>
  <c r="J331" i="37"/>
  <c r="F331" i="37"/>
  <c r="J330" i="37"/>
  <c r="F330" i="37"/>
  <c r="F329" i="37"/>
  <c r="K329" i="37" s="1"/>
  <c r="J328" i="37"/>
  <c r="K328" i="37" s="1"/>
  <c r="J326" i="37"/>
  <c r="F326" i="37"/>
  <c r="F325" i="37"/>
  <c r="J324" i="37"/>
  <c r="F324" i="37"/>
  <c r="J323" i="37"/>
  <c r="F323" i="37"/>
  <c r="F318" i="37"/>
  <c r="J317" i="37"/>
  <c r="F317" i="37"/>
  <c r="F311" i="37"/>
  <c r="K310" i="37"/>
  <c r="J309" i="37"/>
  <c r="F309" i="37"/>
  <c r="F308" i="37"/>
  <c r="J307" i="37"/>
  <c r="F307" i="37"/>
  <c r="J304" i="37"/>
  <c r="K304" i="37" s="1"/>
  <c r="F304" i="37"/>
  <c r="J302" i="37"/>
  <c r="F302" i="37"/>
  <c r="K303" i="37" s="1"/>
  <c r="J301" i="37"/>
  <c r="F301" i="37"/>
  <c r="J300" i="37"/>
  <c r="F300" i="37"/>
  <c r="J297" i="37"/>
  <c r="F297" i="37"/>
  <c r="J295" i="37"/>
  <c r="F295" i="37"/>
  <c r="J294" i="37"/>
  <c r="F294" i="37"/>
  <c r="J293" i="37"/>
  <c r="K293" i="37" s="1"/>
  <c r="J292" i="37"/>
  <c r="F292" i="37"/>
  <c r="J291" i="37"/>
  <c r="K291" i="37" s="1"/>
  <c r="J290" i="37"/>
  <c r="F290" i="37"/>
  <c r="J289" i="37"/>
  <c r="F289" i="37"/>
  <c r="F288" i="37"/>
  <c r="K288" i="37" s="1"/>
  <c r="F286" i="37"/>
  <c r="F283" i="37"/>
  <c r="J282" i="37"/>
  <c r="F282" i="37"/>
  <c r="J281" i="37"/>
  <c r="F281" i="37"/>
  <c r="J280" i="37"/>
  <c r="F280" i="37"/>
  <c r="J279" i="37"/>
  <c r="F279" i="37"/>
  <c r="F277" i="37"/>
  <c r="K277" i="37" s="1"/>
  <c r="J276" i="37"/>
  <c r="F276" i="37"/>
  <c r="J275" i="37"/>
  <c r="F275" i="37"/>
  <c r="J273" i="37"/>
  <c r="F273" i="37"/>
  <c r="J272" i="37"/>
  <c r="F272" i="37"/>
  <c r="F271" i="37"/>
  <c r="F270" i="37"/>
  <c r="F269" i="37"/>
  <c r="J268" i="37"/>
  <c r="F268" i="37"/>
  <c r="J267" i="37"/>
  <c r="F267" i="37"/>
  <c r="J266" i="37"/>
  <c r="F266" i="37"/>
  <c r="J265" i="37"/>
  <c r="F265" i="37"/>
  <c r="K263" i="37"/>
  <c r="J262" i="37"/>
  <c r="F262" i="37"/>
  <c r="J261" i="37"/>
  <c r="F261" i="37"/>
  <c r="F260" i="37"/>
  <c r="K260" i="37" s="1"/>
  <c r="J259" i="37"/>
  <c r="F259" i="37"/>
  <c r="J258" i="37"/>
  <c r="F258" i="37"/>
  <c r="J257" i="37"/>
  <c r="F257" i="37"/>
  <c r="J256" i="37"/>
  <c r="F256" i="37"/>
  <c r="J255" i="37"/>
  <c r="F255" i="37"/>
  <c r="J254" i="37"/>
  <c r="F254" i="37"/>
  <c r="F253" i="37"/>
  <c r="J252" i="37"/>
  <c r="F252" i="37"/>
  <c r="F251" i="37"/>
  <c r="K251" i="37" s="1"/>
  <c r="J250" i="37"/>
  <c r="F250" i="37"/>
  <c r="J249" i="37"/>
  <c r="F249" i="37"/>
  <c r="J248" i="37"/>
  <c r="F248" i="37"/>
  <c r="F238" i="37"/>
  <c r="J237" i="37"/>
  <c r="F237" i="37"/>
  <c r="J236" i="37"/>
  <c r="F236" i="37"/>
  <c r="J235" i="37"/>
  <c r="F235" i="37"/>
  <c r="J234" i="37"/>
  <c r="F234" i="37"/>
  <c r="F229" i="37"/>
  <c r="J228" i="37"/>
  <c r="F228" i="37"/>
  <c r="J227" i="37"/>
  <c r="F227" i="37"/>
  <c r="J225" i="37"/>
  <c r="J224" i="37"/>
  <c r="F224" i="37"/>
  <c r="J221" i="37"/>
  <c r="F221" i="37"/>
  <c r="J220" i="37"/>
  <c r="F220" i="37"/>
  <c r="J219" i="37"/>
  <c r="F219" i="37"/>
  <c r="F218" i="37"/>
  <c r="J216" i="37"/>
  <c r="J215" i="37"/>
  <c r="F215" i="37"/>
  <c r="J211" i="37"/>
  <c r="F211" i="37"/>
  <c r="J210" i="37"/>
  <c r="F210" i="37"/>
  <c r="J209" i="37"/>
  <c r="F209" i="37"/>
  <c r="J205" i="37"/>
  <c r="K205" i="37" s="1"/>
  <c r="J203" i="37"/>
  <c r="F203" i="37"/>
  <c r="F202" i="37"/>
  <c r="F201" i="37"/>
  <c r="J200" i="37"/>
  <c r="F200" i="37"/>
  <c r="J199" i="37"/>
  <c r="F199" i="37"/>
  <c r="K198" i="37"/>
  <c r="J196" i="37"/>
  <c r="F196" i="37"/>
  <c r="J195" i="37"/>
  <c r="K195" i="37" s="1"/>
  <c r="J192" i="37"/>
  <c r="F192" i="37"/>
  <c r="J191" i="37"/>
  <c r="F191" i="37"/>
  <c r="J190" i="37"/>
  <c r="F190" i="37"/>
  <c r="F188" i="37"/>
  <c r="J187" i="37"/>
  <c r="F187" i="37"/>
  <c r="J186" i="37"/>
  <c r="K186" i="37" s="1"/>
  <c r="J185" i="37"/>
  <c r="J184" i="37"/>
  <c r="F184" i="37"/>
  <c r="F181" i="37"/>
  <c r="F179" i="37"/>
  <c r="F178" i="37"/>
  <c r="J177" i="37"/>
  <c r="F177" i="37"/>
  <c r="J176" i="37"/>
  <c r="F176" i="37"/>
  <c r="J174" i="37"/>
  <c r="K174" i="37" s="1"/>
  <c r="J172" i="37"/>
  <c r="F172" i="37"/>
  <c r="J171" i="37"/>
  <c r="K171" i="37" s="1"/>
  <c r="J170" i="37"/>
  <c r="F170" i="37"/>
  <c r="J169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3" i="37" l="1"/>
  <c r="K269" i="37"/>
  <c r="K809" i="37"/>
  <c r="K810" i="37"/>
  <c r="K915" i="37"/>
  <c r="K916" i="37"/>
  <c r="K326" i="37"/>
  <c r="K899" i="37"/>
  <c r="K900" i="37"/>
  <c r="K38" i="37"/>
  <c r="K42" i="37"/>
  <c r="K43" i="37"/>
  <c r="K475" i="37"/>
  <c r="K796" i="37"/>
  <c r="K737" i="37"/>
  <c r="K517" i="37"/>
  <c r="K734" i="37"/>
  <c r="F454" i="37"/>
  <c r="K452" i="37" s="1"/>
  <c r="D458" i="37"/>
  <c r="F458" i="37" s="1"/>
  <c r="F740" i="37"/>
  <c r="F747" i="37" s="1"/>
  <c r="F749" i="37" s="1"/>
  <c r="K261" i="37"/>
  <c r="K498" i="37"/>
  <c r="K930" i="37"/>
  <c r="K408" i="37"/>
  <c r="K398" i="37"/>
  <c r="K645" i="37"/>
  <c r="K311" i="37"/>
  <c r="F763" i="37"/>
  <c r="K763" i="37" s="1"/>
  <c r="K158" i="37"/>
  <c r="K505" i="37"/>
  <c r="K917" i="37"/>
  <c r="K918" i="37"/>
  <c r="K130" i="37"/>
  <c r="K870" i="37"/>
  <c r="K846" i="37"/>
  <c r="K802" i="37"/>
  <c r="K826" i="37"/>
  <c r="K879" i="37"/>
  <c r="K379" i="37"/>
  <c r="K365" i="37"/>
  <c r="K169" i="37"/>
  <c r="K162" i="37"/>
  <c r="K142" i="37"/>
  <c r="K147" i="37"/>
  <c r="K367" i="37"/>
  <c r="K134" i="37"/>
  <c r="K125" i="37"/>
  <c r="K37" i="37"/>
  <c r="K447" i="37"/>
  <c r="K925" i="37"/>
  <c r="K46" i="37"/>
  <c r="K211" i="37"/>
  <c r="K235" i="37"/>
  <c r="K248" i="37"/>
  <c r="K302" i="37"/>
  <c r="K395" i="37"/>
  <c r="K542" i="37"/>
  <c r="K550" i="37"/>
  <c r="K114" i="37"/>
  <c r="K109" i="37"/>
  <c r="K93" i="37"/>
  <c r="K107" i="37"/>
  <c r="K340" i="37"/>
  <c r="K654" i="37"/>
  <c r="K658" i="37"/>
  <c r="K661" i="37"/>
  <c r="K681" i="37"/>
  <c r="K755" i="37"/>
  <c r="K770" i="37"/>
  <c r="K772" i="37"/>
  <c r="K774" i="37"/>
  <c r="K781" i="37"/>
  <c r="K5" i="37"/>
  <c r="K56" i="37"/>
  <c r="K445" i="37"/>
  <c r="K200" i="37"/>
  <c r="K281" i="37"/>
  <c r="K294" i="37"/>
  <c r="K417" i="37"/>
  <c r="K804" i="37"/>
  <c r="K115" i="37"/>
  <c r="K121" i="37"/>
  <c r="K123" i="37"/>
  <c r="K133" i="37"/>
  <c r="K135" i="37"/>
  <c r="K141" i="37"/>
  <c r="K143" i="37"/>
  <c r="K170" i="37"/>
  <c r="K177" i="37"/>
  <c r="K336" i="37"/>
  <c r="K341" i="37"/>
  <c r="K430" i="37"/>
  <c r="K432" i="37"/>
  <c r="K443" i="37"/>
  <c r="K653" i="37"/>
  <c r="K656" i="37"/>
  <c r="K669" i="37"/>
  <c r="K672" i="37"/>
  <c r="K686" i="37"/>
  <c r="K793" i="37"/>
  <c r="K819" i="37"/>
  <c r="K822" i="37"/>
  <c r="D73" i="37"/>
  <c r="F73" i="37" s="1"/>
  <c r="K70" i="37" s="1"/>
  <c r="K415" i="37"/>
  <c r="K116" i="37"/>
  <c r="K525" i="37"/>
  <c r="K617" i="37"/>
  <c r="K632" i="37"/>
  <c r="K210" i="37"/>
  <c r="K215" i="37"/>
  <c r="K218" i="37"/>
  <c r="K220" i="37"/>
  <c r="K224" i="37"/>
  <c r="K234" i="37"/>
  <c r="K236" i="37"/>
  <c r="K249" i="37"/>
  <c r="K267" i="37"/>
  <c r="K292" i="37"/>
  <c r="K495" i="37"/>
  <c r="K551" i="37"/>
  <c r="K586" i="37"/>
  <c r="K588" i="37"/>
  <c r="K592" i="37"/>
  <c r="K950" i="37"/>
  <c r="K956" i="37"/>
  <c r="K176" i="37"/>
  <c r="K196" i="37"/>
  <c r="K374" i="37"/>
  <c r="K254" i="37"/>
  <c r="K258" i="37"/>
  <c r="K301" i="37"/>
  <c r="K331" i="37"/>
  <c r="K508" i="37"/>
  <c r="K593" i="37"/>
  <c r="K641" i="37"/>
  <c r="K513" i="37"/>
  <c r="K794" i="37"/>
  <c r="K874" i="37"/>
  <c r="K881" i="37"/>
  <c r="K890" i="37"/>
  <c r="K317" i="37"/>
  <c r="K67" i="37"/>
  <c r="K65" i="37"/>
  <c r="K144" i="37"/>
  <c r="K221" i="37"/>
  <c r="K250" i="37"/>
  <c r="K309" i="37"/>
  <c r="K318" i="37"/>
  <c r="K333" i="37"/>
  <c r="K377" i="37"/>
  <c r="K416" i="37"/>
  <c r="F423" i="37"/>
  <c r="F441" i="37"/>
  <c r="K437" i="37" s="1"/>
  <c r="K459" i="37"/>
  <c r="K470" i="37"/>
  <c r="K472" i="37"/>
  <c r="K474" i="37"/>
  <c r="K594" i="37"/>
  <c r="K633" i="37"/>
  <c r="K702" i="37"/>
  <c r="K791" i="37"/>
  <c r="K816" i="37"/>
  <c r="K865" i="37"/>
  <c r="K410" i="37"/>
  <c r="K418" i="37"/>
  <c r="K136" i="37"/>
  <c r="K307" i="37"/>
  <c r="K81" i="37"/>
  <c r="K119" i="37"/>
  <c r="K139" i="37"/>
  <c r="K156" i="37"/>
  <c r="K167" i="37"/>
  <c r="K188" i="37"/>
  <c r="K191" i="37"/>
  <c r="K199" i="37"/>
  <c r="K228" i="37"/>
  <c r="K272" i="37"/>
  <c r="K275" i="37"/>
  <c r="K280" i="37"/>
  <c r="K282" i="37"/>
  <c r="K290" i="37"/>
  <c r="K295" i="37"/>
  <c r="K343" i="37"/>
  <c r="K348" i="37"/>
  <c r="K364" i="37"/>
  <c r="K446" i="37"/>
  <c r="K449" i="37"/>
  <c r="K451" i="37"/>
  <c r="K482" i="37"/>
  <c r="K524" i="37"/>
  <c r="K660" i="37"/>
  <c r="K662" i="37"/>
  <c r="K682" i="37"/>
  <c r="K684" i="37"/>
  <c r="K754" i="37"/>
  <c r="K756" i="37"/>
  <c r="K771" i="37"/>
  <c r="K773" i="37"/>
  <c r="K775" i="37"/>
  <c r="K782" i="37"/>
  <c r="K788" i="37"/>
  <c r="K790" i="37"/>
  <c r="K803" i="37"/>
  <c r="K808" i="37"/>
  <c r="K827" i="37"/>
  <c r="K843" i="37"/>
  <c r="K845" i="37"/>
  <c r="K877" i="37"/>
  <c r="K895" i="37"/>
  <c r="K911" i="37"/>
  <c r="K31" i="37"/>
  <c r="K27" i="37"/>
  <c r="K26" i="37"/>
  <c r="K24" i="37"/>
  <c r="K21" i="37"/>
  <c r="K10" i="37"/>
  <c r="K7" i="37"/>
  <c r="K6" i="37"/>
  <c r="K50" i="37"/>
  <c r="K396" i="37"/>
  <c r="K522" i="37"/>
  <c r="K51" i="37"/>
  <c r="K219" i="37"/>
  <c r="K266" i="37"/>
  <c r="K268" i="37"/>
  <c r="K356" i="37"/>
  <c r="K393" i="37"/>
  <c r="K427" i="37"/>
  <c r="F464" i="37"/>
  <c r="K464" i="37" s="1"/>
  <c r="K478" i="37"/>
  <c r="K504" i="37"/>
  <c r="K582" i="37"/>
  <c r="K590" i="37"/>
  <c r="K604" i="37"/>
  <c r="K685" i="37"/>
  <c r="K815" i="37"/>
  <c r="K444" i="37"/>
  <c r="K858" i="37"/>
  <c r="K926" i="37"/>
  <c r="K69" i="37"/>
  <c r="K129" i="37"/>
  <c r="K168" i="37"/>
  <c r="K172" i="37"/>
  <c r="K184" i="37"/>
  <c r="K190" i="37"/>
  <c r="K279" i="37"/>
  <c r="K289" i="37"/>
  <c r="K297" i="37"/>
  <c r="K330" i="37"/>
  <c r="K344" i="37"/>
  <c r="K347" i="37"/>
  <c r="K357" i="37"/>
  <c r="K361" i="37"/>
  <c r="K383" i="37"/>
  <c r="K385" i="37"/>
  <c r="K387" i="37"/>
  <c r="K389" i="37"/>
  <c r="K426" i="37"/>
  <c r="K428" i="37"/>
  <c r="K433" i="37"/>
  <c r="K450" i="37"/>
  <c r="K469" i="37"/>
  <c r="K473" i="37"/>
  <c r="K507" i="37"/>
  <c r="K526" i="37"/>
  <c r="K541" i="37"/>
  <c r="K545" i="37"/>
  <c r="K583" i="37"/>
  <c r="K587" i="37"/>
  <c r="K591" i="37"/>
  <c r="K663" i="37"/>
  <c r="K668" i="37"/>
  <c r="K687" i="37"/>
  <c r="K690" i="37"/>
  <c r="K818" i="37"/>
  <c r="K820" i="37"/>
  <c r="K823" i="37"/>
  <c r="K4" i="37"/>
  <c r="K78" i="37"/>
  <c r="K80" i="37"/>
  <c r="K113" i="37"/>
  <c r="K192" i="37"/>
  <c r="K227" i="37"/>
  <c r="K255" i="37"/>
  <c r="K273" i="37"/>
  <c r="K520" i="37"/>
  <c r="K546" i="37"/>
  <c r="F560" i="37"/>
  <c r="F561" i="37" s="1"/>
  <c r="F566" i="37" s="1"/>
  <c r="F569" i="37" s="1"/>
  <c r="F571" i="37" s="1"/>
  <c r="F576" i="37" s="1"/>
  <c r="F679" i="37"/>
  <c r="K679" i="37" s="1"/>
  <c r="K840" i="37"/>
  <c r="K929" i="37"/>
  <c r="K9" i="37"/>
  <c r="K22" i="37"/>
  <c r="K55" i="37"/>
  <c r="K237" i="37"/>
  <c r="K256" i="37"/>
  <c r="K259" i="37"/>
  <c r="K265" i="37"/>
  <c r="K300" i="37"/>
  <c r="K323" i="37"/>
  <c r="K334" i="37"/>
  <c r="K352" i="37"/>
  <c r="K390" i="37"/>
  <c r="K598" i="37"/>
  <c r="K841" i="37"/>
  <c r="K853" i="37"/>
  <c r="K25" i="37"/>
  <c r="K209" i="37"/>
  <c r="K276" i="37"/>
  <c r="K467" i="37"/>
  <c r="K924" i="37"/>
  <c r="K127" i="37"/>
  <c r="K187" i="37"/>
  <c r="K216" i="37"/>
  <c r="K257" i="37"/>
  <c r="K262" i="37"/>
  <c r="K434" i="37"/>
  <c r="K888" i="37"/>
  <c r="K358" i="37"/>
  <c r="K366" i="37"/>
  <c r="K368" i="37"/>
  <c r="K380" i="37"/>
  <c r="K548" i="37"/>
  <c r="K631" i="37"/>
  <c r="K692" i="37"/>
  <c r="K792" i="37"/>
  <c r="K814" i="37"/>
  <c r="K861" i="37"/>
  <c r="E485" i="37"/>
  <c r="K283" i="37"/>
  <c r="K324" i="37"/>
  <c r="K335" i="37"/>
  <c r="K353" i="37"/>
  <c r="K375" i="37"/>
  <c r="K384" i="37"/>
  <c r="K391" i="37"/>
  <c r="K471" i="37"/>
  <c r="K512" i="37"/>
  <c r="K622" i="37"/>
  <c r="K671" i="37"/>
  <c r="K842" i="37"/>
  <c r="K854" i="37"/>
  <c r="K882" i="37"/>
  <c r="K643" i="37"/>
  <c r="F552" i="35"/>
  <c r="F553" i="35"/>
  <c r="F551" i="35"/>
  <c r="D554" i="35"/>
  <c r="F554" i="35" s="1"/>
  <c r="F397" i="35"/>
  <c r="D607" i="35"/>
  <c r="F682" i="35"/>
  <c r="D685" i="35"/>
  <c r="F684" i="35"/>
  <c r="F683" i="35"/>
  <c r="F743" i="37" l="1"/>
  <c r="F756" i="35"/>
  <c r="F745" i="37" l="1"/>
  <c r="J50" i="35"/>
  <c r="J888" i="35"/>
  <c r="J880" i="35"/>
  <c r="K880" i="35" s="1"/>
  <c r="J71" i="35"/>
  <c r="J617" i="35"/>
  <c r="J600" i="35"/>
  <c r="K600" i="35" s="1"/>
  <c r="J377" i="35"/>
  <c r="F378" i="35"/>
  <c r="F377" i="35"/>
  <c r="K377" i="35" l="1"/>
  <c r="J768" i="35"/>
  <c r="F768" i="35"/>
  <c r="J298" i="35"/>
  <c r="J835" i="35"/>
  <c r="F835" i="35"/>
  <c r="J894" i="35"/>
  <c r="J831" i="35"/>
  <c r="J855" i="35"/>
  <c r="F855" i="35"/>
  <c r="J752" i="35"/>
  <c r="J893" i="35"/>
  <c r="F893" i="35"/>
  <c r="J870" i="35"/>
  <c r="F834" i="35"/>
  <c r="J834" i="35"/>
  <c r="K855" i="35" l="1"/>
  <c r="K768" i="35"/>
  <c r="K834" i="35"/>
  <c r="K893" i="35"/>
  <c r="K835" i="35"/>
  <c r="F62" i="35"/>
  <c r="F78" i="35" l="1"/>
  <c r="F79" i="35"/>
  <c r="F80" i="35"/>
  <c r="F81" i="35"/>
  <c r="F82" i="35"/>
  <c r="F673" i="35"/>
  <c r="F672" i="35"/>
  <c r="F671" i="35"/>
  <c r="F670" i="35"/>
  <c r="F594" i="36"/>
  <c r="F593" i="36"/>
  <c r="F643" i="30"/>
  <c r="J640" i="30"/>
  <c r="F685" i="35"/>
  <c r="D605" i="36"/>
  <c r="F605" i="36" s="1"/>
  <c r="F603" i="36"/>
  <c r="F602" i="36"/>
  <c r="F653" i="30"/>
  <c r="F652" i="30"/>
  <c r="F20" i="35" l="1"/>
  <c r="K20" i="35" s="1"/>
  <c r="F34" i="36"/>
  <c r="F33" i="36"/>
  <c r="F32" i="36"/>
  <c r="F30" i="36"/>
  <c r="F722" i="35"/>
  <c r="F723" i="35"/>
  <c r="F724" i="35"/>
  <c r="F725" i="35"/>
  <c r="F726" i="35"/>
  <c r="J478" i="35"/>
  <c r="K478" i="35" s="1"/>
  <c r="D472" i="35"/>
  <c r="D473" i="35" s="1"/>
  <c r="D474" i="35" s="1"/>
  <c r="D475" i="35" s="1"/>
  <c r="D476" i="35" s="1"/>
  <c r="D477" i="35" s="1"/>
  <c r="E477" i="35" s="1"/>
  <c r="J484" i="35"/>
  <c r="K484" i="35" s="1"/>
  <c r="F488" i="35"/>
  <c r="J488" i="35"/>
  <c r="F491" i="35"/>
  <c r="J491" i="35"/>
  <c r="F492" i="35"/>
  <c r="F493" i="35"/>
  <c r="J493" i="35"/>
  <c r="D430" i="36"/>
  <c r="D431" i="36" s="1"/>
  <c r="D432" i="36" s="1"/>
  <c r="D433" i="36" s="1"/>
  <c r="K491" i="35" l="1"/>
  <c r="K493" i="35"/>
  <c r="K488" i="35"/>
  <c r="D481" i="35"/>
  <c r="E481" i="35" s="1"/>
  <c r="F729" i="35"/>
  <c r="D698" i="35"/>
  <c r="F697" i="35"/>
  <c r="J688" i="35"/>
  <c r="F688" i="35"/>
  <c r="F806" i="35" l="1"/>
  <c r="F752" i="35"/>
  <c r="K752" i="35" s="1"/>
  <c r="F748" i="35"/>
  <c r="F747" i="35"/>
  <c r="F880" i="35"/>
  <c r="F850" i="35"/>
  <c r="F849" i="35"/>
  <c r="F753" i="36"/>
  <c r="F889" i="35" l="1"/>
  <c r="F890" i="35"/>
  <c r="F888" i="35"/>
  <c r="K888" i="35" s="1"/>
  <c r="F425" i="3"/>
  <c r="J520" i="35"/>
  <c r="F520" i="35"/>
  <c r="F887" i="35"/>
  <c r="F761" i="36"/>
  <c r="F696" i="35"/>
  <c r="F162" i="35"/>
  <c r="F121" i="35"/>
  <c r="F122" i="35"/>
  <c r="F120" i="35"/>
  <c r="F119" i="35"/>
  <c r="F118" i="35"/>
  <c r="F117" i="35"/>
  <c r="K520" i="35" l="1"/>
  <c r="F187" i="35"/>
  <c r="F186" i="35"/>
  <c r="F389" i="35" l="1"/>
  <c r="F356" i="36"/>
  <c r="J388" i="35"/>
  <c r="F388" i="35"/>
  <c r="F645" i="35"/>
  <c r="K388" i="35" l="1"/>
  <c r="F83" i="35"/>
  <c r="F84" i="35"/>
  <c r="F831" i="35" l="1"/>
  <c r="K831" i="35" s="1"/>
  <c r="F830" i="35"/>
  <c r="F735" i="36"/>
  <c r="F734" i="36"/>
  <c r="J452" i="35" l="1"/>
  <c r="F271" i="35"/>
  <c r="J270" i="35"/>
  <c r="F590" i="36"/>
  <c r="F637" i="30"/>
  <c r="F667" i="35"/>
  <c r="D263" i="35" l="1"/>
  <c r="F263" i="35" s="1"/>
  <c r="F262" i="35"/>
  <c r="J209" i="36" l="1"/>
  <c r="J227" i="30"/>
  <c r="F270" i="35" l="1"/>
  <c r="K270" i="35" s="1"/>
  <c r="F503" i="35" l="1"/>
  <c r="F728" i="35"/>
  <c r="F610" i="35"/>
  <c r="J640" i="35" l="1"/>
  <c r="J509" i="35"/>
  <c r="F439" i="36"/>
  <c r="F470" i="35"/>
  <c r="F658" i="35"/>
  <c r="D659" i="35"/>
  <c r="J759" i="36"/>
  <c r="J565" i="36"/>
  <c r="J760" i="36"/>
  <c r="K760" i="36" s="1"/>
  <c r="F854" i="35"/>
  <c r="J646" i="35"/>
  <c r="K646" i="35" s="1"/>
  <c r="J254" i="36"/>
  <c r="J886" i="35" l="1"/>
  <c r="F886" i="35"/>
  <c r="K886" i="35" s="1"/>
  <c r="J680" i="35"/>
  <c r="F698" i="35"/>
  <c r="F695" i="35"/>
  <c r="J437" i="35"/>
  <c r="J462" i="35"/>
  <c r="F463" i="35"/>
  <c r="J840" i="35"/>
  <c r="F840" i="35"/>
  <c r="F885" i="35"/>
  <c r="J884" i="35"/>
  <c r="K840" i="35" l="1"/>
  <c r="F319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69" i="35"/>
  <c r="J4" i="35"/>
  <c r="K4" i="35" s="1"/>
  <c r="J582" i="35"/>
  <c r="J94" i="35"/>
  <c r="B50" i="8" l="1"/>
  <c r="B51" i="8" s="1"/>
  <c r="F501" i="35"/>
  <c r="F250" i="35"/>
  <c r="G878" i="35" l="1"/>
  <c r="J877" i="35"/>
  <c r="F807" i="35"/>
  <c r="J592" i="35"/>
  <c r="F592" i="35"/>
  <c r="J27" i="35"/>
  <c r="K592" i="35" l="1"/>
  <c r="E877" i="35"/>
  <c r="J826" i="35"/>
  <c r="F826" i="35"/>
  <c r="F515" i="35"/>
  <c r="J798" i="35"/>
  <c r="J434" i="35"/>
  <c r="J37" i="35"/>
  <c r="D444" i="35"/>
  <c r="F444" i="35" s="1"/>
  <c r="F443" i="35"/>
  <c r="K826" i="35" l="1"/>
  <c r="F620" i="35"/>
  <c r="F875" i="35"/>
  <c r="F876" i="35"/>
  <c r="F759" i="35"/>
  <c r="F760" i="35"/>
  <c r="F641" i="35" l="1"/>
  <c r="J637" i="35"/>
  <c r="K637" i="35" s="1"/>
  <c r="J513" i="35"/>
  <c r="F167" i="35"/>
  <c r="J872" i="35"/>
  <c r="J134" i="35"/>
  <c r="J873" i="35"/>
  <c r="F873" i="35"/>
  <c r="J18" i="35"/>
  <c r="F18" i="35"/>
  <c r="F694" i="35"/>
  <c r="K18" i="35" l="1"/>
  <c r="F27" i="35"/>
  <c r="F731" i="30" l="1"/>
  <c r="F700" i="36"/>
  <c r="J796" i="35"/>
  <c r="F796" i="35"/>
  <c r="J208" i="35"/>
  <c r="K208" i="35" s="1"/>
  <c r="J8" i="35"/>
  <c r="J151" i="35"/>
  <c r="J334" i="35"/>
  <c r="J189" i="35" l="1"/>
  <c r="F872" i="35" l="1"/>
  <c r="K872" i="35" s="1"/>
  <c r="F871" i="35"/>
  <c r="F393" i="35" l="1"/>
  <c r="J410" i="35"/>
  <c r="J776" i="35"/>
  <c r="F800" i="35"/>
  <c r="D801" i="35"/>
  <c r="J369" i="35"/>
  <c r="J137" i="35"/>
  <c r="J362" i="35"/>
  <c r="J868" i="35"/>
  <c r="F868" i="35"/>
  <c r="J867" i="35"/>
  <c r="F867" i="35"/>
  <c r="J866" i="35"/>
  <c r="F866" i="35"/>
  <c r="J301" i="35"/>
  <c r="J622" i="35"/>
  <c r="K866" i="35" l="1"/>
  <c r="K868" i="35"/>
  <c r="K867" i="35"/>
  <c r="F865" i="35"/>
  <c r="J519" i="35"/>
  <c r="F519" i="35"/>
  <c r="F321" i="35"/>
  <c r="J611" i="35"/>
  <c r="F614" i="35"/>
  <c r="J332" i="35"/>
  <c r="F530" i="35"/>
  <c r="J218" i="35"/>
  <c r="J767" i="35"/>
  <c r="F767" i="35"/>
  <c r="J135" i="35"/>
  <c r="F135" i="35"/>
  <c r="J546" i="35"/>
  <c r="F546" i="35"/>
  <c r="F863" i="35"/>
  <c r="F851" i="35"/>
  <c r="J861" i="35"/>
  <c r="J91" i="35"/>
  <c r="F784" i="35"/>
  <c r="J715" i="35"/>
  <c r="K135" i="35" l="1"/>
  <c r="K519" i="35"/>
  <c r="K767" i="35"/>
  <c r="F352" i="36"/>
  <c r="K352" i="36" s="1"/>
  <c r="F386" i="35"/>
  <c r="J445" i="35"/>
  <c r="J60" i="35"/>
  <c r="J770" i="35"/>
  <c r="J754" i="36"/>
  <c r="J751" i="36"/>
  <c r="F751" i="36"/>
  <c r="J750" i="36"/>
  <c r="J749" i="36"/>
  <c r="J748" i="36"/>
  <c r="F747" i="36"/>
  <c r="F743" i="36"/>
  <c r="F742" i="36"/>
  <c r="F740" i="36"/>
  <c r="F739" i="36"/>
  <c r="J738" i="36"/>
  <c r="J737" i="36"/>
  <c r="J736" i="36"/>
  <c r="F736" i="36"/>
  <c r="J733" i="36"/>
  <c r="J731" i="36"/>
  <c r="K731" i="36" s="1"/>
  <c r="E730" i="36"/>
  <c r="J728" i="36"/>
  <c r="F727" i="36"/>
  <c r="J726" i="36"/>
  <c r="F726" i="36"/>
  <c r="J724" i="36"/>
  <c r="J723" i="36"/>
  <c r="F723" i="36"/>
  <c r="J722" i="36"/>
  <c r="F722" i="36"/>
  <c r="D721" i="36"/>
  <c r="J720" i="36"/>
  <c r="F720" i="36"/>
  <c r="J719" i="36"/>
  <c r="J718" i="36"/>
  <c r="F717" i="36"/>
  <c r="F716" i="36"/>
  <c r="J715" i="36"/>
  <c r="K715" i="36" s="1"/>
  <c r="F714" i="36"/>
  <c r="F713" i="36"/>
  <c r="J712" i="36"/>
  <c r="K712" i="36" s="1"/>
  <c r="J711" i="36"/>
  <c r="F711" i="36"/>
  <c r="J709" i="36"/>
  <c r="F709" i="36"/>
  <c r="F708" i="36"/>
  <c r="J707" i="36"/>
  <c r="F707" i="36"/>
  <c r="J706" i="36"/>
  <c r="F706" i="36"/>
  <c r="J705" i="36"/>
  <c r="F705" i="36"/>
  <c r="J703" i="36"/>
  <c r="F703" i="36"/>
  <c r="J702" i="36"/>
  <c r="K702" i="36" s="1"/>
  <c r="J701" i="36"/>
  <c r="K701" i="36" s="1"/>
  <c r="E701" i="36"/>
  <c r="J699" i="36"/>
  <c r="F699" i="36"/>
  <c r="F698" i="36"/>
  <c r="J697" i="36"/>
  <c r="F697" i="36"/>
  <c r="J696" i="36"/>
  <c r="F696" i="36"/>
  <c r="J695" i="36"/>
  <c r="F695" i="36"/>
  <c r="J694" i="36"/>
  <c r="F694" i="36"/>
  <c r="F693" i="36"/>
  <c r="J692" i="36"/>
  <c r="F692" i="36"/>
  <c r="J691" i="36"/>
  <c r="F691" i="36"/>
  <c r="J690" i="36"/>
  <c r="F690" i="36"/>
  <c r="J689" i="36"/>
  <c r="J688" i="36"/>
  <c r="K688" i="36" s="1"/>
  <c r="J687" i="36"/>
  <c r="F687" i="36"/>
  <c r="J686" i="36"/>
  <c r="F686" i="36"/>
  <c r="J685" i="36"/>
  <c r="F684" i="36"/>
  <c r="J683" i="36"/>
  <c r="F683" i="36"/>
  <c r="J682" i="36"/>
  <c r="F682" i="36"/>
  <c r="J681" i="36"/>
  <c r="F681" i="36"/>
  <c r="F680" i="36"/>
  <c r="J679" i="36"/>
  <c r="K679" i="36" s="1"/>
  <c r="J678" i="36"/>
  <c r="F678" i="36"/>
  <c r="F677" i="36"/>
  <c r="J676" i="36"/>
  <c r="F676" i="36"/>
  <c r="J674" i="36"/>
  <c r="F672" i="36"/>
  <c r="J671" i="36"/>
  <c r="F671" i="36"/>
  <c r="J669" i="36"/>
  <c r="F669" i="36"/>
  <c r="J668" i="36"/>
  <c r="F668" i="36"/>
  <c r="D667" i="36"/>
  <c r="F667" i="36" s="1"/>
  <c r="G667" i="36" s="1"/>
  <c r="J667" i="36" s="1"/>
  <c r="J666" i="36"/>
  <c r="F666" i="36"/>
  <c r="J661" i="36"/>
  <c r="K661" i="36" s="1"/>
  <c r="J660" i="36"/>
  <c r="J659" i="36"/>
  <c r="J658" i="36"/>
  <c r="K658" i="36" s="1"/>
  <c r="J657" i="36"/>
  <c r="K657" i="36" s="1"/>
  <c r="J656" i="36"/>
  <c r="K656" i="36" s="1"/>
  <c r="J655" i="36"/>
  <c r="K655" i="36" s="1"/>
  <c r="J654" i="36"/>
  <c r="F654" i="36"/>
  <c r="J653" i="36"/>
  <c r="F653" i="36"/>
  <c r="J652" i="36"/>
  <c r="F652" i="36"/>
  <c r="J651" i="36"/>
  <c r="K651" i="36" s="1"/>
  <c r="J649" i="36"/>
  <c r="F649" i="36"/>
  <c r="F648" i="36"/>
  <c r="J644" i="36"/>
  <c r="F644" i="36"/>
  <c r="J643" i="36"/>
  <c r="K643" i="36" s="1"/>
  <c r="F643" i="36"/>
  <c r="J642" i="36"/>
  <c r="F642" i="36"/>
  <c r="J641" i="36"/>
  <c r="F641" i="36"/>
  <c r="J638" i="36"/>
  <c r="F638" i="36"/>
  <c r="J637" i="36"/>
  <c r="F637" i="36"/>
  <c r="J636" i="36"/>
  <c r="F636" i="36"/>
  <c r="J635" i="36"/>
  <c r="F635" i="36"/>
  <c r="J634" i="36"/>
  <c r="F634" i="36"/>
  <c r="J633" i="36"/>
  <c r="F633" i="36"/>
  <c r="J632" i="36"/>
  <c r="J631" i="36"/>
  <c r="F631" i="36"/>
  <c r="J630" i="36"/>
  <c r="F630" i="36"/>
  <c r="J629" i="36"/>
  <c r="F629" i="36"/>
  <c r="J628" i="36"/>
  <c r="F628" i="36"/>
  <c r="F627" i="36"/>
  <c r="F626" i="36"/>
  <c r="J625" i="36"/>
  <c r="F625" i="36"/>
  <c r="F623" i="36"/>
  <c r="D621" i="36"/>
  <c r="D624" i="36" s="1"/>
  <c r="F620" i="36"/>
  <c r="F619" i="36"/>
  <c r="F618" i="36"/>
  <c r="F617" i="36"/>
  <c r="J616" i="36"/>
  <c r="F616" i="36"/>
  <c r="J615" i="36"/>
  <c r="K615" i="36" s="1"/>
  <c r="F614" i="36"/>
  <c r="J610" i="36"/>
  <c r="J609" i="36"/>
  <c r="J608" i="36"/>
  <c r="F608" i="36"/>
  <c r="K609" i="36" s="1"/>
  <c r="F601" i="36"/>
  <c r="K601" i="36" s="1"/>
  <c r="J600" i="36"/>
  <c r="F600" i="36"/>
  <c r="G600" i="36" s="1"/>
  <c r="J599" i="36"/>
  <c r="F599" i="36"/>
  <c r="J597" i="36"/>
  <c r="F597" i="36"/>
  <c r="F596" i="36"/>
  <c r="J595" i="36"/>
  <c r="F595" i="36"/>
  <c r="J593" i="36"/>
  <c r="K593" i="36" s="1"/>
  <c r="J592" i="36"/>
  <c r="K592" i="36" s="1"/>
  <c r="J591" i="36"/>
  <c r="F591" i="36"/>
  <c r="J590" i="36"/>
  <c r="K590" i="36" s="1"/>
  <c r="J589" i="36"/>
  <c r="J588" i="36"/>
  <c r="F588" i="36"/>
  <c r="J587" i="36"/>
  <c r="F587" i="36"/>
  <c r="J586" i="36"/>
  <c r="F586" i="36"/>
  <c r="K586" i="36" s="1"/>
  <c r="J585" i="36"/>
  <c r="F585" i="36"/>
  <c r="J584" i="36"/>
  <c r="F584" i="36"/>
  <c r="J582" i="36"/>
  <c r="D582" i="36"/>
  <c r="F581" i="36"/>
  <c r="F580" i="36"/>
  <c r="F579" i="36"/>
  <c r="F578" i="36"/>
  <c r="F577" i="36"/>
  <c r="J576" i="36"/>
  <c r="F576" i="36"/>
  <c r="J571" i="36"/>
  <c r="K571" i="36" s="1"/>
  <c r="E571" i="36"/>
  <c r="J570" i="36"/>
  <c r="F570" i="36"/>
  <c r="J568" i="36"/>
  <c r="F568" i="36"/>
  <c r="J567" i="36"/>
  <c r="F567" i="36"/>
  <c r="F565" i="36"/>
  <c r="K565" i="36" s="1"/>
  <c r="J564" i="36"/>
  <c r="F564" i="36"/>
  <c r="J563" i="36"/>
  <c r="F563" i="36"/>
  <c r="J562" i="36"/>
  <c r="F562" i="36"/>
  <c r="J561" i="36"/>
  <c r="F561" i="36"/>
  <c r="J560" i="36"/>
  <c r="F560" i="36"/>
  <c r="J558" i="36"/>
  <c r="F558" i="36"/>
  <c r="J557" i="36"/>
  <c r="J556" i="36"/>
  <c r="F556" i="36"/>
  <c r="J554" i="36"/>
  <c r="F554" i="36"/>
  <c r="J553" i="36"/>
  <c r="K553" i="36" s="1"/>
  <c r="J552" i="36"/>
  <c r="F552" i="36"/>
  <c r="J551" i="36"/>
  <c r="F551" i="36"/>
  <c r="J550" i="36"/>
  <c r="F550" i="36"/>
  <c r="J549" i="36"/>
  <c r="K549" i="36" s="1"/>
  <c r="J548" i="36"/>
  <c r="F548" i="36"/>
  <c r="J547" i="36"/>
  <c r="J546" i="36"/>
  <c r="J545" i="36"/>
  <c r="F545" i="36"/>
  <c r="J544" i="36"/>
  <c r="F544" i="36"/>
  <c r="F543" i="36"/>
  <c r="F542" i="36"/>
  <c r="F541" i="36"/>
  <c r="F540" i="36"/>
  <c r="J538" i="36"/>
  <c r="F538" i="36"/>
  <c r="J537" i="36"/>
  <c r="F537" i="36"/>
  <c r="J536" i="36"/>
  <c r="K536" i="36" s="1"/>
  <c r="J535" i="36"/>
  <c r="F535" i="36"/>
  <c r="J534" i="36"/>
  <c r="K534" i="36" s="1"/>
  <c r="J533" i="36"/>
  <c r="K533" i="36" s="1"/>
  <c r="J532" i="36"/>
  <c r="K532" i="36" s="1"/>
  <c r="D529" i="36"/>
  <c r="J519" i="36"/>
  <c r="K519" i="36" s="1"/>
  <c r="F518" i="36"/>
  <c r="J517" i="36"/>
  <c r="F517" i="36"/>
  <c r="J515" i="36"/>
  <c r="K515" i="36" s="1"/>
  <c r="J514" i="36"/>
  <c r="K514" i="36" s="1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F506" i="36"/>
  <c r="J505" i="36"/>
  <c r="K505" i="36" s="1"/>
  <c r="J501" i="36"/>
  <c r="F501" i="36"/>
  <c r="J500" i="36"/>
  <c r="F500" i="36"/>
  <c r="J499" i="36"/>
  <c r="F499" i="36"/>
  <c r="J498" i="36"/>
  <c r="F498" i="36"/>
  <c r="J497" i="36"/>
  <c r="K497" i="36" s="1"/>
  <c r="F497" i="36"/>
  <c r="J496" i="36"/>
  <c r="K496" i="36" s="1"/>
  <c r="J495" i="36"/>
  <c r="F495" i="36"/>
  <c r="J494" i="36"/>
  <c r="F494" i="36"/>
  <c r="J493" i="36"/>
  <c r="F493" i="36"/>
  <c r="J490" i="36"/>
  <c r="F490" i="36"/>
  <c r="F489" i="36"/>
  <c r="J488" i="36"/>
  <c r="F486" i="36"/>
  <c r="F485" i="36"/>
  <c r="F483" i="36"/>
  <c r="F482" i="36"/>
  <c r="F481" i="36"/>
  <c r="F480" i="36"/>
  <c r="D478" i="36"/>
  <c r="D479" i="36" s="1"/>
  <c r="D484" i="36" s="1"/>
  <c r="D487" i="36" s="1"/>
  <c r="F477" i="36"/>
  <c r="F476" i="36"/>
  <c r="F475" i="36"/>
  <c r="F474" i="36"/>
  <c r="F473" i="36"/>
  <c r="J472" i="36"/>
  <c r="K472" i="36" s="1"/>
  <c r="F472" i="36"/>
  <c r="J471" i="36"/>
  <c r="F471" i="36"/>
  <c r="J470" i="36"/>
  <c r="F470" i="36"/>
  <c r="F469" i="36"/>
  <c r="J468" i="36"/>
  <c r="F468" i="36"/>
  <c r="J467" i="36"/>
  <c r="F467" i="36"/>
  <c r="J466" i="36"/>
  <c r="F466" i="36"/>
  <c r="J465" i="36"/>
  <c r="K465" i="36" s="1"/>
  <c r="E465" i="36"/>
  <c r="F464" i="36"/>
  <c r="K464" i="36" s="1"/>
  <c r="F463" i="36"/>
  <c r="J462" i="36"/>
  <c r="F462" i="36"/>
  <c r="F461" i="36"/>
  <c r="K461" i="36" s="1"/>
  <c r="J459" i="36"/>
  <c r="K459" i="36" s="1"/>
  <c r="F458" i="36"/>
  <c r="J457" i="36"/>
  <c r="F457" i="36"/>
  <c r="J456" i="36"/>
  <c r="F456" i="36"/>
  <c r="J455" i="36"/>
  <c r="F455" i="36"/>
  <c r="J454" i="36"/>
  <c r="F454" i="36"/>
  <c r="F453" i="36"/>
  <c r="J452" i="36"/>
  <c r="J451" i="36"/>
  <c r="F451" i="36"/>
  <c r="J450" i="36"/>
  <c r="F450" i="36"/>
  <c r="J449" i="36"/>
  <c r="K449" i="36" s="1"/>
  <c r="F449" i="36"/>
  <c r="J448" i="36"/>
  <c r="F448" i="36"/>
  <c r="J447" i="36"/>
  <c r="F447" i="36"/>
  <c r="J446" i="36"/>
  <c r="K446" i="36" s="1"/>
  <c r="J445" i="36"/>
  <c r="F445" i="36"/>
  <c r="J444" i="36"/>
  <c r="F444" i="36"/>
  <c r="F443" i="36"/>
  <c r="J442" i="36"/>
  <c r="F442" i="36"/>
  <c r="F441" i="36"/>
  <c r="J440" i="36"/>
  <c r="F440" i="36"/>
  <c r="J438" i="36"/>
  <c r="F438" i="36"/>
  <c r="J434" i="36"/>
  <c r="K434" i="36" s="1"/>
  <c r="J427" i="36"/>
  <c r="F427" i="36"/>
  <c r="J426" i="36"/>
  <c r="F426" i="36"/>
  <c r="J425" i="36"/>
  <c r="K425" i="36" s="1"/>
  <c r="J424" i="36"/>
  <c r="K424" i="36" s="1"/>
  <c r="J423" i="36"/>
  <c r="F423" i="36"/>
  <c r="F422" i="36"/>
  <c r="J421" i="36"/>
  <c r="F421" i="36"/>
  <c r="J420" i="36"/>
  <c r="F420" i="36"/>
  <c r="J419" i="36"/>
  <c r="F419" i="36"/>
  <c r="J418" i="36"/>
  <c r="F418" i="36"/>
  <c r="J417" i="36"/>
  <c r="F417" i="36"/>
  <c r="J416" i="36"/>
  <c r="F416" i="36"/>
  <c r="F415" i="36"/>
  <c r="J414" i="36"/>
  <c r="F414" i="36"/>
  <c r="J413" i="36"/>
  <c r="K413" i="36" s="1"/>
  <c r="J412" i="36"/>
  <c r="F412" i="36"/>
  <c r="J411" i="36"/>
  <c r="F410" i="36"/>
  <c r="F409" i="36"/>
  <c r="F408" i="36"/>
  <c r="F407" i="36"/>
  <c r="F406" i="36"/>
  <c r="J404" i="36"/>
  <c r="D404" i="36"/>
  <c r="F404" i="36" s="1"/>
  <c r="J403" i="36"/>
  <c r="F403" i="36"/>
  <c r="J402" i="36"/>
  <c r="F402" i="36"/>
  <c r="J401" i="36"/>
  <c r="F401" i="36"/>
  <c r="J400" i="36"/>
  <c r="K400" i="36" s="1"/>
  <c r="F399" i="36"/>
  <c r="J398" i="36"/>
  <c r="J396" i="36"/>
  <c r="K396" i="36" s="1"/>
  <c r="F396" i="36"/>
  <c r="J395" i="36"/>
  <c r="F395" i="36"/>
  <c r="J393" i="36"/>
  <c r="K393" i="36" s="1"/>
  <c r="J392" i="36"/>
  <c r="F392" i="36"/>
  <c r="F391" i="36"/>
  <c r="F390" i="36"/>
  <c r="J389" i="36"/>
  <c r="F389" i="36"/>
  <c r="J387" i="36"/>
  <c r="D387" i="36"/>
  <c r="F385" i="36"/>
  <c r="F384" i="36"/>
  <c r="F383" i="36"/>
  <c r="F382" i="36"/>
  <c r="J381" i="36"/>
  <c r="F381" i="36"/>
  <c r="J380" i="36"/>
  <c r="F380" i="36"/>
  <c r="J379" i="36"/>
  <c r="F379" i="36"/>
  <c r="J378" i="36"/>
  <c r="F378" i="36"/>
  <c r="J377" i="36"/>
  <c r="F377" i="36"/>
  <c r="J375" i="36"/>
  <c r="F375" i="36"/>
  <c r="J374" i="36"/>
  <c r="F374" i="36"/>
  <c r="J372" i="36"/>
  <c r="F372" i="36"/>
  <c r="J371" i="36"/>
  <c r="K371" i="36" s="1"/>
  <c r="E371" i="36"/>
  <c r="J370" i="36"/>
  <c r="K370" i="36" s="1"/>
  <c r="J369" i="36"/>
  <c r="J368" i="36"/>
  <c r="F368" i="36"/>
  <c r="J367" i="36"/>
  <c r="F367" i="36"/>
  <c r="J366" i="36"/>
  <c r="F366" i="36"/>
  <c r="F365" i="36"/>
  <c r="J364" i="36"/>
  <c r="F364" i="36"/>
  <c r="J363" i="36"/>
  <c r="F363" i="36"/>
  <c r="J362" i="36"/>
  <c r="F362" i="36"/>
  <c r="J361" i="36"/>
  <c r="F361" i="36"/>
  <c r="J360" i="36"/>
  <c r="F360" i="36"/>
  <c r="F359" i="36"/>
  <c r="J358" i="36"/>
  <c r="F358" i="36"/>
  <c r="J357" i="36"/>
  <c r="F357" i="36"/>
  <c r="J355" i="36"/>
  <c r="F355" i="36"/>
  <c r="F351" i="36"/>
  <c r="J350" i="36"/>
  <c r="F350" i="36"/>
  <c r="J349" i="36"/>
  <c r="K349" i="36" s="1"/>
  <c r="J348" i="36"/>
  <c r="F348" i="36"/>
  <c r="J347" i="36"/>
  <c r="F347" i="36"/>
  <c r="J346" i="36"/>
  <c r="F346" i="36"/>
  <c r="J345" i="36"/>
  <c r="F345" i="36"/>
  <c r="F344" i="36"/>
  <c r="J343" i="36"/>
  <c r="F343" i="36"/>
  <c r="J342" i="36"/>
  <c r="F342" i="36"/>
  <c r="J341" i="36"/>
  <c r="F341" i="36"/>
  <c r="J340" i="36"/>
  <c r="F340" i="36"/>
  <c r="F339" i="36"/>
  <c r="F338" i="36"/>
  <c r="F337" i="36"/>
  <c r="F336" i="36"/>
  <c r="F335" i="36"/>
  <c r="J334" i="36"/>
  <c r="F334" i="36"/>
  <c r="J333" i="36"/>
  <c r="F333" i="36"/>
  <c r="J331" i="36"/>
  <c r="F331" i="36"/>
  <c r="J330" i="36"/>
  <c r="K330" i="36" s="1"/>
  <c r="E330" i="36"/>
  <c r="F329" i="36"/>
  <c r="J328" i="36"/>
  <c r="F328" i="36"/>
  <c r="F327" i="36"/>
  <c r="J326" i="36"/>
  <c r="F326" i="36"/>
  <c r="F325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F318" i="36"/>
  <c r="J317" i="36"/>
  <c r="J316" i="36"/>
  <c r="F316" i="36"/>
  <c r="J315" i="36"/>
  <c r="F315" i="36"/>
  <c r="J312" i="36"/>
  <c r="F312" i="36"/>
  <c r="J311" i="36"/>
  <c r="F311" i="36"/>
  <c r="J310" i="36"/>
  <c r="F310" i="36"/>
  <c r="F309" i="36"/>
  <c r="K309" i="36" s="1"/>
  <c r="J308" i="36"/>
  <c r="J307" i="36"/>
  <c r="F307" i="36"/>
  <c r="J306" i="36"/>
  <c r="F306" i="36"/>
  <c r="J305" i="36"/>
  <c r="F305" i="36"/>
  <c r="J304" i="36"/>
  <c r="F304" i="36"/>
  <c r="J303" i="36"/>
  <c r="K303" i="36" s="1"/>
  <c r="J302" i="36"/>
  <c r="F302" i="36"/>
  <c r="J301" i="36"/>
  <c r="F301" i="36"/>
  <c r="J300" i="36"/>
  <c r="F300" i="36"/>
  <c r="J299" i="36"/>
  <c r="F299" i="36"/>
  <c r="J298" i="36"/>
  <c r="F298" i="36"/>
  <c r="F297" i="36"/>
  <c r="J296" i="36"/>
  <c r="F296" i="36"/>
  <c r="J295" i="36"/>
  <c r="F295" i="36"/>
  <c r="J294" i="36"/>
  <c r="F294" i="36"/>
  <c r="J293" i="36"/>
  <c r="F293" i="36"/>
  <c r="J292" i="36"/>
  <c r="F292" i="36"/>
  <c r="J291" i="36"/>
  <c r="K291" i="36" s="1"/>
  <c r="J290" i="36"/>
  <c r="F290" i="36"/>
  <c r="J289" i="36"/>
  <c r="F289" i="36"/>
  <c r="J288" i="36"/>
  <c r="K288" i="36" s="1"/>
  <c r="J287" i="36"/>
  <c r="F287" i="36"/>
  <c r="J286" i="36"/>
  <c r="F286" i="36"/>
  <c r="F285" i="36"/>
  <c r="J284" i="36"/>
  <c r="F284" i="36"/>
  <c r="J283" i="36"/>
  <c r="F283" i="36"/>
  <c r="J282" i="36"/>
  <c r="F282" i="36"/>
  <c r="J281" i="36"/>
  <c r="F281" i="36"/>
  <c r="J275" i="36"/>
  <c r="K275" i="36" s="1"/>
  <c r="F275" i="36"/>
  <c r="J273" i="36"/>
  <c r="K273" i="36" s="1"/>
  <c r="J272" i="36"/>
  <c r="F272" i="36"/>
  <c r="F271" i="36"/>
  <c r="J270" i="36"/>
  <c r="F270" i="36"/>
  <c r="J269" i="36"/>
  <c r="F269" i="36"/>
  <c r="J268" i="36"/>
  <c r="F268" i="36"/>
  <c r="F267" i="36"/>
  <c r="K267" i="36" s="1"/>
  <c r="J266" i="36"/>
  <c r="F266" i="36"/>
  <c r="J265" i="36"/>
  <c r="F265" i="36"/>
  <c r="J264" i="36"/>
  <c r="F264" i="36"/>
  <c r="J263" i="36"/>
  <c r="F263" i="36"/>
  <c r="J261" i="36"/>
  <c r="F261" i="36"/>
  <c r="J260" i="36"/>
  <c r="F260" i="36"/>
  <c r="J259" i="36"/>
  <c r="K259" i="36" s="1"/>
  <c r="J258" i="36"/>
  <c r="F258" i="36"/>
  <c r="J257" i="36"/>
  <c r="K257" i="36" s="1"/>
  <c r="J256" i="36"/>
  <c r="F256" i="36"/>
  <c r="J255" i="36"/>
  <c r="F255" i="36"/>
  <c r="J253" i="36"/>
  <c r="F253" i="36"/>
  <c r="K254" i="36" s="1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3" i="36"/>
  <c r="F233" i="36"/>
  <c r="J231" i="36"/>
  <c r="F231" i="36"/>
  <c r="J230" i="36"/>
  <c r="F230" i="36"/>
  <c r="J229" i="36"/>
  <c r="F229" i="36"/>
  <c r="K229" i="36" s="1"/>
  <c r="F228" i="36"/>
  <c r="K228" i="36" s="1"/>
  <c r="J227" i="36"/>
  <c r="F227" i="36"/>
  <c r="J226" i="36"/>
  <c r="F226" i="36"/>
  <c r="J224" i="36"/>
  <c r="K224" i="36" s="1"/>
  <c r="J223" i="36"/>
  <c r="F223" i="36"/>
  <c r="J222" i="36"/>
  <c r="F222" i="36"/>
  <c r="J221" i="36"/>
  <c r="F221" i="36"/>
  <c r="J220" i="36"/>
  <c r="F220" i="36"/>
  <c r="J219" i="36"/>
  <c r="F219" i="36"/>
  <c r="J218" i="36"/>
  <c r="F218" i="36"/>
  <c r="F217" i="36"/>
  <c r="K217" i="36" s="1"/>
  <c r="J216" i="36"/>
  <c r="F216" i="36"/>
  <c r="J215" i="36"/>
  <c r="F215" i="36"/>
  <c r="J214" i="36"/>
  <c r="F214" i="36"/>
  <c r="F209" i="36"/>
  <c r="J208" i="36"/>
  <c r="J207" i="36"/>
  <c r="F207" i="36"/>
  <c r="J206" i="36"/>
  <c r="F206" i="36"/>
  <c r="J205" i="36"/>
  <c r="F205" i="36"/>
  <c r="J204" i="36"/>
  <c r="F204" i="36"/>
  <c r="F203" i="36"/>
  <c r="F202" i="36"/>
  <c r="J200" i="36"/>
  <c r="F200" i="36"/>
  <c r="F199" i="36"/>
  <c r="J198" i="36"/>
  <c r="F198" i="36"/>
  <c r="J197" i="36"/>
  <c r="F197" i="36"/>
  <c r="J195" i="36"/>
  <c r="J194" i="36"/>
  <c r="F194" i="36"/>
  <c r="J192" i="36"/>
  <c r="F192" i="36"/>
  <c r="J191" i="36"/>
  <c r="F191" i="36"/>
  <c r="J190" i="36"/>
  <c r="F190" i="36"/>
  <c r="J189" i="36"/>
  <c r="J188" i="36"/>
  <c r="F188" i="36"/>
  <c r="J186" i="36"/>
  <c r="F186" i="36"/>
  <c r="J185" i="36"/>
  <c r="F185" i="36"/>
  <c r="J184" i="36"/>
  <c r="F184" i="36"/>
  <c r="J183" i="36"/>
  <c r="F183" i="36"/>
  <c r="J181" i="36"/>
  <c r="F181" i="36"/>
  <c r="J180" i="36"/>
  <c r="F180" i="36"/>
  <c r="J179" i="36"/>
  <c r="K179" i="36" s="1"/>
  <c r="J178" i="36"/>
  <c r="F178" i="36"/>
  <c r="J175" i="36"/>
  <c r="F174" i="36"/>
  <c r="F173" i="36"/>
  <c r="J172" i="36"/>
  <c r="F172" i="36"/>
  <c r="J171" i="36"/>
  <c r="F171" i="36"/>
  <c r="J169" i="36"/>
  <c r="K169" i="36" s="1"/>
  <c r="F168" i="36"/>
  <c r="J167" i="36"/>
  <c r="J166" i="36"/>
  <c r="F166" i="36"/>
  <c r="J165" i="36"/>
  <c r="K165" i="36" s="1"/>
  <c r="J164" i="36"/>
  <c r="F164" i="36"/>
  <c r="J163" i="36"/>
  <c r="F163" i="36"/>
  <c r="J162" i="36"/>
  <c r="F162" i="36"/>
  <c r="J161" i="36"/>
  <c r="F161" i="36"/>
  <c r="J160" i="36"/>
  <c r="F160" i="36"/>
  <c r="J159" i="36"/>
  <c r="K159" i="36" s="1"/>
  <c r="J158" i="36"/>
  <c r="F158" i="36"/>
  <c r="J157" i="36"/>
  <c r="F157" i="36"/>
  <c r="J156" i="36"/>
  <c r="K156" i="36" s="1"/>
  <c r="J155" i="36"/>
  <c r="J154" i="36"/>
  <c r="F154" i="36"/>
  <c r="J153" i="36"/>
  <c r="F153" i="36"/>
  <c r="J152" i="36"/>
  <c r="K152" i="36" s="1"/>
  <c r="F150" i="36"/>
  <c r="J149" i="36"/>
  <c r="K149" i="36" s="1"/>
  <c r="J148" i="36"/>
  <c r="F148" i="36"/>
  <c r="J147" i="36"/>
  <c r="F147" i="36"/>
  <c r="F146" i="36"/>
  <c r="K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K255" i="36" l="1"/>
  <c r="K260" i="36"/>
  <c r="K310" i="36"/>
  <c r="K312" i="36"/>
  <c r="K328" i="36"/>
  <c r="J623" i="36"/>
  <c r="J624" i="36"/>
  <c r="K214" i="36"/>
  <c r="K366" i="36"/>
  <c r="K374" i="36"/>
  <c r="K216" i="36"/>
  <c r="K226" i="36"/>
  <c r="K261" i="36"/>
  <c r="K264" i="36"/>
  <c r="K286" i="36"/>
  <c r="K304" i="36"/>
  <c r="K654" i="36"/>
  <c r="K246" i="36"/>
  <c r="K306" i="36"/>
  <c r="K160" i="36"/>
  <c r="K45" i="36"/>
  <c r="K104" i="36"/>
  <c r="K120" i="36"/>
  <c r="K162" i="36"/>
  <c r="K208" i="36"/>
  <c r="K19" i="36"/>
  <c r="K21" i="36"/>
  <c r="K24" i="36"/>
  <c r="K28" i="36"/>
  <c r="K66" i="36"/>
  <c r="K113" i="36"/>
  <c r="K121" i="36"/>
  <c r="K134" i="36"/>
  <c r="K180" i="36"/>
  <c r="K703" i="36"/>
  <c r="K706" i="36"/>
  <c r="K694" i="36"/>
  <c r="K379" i="36"/>
  <c r="K696" i="36"/>
  <c r="K282" i="36"/>
  <c r="K736" i="36"/>
  <c r="K298" i="36"/>
  <c r="K363" i="36"/>
  <c r="K416" i="36"/>
  <c r="K418" i="36"/>
  <c r="K420" i="36"/>
  <c r="K537" i="36"/>
  <c r="K625" i="36"/>
  <c r="K722" i="36"/>
  <c r="K751" i="36"/>
  <c r="K427" i="36"/>
  <c r="K230" i="36"/>
  <c r="K326" i="36"/>
  <c r="K362" i="36"/>
  <c r="K392" i="36"/>
  <c r="K404" i="36"/>
  <c r="K470" i="36"/>
  <c r="K576" i="36"/>
  <c r="K597" i="36"/>
  <c r="K9" i="36"/>
  <c r="K11" i="36"/>
  <c r="K37" i="36"/>
  <c r="K40" i="36"/>
  <c r="K98" i="36"/>
  <c r="K205" i="36"/>
  <c r="K218" i="36"/>
  <c r="K220" i="36"/>
  <c r="K300" i="36"/>
  <c r="K340" i="36"/>
  <c r="K357" i="36"/>
  <c r="K368" i="36"/>
  <c r="K462" i="36"/>
  <c r="K498" i="36"/>
  <c r="K561" i="36"/>
  <c r="K563" i="36"/>
  <c r="K635" i="36"/>
  <c r="K683" i="36"/>
  <c r="K557" i="36"/>
  <c r="K157" i="36"/>
  <c r="K166" i="36"/>
  <c r="K178" i="36"/>
  <c r="K307" i="36"/>
  <c r="K341" i="36"/>
  <c r="K551" i="36"/>
  <c r="K560" i="36"/>
  <c r="K584" i="36"/>
  <c r="K591" i="36"/>
  <c r="K636" i="36"/>
  <c r="K642" i="36"/>
  <c r="K653" i="36"/>
  <c r="K669" i="36"/>
  <c r="K129" i="36"/>
  <c r="K184" i="36"/>
  <c r="K186" i="36"/>
  <c r="K419" i="36"/>
  <c r="K7" i="36"/>
  <c r="K8" i="36"/>
  <c r="K112" i="36"/>
  <c r="K222" i="36"/>
  <c r="K345" i="36"/>
  <c r="K361" i="36"/>
  <c r="K67" i="36"/>
  <c r="K247" i="36"/>
  <c r="K452" i="36"/>
  <c r="K466" i="36"/>
  <c r="K389" i="36"/>
  <c r="K630" i="36"/>
  <c r="K495" i="36"/>
  <c r="K5" i="36"/>
  <c r="K35" i="36"/>
  <c r="K110" i="36"/>
  <c r="K144" i="36"/>
  <c r="K227" i="36"/>
  <c r="K231" i="36"/>
  <c r="K234" i="36"/>
  <c r="K238" i="36"/>
  <c r="K253" i="36"/>
  <c r="K320" i="36"/>
  <c r="K331" i="36"/>
  <c r="K334" i="36"/>
  <c r="K395" i="36"/>
  <c r="K426" i="36"/>
  <c r="K451" i="36"/>
  <c r="K454" i="36"/>
  <c r="K493" i="36"/>
  <c r="K544" i="36"/>
  <c r="K633" i="36"/>
  <c r="K687" i="36"/>
  <c r="K690" i="36"/>
  <c r="K46" i="36"/>
  <c r="K154" i="36"/>
  <c r="K192" i="36"/>
  <c r="K517" i="36"/>
  <c r="K2" i="36"/>
  <c r="K18" i="36"/>
  <c r="K39" i="36"/>
  <c r="K68" i="36"/>
  <c r="K101" i="36"/>
  <c r="K118" i="36"/>
  <c r="K124" i="36"/>
  <c r="K126" i="36"/>
  <c r="K153" i="36"/>
  <c r="K194" i="36"/>
  <c r="K200" i="36"/>
  <c r="K206" i="36"/>
  <c r="K239" i="36"/>
  <c r="K243" i="36"/>
  <c r="K245" i="36"/>
  <c r="K268" i="36"/>
  <c r="K270" i="36"/>
  <c r="K283" i="36"/>
  <c r="K290" i="36"/>
  <c r="K292" i="36"/>
  <c r="K294" i="36"/>
  <c r="K346" i="36"/>
  <c r="K378" i="36"/>
  <c r="F387" i="36"/>
  <c r="K383" i="36" s="1"/>
  <c r="K390" i="36"/>
  <c r="K438" i="36"/>
  <c r="K450" i="36"/>
  <c r="K455" i="36"/>
  <c r="K499" i="36"/>
  <c r="K501" i="36"/>
  <c r="K506" i="36"/>
  <c r="K508" i="36"/>
  <c r="K567" i="36"/>
  <c r="K570" i="36"/>
  <c r="K599" i="36"/>
  <c r="K15" i="36"/>
  <c r="K163" i="36"/>
  <c r="K707" i="36"/>
  <c r="K108" i="36"/>
  <c r="K158" i="36"/>
  <c r="K164" i="36"/>
  <c r="K181" i="36"/>
  <c r="K223" i="36"/>
  <c r="K315" i="36"/>
  <c r="K321" i="36"/>
  <c r="K343" i="36"/>
  <c r="K372" i="36"/>
  <c r="K444" i="36"/>
  <c r="G543" i="36"/>
  <c r="K554" i="36"/>
  <c r="K588" i="36"/>
  <c r="K595" i="36"/>
  <c r="K681" i="36"/>
  <c r="K709" i="36"/>
  <c r="K41" i="36"/>
  <c r="K48" i="36"/>
  <c r="K51" i="36"/>
  <c r="K56" i="36"/>
  <c r="K93" i="36"/>
  <c r="K97" i="36"/>
  <c r="K123" i="36"/>
  <c r="K125" i="36"/>
  <c r="K136" i="36"/>
  <c r="K161" i="36"/>
  <c r="K183" i="36"/>
  <c r="K185" i="36"/>
  <c r="K188" i="36"/>
  <c r="K197" i="36"/>
  <c r="K235" i="36"/>
  <c r="K237" i="36"/>
  <c r="K240" i="36"/>
  <c r="K242" i="36"/>
  <c r="K265" i="36"/>
  <c r="K295" i="36"/>
  <c r="K301" i="36"/>
  <c r="K318" i="36"/>
  <c r="K333" i="36"/>
  <c r="K375" i="36"/>
  <c r="K403" i="36"/>
  <c r="K456" i="36"/>
  <c r="K458" i="36"/>
  <c r="K468" i="36"/>
  <c r="K509" i="36"/>
  <c r="K546" i="36"/>
  <c r="K548" i="36"/>
  <c r="K552" i="36"/>
  <c r="K558" i="36"/>
  <c r="K564" i="36"/>
  <c r="K585" i="36"/>
  <c r="K587" i="36"/>
  <c r="K629" i="36"/>
  <c r="K641" i="36"/>
  <c r="K666" i="36"/>
  <c r="K676" i="36"/>
  <c r="K691" i="36"/>
  <c r="K697" i="36"/>
  <c r="K699" i="36"/>
  <c r="F59" i="36"/>
  <c r="K69" i="36"/>
  <c r="K139" i="36"/>
  <c r="K145" i="36"/>
  <c r="K148" i="36"/>
  <c r="K172" i="36"/>
  <c r="K190" i="36"/>
  <c r="K207" i="36"/>
  <c r="K284" i="36"/>
  <c r="K355" i="36"/>
  <c r="K364" i="36"/>
  <c r="K381" i="36"/>
  <c r="F478" i="36"/>
  <c r="F479" i="36" s="1"/>
  <c r="F484" i="36" s="1"/>
  <c r="K488" i="36" s="1"/>
  <c r="K511" i="36"/>
  <c r="K538" i="36"/>
  <c r="K556" i="36"/>
  <c r="F582" i="36"/>
  <c r="K582" i="36" s="1"/>
  <c r="F621" i="36"/>
  <c r="F624" i="36" s="1"/>
  <c r="K638" i="36"/>
  <c r="K3" i="36"/>
  <c r="K10" i="36"/>
  <c r="K55" i="36"/>
  <c r="F84" i="36"/>
  <c r="K96" i="36"/>
  <c r="K99" i="36"/>
  <c r="K236" i="36"/>
  <c r="K244" i="36"/>
  <c r="K258" i="36"/>
  <c r="K269" i="36"/>
  <c r="K289" i="36"/>
  <c r="K296" i="36"/>
  <c r="K305" i="36"/>
  <c r="K316" i="36"/>
  <c r="F411" i="36"/>
  <c r="K411" i="36" s="1"/>
  <c r="K421" i="36"/>
  <c r="K440" i="36"/>
  <c r="K442" i="36"/>
  <c r="K463" i="36"/>
  <c r="K490" i="36"/>
  <c r="K535" i="36"/>
  <c r="K545" i="36"/>
  <c r="K632" i="36"/>
  <c r="K652" i="36"/>
  <c r="K711" i="36"/>
  <c r="K17" i="36"/>
  <c r="K20" i="36"/>
  <c r="K29" i="36"/>
  <c r="K53" i="36"/>
  <c r="K74" i="36"/>
  <c r="K107" i="36"/>
  <c r="K117" i="36"/>
  <c r="K147" i="36"/>
  <c r="K171" i="36"/>
  <c r="K191" i="36"/>
  <c r="K198" i="36"/>
  <c r="K266" i="36"/>
  <c r="K302" i="36"/>
  <c r="K347" i="36"/>
  <c r="K360" i="36"/>
  <c r="K380" i="36"/>
  <c r="K401" i="36"/>
  <c r="K412" i="36"/>
  <c r="K414" i="36"/>
  <c r="K445" i="36"/>
  <c r="K447" i="36"/>
  <c r="K467" i="36"/>
  <c r="K471" i="36"/>
  <c r="K500" i="36"/>
  <c r="K510" i="36"/>
  <c r="K568" i="36"/>
  <c r="K637" i="36"/>
  <c r="K668" i="36"/>
  <c r="K350" i="36"/>
  <c r="K358" i="36"/>
  <c r="K204" i="36"/>
  <c r="K281" i="36"/>
  <c r="K348" i="36"/>
  <c r="K402" i="36"/>
  <c r="K417" i="36"/>
  <c r="K626" i="36"/>
  <c r="K215" i="36"/>
  <c r="K221" i="36"/>
  <c r="K233" i="36"/>
  <c r="K241" i="36"/>
  <c r="K256" i="36"/>
  <c r="K287" i="36"/>
  <c r="K293" i="36"/>
  <c r="K311" i="36"/>
  <c r="K377" i="36"/>
  <c r="K423" i="36"/>
  <c r="K448" i="36"/>
  <c r="K507" i="36"/>
  <c r="G542" i="36"/>
  <c r="K628" i="36"/>
  <c r="K649" i="36"/>
  <c r="K726" i="36"/>
  <c r="K263" i="36"/>
  <c r="K272" i="36"/>
  <c r="K299" i="36"/>
  <c r="K319" i="36"/>
  <c r="K342" i="36"/>
  <c r="K351" i="36"/>
  <c r="K457" i="36"/>
  <c r="K550" i="36"/>
  <c r="K562" i="36"/>
  <c r="K634" i="36"/>
  <c r="K644" i="36"/>
  <c r="K678" i="36"/>
  <c r="K695" i="36"/>
  <c r="K705" i="36"/>
  <c r="K723" i="36"/>
  <c r="D405" i="36"/>
  <c r="F405" i="36" s="1"/>
  <c r="K616" i="36" l="1"/>
  <c r="K624" i="36" s="1"/>
  <c r="K622" i="36"/>
  <c r="F487" i="36"/>
  <c r="F860" i="35"/>
  <c r="E555" i="35"/>
  <c r="F556" i="35"/>
  <c r="F337" i="35"/>
  <c r="J211" i="35"/>
  <c r="J563" i="35"/>
  <c r="J773" i="35"/>
  <c r="J178" i="35"/>
  <c r="J859" i="35"/>
  <c r="J817" i="35"/>
  <c r="J780" i="35"/>
  <c r="F858" i="35"/>
  <c r="J579" i="35"/>
  <c r="F693" i="35"/>
  <c r="F692" i="35"/>
  <c r="F137" i="35"/>
  <c r="F138" i="35"/>
  <c r="F139" i="35"/>
  <c r="F140" i="35"/>
  <c r="F141" i="35"/>
  <c r="F419" i="35" l="1"/>
  <c r="J506" i="30"/>
  <c r="F107" i="35"/>
  <c r="F437" i="35" l="1"/>
  <c r="K437" i="35" s="1"/>
  <c r="F362" i="35"/>
  <c r="K362" i="35" s="1"/>
  <c r="F197" i="35" l="1"/>
  <c r="F114" i="35"/>
  <c r="F98" i="35"/>
  <c r="D61" i="35"/>
  <c r="F60" i="35"/>
  <c r="J852" i="35"/>
  <c r="F847" i="35"/>
  <c r="J846" i="35"/>
  <c r="J845" i="35"/>
  <c r="J844" i="35"/>
  <c r="F843" i="35"/>
  <c r="F839" i="35"/>
  <c r="F838" i="35"/>
  <c r="F836" i="35"/>
  <c r="J833" i="35"/>
  <c r="J832" i="35"/>
  <c r="F832" i="35"/>
  <c r="J830" i="35"/>
  <c r="K830" i="35" s="1"/>
  <c r="F828" i="35"/>
  <c r="J827" i="35"/>
  <c r="F827" i="35"/>
  <c r="J825" i="35"/>
  <c r="J824" i="35"/>
  <c r="F824" i="35"/>
  <c r="J823" i="35"/>
  <c r="F823" i="35"/>
  <c r="D822" i="35"/>
  <c r="J821" i="35"/>
  <c r="F821" i="35"/>
  <c r="J820" i="35"/>
  <c r="J819" i="35"/>
  <c r="F818" i="35"/>
  <c r="F817" i="35"/>
  <c r="K817" i="35" s="1"/>
  <c r="J816" i="35"/>
  <c r="K816" i="35" s="1"/>
  <c r="F815" i="35"/>
  <c r="F814" i="35"/>
  <c r="J813" i="35"/>
  <c r="K813" i="35" s="1"/>
  <c r="J812" i="35"/>
  <c r="F812" i="35"/>
  <c r="J810" i="35"/>
  <c r="F810" i="35"/>
  <c r="F809" i="35"/>
  <c r="J808" i="35"/>
  <c r="F808" i="35"/>
  <c r="J805" i="35"/>
  <c r="F805" i="35"/>
  <c r="J804" i="35"/>
  <c r="F804" i="35"/>
  <c r="J802" i="35"/>
  <c r="F802" i="35"/>
  <c r="K798" i="35"/>
  <c r="J797" i="35"/>
  <c r="K797" i="35" s="1"/>
  <c r="E797" i="35"/>
  <c r="K796" i="35"/>
  <c r="J795" i="35"/>
  <c r="F795" i="35"/>
  <c r="F794" i="35"/>
  <c r="J793" i="35"/>
  <c r="F793" i="35"/>
  <c r="J792" i="35"/>
  <c r="F792" i="35"/>
  <c r="J791" i="35"/>
  <c r="F791" i="35"/>
  <c r="J790" i="35"/>
  <c r="F790" i="35"/>
  <c r="F789" i="35"/>
  <c r="J788" i="35"/>
  <c r="F788" i="35"/>
  <c r="J787" i="35"/>
  <c r="F787" i="35"/>
  <c r="J786" i="35"/>
  <c r="F786" i="35"/>
  <c r="J785" i="35"/>
  <c r="J784" i="35"/>
  <c r="K784" i="35" s="1"/>
  <c r="J783" i="35"/>
  <c r="F783" i="35"/>
  <c r="J782" i="35"/>
  <c r="F782" i="35"/>
  <c r="J781" i="35"/>
  <c r="F780" i="35"/>
  <c r="K780" i="35" s="1"/>
  <c r="J779" i="35"/>
  <c r="F779" i="35"/>
  <c r="J778" i="35"/>
  <c r="F778" i="35"/>
  <c r="J777" i="35"/>
  <c r="F777" i="35"/>
  <c r="F776" i="35"/>
  <c r="K776" i="35" s="1"/>
  <c r="J775" i="35"/>
  <c r="K775" i="35" s="1"/>
  <c r="J774" i="35"/>
  <c r="F774" i="35"/>
  <c r="F773" i="35"/>
  <c r="K773" i="35" s="1"/>
  <c r="J772" i="35"/>
  <c r="F772" i="35"/>
  <c r="F769" i="35"/>
  <c r="J765" i="35"/>
  <c r="F765" i="35"/>
  <c r="J763" i="35"/>
  <c r="F763" i="35"/>
  <c r="J762" i="35"/>
  <c r="F762" i="35"/>
  <c r="D761" i="35"/>
  <c r="F761" i="35" s="1"/>
  <c r="J761" i="35" s="1"/>
  <c r="J758" i="35"/>
  <c r="F758" i="35"/>
  <c r="J757" i="35"/>
  <c r="K757" i="35" s="1"/>
  <c r="J756" i="35"/>
  <c r="K756" i="35" s="1"/>
  <c r="J755" i="35"/>
  <c r="F755" i="35"/>
  <c r="J754" i="35"/>
  <c r="F754" i="35"/>
  <c r="J753" i="35"/>
  <c r="F753" i="35"/>
  <c r="J751" i="35"/>
  <c r="K751" i="35" s="1"/>
  <c r="J749" i="35"/>
  <c r="F749" i="35"/>
  <c r="F746" i="35"/>
  <c r="F742" i="35"/>
  <c r="J741" i="35"/>
  <c r="K741" i="35" s="1"/>
  <c r="F741" i="35"/>
  <c r="J740" i="35"/>
  <c r="F740" i="35"/>
  <c r="J739" i="35"/>
  <c r="F739" i="35"/>
  <c r="J736" i="35"/>
  <c r="F736" i="35"/>
  <c r="J735" i="35"/>
  <c r="F735" i="35"/>
  <c r="J734" i="35"/>
  <c r="F734" i="35"/>
  <c r="J733" i="35"/>
  <c r="F733" i="35"/>
  <c r="J732" i="35"/>
  <c r="F732" i="35"/>
  <c r="J731" i="35"/>
  <c r="F731" i="35"/>
  <c r="F721" i="35"/>
  <c r="J720" i="35"/>
  <c r="F720" i="35"/>
  <c r="J719" i="35"/>
  <c r="F719" i="35"/>
  <c r="J718" i="35"/>
  <c r="F718" i="35"/>
  <c r="F715" i="35"/>
  <c r="K715" i="35" s="1"/>
  <c r="F706" i="35"/>
  <c r="F705" i="35"/>
  <c r="F704" i="35"/>
  <c r="F703" i="35"/>
  <c r="F702" i="35"/>
  <c r="F701" i="35"/>
  <c r="J700" i="35"/>
  <c r="K700" i="35" s="1"/>
  <c r="J689" i="35"/>
  <c r="F689" i="35"/>
  <c r="F681" i="35"/>
  <c r="K681" i="35" s="1"/>
  <c r="F680" i="35"/>
  <c r="K680" i="35" s="1"/>
  <c r="J679" i="35"/>
  <c r="F679" i="35"/>
  <c r="J677" i="35"/>
  <c r="F677" i="35"/>
  <c r="F676" i="35"/>
  <c r="J675" i="35"/>
  <c r="F675" i="35"/>
  <c r="J670" i="35"/>
  <c r="J669" i="35"/>
  <c r="K669" i="35" s="1"/>
  <c r="J668" i="35"/>
  <c r="F668" i="35"/>
  <c r="J667" i="35"/>
  <c r="K667" i="35" s="1"/>
  <c r="J666" i="35"/>
  <c r="J665" i="35"/>
  <c r="F665" i="35"/>
  <c r="J664" i="35"/>
  <c r="F664" i="35"/>
  <c r="J663" i="35"/>
  <c r="F663" i="35"/>
  <c r="K663" i="35" s="1"/>
  <c r="J662" i="35"/>
  <c r="F662" i="35"/>
  <c r="J661" i="35"/>
  <c r="F661" i="35"/>
  <c r="F657" i="35"/>
  <c r="F656" i="35"/>
  <c r="F655" i="35"/>
  <c r="F654" i="35"/>
  <c r="F653" i="35"/>
  <c r="J652" i="35"/>
  <c r="F652" i="35"/>
  <c r="J651" i="35"/>
  <c r="F651" i="35"/>
  <c r="J649" i="35"/>
  <c r="F649" i="35"/>
  <c r="J648" i="35"/>
  <c r="F648" i="35"/>
  <c r="F646" i="35"/>
  <c r="F642" i="35"/>
  <c r="J636" i="35"/>
  <c r="F636" i="35"/>
  <c r="J635" i="35"/>
  <c r="F635" i="35"/>
  <c r="J634" i="35"/>
  <c r="F634" i="35"/>
  <c r="J633" i="35"/>
  <c r="F633" i="35"/>
  <c r="J631" i="35"/>
  <c r="F631" i="35"/>
  <c r="J630" i="35"/>
  <c r="J629" i="35"/>
  <c r="F629" i="35"/>
  <c r="J627" i="35"/>
  <c r="F627" i="35"/>
  <c r="J626" i="35"/>
  <c r="K626" i="35" s="1"/>
  <c r="J625" i="35"/>
  <c r="F625" i="35"/>
  <c r="J624" i="35"/>
  <c r="F624" i="35"/>
  <c r="F622" i="35"/>
  <c r="J621" i="35"/>
  <c r="K621" i="35" s="1"/>
  <c r="J619" i="35"/>
  <c r="F619" i="35"/>
  <c r="J618" i="35"/>
  <c r="J616" i="35"/>
  <c r="F616" i="35"/>
  <c r="K617" i="35" s="1"/>
  <c r="J615" i="35"/>
  <c r="F615" i="35"/>
  <c r="F613" i="35"/>
  <c r="F612" i="35"/>
  <c r="F611" i="35"/>
  <c r="J609" i="35"/>
  <c r="F609" i="35"/>
  <c r="J608" i="35"/>
  <c r="F608" i="35"/>
  <c r="J599" i="35"/>
  <c r="K599" i="35" s="1"/>
  <c r="J598" i="35"/>
  <c r="F598" i="35"/>
  <c r="J597" i="35"/>
  <c r="K597" i="35" s="1"/>
  <c r="J596" i="35"/>
  <c r="K596" i="35" s="1"/>
  <c r="J595" i="35"/>
  <c r="K595" i="35" s="1"/>
  <c r="K582" i="35"/>
  <c r="F580" i="35"/>
  <c r="F579" i="35"/>
  <c r="J577" i="35"/>
  <c r="K577" i="35" s="1"/>
  <c r="J576" i="35"/>
  <c r="K576" i="35" s="1"/>
  <c r="F574" i="35"/>
  <c r="J573" i="35"/>
  <c r="F573" i="35"/>
  <c r="J569" i="35"/>
  <c r="F569" i="35"/>
  <c r="J568" i="35"/>
  <c r="F568" i="35"/>
  <c r="J567" i="35"/>
  <c r="F567" i="35"/>
  <c r="J566" i="35"/>
  <c r="F566" i="35"/>
  <c r="J565" i="35"/>
  <c r="F565" i="35"/>
  <c r="J564" i="35"/>
  <c r="K564" i="35" s="1"/>
  <c r="J562" i="35"/>
  <c r="F562" i="35"/>
  <c r="J561" i="35"/>
  <c r="F561" i="35"/>
  <c r="J560" i="35"/>
  <c r="F560" i="35"/>
  <c r="J559" i="35"/>
  <c r="K559" i="35" s="1"/>
  <c r="F559" i="35"/>
  <c r="J558" i="35"/>
  <c r="K558" i="35" s="1"/>
  <c r="J557" i="35"/>
  <c r="F557" i="35"/>
  <c r="J556" i="35"/>
  <c r="J555" i="35"/>
  <c r="K555" i="35" s="1"/>
  <c r="J550" i="35"/>
  <c r="F550" i="35"/>
  <c r="F549" i="35"/>
  <c r="J548" i="35"/>
  <c r="F544" i="35"/>
  <c r="F543" i="35"/>
  <c r="F541" i="35"/>
  <c r="F540" i="35"/>
  <c r="F539" i="35"/>
  <c r="F538" i="35"/>
  <c r="D536" i="35"/>
  <c r="D537" i="35" s="1"/>
  <c r="D542" i="35" s="1"/>
  <c r="D545" i="35" s="1"/>
  <c r="D547" i="35" s="1"/>
  <c r="F535" i="35"/>
  <c r="F534" i="35"/>
  <c r="F533" i="35"/>
  <c r="F532" i="35"/>
  <c r="F531" i="35"/>
  <c r="J529" i="35"/>
  <c r="K529" i="35" s="1"/>
  <c r="F529" i="35"/>
  <c r="J528" i="35"/>
  <c r="F528" i="35"/>
  <c r="J527" i="35"/>
  <c r="F527" i="35"/>
  <c r="F526" i="35"/>
  <c r="J525" i="35"/>
  <c r="F525" i="35"/>
  <c r="J524" i="35"/>
  <c r="F524" i="35"/>
  <c r="J523" i="35"/>
  <c r="F523" i="35"/>
  <c r="J522" i="35"/>
  <c r="K522" i="35" s="1"/>
  <c r="E522" i="35"/>
  <c r="F521" i="35"/>
  <c r="K521" i="35" s="1"/>
  <c r="J518" i="35"/>
  <c r="F518" i="35"/>
  <c r="J517" i="35"/>
  <c r="F517" i="35"/>
  <c r="F516" i="35"/>
  <c r="K516" i="35" s="1"/>
  <c r="K513" i="35"/>
  <c r="F512" i="35"/>
  <c r="J511" i="35"/>
  <c r="F511" i="35"/>
  <c r="J510" i="35"/>
  <c r="F510" i="35"/>
  <c r="J508" i="35"/>
  <c r="F508" i="35"/>
  <c r="K509" i="35" s="1"/>
  <c r="F507" i="35"/>
  <c r="J506" i="35"/>
  <c r="J505" i="35"/>
  <c r="F505" i="35"/>
  <c r="J504" i="35"/>
  <c r="F504" i="35"/>
  <c r="F502" i="35"/>
  <c r="J500" i="35"/>
  <c r="F500" i="35"/>
  <c r="J499" i="35"/>
  <c r="F499" i="35"/>
  <c r="J498" i="35"/>
  <c r="K498" i="35" s="1"/>
  <c r="J497" i="35"/>
  <c r="F497" i="35"/>
  <c r="J496" i="35"/>
  <c r="F496" i="35"/>
  <c r="F495" i="35"/>
  <c r="J494" i="35"/>
  <c r="F494" i="35"/>
  <c r="F469" i="35"/>
  <c r="J468" i="35"/>
  <c r="F468" i="35"/>
  <c r="J467" i="35"/>
  <c r="K467" i="35" s="1"/>
  <c r="J466" i="35"/>
  <c r="K466" i="35" s="1"/>
  <c r="J465" i="35"/>
  <c r="F465" i="35"/>
  <c r="F462" i="35"/>
  <c r="K462" i="35" s="1"/>
  <c r="J461" i="35"/>
  <c r="F461" i="35"/>
  <c r="J460" i="35"/>
  <c r="F460" i="35"/>
  <c r="J459" i="35"/>
  <c r="F459" i="35"/>
  <c r="J458" i="35"/>
  <c r="F458" i="35"/>
  <c r="J457" i="35"/>
  <c r="F457" i="35"/>
  <c r="J456" i="35"/>
  <c r="F456" i="35"/>
  <c r="F455" i="35"/>
  <c r="J454" i="35"/>
  <c r="F454" i="35"/>
  <c r="J453" i="35"/>
  <c r="K453" i="35" s="1"/>
  <c r="J451" i="35"/>
  <c r="F451" i="35"/>
  <c r="J450" i="35"/>
  <c r="F449" i="35"/>
  <c r="F448" i="35"/>
  <c r="F447" i="35"/>
  <c r="F446" i="35"/>
  <c r="F445" i="35"/>
  <c r="K445" i="35" s="1"/>
  <c r="J442" i="35"/>
  <c r="J441" i="35"/>
  <c r="F441" i="35"/>
  <c r="J440" i="35"/>
  <c r="F440" i="35"/>
  <c r="J439" i="35"/>
  <c r="F439" i="35"/>
  <c r="J438" i="35"/>
  <c r="K438" i="35" s="1"/>
  <c r="J436" i="35"/>
  <c r="F436" i="35"/>
  <c r="K434" i="35"/>
  <c r="J433" i="35"/>
  <c r="F433" i="35"/>
  <c r="F432" i="35"/>
  <c r="F431" i="35"/>
  <c r="J430" i="35"/>
  <c r="F430" i="35"/>
  <c r="J428" i="35"/>
  <c r="D428" i="35"/>
  <c r="F426" i="35"/>
  <c r="F425" i="35"/>
  <c r="F424" i="35"/>
  <c r="F423" i="35"/>
  <c r="J422" i="35"/>
  <c r="F422" i="35"/>
  <c r="J421" i="35"/>
  <c r="F421" i="35"/>
  <c r="J420" i="35"/>
  <c r="F420" i="35"/>
  <c r="F416" i="35"/>
  <c r="J415" i="35"/>
  <c r="F415" i="35"/>
  <c r="J413" i="35"/>
  <c r="F413" i="35"/>
  <c r="J412" i="35"/>
  <c r="F412" i="35"/>
  <c r="F410" i="35"/>
  <c r="J409" i="35"/>
  <c r="K409" i="35" s="1"/>
  <c r="E409" i="35"/>
  <c r="J408" i="35"/>
  <c r="K408" i="35" s="1"/>
  <c r="F406" i="35"/>
  <c r="F405" i="35"/>
  <c r="J404" i="35"/>
  <c r="F404" i="35"/>
  <c r="F403" i="35"/>
  <c r="J402" i="35"/>
  <c r="F402" i="35"/>
  <c r="J401" i="35"/>
  <c r="F401" i="35"/>
  <c r="J400" i="35"/>
  <c r="F400" i="35"/>
  <c r="J399" i="35"/>
  <c r="F399" i="35"/>
  <c r="J396" i="35"/>
  <c r="F396" i="35"/>
  <c r="F395" i="35"/>
  <c r="J394" i="35"/>
  <c r="F394" i="35"/>
  <c r="F392" i="35"/>
  <c r="J387" i="35"/>
  <c r="F387" i="35"/>
  <c r="J385" i="35"/>
  <c r="F385" i="35"/>
  <c r="J384" i="35"/>
  <c r="F384" i="35"/>
  <c r="J383" i="35"/>
  <c r="K383" i="35" s="1"/>
  <c r="J382" i="35"/>
  <c r="F382" i="35"/>
  <c r="J381" i="35"/>
  <c r="F381" i="35"/>
  <c r="J380" i="35"/>
  <c r="F380" i="35"/>
  <c r="J379" i="35"/>
  <c r="F379" i="35"/>
  <c r="F376" i="35"/>
  <c r="J375" i="35"/>
  <c r="F375" i="35"/>
  <c r="J374" i="35"/>
  <c r="F374" i="35"/>
  <c r="J373" i="35"/>
  <c r="F373" i="35"/>
  <c r="J372" i="35"/>
  <c r="F372" i="35"/>
  <c r="F371" i="35"/>
  <c r="K371" i="35" s="1"/>
  <c r="F370" i="35"/>
  <c r="F369" i="35"/>
  <c r="J368" i="35"/>
  <c r="F368" i="35"/>
  <c r="J366" i="35"/>
  <c r="F366" i="35"/>
  <c r="J365" i="35"/>
  <c r="K365" i="35" s="1"/>
  <c r="E365" i="35"/>
  <c r="F364" i="35"/>
  <c r="J363" i="35"/>
  <c r="F363" i="35"/>
  <c r="F361" i="35"/>
  <c r="F360" i="35"/>
  <c r="F359" i="35"/>
  <c r="F358" i="35"/>
  <c r="J357" i="35"/>
  <c r="F357" i="35"/>
  <c r="J356" i="35"/>
  <c r="F356" i="35"/>
  <c r="J354" i="35"/>
  <c r="F354" i="35"/>
  <c r="K355" i="35" s="1"/>
  <c r="J353" i="35"/>
  <c r="F353" i="35"/>
  <c r="J352" i="35"/>
  <c r="J351" i="35"/>
  <c r="F351" i="35"/>
  <c r="J350" i="35"/>
  <c r="F350" i="35"/>
  <c r="J347" i="35"/>
  <c r="F347" i="35"/>
  <c r="J346" i="35"/>
  <c r="F346" i="35"/>
  <c r="J345" i="35"/>
  <c r="F345" i="35"/>
  <c r="F344" i="35"/>
  <c r="K344" i="35" s="1"/>
  <c r="J343" i="35"/>
  <c r="J342" i="35"/>
  <c r="F342" i="35"/>
  <c r="J341" i="35"/>
  <c r="F341" i="35"/>
  <c r="J340" i="35"/>
  <c r="F340" i="35"/>
  <c r="J339" i="35"/>
  <c r="F339" i="35"/>
  <c r="J338" i="35"/>
  <c r="K338" i="35" s="1"/>
  <c r="J336" i="35"/>
  <c r="F336" i="35"/>
  <c r="J335" i="35"/>
  <c r="F335" i="35"/>
  <c r="J333" i="35"/>
  <c r="F333" i="35"/>
  <c r="J331" i="35"/>
  <c r="F331" i="35"/>
  <c r="J330" i="35"/>
  <c r="F330" i="35"/>
  <c r="F329" i="35"/>
  <c r="J328" i="35"/>
  <c r="F328" i="35"/>
  <c r="J327" i="35"/>
  <c r="F327" i="35"/>
  <c r="J326" i="35"/>
  <c r="F326" i="35"/>
  <c r="J325" i="35"/>
  <c r="F325" i="35"/>
  <c r="J324" i="35"/>
  <c r="K324" i="35" s="1"/>
  <c r="J323" i="35"/>
  <c r="F323" i="35"/>
  <c r="J322" i="35"/>
  <c r="F322" i="35"/>
  <c r="J320" i="35"/>
  <c r="K320" i="35" s="1"/>
  <c r="J319" i="35"/>
  <c r="F318" i="35"/>
  <c r="J317" i="35"/>
  <c r="F317" i="35"/>
  <c r="J316" i="35"/>
  <c r="F316" i="35"/>
  <c r="J315" i="35"/>
  <c r="F315" i="35"/>
  <c r="J314" i="35"/>
  <c r="F314" i="35"/>
  <c r="F309" i="35"/>
  <c r="J307" i="35"/>
  <c r="K307" i="35" s="1"/>
  <c r="J306" i="35"/>
  <c r="F306" i="35"/>
  <c r="F305" i="35"/>
  <c r="J304" i="35"/>
  <c r="F304" i="35"/>
  <c r="J303" i="35"/>
  <c r="F303" i="35"/>
  <c r="F302" i="35"/>
  <c r="F301" i="35"/>
  <c r="K301" i="35" s="1"/>
  <c r="J300" i="35"/>
  <c r="F300" i="35"/>
  <c r="J299" i="35"/>
  <c r="F299" i="35"/>
  <c r="J297" i="35"/>
  <c r="F297" i="35"/>
  <c r="J295" i="35"/>
  <c r="F295" i="35"/>
  <c r="J294" i="35"/>
  <c r="F294" i="35"/>
  <c r="J293" i="35"/>
  <c r="K293" i="35" s="1"/>
  <c r="J292" i="35"/>
  <c r="F292" i="35"/>
  <c r="J291" i="35"/>
  <c r="K291" i="35" s="1"/>
  <c r="J290" i="35"/>
  <c r="F290" i="35"/>
  <c r="J289" i="35"/>
  <c r="F289" i="35"/>
  <c r="F288" i="35"/>
  <c r="F283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2" i="35"/>
  <c r="F272" i="35"/>
  <c r="J269" i="35"/>
  <c r="F269" i="35"/>
  <c r="J268" i="35"/>
  <c r="F268" i="35"/>
  <c r="J267" i="35"/>
  <c r="F267" i="35"/>
  <c r="J266" i="35"/>
  <c r="F266" i="35"/>
  <c r="J264" i="35"/>
  <c r="F264" i="35"/>
  <c r="F260" i="35"/>
  <c r="J259" i="35"/>
  <c r="F259" i="35"/>
  <c r="J258" i="35"/>
  <c r="F258" i="35"/>
  <c r="K258" i="35" s="1"/>
  <c r="F257" i="35"/>
  <c r="K257" i="35" s="1"/>
  <c r="J256" i="35"/>
  <c r="F256" i="35"/>
  <c r="J255" i="35"/>
  <c r="F255" i="35"/>
  <c r="J254" i="35"/>
  <c r="F254" i="35"/>
  <c r="J253" i="35"/>
  <c r="F253" i="35"/>
  <c r="J252" i="35"/>
  <c r="F252" i="35"/>
  <c r="J251" i="35"/>
  <c r="F251" i="35"/>
  <c r="J249" i="35"/>
  <c r="F249" i="35"/>
  <c r="F248" i="35"/>
  <c r="K248" i="35" s="1"/>
  <c r="J247" i="35"/>
  <c r="F247" i="35"/>
  <c r="J246" i="35"/>
  <c r="F246" i="35"/>
  <c r="J245" i="35"/>
  <c r="F245" i="35"/>
  <c r="F239" i="35"/>
  <c r="J238" i="35"/>
  <c r="J237" i="35"/>
  <c r="F237" i="35"/>
  <c r="J236" i="35"/>
  <c r="F236" i="35"/>
  <c r="J235" i="35"/>
  <c r="F235" i="35"/>
  <c r="J234" i="35"/>
  <c r="F234" i="35"/>
  <c r="F233" i="35"/>
  <c r="F232" i="35"/>
  <c r="J230" i="35"/>
  <c r="F230" i="35"/>
  <c r="F229" i="35"/>
  <c r="J228" i="35"/>
  <c r="F228" i="35"/>
  <c r="J227" i="35"/>
  <c r="F227" i="35"/>
  <c r="J225" i="35"/>
  <c r="J224" i="35"/>
  <c r="F224" i="35"/>
  <c r="J222" i="35"/>
  <c r="F222" i="35"/>
  <c r="J221" i="35"/>
  <c r="F221" i="35"/>
  <c r="J220" i="35"/>
  <c r="F220" i="35"/>
  <c r="F218" i="35"/>
  <c r="K218" i="35" s="1"/>
  <c r="J216" i="35"/>
  <c r="F216" i="35"/>
  <c r="J214" i="35"/>
  <c r="F214" i="35"/>
  <c r="J213" i="35"/>
  <c r="F213" i="35"/>
  <c r="J212" i="35"/>
  <c r="F212" i="35"/>
  <c r="F211" i="35"/>
  <c r="J207" i="35"/>
  <c r="F207" i="35"/>
  <c r="J206" i="35"/>
  <c r="K206" i="35" s="1"/>
  <c r="J205" i="35"/>
  <c r="F205" i="35"/>
  <c r="F204" i="35"/>
  <c r="F203" i="35"/>
  <c r="J202" i="35"/>
  <c r="F202" i="35"/>
  <c r="J201" i="35"/>
  <c r="F201" i="35"/>
  <c r="J199" i="35"/>
  <c r="K199" i="35" s="1"/>
  <c r="J197" i="35"/>
  <c r="J196" i="35"/>
  <c r="K196" i="35" s="1"/>
  <c r="J195" i="35"/>
  <c r="F195" i="35"/>
  <c r="J194" i="35"/>
  <c r="F194" i="35"/>
  <c r="J193" i="35"/>
  <c r="F193" i="35"/>
  <c r="J192" i="35"/>
  <c r="F192" i="35"/>
  <c r="J191" i="35"/>
  <c r="F191" i="35"/>
  <c r="J190" i="35"/>
  <c r="K190" i="35" s="1"/>
  <c r="J188" i="35"/>
  <c r="F188" i="35"/>
  <c r="F185" i="35"/>
  <c r="J184" i="35"/>
  <c r="K184" i="35" s="1"/>
  <c r="J183" i="35"/>
  <c r="J182" i="35"/>
  <c r="F182" i="35"/>
  <c r="J181" i="35"/>
  <c r="F181" i="35"/>
  <c r="J180" i="35"/>
  <c r="K180" i="35" s="1"/>
  <c r="F178" i="35"/>
  <c r="K178" i="35" s="1"/>
  <c r="J177" i="35"/>
  <c r="K177" i="35" s="1"/>
  <c r="J176" i="35"/>
  <c r="F176" i="35"/>
  <c r="J175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7" i="35" l="1"/>
  <c r="K358" i="35"/>
  <c r="K765" i="35"/>
  <c r="H79" i="35"/>
  <c r="G79" i="35" s="1"/>
  <c r="F61" i="35"/>
  <c r="D63" i="35"/>
  <c r="F63" i="35" s="1"/>
  <c r="F407" i="35"/>
  <c r="K742" i="35"/>
  <c r="K821" i="35"/>
  <c r="F659" i="35"/>
  <c r="K659" i="35" s="1"/>
  <c r="K461" i="35"/>
  <c r="K778" i="35"/>
  <c r="K108" i="35"/>
  <c r="K369" i="35"/>
  <c r="K202" i="35"/>
  <c r="K251" i="35"/>
  <c r="K788" i="35"/>
  <c r="K385" i="35"/>
  <c r="K611" i="35"/>
  <c r="K336" i="35"/>
  <c r="K579" i="35"/>
  <c r="K668" i="35"/>
  <c r="K633" i="35"/>
  <c r="K802" i="35"/>
  <c r="K823" i="35"/>
  <c r="K615" i="35"/>
  <c r="K783" i="35"/>
  <c r="K410" i="35"/>
  <c r="K373" i="35"/>
  <c r="K342" i="35"/>
  <c r="K353" i="35"/>
  <c r="K356" i="35"/>
  <c r="K333" i="35"/>
  <c r="K327" i="35"/>
  <c r="K259" i="35"/>
  <c r="K267" i="35"/>
  <c r="K277" i="35"/>
  <c r="K625" i="35"/>
  <c r="K247" i="35"/>
  <c r="K235" i="35"/>
  <c r="K777" i="35"/>
  <c r="K273" i="35"/>
  <c r="K431" i="35"/>
  <c r="K506" i="35"/>
  <c r="K510" i="35"/>
  <c r="K561" i="35"/>
  <c r="K718" i="35"/>
  <c r="K774" i="35"/>
  <c r="K144" i="35"/>
  <c r="K439" i="35"/>
  <c r="K441" i="35"/>
  <c r="K679" i="35"/>
  <c r="K753" i="35"/>
  <c r="K755" i="35"/>
  <c r="K762" i="35"/>
  <c r="K791" i="35"/>
  <c r="K793" i="35"/>
  <c r="K194" i="35"/>
  <c r="K288" i="35"/>
  <c r="K299" i="35"/>
  <c r="K339" i="35"/>
  <c r="K350" i="35"/>
  <c r="K400" i="35"/>
  <c r="K624" i="35"/>
  <c r="K648" i="35"/>
  <c r="K651" i="35"/>
  <c r="K652" i="35"/>
  <c r="K732" i="35"/>
  <c r="K736" i="35"/>
  <c r="K740" i="35"/>
  <c r="K790" i="35"/>
  <c r="K812" i="35"/>
  <c r="K163" i="35"/>
  <c r="K518" i="35"/>
  <c r="K3" i="35"/>
  <c r="K13" i="35"/>
  <c r="K19" i="35"/>
  <c r="K173" i="35"/>
  <c r="K195" i="35"/>
  <c r="K205" i="35"/>
  <c r="K224" i="35"/>
  <c r="K260" i="35"/>
  <c r="K272" i="35"/>
  <c r="K401" i="35"/>
  <c r="F428" i="35"/>
  <c r="K424" i="35" s="1"/>
  <c r="K456" i="35"/>
  <c r="K496" i="35"/>
  <c r="K608" i="35"/>
  <c r="K772" i="35"/>
  <c r="K810" i="35"/>
  <c r="K278" i="35"/>
  <c r="K302" i="35"/>
  <c r="K314" i="35"/>
  <c r="K316" i="35"/>
  <c r="K357" i="35"/>
  <c r="K392" i="35"/>
  <c r="K412" i="35"/>
  <c r="K420" i="35"/>
  <c r="K436" i="35"/>
  <c r="K468" i="35"/>
  <c r="K494" i="35"/>
  <c r="K512" i="35"/>
  <c r="K517" i="35"/>
  <c r="K127" i="35"/>
  <c r="K39" i="35"/>
  <c r="K42" i="35"/>
  <c r="K129" i="35"/>
  <c r="K148" i="35"/>
  <c r="K152" i="35"/>
  <c r="K169" i="35"/>
  <c r="K182" i="35"/>
  <c r="K192" i="35"/>
  <c r="K201" i="35"/>
  <c r="K211" i="35"/>
  <c r="K246" i="35"/>
  <c r="K256" i="35"/>
  <c r="K280" i="35"/>
  <c r="K364" i="35"/>
  <c r="K366" i="35"/>
  <c r="K379" i="35"/>
  <c r="K416" i="35"/>
  <c r="K458" i="35"/>
  <c r="K504" i="35"/>
  <c r="K763" i="35"/>
  <c r="K238" i="35"/>
  <c r="K375" i="35"/>
  <c r="K622" i="35"/>
  <c r="K665" i="35"/>
  <c r="K14" i="35"/>
  <c r="K212" i="35"/>
  <c r="K214" i="35"/>
  <c r="K220" i="35"/>
  <c r="K227" i="35"/>
  <c r="K253" i="35"/>
  <c r="K255" i="35"/>
  <c r="K300" i="35"/>
  <c r="K354" i="35"/>
  <c r="K363" i="35"/>
  <c r="K380" i="35"/>
  <c r="K382" i="35"/>
  <c r="K387" i="35"/>
  <c r="K394" i="35"/>
  <c r="K433" i="35"/>
  <c r="K440" i="35"/>
  <c r="K459" i="35"/>
  <c r="K508" i="35"/>
  <c r="K525" i="35"/>
  <c r="K560" i="35"/>
  <c r="K598" i="35"/>
  <c r="K636" i="35"/>
  <c r="K662" i="35"/>
  <c r="K664" i="35"/>
  <c r="K749" i="35"/>
  <c r="K116" i="35"/>
  <c r="K114" i="35"/>
  <c r="K112" i="35"/>
  <c r="K12" i="35"/>
  <c r="K23" i="35"/>
  <c r="K48" i="35"/>
  <c r="K55" i="35"/>
  <c r="K276" i="35"/>
  <c r="K634" i="35"/>
  <c r="K808" i="35"/>
  <c r="K24" i="35"/>
  <c r="K59" i="35"/>
  <c r="K124" i="35"/>
  <c r="K131" i="35"/>
  <c r="K142" i="35"/>
  <c r="K147" i="35"/>
  <c r="K149" i="35"/>
  <c r="K181" i="35"/>
  <c r="K213" i="35"/>
  <c r="K216" i="35"/>
  <c r="K292" i="35"/>
  <c r="K294" i="35"/>
  <c r="K315" i="35"/>
  <c r="K368" i="35"/>
  <c r="K381" i="35"/>
  <c r="K430" i="35"/>
  <c r="K460" i="35"/>
  <c r="K556" i="35"/>
  <c r="K557" i="35"/>
  <c r="K567" i="35"/>
  <c r="K627" i="35"/>
  <c r="K635" i="35"/>
  <c r="K642" i="35"/>
  <c r="K731" i="35"/>
  <c r="K70" i="35"/>
  <c r="K76" i="35"/>
  <c r="K111" i="35"/>
  <c r="K113" i="35"/>
  <c r="K126" i="35"/>
  <c r="K145" i="35"/>
  <c r="K165" i="35"/>
  <c r="K174" i="35"/>
  <c r="K175" i="35"/>
  <c r="K191" i="35"/>
  <c r="K193" i="35"/>
  <c r="K197" i="35"/>
  <c r="K207" i="35"/>
  <c r="K222" i="35"/>
  <c r="K230" i="35"/>
  <c r="K234" i="35"/>
  <c r="K254" i="35"/>
  <c r="K268" i="35"/>
  <c r="K281" i="35"/>
  <c r="K335" i="35"/>
  <c r="K345" i="35"/>
  <c r="K372" i="35"/>
  <c r="K384" i="35"/>
  <c r="K457" i="35"/>
  <c r="K469" i="35"/>
  <c r="K527" i="35"/>
  <c r="K550" i="35"/>
  <c r="K568" i="35"/>
  <c r="K616" i="35"/>
  <c r="K619" i="35"/>
  <c r="K631" i="35"/>
  <c r="K649" i="35"/>
  <c r="K661" i="35"/>
  <c r="K719" i="35"/>
  <c r="K733" i="35"/>
  <c r="K735" i="35"/>
  <c r="K754" i="35"/>
  <c r="K787" i="35"/>
  <c r="K804" i="35"/>
  <c r="K827" i="35"/>
  <c r="K832" i="35"/>
  <c r="K69" i="35"/>
  <c r="K2" i="35"/>
  <c r="K10" i="35"/>
  <c r="K22" i="35"/>
  <c r="K43" i="35"/>
  <c r="K132" i="35"/>
  <c r="K136" i="35"/>
  <c r="K188" i="35"/>
  <c r="K228" i="35"/>
  <c r="K236" i="35"/>
  <c r="K252" i="35"/>
  <c r="K274" i="35"/>
  <c r="K295" i="35"/>
  <c r="K322" i="35"/>
  <c r="K331" i="35"/>
  <c r="K347" i="35"/>
  <c r="K351" i="35"/>
  <c r="K396" i="35"/>
  <c r="K421" i="35"/>
  <c r="K454" i="35"/>
  <c r="K499" i="35"/>
  <c r="K528" i="35"/>
  <c r="K562" i="35"/>
  <c r="K569" i="35"/>
  <c r="K734" i="35"/>
  <c r="K739" i="35"/>
  <c r="K824" i="35"/>
  <c r="K11" i="35"/>
  <c r="K47" i="35"/>
  <c r="K266" i="35"/>
  <c r="K319" i="35"/>
  <c r="K325" i="35"/>
  <c r="K330" i="35"/>
  <c r="K340" i="35"/>
  <c r="K402" i="35"/>
  <c r="K413" i="35"/>
  <c r="K505" i="35"/>
  <c r="K523" i="35"/>
  <c r="F536" i="35"/>
  <c r="F537" i="35" s="1"/>
  <c r="F542" i="35" s="1"/>
  <c r="K565" i="35"/>
  <c r="K609" i="35"/>
  <c r="K786" i="35"/>
  <c r="K792" i="35"/>
  <c r="K805" i="35"/>
  <c r="K150" i="35"/>
  <c r="K176" i="35"/>
  <c r="K221" i="35"/>
  <c r="K245" i="35"/>
  <c r="K289" i="35"/>
  <c r="K317" i="35"/>
  <c r="F450" i="35"/>
  <c r="K450" i="35" s="1"/>
  <c r="K675" i="35"/>
  <c r="K60" i="35"/>
  <c r="K57" i="35"/>
  <c r="K41" i="35"/>
  <c r="K33" i="35"/>
  <c r="K28" i="35"/>
  <c r="K21" i="35"/>
  <c r="K8" i="35"/>
  <c r="K72" i="35"/>
  <c r="K237" i="35"/>
  <c r="K264" i="35"/>
  <c r="K275" i="35"/>
  <c r="K290" i="35"/>
  <c r="K326" i="35"/>
  <c r="K328" i="35"/>
  <c r="K346" i="35"/>
  <c r="K415" i="35"/>
  <c r="K465" i="35"/>
  <c r="K500" i="35"/>
  <c r="K566" i="35"/>
  <c r="K720" i="35"/>
  <c r="K758" i="35"/>
  <c r="K779" i="35"/>
  <c r="K297" i="35"/>
  <c r="K306" i="35"/>
  <c r="K374" i="35"/>
  <c r="K511" i="35"/>
  <c r="K249" i="35"/>
  <c r="K269" i="35"/>
  <c r="K279" i="35"/>
  <c r="K304" i="35"/>
  <c r="K323" i="35"/>
  <c r="K341" i="35"/>
  <c r="K399" i="35"/>
  <c r="K422" i="35"/>
  <c r="K451" i="35"/>
  <c r="K497" i="35"/>
  <c r="K524" i="35"/>
  <c r="K573" i="35"/>
  <c r="K677" i="35"/>
  <c r="K795" i="35"/>
  <c r="F442" i="35"/>
  <c r="K442" i="35" s="1"/>
  <c r="F118" i="30"/>
  <c r="F710" i="35" l="1"/>
  <c r="F714" i="35"/>
  <c r="F545" i="35"/>
  <c r="F547" i="35" s="1"/>
  <c r="K548" i="35"/>
  <c r="F657" i="30"/>
  <c r="K704" i="35" l="1"/>
  <c r="F712" i="35"/>
  <c r="B33" i="23"/>
  <c r="F103" i="30"/>
  <c r="F543" i="30"/>
  <c r="F712" i="30"/>
  <c r="H189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D4" i="33" l="1"/>
  <c r="E4" i="33" s="1"/>
  <c r="B5" i="33" s="1"/>
  <c r="D5" i="33" s="1"/>
  <c r="E5" i="33" s="1"/>
  <c r="B6" i="33" s="1"/>
  <c r="D6" i="33" s="1"/>
  <c r="E6" i="33" s="1"/>
  <c r="B7" i="33" s="1"/>
  <c r="D7" i="33" s="1"/>
  <c r="E7" i="33" s="1"/>
  <c r="B8" i="33" s="1"/>
  <c r="D8" i="33" s="1"/>
  <c r="E8" i="33" s="1"/>
  <c r="B9" i="33" s="1"/>
  <c r="D9" i="33" l="1"/>
  <c r="E9" i="33" s="1"/>
  <c r="B10" i="33" s="1"/>
  <c r="D10" i="33" l="1"/>
  <c r="E10" i="33" s="1"/>
  <c r="B11" i="33" s="1"/>
  <c r="D11" i="33" s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3" i="15" l="1"/>
  <c r="E12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63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2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7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<sst xmlns="http://schemas.openxmlformats.org/spreadsheetml/2006/main" count="38414" uniqueCount="8559">
  <si>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</si>
  <si>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</si>
  <si>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</si>
  <si>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</si>
  <si>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</si>
  <si>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</si>
  <si>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</si>
  <si>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</si>
  <si>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</si>
  <si>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</si>
  <si>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</si>
  <si>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</si>
  <si>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</si>
  <si>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</si>
  <si>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</si>
  <si>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</si>
  <si>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</si>
  <si>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</si>
  <si>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</si>
  <si>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</si>
  <si>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</si>
  <si>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</si>
  <si>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</si>
  <si>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</si>
  <si>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</si>
  <si>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</si>
  <si>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</si>
  <si>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</si>
  <si>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</si>
  <si>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</si>
  <si>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</si>
  <si>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</si>
  <si>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</si>
  <si>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</si>
  <si>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</si>
  <si>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</si>
  <si>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</si>
  <si>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</si>
  <si>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</si>
  <si>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</si>
  <si>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</si>
  <si>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</si>
  <si>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</si>
  <si>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</si>
  <si>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</si>
  <si>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</si>
  <si>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</si>
  <si>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</si>
  <si>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</si>
  <si>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</si>
  <si>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</si>
  <si>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</si>
  <si>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</si>
  <si>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</si>
  <si>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</si>
  <si>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</si>
  <si>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</si>
  <si>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</si>
  <si>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</si>
  <si>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</si>
  <si>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</si>
  <si>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</si>
  <si>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</si>
  <si>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</si>
  <si>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</si>
  <si>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</si>
  <si>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</si>
  <si>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</si>
  <si>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</si>
  <si>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</si>
  <si>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</si>
  <si>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</si>
  <si>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</si>
  <si>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</si>
  <si>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</si>
  <si>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</si>
  <si>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</si>
  <si>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</si>
  <si>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</si>
  <si>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</si>
  <si>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</si>
  <si>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</si>
  <si>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</si>
  <si>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</si>
  <si>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</si>
  <si>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</si>
  <si>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</si>
  <si>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</si>
  <si>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</si>
  <si>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</si>
  <si>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</si>
  <si>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</si>
  <si>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</si>
  <si>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</si>
  <si>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</si>
  <si>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</si>
  <si>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</si>
  <si>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</si>
  <si>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</si>
  <si>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</si>
  <si>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</si>
  <si>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</si>
  <si>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</si>
  <si>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</si>
  <si>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</si>
  <si>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</si>
  <si>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</si>
  <si>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</si>
  <si>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</si>
  <si>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</si>
  <si>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</si>
  <si>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</si>
  <si>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</si>
  <si>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</si>
  <si>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</si>
  <si>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</si>
  <si>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</si>
  <si>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</si>
  <si>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</si>
  <si>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</si>
  <si>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</si>
  <si>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</si>
  <si>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</si>
  <si>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</si>
  <si>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</si>
  <si>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</si>
  <si>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</si>
  <si>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</si>
  <si>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</si>
  <si>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</si>
  <si>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</si>
  <si>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</si>
  <si>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</si>
  <si>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</si>
  <si>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</si>
  <si>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</si>
  <si>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</si>
  <si>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</si>
  <si>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</si>
  <si>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</si>
  <si>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</si>
  <si>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</si>
  <si>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</si>
  <si>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</si>
  <si>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</si>
  <si>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</si>
  <si>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</si>
  <si>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</si>
  <si>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</si>
  <si>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</si>
  <si>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</si>
  <si>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</si>
  <si>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</si>
  <si>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</si>
  <si>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</si>
  <si>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</si>
  <si>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</si>
  <si>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</si>
  <si>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</si>
  <si>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</si>
  <si>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</si>
  <si>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</si>
  <si>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</si>
  <si>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</si>
  <si>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</si>
  <si>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</si>
  <si>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</si>
  <si>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</si>
  <si>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</si>
  <si>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</si>
  <si>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</si>
  <si>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</si>
  <si>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</si>
  <si>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</si>
  <si>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</si>
  <si>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</si>
  <si>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</si>
  <si>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</si>
  <si>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</si>
  <si>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</si>
  <si>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</si>
  <si>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</si>
  <si>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</si>
  <si>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</si>
  <si>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</si>
  <si>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</si>
  <si>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</si>
  <si>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</si>
  <si>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</si>
  <si>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</si>
  <si>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</si>
  <si>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</si>
  <si>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</si>
  <si>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</si>
  <si>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</si>
  <si>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</si>
  <si>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</si>
  <si>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</si>
  <si>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</si>
  <si>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</si>
  <si>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</si>
  <si>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</si>
  <si>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</si>
  <si>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</si>
  <si>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</si>
  <si>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</si>
  <si>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</si>
  <si>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</si>
  <si>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</si>
  <si>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</si>
  <si>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</si>
  <si>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</si>
  <si>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</si>
  <si>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</si>
  <si>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</si>
  <si>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</si>
  <si>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</si>
  <si>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</si>
  <si>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</si>
  <si>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</si>
  <si>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</si>
  <si>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</si>
  <si>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</si>
  <si>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</si>
  <si>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</si>
  <si>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</si>
  <si>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</si>
  <si>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</si>
  <si>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</si>
  <si>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</si>
  <si>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</si>
  <si>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</si>
  <si>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</si>
  <si>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</si>
  <si>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</si>
  <si>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</si>
  <si>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</si>
  <si>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</si>
  <si>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</si>
  <si>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</si>
  <si>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</si>
  <si>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</si>
  <si>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</si>
  <si>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</si>
  <si>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</si>
  <si>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</si>
  <si>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</si>
  <si>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</si>
  <si>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</si>
  <si>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</si>
  <si>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</si>
  <si>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</si>
  <si>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</si>
  <si>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</si>
  <si>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</si>
  <si>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</si>
  <si>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</si>
  <si>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</si>
  <si>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</si>
  <si>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</si>
  <si>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</si>
  <si>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</si>
  <si>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</si>
  <si>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</si>
  <si>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</si>
  <si>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</si>
  <si>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</si>
  <si>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</si>
  <si>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</si>
  <si>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</si>
  <si>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</si>
  <si>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</si>
  <si>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</si>
  <si>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</si>
  <si>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</si>
  <si>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</si>
  <si>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</si>
  <si>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</si>
  <si>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</si>
  <si>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</si>
  <si>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</si>
  <si>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</si>
  <si>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</si>
  <si>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</si>
  <si>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</si>
  <si>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</si>
  <si>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</si>
  <si>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</si>
  <si>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</si>
  <si>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</si>
  <si>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</si>
  <si>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</si>
  <si>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</si>
  <si>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</si>
  <si>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</si>
  <si>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</si>
  <si>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</si>
  <si>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</si>
  <si>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</si>
  <si>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</si>
  <si>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</si>
  <si>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</si>
  <si>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</si>
  <si>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</si>
  <si>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</si>
  <si>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</si>
  <si>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</si>
  <si>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</si>
  <si>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</si>
  <si>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</si>
  <si>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</si>
  <si>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</si>
  <si>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</si>
  <si>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</si>
  <si>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</si>
  <si>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</si>
  <si>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</si>
  <si>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</si>
  <si>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</si>
  <si>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</si>
  <si>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</si>
  <si>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</si>
  <si>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</si>
  <si>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</si>
  <si>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</si>
  <si>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</si>
  <si>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</si>
  <si>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</si>
  <si>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</si>
  <si>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</si>
  <si>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</si>
  <si>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</si>
  <si>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</si>
  <si>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</si>
  <si>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</si>
  <si>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</si>
  <si>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</si>
  <si>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</si>
  <si>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</si>
  <si>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</si>
  <si>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</si>
  <si>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</si>
  <si>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</si>
  <si>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</si>
  <si>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</si>
  <si>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</si>
  <si>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</si>
  <si>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</si>
  <si>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</si>
  <si>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</si>
  <si>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</si>
  <si>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</si>
  <si>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</si>
  <si>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</si>
  <si>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</si>
  <si>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</si>
  <si>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</si>
  <si>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</si>
  <si>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</si>
  <si>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</si>
  <si>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</si>
  <si>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</si>
  <si>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</si>
  <si>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</si>
  <si>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</si>
  <si>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</si>
  <si>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</si>
  <si>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</si>
  <si>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</si>
  <si>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</si>
  <si>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</si>
  <si>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</si>
  <si>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</si>
  <si>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</si>
  <si>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</si>
  <si>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</si>
  <si>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</si>
  <si>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</si>
  <si>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</si>
  <si>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</si>
  <si>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</si>
  <si>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</si>
  <si>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</si>
  <si>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</si>
  <si>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</si>
  <si>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</si>
  <si>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</si>
  <si>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</si>
  <si>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</si>
  <si>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</si>
  <si>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</si>
  <si>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</si>
  <si>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</si>
  <si>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</si>
  <si>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</si>
  <si>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</si>
  <si>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</si>
  <si>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</si>
  <si>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</si>
  <si>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</si>
  <si>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</si>
  <si>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</si>
  <si>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</si>
  <si>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</si>
  <si>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</si>
  <si>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</si>
  <si>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</si>
  <si>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</si>
  <si>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</si>
  <si>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</si>
  <si>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</si>
  <si>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</si>
  <si>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</si>
  <si>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</si>
  <si>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</si>
  <si>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</si>
  <si>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</si>
  <si>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</si>
  <si>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</si>
  <si>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</si>
  <si>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</si>
  <si>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</si>
  <si>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</si>
  <si>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</si>
  <si>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</si>
  <si>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</si>
  <si>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</si>
  <si>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</si>
  <si>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</si>
  <si>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</si>
  <si>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</si>
  <si>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</si>
  <si>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</si>
  <si>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</si>
  <si>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</si>
  <si>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</si>
  <si>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</si>
  <si>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</si>
  <si>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</si>
  <si>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</si>
  <si>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</si>
  <si>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</si>
  <si>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</si>
  <si>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</si>
  <si>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</si>
  <si>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</si>
  <si>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</si>
  <si>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</si>
  <si>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</si>
  <si>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</si>
  <si>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</si>
  <si>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</si>
  <si>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</si>
  <si>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</si>
  <si>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</si>
  <si>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</si>
  <si>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</si>
  <si>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</si>
  <si>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</si>
  <si>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</si>
  <si>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</si>
  <si>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</si>
  <si>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</si>
  <si>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</si>
  <si>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</si>
  <si>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</si>
  <si>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</si>
  <si>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</si>
  <si>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</si>
  <si>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</si>
  <si>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</si>
  <si>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</si>
  <si>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</si>
  <si>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</si>
  <si>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</si>
  <si>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</si>
  <si>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</si>
  <si>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</si>
  <si>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</si>
  <si>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</si>
  <si>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</si>
  <si>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</si>
  <si>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</si>
  <si>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</si>
  <si>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</si>
  <si>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</si>
  <si>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</si>
  <si>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</si>
  <si>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</si>
  <si>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</si>
  <si>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</si>
  <si>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</si>
  <si>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</si>
  <si>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</si>
  <si>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</si>
  <si>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</si>
  <si>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</si>
  <si>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</si>
  <si>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</si>
  <si>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</si>
  <si>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</si>
  <si>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</si>
  <si>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</si>
  <si>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</si>
  <si>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</si>
  <si>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</si>
  <si>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</si>
  <si>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</si>
  <si>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</si>
  <si>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</si>
  <si>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</si>
  <si>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</si>
  <si>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</si>
  <si>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</si>
  <si>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</si>
  <si>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</si>
  <si>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</si>
  <si>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</si>
  <si>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</si>
  <si>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</si>
  <si>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</si>
  <si>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</si>
  <si>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</si>
  <si>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</si>
  <si>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</si>
  <si>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</si>
  <si>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</si>
  <si>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</si>
  <si>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</si>
  <si>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</si>
  <si>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</si>
  <si>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</si>
  <si>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</si>
  <si>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</si>
  <si>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</si>
  <si>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</si>
  <si>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</si>
  <si>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</si>
  <si>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</si>
  <si>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</si>
  <si>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</si>
  <si>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</si>
  <si>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</si>
  <si>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</si>
  <si>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</si>
  <si>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</si>
  <si>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</si>
  <si>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</si>
  <si>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</si>
  <si>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</si>
  <si>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</si>
  <si>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</si>
  <si>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</si>
  <si>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</si>
  <si>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</si>
  <si>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</si>
  <si>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</si>
  <si>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</si>
  <si>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</si>
  <si>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</si>
  <si>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</si>
  <si>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</si>
  <si>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</si>
  <si>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</si>
  <si>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</si>
  <si>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</si>
  <si>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</si>
  <si>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</si>
  <si>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</si>
  <si>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</si>
  <si>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</si>
  <si>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</si>
  <si>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</si>
  <si>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</si>
  <si>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</si>
  <si>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</si>
  <si>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</si>
  <si>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</si>
  <si>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</si>
  <si>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</si>
  <si>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</si>
  <si>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</si>
  <si>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</si>
  <si>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</si>
  <si>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</si>
  <si>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</si>
  <si>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</si>
  <si>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</si>
  <si>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</si>
  <si>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</si>
  <si>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</si>
  <si>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</si>
  <si>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</si>
  <si>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</si>
  <si>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</si>
  <si>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</si>
  <si>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</si>
  <si>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</si>
  <si>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</si>
  <si>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</si>
  <si>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</si>
  <si>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</si>
  <si>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</si>
  <si>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</si>
  <si>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</si>
  <si>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</si>
  <si>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</si>
  <si>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</si>
  <si>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</si>
  <si>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</si>
  <si>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</si>
  <si>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</si>
  <si>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</si>
  <si>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</si>
  <si>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</si>
  <si>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</si>
  <si>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</si>
  <si>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</si>
  <si>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</si>
  <si>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</si>
  <si>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</si>
  <si>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</si>
  <si>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</si>
  <si>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</si>
  <si>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</si>
  <si>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</si>
  <si>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</si>
  <si>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</si>
  <si>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</si>
  <si>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</si>
  <si>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</si>
  <si>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</si>
  <si>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</si>
  <si>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</si>
  <si>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</si>
  <si>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</si>
  <si>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</si>
  <si>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</si>
  <si>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</si>
  <si>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</si>
  <si>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</si>
  <si>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</si>
  <si>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</si>
  <si>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</si>
  <si>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</si>
  <si>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</si>
  <si>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</si>
  <si>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</si>
  <si>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</si>
  <si>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</si>
  <si>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</si>
  <si>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</si>
  <si>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</si>
  <si>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</si>
  <si>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</si>
  <si>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</si>
  <si>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</si>
  <si>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</si>
  <si>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</si>
  <si>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</si>
  <si>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</si>
  <si>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</si>
  <si>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</si>
  <si>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</si>
  <si>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</si>
  <si>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</si>
  <si>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</si>
  <si>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</si>
  <si>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</si>
  <si>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</si>
  <si>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</si>
  <si>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</si>
  <si>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</si>
  <si>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</si>
  <si>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</si>
  <si>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</si>
  <si>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</si>
  <si>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</si>
  <si>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</si>
  <si>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</si>
  <si>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</si>
  <si>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</si>
  <si>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</si>
  <si>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</si>
  <si>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</si>
  <si>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</si>
  <si>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</si>
  <si>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</si>
  <si>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</si>
  <si>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</si>
  <si>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</si>
  <si>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</si>
  <si>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</si>
  <si>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</si>
  <si>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</si>
  <si>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</si>
  <si>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</si>
  <si>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</si>
  <si>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</si>
  <si>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</si>
  <si>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</si>
  <si>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</si>
  <si>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</si>
  <si>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</si>
  <si>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</si>
  <si>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</si>
  <si>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</si>
  <si>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</si>
  <si>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</si>
  <si>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</si>
  <si>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</si>
  <si>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</si>
  <si>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</si>
  <si>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</si>
  <si>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</si>
  <si>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</si>
  <si>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</si>
  <si>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</si>
  <si>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</si>
  <si>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</si>
  <si>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</si>
  <si>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</si>
  <si>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</si>
  <si>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</si>
  <si>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</si>
  <si>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</si>
  <si>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</si>
  <si>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</si>
  <si>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</si>
  <si>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</si>
  <si>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</si>
  <si>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</si>
  <si>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</si>
  <si>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</si>
  <si>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</si>
  <si>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</si>
  <si>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</si>
  <si>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</si>
  <si>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</si>
  <si>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</si>
  <si>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</si>
  <si>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</si>
  <si>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</si>
  <si>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</si>
  <si>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</si>
  <si>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</si>
  <si>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</si>
  <si>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</si>
  <si>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</si>
  <si>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</si>
  <si>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</si>
  <si>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</si>
  <si>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</si>
  <si>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</si>
  <si>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</si>
  <si>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</si>
  <si>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</si>
  <si>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</si>
  <si>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</si>
  <si>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</si>
  <si>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</si>
  <si>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</si>
  <si>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</si>
  <si>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</si>
  <si>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</si>
  <si>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</si>
  <si>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</si>
  <si>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</si>
  <si>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</si>
  <si>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</si>
  <si>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</si>
  <si>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</si>
  <si>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</si>
  <si>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</si>
  <si>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</si>
  <si>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</si>
  <si>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</si>
  <si>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</si>
  <si>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</si>
  <si>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</si>
  <si>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</si>
  <si>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</si>
  <si>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</si>
  <si>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</si>
  <si>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</si>
  <si>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</si>
  <si>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</si>
  <si>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</si>
  <si>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</si>
  <si>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</si>
  <si>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</si>
  <si>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</si>
  <si>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</si>
  <si>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</si>
  <si>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</si>
  <si>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</si>
  <si>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</si>
  <si>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</si>
  <si>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</si>
  <si>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</si>
  <si>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</si>
  <si>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</si>
  <si>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</si>
  <si>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</si>
  <si>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</si>
  <si>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</si>
  <si>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</si>
  <si>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</si>
  <si>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</si>
  <si>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</si>
  <si>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</si>
  <si>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</si>
  <si>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</si>
  <si>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</si>
  <si>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</si>
  <si>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</si>
  <si>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</si>
  <si>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</si>
  <si>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</si>
  <si>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</si>
  <si>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</si>
  <si>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</si>
  <si>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</si>
  <si>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</si>
  <si>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</si>
  <si>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</si>
  <si>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</si>
  <si>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</si>
  <si>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</si>
  <si>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</si>
  <si>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</si>
  <si>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</si>
  <si>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</si>
  <si>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</si>
  <si>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</si>
  <si>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</si>
  <si>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</si>
  <si>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</si>
  <si>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</si>
  <si>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</si>
  <si>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</si>
  <si>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</si>
  <si>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</si>
  <si>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</si>
  <si>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</si>
  <si>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</si>
  <si>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</si>
  <si>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</si>
  <si>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</si>
  <si>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</si>
  <si>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</si>
  <si>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</si>
  <si>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</si>
  <si>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</si>
  <si>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</si>
  <si>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</si>
  <si>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</si>
  <si>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</si>
  <si>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</si>
  <si>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</si>
  <si>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</si>
  <si>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</si>
  <si>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</si>
  <si>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</si>
  <si>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</si>
  <si>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</si>
  <si>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</si>
  <si>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</si>
  <si>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</si>
  <si>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</si>
  <si>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</si>
  <si>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</si>
  <si>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</si>
  <si>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</si>
  <si>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</si>
  <si>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</si>
  <si>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</si>
  <si>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</si>
  <si>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</si>
  <si>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</si>
  <si>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</si>
  <si>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</si>
  <si>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</si>
  <si>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</si>
  <si>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</si>
  <si>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</si>
  <si>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</si>
  <si>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</si>
  <si>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</si>
  <si>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</si>
  <si>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</si>
  <si>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</si>
  <si>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</si>
  <si>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</si>
  <si>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</si>
  <si>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</si>
  <si>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</si>
  <si>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</si>
  <si>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</si>
  <si>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</si>
  <si>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</si>
  <si>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</si>
  <si>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</si>
  <si>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</si>
  <si>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</si>
  <si>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</si>
  <si>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</si>
  <si>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</si>
  <si>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</si>
  <si>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</si>
  <si>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</si>
  <si>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</si>
  <si>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</si>
  <si>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</si>
  <si>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</si>
  <si>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</si>
  <si>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</si>
  <si>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</si>
  <si>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</si>
  <si>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</si>
  <si>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</si>
  <si>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</si>
  <si>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</si>
  <si>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</si>
  <si>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</si>
  <si>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</si>
  <si>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</si>
  <si>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</si>
  <si>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</si>
  <si>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</si>
  <si>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</si>
  <si>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</si>
  <si>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</si>
  <si>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</si>
  <si>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</si>
  <si>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</si>
  <si>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</si>
  <si>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</si>
  <si>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</si>
  <si>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</si>
  <si>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</si>
  <si>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</si>
  <si>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</si>
  <si>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</si>
  <si>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</si>
  <si>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</si>
  <si>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</si>
  <si>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</si>
  <si>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</si>
  <si>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</si>
  <si>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</si>
  <si>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</si>
  <si>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</si>
  <si>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</si>
  <si>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</si>
  <si>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</si>
  <si>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</si>
  <si>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</si>
  <si>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</si>
  <si>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</si>
  <si>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</si>
  <si>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</si>
  <si>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</si>
  <si>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</si>
  <si>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</si>
  <si>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</si>
  <si>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</si>
  <si>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</si>
  <si>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</si>
  <si>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</si>
  <si>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</si>
  <si>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</si>
  <si>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</si>
  <si>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</si>
  <si>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</si>
  <si>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</si>
  <si>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</si>
  <si>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</si>
  <si>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</si>
  <si>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</si>
  <si>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</si>
  <si>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</si>
  <si>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</si>
  <si>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</si>
  <si>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</si>
  <si>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</si>
  <si>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</si>
  <si>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</si>
  <si>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</si>
  <si>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</si>
  <si>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</si>
  <si>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</si>
  <si>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</si>
  <si>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</si>
  <si>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</si>
  <si>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</si>
  <si>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</si>
  <si>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</si>
  <si>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</si>
  <si>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</si>
  <si>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</si>
  <si>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</si>
  <si>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</si>
  <si>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</si>
  <si>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</si>
  <si>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</si>
  <si>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</si>
  <si>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</si>
  <si>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</si>
  <si>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</si>
  <si>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</si>
  <si>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</si>
  <si>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</si>
  <si>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</si>
  <si>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</si>
  <si>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</si>
  <si>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</si>
  <si>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</si>
  <si>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</si>
  <si>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</si>
  <si>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</si>
  <si>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</si>
  <si>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</si>
  <si>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</si>
  <si>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</si>
  <si>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</si>
  <si>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</si>
  <si>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</si>
  <si>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</si>
  <si>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</si>
  <si>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</si>
  <si>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</si>
  <si>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</si>
  <si>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</si>
  <si>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</si>
  <si>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</si>
  <si>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</si>
  <si>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</si>
  <si>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</si>
  <si>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</si>
  <si>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</si>
  <si>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</si>
  <si>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</si>
  <si>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</si>
  <si>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</si>
  <si>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</si>
  <si>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</si>
  <si>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</si>
  <si>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</si>
  <si>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</si>
  <si>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</si>
  <si>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</si>
  <si>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</si>
  <si>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</si>
  <si>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</si>
  <si>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</si>
  <si>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</si>
  <si>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</si>
  <si>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</si>
  <si>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</si>
  <si>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</si>
  <si>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</si>
  <si>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</si>
  <si>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</si>
  <si>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</si>
  <si>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</si>
  <si>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</si>
  <si>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</si>
  <si>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</si>
  <si>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</si>
  <si>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</si>
  <si>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</si>
  <si>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</si>
  <si>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</si>
  <si>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</si>
  <si>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</si>
  <si>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</si>
  <si>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</si>
  <si>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</si>
  <si>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</si>
  <si>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</si>
  <si>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</si>
  <si>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</si>
  <si>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</si>
  <si>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</si>
  <si>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</si>
  <si>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</si>
  <si>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</si>
  <si>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</si>
  <si>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</si>
  <si>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</si>
  <si>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</si>
  <si>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</si>
  <si>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</si>
  <si>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</si>
  <si>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</si>
  <si>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</si>
  <si>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</si>
  <si>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</si>
  <si>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</si>
  <si>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</si>
  <si>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</si>
  <si>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</si>
  <si>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</si>
  <si>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</si>
  <si>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</si>
  <si>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</si>
  <si>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</si>
  <si>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</si>
  <si>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</si>
  <si>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</si>
  <si>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</si>
  <si>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</si>
  <si>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</si>
  <si>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</si>
  <si>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</si>
  <si>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</si>
  <si>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</si>
  <si>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</si>
  <si>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</si>
  <si>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</si>
  <si>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</si>
  <si>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</si>
  <si>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</si>
  <si>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</si>
  <si>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</si>
  <si>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</si>
  <si>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</si>
  <si>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</si>
  <si>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</si>
  <si>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</si>
  <si>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</si>
  <si>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</si>
  <si>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</si>
  <si>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</si>
  <si>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</si>
  <si>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</si>
  <si>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</si>
  <si>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</si>
  <si>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</si>
  <si>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</si>
  <si>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</si>
  <si>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</si>
  <si>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</si>
  <si>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</si>
  <si>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</si>
  <si>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</si>
  <si>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</si>
  <si>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</si>
  <si>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</si>
  <si>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</si>
  <si>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</si>
  <si>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</si>
  <si>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</si>
  <si>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</si>
  <si>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</si>
  <si>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</si>
  <si>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</si>
  <si>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</si>
  <si>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</si>
  <si>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</si>
  <si>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</si>
  <si>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</si>
  <si>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</si>
  <si>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</si>
  <si>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</si>
  <si>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</si>
  <si>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</si>
  <si>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</si>
  <si>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</si>
  <si>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</si>
  <si>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</si>
  <si>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</si>
  <si>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</si>
  <si>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</si>
  <si>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</si>
  <si>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</si>
  <si>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</si>
  <si>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</si>
  <si>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</si>
  <si>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</si>
  <si>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</si>
  <si>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</si>
  <si>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</si>
  <si>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</si>
  <si>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</si>
  <si>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</si>
  <si>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</si>
  <si>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</si>
  <si>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</si>
  <si>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</si>
  <si>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</si>
  <si>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</si>
  <si>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</si>
  <si>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</si>
  <si>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</si>
  <si>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</si>
  <si>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</si>
  <si>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</si>
  <si>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</si>
  <si>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</si>
  <si>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</si>
  <si>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</si>
  <si>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</si>
  <si>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</si>
  <si>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</si>
  <si>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</si>
  <si>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</si>
  <si>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</si>
  <si>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</si>
  <si>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</si>
  <si>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</si>
  <si>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</si>
  <si>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</si>
  <si>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</si>
  <si>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</si>
  <si>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</si>
  <si>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</si>
  <si>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</si>
  <si>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</si>
  <si>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</si>
  <si>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</si>
  <si>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</si>
  <si>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</si>
  <si>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</si>
  <si>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</si>
  <si>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</si>
  <si>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</si>
  <si>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</si>
  <si>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</si>
  <si>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</si>
  <si>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</si>
  <si>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</si>
  <si>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</si>
  <si>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</si>
  <si>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</si>
  <si>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</si>
  <si>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</si>
  <si>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</si>
  <si>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</si>
  <si>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</si>
  <si>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</si>
  <si>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</si>
  <si>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</si>
  <si>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</si>
  <si>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</si>
  <si>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</si>
  <si>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</si>
  <si>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</si>
  <si>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</si>
  <si>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</si>
  <si>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</si>
  <si>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</si>
  <si>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</si>
  <si>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</si>
  <si>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</si>
  <si>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</si>
  <si>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</si>
  <si>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</si>
  <si>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</si>
  <si>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</si>
  <si>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</si>
  <si>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</si>
  <si>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</si>
  <si>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</si>
  <si>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</si>
  <si>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</si>
  <si>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</si>
  <si>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</si>
  <si>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</si>
  <si>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</si>
  <si>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</si>
  <si>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</si>
  <si>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</si>
  <si>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</si>
  <si>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</si>
  <si>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</si>
  <si>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</si>
  <si>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</si>
  <si>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</si>
  <si>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</si>
  <si>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</si>
  <si>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</si>
  <si>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</si>
  <si>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</si>
  <si>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</si>
  <si>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</si>
  <si>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</si>
  <si>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</si>
  <si>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</si>
  <si>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</si>
  <si>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</si>
  <si>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</si>
  <si>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</si>
  <si>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</si>
  <si>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</si>
  <si>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</si>
  <si>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</si>
  <si>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</si>
  <si>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</si>
  <si>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</si>
  <si>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</si>
  <si>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</si>
  <si>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</si>
  <si>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</si>
  <si>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</si>
  <si>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</si>
  <si>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</si>
  <si>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</si>
  <si>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</si>
  <si>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</si>
  <si>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</si>
  <si>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</si>
  <si>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</si>
  <si>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</si>
  <si>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</si>
  <si>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</si>
  <si>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</si>
  <si>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</si>
  <si>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</si>
  <si>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</si>
  <si>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</si>
  <si>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</si>
  <si>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</si>
  <si>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</si>
  <si>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</si>
  <si>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</si>
  <si>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</si>
  <si>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</si>
  <si>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</si>
  <si>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</si>
  <si>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</si>
  <si>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</si>
  <si>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</si>
  <si>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</si>
  <si>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</si>
  <si>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</si>
  <si>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</si>
  <si>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</si>
  <si>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</si>
  <si>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</si>
  <si>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</si>
  <si>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</si>
  <si>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</si>
  <si>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</si>
  <si>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</si>
  <si>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</si>
  <si>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</si>
  <si>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</si>
  <si>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</si>
  <si>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</si>
  <si>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</si>
  <si>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</si>
  <si>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</si>
  <si>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</si>
  <si>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</si>
  <si>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</si>
  <si>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</si>
  <si>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</si>
  <si>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</si>
  <si>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</si>
  <si>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</si>
  <si>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</si>
  <si>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</si>
  <si>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</si>
  <si>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</si>
  <si>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</si>
  <si>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</si>
  <si>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</si>
  <si>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</si>
  <si>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</si>
  <si>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</si>
  <si>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</si>
  <si>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</si>
  <si>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</si>
  <si>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</si>
  <si>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</si>
  <si>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</si>
  <si>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</si>
  <si>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</si>
  <si>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</si>
  <si>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</si>
  <si>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</si>
  <si>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</si>
  <si>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</si>
  <si>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</si>
  <si>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</si>
  <si>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</si>
  <si>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</si>
  <si>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</si>
  <si>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</si>
  <si>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</si>
  <si>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</si>
  <si>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</si>
  <si>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</si>
  <si>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</si>
  <si>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</si>
  <si>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</si>
  <si>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</si>
  <si>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</si>
  <si>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</si>
  <si>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</si>
  <si>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</si>
  <si>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</si>
  <si>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</si>
  <si>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</si>
  <si>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</si>
  <si>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</si>
  <si>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</si>
  <si>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</si>
  <si>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</si>
  <si>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</si>
  <si>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</si>
  <si>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</si>
  <si>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</si>
  <si>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</si>
  <si>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</si>
  <si>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</si>
  <si>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</si>
  <si>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</si>
  <si>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</si>
  <si>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</si>
  <si>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</si>
  <si>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</si>
  <si>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</si>
  <si>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</si>
  <si>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</si>
  <si>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</si>
  <si>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</si>
  <si>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</si>
  <si>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</si>
  <si>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</si>
  <si>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</si>
  <si>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</si>
  <si>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</si>
  <si>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</si>
  <si>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</si>
  <si>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</si>
  <si>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</si>
  <si>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</si>
  <si>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</si>
  <si>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</si>
  <si>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</si>
  <si>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</si>
  <si>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</si>
  <si>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</si>
  <si>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</si>
  <si>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</si>
  <si>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</si>
  <si>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</si>
  <si>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</si>
  <si>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</si>
  <si>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</si>
  <si>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</si>
  <si>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</si>
  <si>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</si>
  <si>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</si>
  <si>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</si>
  <si>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</si>
  <si>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</si>
  <si>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</si>
  <si>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</si>
  <si>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</si>
  <si>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</si>
  <si>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</si>
  <si>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</si>
  <si>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</si>
  <si>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</si>
  <si>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</si>
  <si>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</si>
  <si>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</si>
  <si>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</si>
  <si>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</si>
  <si>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</si>
  <si>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</si>
  <si>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</si>
  <si>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</si>
  <si>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</si>
  <si>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</si>
  <si>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</si>
  <si>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</si>
  <si>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</si>
  <si>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</si>
  <si>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</si>
  <si>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</si>
  <si>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</si>
  <si>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</si>
  <si>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</si>
  <si>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</si>
  <si>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</si>
  <si>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</si>
  <si>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</si>
  <si>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</si>
  <si>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</si>
  <si>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</si>
  <si>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</si>
  <si>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</si>
  <si>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</si>
  <si>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</si>
  <si>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</si>
  <si>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</si>
  <si>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</si>
  <si>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</si>
  <si>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</si>
  <si>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</si>
  <si>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</si>
  <si>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</si>
  <si>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</si>
  <si>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</si>
  <si>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</si>
  <si>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</si>
  <si>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</si>
  <si>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</si>
  <si>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</si>
  <si>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</si>
  <si>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</si>
  <si>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</si>
  <si>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</si>
  <si>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</si>
  <si>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</si>
  <si>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</si>
  <si>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</si>
  <si>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</si>
  <si>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</si>
  <si>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</si>
  <si>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</si>
  <si>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</si>
  <si>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</si>
  <si>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</si>
  <si>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</si>
  <si>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</si>
  <si>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</si>
  <si>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</si>
  <si>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</si>
  <si>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</si>
  <si>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</si>
  <si>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</si>
  <si>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</si>
  <si>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</si>
  <si>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</si>
  <si>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</si>
  <si>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</si>
  <si>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</si>
  <si>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</si>
  <si>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</si>
  <si>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</si>
  <si>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</si>
  <si>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</si>
  <si>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</si>
  <si>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</si>
  <si>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</si>
  <si>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</si>
  <si>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</si>
  <si>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</si>
  <si>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</si>
  <si>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</si>
  <si>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</si>
  <si>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</si>
  <si>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</si>
  <si>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</si>
  <si>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</si>
  <si>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</si>
  <si>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</si>
  <si>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</si>
  <si>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</si>
  <si>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</si>
  <si>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</si>
  <si>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</si>
  <si>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</si>
  <si>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</si>
  <si>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</si>
  <si>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</si>
  <si>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</si>
  <si>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</si>
  <si>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</si>
  <si>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</si>
  <si>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</si>
  <si>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</si>
  <si>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</si>
  <si>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</si>
  <si>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</si>
  <si>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</si>
  <si>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</si>
  <si>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</si>
  <si>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</si>
  <si>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</si>
  <si>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</si>
  <si>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</si>
  <si>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</si>
  <si>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</si>
  <si>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</si>
  <si>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</si>
  <si>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</si>
  <si>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</si>
  <si>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</si>
  <si>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</si>
  <si>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</si>
  <si>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</si>
  <si>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</si>
  <si>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</si>
  <si>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</si>
  <si>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</si>
  <si>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</si>
  <si>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</si>
  <si>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</si>
  <si>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</si>
  <si>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</si>
  <si>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</si>
  <si>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</si>
  <si>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</si>
  <si>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</si>
  <si>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</si>
  <si>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</si>
  <si>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</si>
  <si>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</si>
  <si>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</si>
  <si>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</si>
  <si>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</si>
  <si>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</si>
  <si>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</si>
  <si>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</si>
  <si>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</si>
  <si>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</si>
  <si>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</si>
  <si>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</si>
  <si>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</si>
  <si>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</si>
  <si>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</si>
  <si>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</si>
  <si>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</si>
  <si>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</si>
  <si>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</si>
  <si>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</si>
  <si>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</si>
  <si>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</si>
  <si>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</si>
  <si>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</si>
  <si>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</si>
  <si>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</si>
  <si>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</si>
  <si>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</si>
  <si>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</si>
  <si>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</si>
  <si>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</si>
  <si>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</si>
  <si>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</si>
  <si>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</si>
  <si>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</si>
  <si>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</si>
  <si>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</si>
  <si>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</si>
  <si>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</si>
  <si>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</si>
  <si>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</si>
  <si>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</si>
  <si>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</si>
  <si>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</si>
  <si>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</si>
  <si>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</si>
  <si>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</si>
  <si>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</si>
  <si>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</si>
  <si>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</si>
  <si>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</si>
  <si>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</si>
  <si>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</si>
  <si>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</si>
  <si>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</si>
  <si>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</si>
  <si>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</si>
  <si>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</si>
  <si>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</si>
  <si>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</si>
  <si>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</si>
  <si>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</si>
  <si>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</si>
  <si>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</si>
  <si>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</si>
  <si>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</si>
  <si>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</si>
  <si>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</si>
  <si>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</si>
  <si>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</si>
  <si>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</si>
  <si>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</si>
  <si>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</si>
  <si>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</si>
  <si>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</si>
  <si>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</si>
  <si>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</si>
  <si>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</si>
  <si>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</si>
  <si>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</si>
  <si>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</si>
  <si>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</si>
  <si>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</si>
  <si>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</si>
  <si>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</si>
  <si>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</si>
  <si>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</si>
  <si>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</si>
  <si>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</si>
  <si>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</si>
  <si>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</si>
  <si>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</si>
  <si>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</si>
  <si>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</si>
  <si>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</si>
  <si>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</si>
  <si>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</si>
  <si>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</si>
  <si>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</si>
  <si>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</si>
  <si>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</si>
  <si>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</si>
  <si>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</si>
  <si>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</si>
  <si>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</si>
  <si>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</si>
  <si>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</si>
  <si>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</si>
  <si>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</si>
  <si>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</si>
  <si>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</si>
  <si>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</si>
  <si>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</si>
  <si>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</si>
  <si>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</si>
  <si>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</si>
  <si>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</si>
  <si>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</si>
  <si>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</si>
  <si>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</si>
  <si>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</si>
  <si>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</si>
  <si>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</si>
  <si>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</si>
  <si>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</si>
  <si>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</si>
  <si>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</si>
  <si>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</si>
  <si>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</si>
  <si>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</si>
  <si>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</si>
  <si>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</si>
  <si>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</si>
  <si>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</si>
  <si>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</si>
  <si>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</si>
  <si>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</si>
  <si>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</si>
  <si>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</si>
  <si>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</si>
  <si>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</si>
  <si>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</si>
  <si>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</si>
  <si>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</si>
  <si>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</si>
  <si>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</si>
  <si>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</si>
  <si>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</si>
  <si>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</si>
  <si>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</si>
  <si>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</si>
  <si>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</si>
  <si>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</si>
  <si>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</si>
  <si>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</si>
  <si>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</si>
  <si>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</si>
  <si>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</si>
  <si>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</si>
  <si>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</si>
  <si>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</si>
  <si>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</si>
  <si>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</si>
  <si>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</si>
  <si>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</si>
  <si>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</si>
  <si>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</si>
  <si>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</si>
  <si>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</si>
  <si>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</si>
  <si>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</si>
  <si>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</si>
  <si>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</si>
  <si>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</si>
  <si>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</si>
  <si>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</si>
  <si>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</si>
  <si>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</si>
  <si>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</si>
  <si>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</si>
  <si>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</si>
  <si>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</si>
  <si>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</si>
  <si>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</si>
  <si>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</si>
  <si>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</si>
  <si>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</si>
  <si>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</si>
  <si>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</si>
  <si>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</si>
  <si>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</si>
  <si>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</si>
  <si>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</si>
  <si>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</si>
  <si>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</si>
  <si>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</si>
  <si>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</si>
  <si>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</si>
  <si>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</si>
  <si>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</si>
  <si>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</si>
  <si>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</si>
  <si>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</si>
  <si>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</si>
  <si>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</si>
  <si>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</si>
  <si>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</si>
  <si>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</si>
  <si>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</si>
  <si>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</si>
  <si>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</si>
  <si>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</si>
  <si>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</si>
  <si>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</si>
  <si>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</si>
  <si>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</si>
  <si>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</si>
  <si>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</si>
  <si>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</si>
  <si>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</si>
  <si>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</si>
  <si>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</si>
  <si>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</si>
  <si>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</si>
  <si>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</si>
  <si>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</si>
  <si>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</si>
  <si>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</si>
  <si>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</si>
  <si>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</si>
  <si>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</si>
  <si>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</si>
  <si>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</si>
  <si>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</si>
  <si>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</si>
  <si>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</si>
  <si>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</si>
  <si>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</si>
  <si>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</si>
  <si>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</si>
  <si>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</si>
  <si>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</si>
  <si>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</si>
  <si>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</si>
  <si>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</si>
  <si>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</si>
  <si>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</si>
  <si>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</si>
  <si>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</si>
  <si>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</si>
  <si>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</si>
  <si>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</si>
  <si>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</si>
  <si>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</si>
  <si>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</si>
  <si>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</si>
  <si>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</si>
  <si>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</si>
  <si>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</si>
  <si>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</si>
  <si>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</si>
  <si>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</si>
  <si>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</si>
  <si>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</si>
  <si>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</si>
  <si>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</si>
  <si>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</si>
  <si>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</si>
  <si>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</si>
  <si>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</si>
  <si>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</si>
  <si>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</si>
  <si>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</si>
  <si>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</si>
  <si>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</si>
  <si>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</si>
  <si>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</si>
  <si>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</si>
  <si>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</si>
  <si>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</si>
  <si>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</si>
  <si>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</si>
  <si>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</si>
  <si>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</si>
  <si>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</si>
  <si>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</si>
  <si>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</si>
  <si>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</si>
  <si>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</si>
  <si>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</si>
  <si>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</si>
  <si>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</si>
  <si>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</si>
  <si>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</si>
  <si>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</si>
  <si>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</si>
  <si>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</si>
  <si>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</si>
  <si>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</si>
  <si>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</si>
  <si>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</si>
  <si>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</si>
  <si>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</si>
  <si>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</si>
  <si>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</si>
  <si>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</si>
  <si>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</si>
  <si>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</si>
  <si>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</si>
  <si>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</si>
  <si>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</si>
  <si>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</si>
  <si>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</si>
  <si>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</si>
  <si>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</si>
  <si>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</si>
  <si>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</si>
  <si>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</si>
  <si>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</si>
  <si>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</si>
  <si>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</si>
  <si>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</si>
  <si>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</si>
  <si>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</si>
  <si>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</si>
  <si>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</si>
  <si>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</si>
  <si>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</si>
  <si>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</si>
  <si>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</si>
  <si>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</si>
  <si>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</si>
  <si>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</si>
  <si>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</si>
  <si>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</si>
  <si>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</si>
  <si>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</si>
  <si>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</si>
  <si>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</si>
  <si>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</si>
  <si>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</si>
  <si>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</si>
  <si>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</si>
  <si>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</si>
  <si>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</si>
  <si>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</si>
  <si>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</si>
  <si>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</si>
  <si>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</si>
  <si>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</si>
  <si>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</si>
  <si>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</si>
  <si>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</si>
  <si>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</si>
  <si>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</si>
  <si>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</si>
  <si>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</si>
  <si>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</si>
  <si>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</si>
  <si>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</si>
  <si>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</si>
  <si>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</si>
  <si>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</si>
  <si>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</si>
  <si>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</si>
  <si>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</si>
  <si>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</si>
  <si>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</si>
  <si>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</si>
  <si>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</si>
  <si>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</si>
  <si>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</si>
  <si>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</si>
  <si>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</si>
  <si>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</si>
  <si>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</si>
  <si>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</si>
  <si>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</si>
  <si>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</si>
  <si>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</si>
  <si>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</si>
  <si>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</si>
  <si>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</si>
  <si>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</si>
  <si>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</si>
  <si>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</si>
  <si>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</si>
  <si>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</si>
  <si>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</si>
  <si>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</si>
  <si>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</si>
  <si>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</si>
  <si>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</si>
  <si>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</si>
  <si>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</si>
  <si>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</si>
  <si>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</si>
  <si>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</si>
  <si>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</si>
  <si>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</si>
  <si>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</si>
  <si>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</si>
  <si>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</si>
  <si>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</si>
  <si>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</si>
  <si>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</si>
  <si>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</si>
  <si>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</si>
  <si>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</si>
  <si>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</si>
  <si>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</si>
  <si>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</si>
  <si>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</si>
  <si>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</si>
  <si>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</si>
  <si>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</si>
  <si>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</si>
  <si>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</si>
  <si>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</si>
  <si>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</si>
  <si>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</si>
  <si>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</si>
  <si>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</si>
  <si>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</si>
  <si>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</si>
  <si>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</si>
  <si>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</si>
  <si>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</si>
  <si>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</si>
  <si>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</si>
  <si>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</si>
  <si>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</si>
  <si>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</si>
  <si>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</si>
  <si>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</si>
  <si>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</si>
  <si>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</si>
  <si>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</si>
  <si>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</si>
  <si>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</si>
  <si>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</si>
  <si>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</si>
  <si>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</si>
  <si>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</si>
  <si>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</si>
  <si>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</si>
  <si>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</si>
  <si>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</si>
  <si>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</si>
  <si>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</si>
  <si>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</si>
  <si>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</si>
  <si>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</si>
  <si>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</si>
  <si>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</si>
  <si>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</si>
  <si>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</si>
  <si>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</si>
  <si>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</si>
  <si>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</si>
  <si>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</si>
  <si>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</si>
  <si>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</si>
  <si>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</si>
  <si>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</si>
  <si>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</si>
  <si>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</si>
  <si>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</si>
  <si>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</si>
  <si>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</si>
  <si>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</si>
  <si>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</si>
  <si>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</si>
  <si>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</si>
  <si>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</si>
  <si>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</si>
  <si>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</si>
  <si>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</si>
  <si>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</si>
  <si>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</si>
  <si>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</si>
  <si>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</si>
  <si>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</si>
  <si>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</si>
  <si>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</si>
  <si>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</si>
  <si>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</si>
  <si>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</si>
  <si>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</si>
  <si>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</si>
  <si>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</si>
  <si>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</si>
  <si>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</si>
  <si>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</si>
  <si>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</si>
  <si>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</si>
  <si>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</si>
  <si>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</si>
  <si>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</si>
  <si>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</si>
  <si>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</si>
  <si>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</si>
  <si>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</si>
  <si>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</si>
  <si>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</si>
  <si>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</si>
  <si>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</si>
  <si>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</si>
  <si>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</si>
  <si>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</si>
  <si>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</si>
  <si>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</si>
  <si>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</si>
  <si>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</si>
  <si>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</si>
  <si>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</si>
  <si>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</si>
  <si>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</si>
  <si>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</si>
  <si>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</si>
  <si>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</si>
  <si>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</si>
  <si>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</si>
  <si>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</si>
  <si>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</si>
  <si>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</si>
  <si>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</si>
  <si>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</si>
  <si>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</si>
  <si>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</si>
  <si>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</si>
  <si>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</si>
  <si>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</si>
  <si>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</si>
  <si>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</si>
  <si>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</si>
  <si>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</si>
  <si>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</si>
  <si>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</si>
  <si>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</si>
  <si>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</si>
  <si>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</si>
  <si>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</si>
  <si>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</si>
  <si>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</si>
  <si>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</si>
  <si>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</si>
  <si>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</si>
  <si>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</si>
  <si>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</si>
  <si>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</si>
  <si>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</si>
  <si>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</si>
  <si>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</si>
  <si>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</si>
  <si>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</si>
  <si>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</si>
  <si>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</si>
  <si>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</si>
  <si>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</si>
  <si>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</si>
  <si>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</si>
  <si>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</si>
  <si>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</si>
  <si>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</si>
  <si>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</si>
  <si>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</si>
  <si>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</si>
  <si>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</si>
  <si>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</si>
  <si>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</si>
  <si>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</si>
  <si>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</si>
  <si>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</si>
  <si>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</si>
  <si>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</si>
  <si>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</si>
  <si>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</si>
  <si>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</si>
  <si>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</si>
  <si>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</si>
  <si>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</si>
  <si>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</si>
  <si>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</si>
  <si>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</si>
  <si>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</si>
  <si>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</si>
  <si>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</si>
  <si>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</si>
  <si>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</si>
  <si>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</si>
  <si>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</si>
  <si>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</si>
  <si>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</si>
  <si>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</si>
  <si>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</si>
  <si>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</si>
  <si>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</si>
  <si>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</si>
  <si>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</si>
  <si>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</si>
  <si>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</si>
  <si>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</si>
  <si>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</si>
  <si>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</si>
  <si>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</si>
  <si>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</si>
  <si>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</si>
  <si>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</si>
  <si>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</si>
  <si>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</si>
  <si>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</si>
  <si>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</si>
  <si>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</si>
  <si>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</si>
  <si>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</si>
  <si>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</si>
  <si>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</si>
  <si>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</si>
  <si>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</si>
  <si>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</si>
  <si>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</si>
  <si>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</si>
  <si>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</si>
  <si>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</si>
  <si>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</si>
  <si>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</si>
  <si>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</si>
  <si>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</si>
  <si>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</si>
  <si>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</si>
  <si>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</si>
  <si>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</si>
  <si>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</si>
  <si>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</si>
  <si>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</si>
  <si>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</si>
  <si>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</si>
  <si>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</si>
  <si>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</si>
  <si>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</si>
  <si>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</si>
  <si>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</si>
  <si>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</si>
  <si>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</si>
  <si>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</si>
  <si>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</si>
  <si>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</si>
  <si>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</si>
  <si>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</si>
  <si>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</si>
  <si>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</si>
  <si>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</si>
  <si>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</si>
  <si>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</si>
  <si>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</si>
  <si>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</si>
  <si>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</si>
  <si>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</si>
  <si>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</si>
  <si>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</si>
  <si>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</si>
  <si>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</si>
  <si>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</si>
  <si>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</si>
  <si>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</si>
  <si>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</si>
  <si>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</si>
  <si>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</si>
  <si>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</si>
  <si>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</si>
  <si>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</si>
  <si>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</si>
  <si>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</si>
  <si>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</si>
  <si>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</si>
  <si>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</si>
  <si>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</si>
  <si>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</si>
  <si>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</si>
  <si>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</si>
  <si>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</si>
  <si>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</si>
  <si>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</si>
  <si>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</si>
  <si>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</si>
  <si>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</si>
  <si>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</si>
  <si>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</si>
  <si>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</si>
  <si>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</si>
  <si>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</si>
  <si>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</si>
  <si>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</si>
  <si>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</si>
  <si>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</si>
  <si>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</si>
  <si>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</si>
  <si>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</si>
  <si>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</si>
  <si>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</si>
  <si>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</si>
  <si>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</si>
  <si>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</si>
  <si>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</si>
  <si>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</si>
  <si>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</si>
  <si>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</si>
  <si>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</si>
  <si>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</si>
  <si>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</si>
  <si>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</si>
  <si>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</si>
  <si>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</si>
  <si>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</si>
  <si>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</si>
  <si>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</si>
  <si>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</si>
  <si>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</si>
  <si>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</si>
  <si>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</si>
  <si>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</si>
  <si>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</si>
  <si>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</si>
  <si>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</si>
  <si>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</si>
  <si>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</si>
  <si>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</si>
  <si>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</si>
  <si>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</si>
  <si>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</si>
  <si>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</si>
  <si>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</si>
  <si>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</si>
  <si>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</si>
  <si>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</si>
  <si>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</si>
  <si>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</si>
  <si>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</si>
  <si>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</si>
  <si>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</si>
  <si>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</si>
  <si>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</si>
  <si>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</si>
  <si>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</si>
  <si>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</si>
  <si>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</si>
  <si>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</si>
  <si>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</si>
  <si>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</si>
  <si>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</si>
  <si>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</si>
  <si>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</si>
  <si>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</si>
  <si>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</si>
  <si>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</si>
  <si>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</si>
  <si>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</si>
  <si>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</si>
  <si>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</si>
  <si>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</si>
  <si>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</si>
  <si>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</si>
  <si>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</si>
  <si>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</si>
  <si>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</si>
  <si>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</si>
  <si>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</si>
  <si>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</si>
  <si>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</si>
  <si>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</si>
  <si>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</si>
  <si>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</si>
  <si>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</si>
  <si>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</si>
  <si>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</si>
  <si>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</si>
  <si>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</si>
  <si>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</si>
  <si>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</si>
  <si>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</si>
  <si>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</si>
  <si>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</si>
  <si>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</si>
  <si>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</si>
  <si>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</si>
  <si>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</si>
  <si>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</si>
  <si>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</si>
  <si>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</si>
  <si>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</si>
  <si>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</si>
  <si>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</si>
  <si>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</si>
  <si>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</si>
  <si>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</si>
  <si>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</si>
  <si>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</si>
  <si>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</si>
  <si>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</si>
  <si>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</si>
  <si>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</si>
  <si>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</si>
  <si>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</si>
  <si>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</si>
  <si>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</si>
  <si>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</si>
  <si>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</si>
  <si>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</si>
  <si>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</si>
  <si>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</si>
  <si>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</si>
  <si>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</si>
  <si>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</si>
  <si>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</si>
  <si>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</si>
  <si>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</si>
  <si>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</si>
  <si>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</si>
  <si>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</si>
  <si>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</si>
  <si>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</si>
  <si>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</si>
  <si>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</si>
  <si>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</si>
  <si>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</si>
  <si>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</si>
  <si>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</si>
  <si>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</si>
  <si>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</si>
  <si>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</si>
  <si>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</si>
  <si>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</si>
  <si>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</si>
  <si>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</si>
  <si>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</si>
  <si>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</si>
  <si>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</si>
  <si>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</si>
  <si>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</si>
  <si>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</si>
  <si>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</si>
  <si>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</si>
  <si>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</si>
  <si>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</si>
  <si>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</si>
  <si>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</si>
  <si>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</si>
  <si>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</si>
  <si>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</si>
  <si>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</si>
  <si>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</si>
  <si>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</si>
  <si>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</si>
  <si>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</si>
  <si>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</si>
  <si>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</si>
  <si>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</si>
  <si>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</si>
  <si>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</si>
  <si>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</si>
  <si>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</si>
  <si>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</si>
  <si>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</si>
  <si>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</si>
  <si>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</si>
  <si>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</si>
  <si>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</si>
  <si>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</si>
  <si>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</si>
  <si>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</si>
  <si>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</si>
  <si>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</si>
  <si>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</si>
  <si>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</si>
  <si>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</si>
  <si>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</si>
  <si>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</si>
  <si>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</si>
  <si>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</si>
  <si>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</si>
  <si>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</si>
  <si>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</si>
  <si>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</si>
  <si>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</si>
  <si>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</si>
  <si>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</si>
  <si>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</si>
  <si>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</si>
  <si>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</si>
  <si>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</si>
  <si>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</si>
  <si>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</si>
  <si>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</si>
  <si>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</si>
  <si>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</si>
  <si>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</si>
  <si>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</si>
  <si>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</si>
  <si>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</si>
  <si>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</si>
  <si>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</si>
  <si>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</si>
  <si>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</si>
  <si>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</si>
  <si>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</si>
  <si>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</si>
  <si>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</si>
  <si>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</si>
  <si>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</si>
  <si>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</si>
  <si>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</si>
  <si>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</si>
  <si>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</si>
  <si>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</si>
  <si>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</si>
  <si>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</si>
  <si>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</si>
  <si>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</si>
  <si>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</si>
  <si>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</si>
  <si>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</si>
  <si>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</si>
  <si>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</si>
  <si>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</si>
  <si>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</si>
  <si>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</si>
  <si>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</si>
  <si>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</si>
  <si>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</si>
  <si>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</si>
  <si>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</si>
  <si>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</si>
  <si>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</si>
  <si>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</si>
  <si>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</si>
  <si>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</si>
  <si>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</si>
  <si>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</si>
  <si>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</si>
  <si>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</si>
  <si>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</si>
  <si>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</si>
  <si>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</si>
  <si>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</si>
  <si>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</si>
  <si>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</si>
  <si>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</si>
  <si>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</si>
  <si>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</si>
  <si>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</si>
  <si>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</si>
  <si>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</si>
  <si>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</si>
  <si>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</si>
  <si>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</si>
  <si>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</si>
  <si>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</si>
  <si>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</si>
  <si>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</si>
  <si>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</si>
  <si>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</si>
  <si>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</si>
  <si>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</si>
  <si>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</si>
  <si>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</si>
  <si>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</si>
  <si>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</si>
  <si>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</si>
  <si>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</si>
  <si>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</si>
  <si>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</si>
  <si>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</si>
  <si>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</si>
  <si>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</si>
  <si>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</si>
  <si>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</si>
  <si>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</si>
  <si>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</si>
  <si>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</si>
  <si>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</si>
  <si>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</si>
  <si>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</si>
  <si>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</si>
  <si>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</si>
  <si>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</si>
  <si>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</si>
  <si>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</si>
  <si>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</si>
  <si>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</si>
  <si>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</si>
  <si>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</si>
  <si>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</si>
  <si>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</si>
  <si>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</si>
  <si>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</si>
  <si>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</si>
  <si>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</si>
  <si>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</si>
  <si>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</si>
  <si>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</si>
  <si>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</si>
  <si>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</si>
  <si>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</si>
  <si>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</si>
  <si>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</si>
  <si>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</si>
  <si>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</si>
  <si>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</si>
  <si>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</si>
  <si>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</si>
  <si>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</si>
  <si>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</si>
  <si>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</si>
  <si>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</si>
  <si>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</si>
  <si>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</si>
  <si>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</si>
  <si>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</si>
  <si>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</si>
  <si>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</si>
  <si>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</si>
  <si>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</si>
  <si>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</si>
  <si>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</si>
  <si>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</si>
  <si>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</si>
  <si>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</si>
  <si>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</si>
  <si>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</si>
  <si>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</si>
  <si>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</si>
  <si>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</si>
  <si>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</si>
  <si>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</si>
  <si>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</si>
  <si>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</si>
  <si>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</si>
  <si>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</si>
  <si>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</si>
  <si>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</si>
  <si>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</si>
  <si>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</si>
  <si>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</si>
  <si>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</si>
  <si>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</si>
  <si>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</si>
  <si>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</si>
  <si>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</si>
  <si>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</si>
  <si>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</si>
  <si>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</si>
  <si>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</si>
  <si>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</si>
  <si>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</si>
  <si>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</si>
  <si>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</si>
  <si>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</si>
  <si>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</si>
  <si>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</si>
  <si>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</si>
  <si>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</si>
  <si>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</si>
  <si>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</si>
  <si>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</si>
  <si>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</si>
  <si>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</si>
  <si>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</si>
  <si>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</si>
  <si>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</si>
  <si>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</si>
  <si>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</si>
  <si>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</si>
  <si>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</si>
  <si>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</si>
  <si>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</si>
  <si>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</si>
  <si>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</si>
  <si>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</si>
  <si>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</si>
  <si>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</si>
  <si>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</si>
  <si>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</si>
  <si>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</si>
  <si>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</si>
  <si>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</si>
  <si>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</si>
  <si>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</si>
  <si>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</si>
  <si>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</si>
  <si>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</si>
  <si>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</si>
  <si>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</si>
  <si>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</si>
  <si>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</si>
  <si>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</si>
  <si>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</si>
  <si>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</si>
  <si>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</si>
  <si>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</si>
  <si>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</si>
  <si>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</si>
  <si>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</si>
  <si>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</si>
  <si>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</si>
  <si>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</si>
  <si>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</si>
  <si>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</si>
  <si>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</si>
  <si>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</si>
  <si>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</si>
  <si>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</si>
  <si>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</si>
  <si>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</si>
  <si>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</si>
  <si>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</si>
  <si>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</si>
  <si>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</si>
  <si>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</si>
  <si>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</si>
  <si>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</si>
  <si>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</si>
  <si>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</si>
  <si>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</si>
  <si>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</si>
  <si>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</si>
  <si>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</si>
  <si>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</si>
  <si>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</si>
  <si>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</si>
  <si>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</si>
  <si>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</si>
  <si>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</si>
  <si>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</si>
  <si>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</si>
  <si>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</si>
  <si>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</si>
  <si>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</si>
  <si>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</si>
  <si>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</si>
  <si>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</si>
  <si>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</si>
  <si>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</si>
  <si>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</si>
  <si>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</si>
  <si>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</si>
  <si>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</si>
  <si>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</si>
  <si>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</si>
  <si>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</si>
  <si>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</si>
  <si>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</si>
  <si>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</si>
  <si>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</si>
  <si>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</si>
  <si>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</si>
  <si>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</si>
  <si>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</si>
  <si>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</si>
  <si>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</si>
  <si>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</si>
  <si>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</si>
  <si>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</si>
  <si>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</si>
  <si>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</si>
  <si>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</si>
  <si>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</si>
  <si>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</si>
  <si>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</si>
  <si>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</si>
  <si>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</si>
  <si>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</si>
  <si>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</si>
  <si>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</si>
  <si>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</si>
  <si>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</si>
  <si>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</si>
  <si>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</si>
  <si>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</si>
  <si>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</si>
  <si>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</si>
  <si>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</si>
  <si>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</si>
  <si>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</si>
  <si>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</si>
  <si>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</si>
  <si>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</si>
  <si>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</si>
  <si>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</si>
  <si>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</si>
  <si>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</si>
  <si>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</si>
  <si>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</si>
  <si>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</si>
  <si>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</si>
  <si>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</si>
  <si>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</si>
  <si>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</si>
  <si>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</si>
  <si>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</si>
  <si>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</si>
  <si>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</si>
  <si>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</si>
  <si>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</si>
  <si>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</si>
  <si>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</si>
  <si>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</si>
  <si>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</si>
  <si>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</si>
  <si>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</si>
  <si>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</si>
  <si>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</si>
  <si>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</si>
  <si>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</si>
  <si>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</si>
  <si>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</si>
  <si>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</si>
  <si>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</si>
  <si>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</si>
  <si>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</si>
  <si>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</si>
  <si>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</si>
  <si>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</si>
  <si>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</si>
  <si>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</si>
  <si>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</si>
  <si>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</si>
  <si>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</si>
  <si>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</si>
  <si>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</si>
  <si>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</si>
  <si>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</si>
  <si>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</si>
  <si>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</si>
  <si>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</si>
  <si>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</si>
  <si>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</si>
  <si>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</si>
  <si>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</si>
  <si>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</si>
  <si>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</si>
  <si>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</si>
  <si>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</si>
  <si>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</si>
  <si>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</si>
  <si>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</si>
  <si>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</si>
  <si>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</si>
  <si>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</si>
  <si>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</si>
  <si>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</si>
  <si>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</si>
  <si>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</si>
  <si>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</si>
  <si>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</si>
  <si>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</si>
  <si>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</si>
  <si>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</si>
  <si>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</si>
  <si>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</si>
  <si>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</si>
  <si>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</si>
  <si>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</si>
  <si>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</si>
  <si>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</si>
  <si>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</si>
  <si>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</si>
  <si>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</si>
  <si>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</si>
  <si>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</si>
  <si>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</si>
  <si>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</si>
  <si>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</si>
  <si>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</si>
  <si>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</si>
  <si>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</si>
  <si>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</si>
  <si>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</si>
  <si>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</si>
  <si>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</si>
  <si>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</si>
  <si>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</si>
  <si>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</si>
  <si>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</si>
  <si>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</si>
  <si>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</si>
  <si>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</si>
  <si>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</si>
  <si>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</si>
  <si>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</si>
  <si>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</si>
  <si>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</si>
  <si>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</si>
  <si>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</si>
  <si>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</si>
  <si>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</si>
  <si>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</si>
  <si>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</si>
  <si>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</si>
  <si>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</si>
  <si>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</si>
  <si>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</si>
  <si>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</si>
  <si>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</si>
  <si>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</si>
  <si>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</si>
  <si>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</si>
  <si>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</si>
  <si>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</si>
  <si>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</si>
  <si>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</si>
  <si>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</si>
  <si>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</si>
  <si>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</si>
  <si>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</si>
  <si>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</si>
  <si>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</si>
  <si>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</si>
  <si>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</si>
  <si>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</si>
  <si>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</si>
  <si>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</si>
  <si>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</si>
  <si>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</si>
  <si>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</si>
  <si>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</si>
  <si>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</si>
  <si>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</si>
  <si>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</si>
  <si>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</si>
  <si>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</si>
  <si>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</si>
  <si>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</si>
  <si>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</si>
  <si>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</si>
  <si>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</si>
  <si>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</si>
  <si>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</si>
  <si>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</si>
  <si>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</si>
  <si>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</si>
  <si>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</si>
  <si>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</si>
  <si>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</si>
  <si>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</si>
  <si>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</si>
  <si>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</si>
  <si>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</si>
  <si>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</si>
  <si>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</si>
  <si>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</si>
  <si>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</si>
  <si>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</si>
  <si>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</si>
  <si>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</si>
  <si>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</si>
  <si>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</si>
  <si>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</si>
  <si>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</si>
  <si>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</si>
  <si>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</si>
  <si>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</si>
  <si>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</si>
  <si>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</si>
  <si>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</si>
  <si>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</si>
  <si>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</si>
  <si>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</si>
  <si>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</si>
  <si>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</si>
  <si>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</si>
  <si>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</si>
  <si>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</si>
  <si>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</si>
  <si>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</si>
  <si>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</si>
  <si>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</si>
  <si>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</si>
  <si>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</si>
  <si>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</si>
  <si>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</si>
  <si>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</si>
  <si>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</si>
  <si>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</si>
  <si>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</si>
  <si>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</si>
  <si>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</si>
  <si>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</si>
  <si>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</si>
  <si>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</si>
  <si>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</si>
  <si>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</si>
  <si>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</si>
  <si>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</si>
  <si>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</si>
  <si>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</si>
  <si>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</si>
  <si>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</si>
  <si>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</si>
  <si>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</si>
  <si>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</si>
  <si>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</si>
  <si>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</si>
  <si>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</si>
  <si>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</si>
  <si>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</si>
  <si>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</si>
  <si>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</si>
  <si>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</si>
  <si>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</si>
  <si>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</si>
  <si>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</si>
  <si>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</si>
  <si>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</si>
  <si>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</si>
  <si>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</si>
  <si>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</si>
  <si>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</si>
  <si>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</si>
  <si>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</si>
  <si>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</si>
  <si>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</si>
  <si>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</si>
  <si>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</si>
  <si>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</si>
  <si>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</si>
  <si>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</si>
  <si>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</si>
  <si>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</si>
  <si>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</si>
  <si>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</si>
  <si>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</si>
  <si>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</si>
  <si>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</si>
  <si>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</si>
  <si>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</si>
  <si>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</si>
  <si>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</si>
  <si>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</si>
  <si>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</si>
  <si>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</si>
  <si>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</si>
  <si>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</si>
  <si>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</si>
  <si>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</si>
  <si>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</si>
  <si>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</si>
  <si>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</si>
  <si>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</si>
  <si>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</si>
  <si>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</si>
  <si>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</si>
  <si>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</si>
  <si>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</si>
  <si>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</si>
  <si>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</si>
  <si>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</si>
  <si>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</si>
  <si>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</si>
  <si>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</si>
  <si>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</si>
  <si>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</si>
  <si>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</si>
  <si>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</si>
  <si>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</si>
  <si>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</si>
  <si>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</si>
  <si>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</si>
  <si>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</si>
  <si>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</si>
  <si>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</si>
  <si>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</si>
  <si>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</si>
  <si>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</si>
  <si>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</si>
  <si>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</si>
  <si>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</si>
  <si>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</si>
  <si>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</si>
  <si>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</si>
  <si>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</si>
  <si>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</si>
  <si>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</si>
  <si>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</si>
  <si>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</si>
  <si>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</si>
  <si>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</si>
  <si>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</si>
  <si>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</si>
  <si>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</si>
  <si>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</si>
  <si>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</si>
  <si>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</si>
  <si>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</si>
  <si>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</si>
  <si>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</si>
  <si>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</si>
  <si>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</si>
  <si>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</si>
  <si>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</si>
  <si>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</si>
  <si>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</si>
  <si>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</si>
  <si>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</si>
  <si>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</si>
  <si>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</si>
  <si>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</si>
  <si>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</si>
  <si>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</si>
  <si>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</si>
  <si>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</si>
  <si>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</si>
  <si>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</si>
  <si>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</si>
  <si>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</si>
  <si>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</si>
  <si>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</si>
  <si>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</si>
  <si>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</si>
  <si>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</si>
  <si>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</si>
  <si>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</si>
  <si>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</si>
  <si>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</si>
  <si>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</si>
  <si>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</si>
  <si>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</si>
  <si>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</si>
  <si>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</si>
  <si>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</si>
  <si>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</si>
  <si>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</si>
  <si>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</si>
  <si>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</si>
  <si>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</si>
  <si>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</si>
  <si>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</si>
  <si>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</si>
  <si>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</si>
  <si>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</si>
  <si>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</si>
  <si>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</si>
  <si>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</si>
  <si>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</si>
  <si>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</si>
  <si>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</si>
  <si>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</si>
  <si>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</si>
  <si>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</si>
  <si>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</si>
  <si>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</si>
  <si>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</si>
  <si>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</si>
  <si>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</si>
  <si>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</si>
  <si>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</si>
  <si>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</si>
  <si>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</si>
  <si>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</si>
  <si>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</si>
  <si>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</si>
  <si>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</si>
  <si>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</si>
  <si>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</si>
  <si>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</si>
  <si>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</si>
  <si>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</si>
  <si>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</si>
  <si>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</si>
  <si>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</si>
  <si>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</si>
  <si>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</si>
  <si>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</si>
  <si>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</si>
  <si>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</si>
  <si>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</si>
  <si>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</si>
  <si>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</si>
  <si>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</si>
  <si>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</si>
  <si>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</si>
  <si>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</si>
  <si>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</si>
  <si>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</si>
  <si>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</si>
  <si>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</si>
  <si>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</si>
  <si>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</si>
  <si>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</si>
  <si>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</si>
  <si>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</si>
  <si>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</si>
  <si>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</si>
  <si>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</si>
  <si>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</si>
  <si>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</si>
  <si>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</si>
  <si>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</si>
  <si>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</si>
  <si>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</si>
  <si>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</si>
  <si>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</si>
  <si>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</si>
  <si>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</si>
  <si>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</si>
  <si>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</si>
  <si>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</si>
  <si>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</si>
  <si>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</si>
  <si>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</si>
  <si>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</si>
  <si>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</si>
  <si>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</si>
  <si>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</si>
  <si>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</si>
  <si>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</si>
  <si>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</si>
  <si>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</si>
  <si>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</si>
  <si>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</si>
  <si>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</si>
  <si>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</si>
  <si>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</si>
  <si>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</si>
  <si>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</si>
  <si>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</si>
  <si>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</si>
  <si>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</si>
  <si>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</si>
  <si>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</si>
  <si>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</si>
  <si>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</si>
  <si>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</si>
  <si>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</si>
  <si>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</si>
  <si>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</si>
  <si>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</si>
  <si>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</si>
  <si>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</si>
  <si>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</si>
  <si>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</si>
  <si>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</si>
  <si>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</si>
  <si>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</si>
  <si>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</si>
  <si>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</si>
  <si>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</si>
  <si>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</si>
  <si>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</si>
  <si>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</si>
  <si>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</si>
  <si>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</si>
  <si>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</si>
  <si>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</si>
  <si>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</si>
  <si>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</si>
  <si>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</si>
  <si>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</si>
  <si>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</si>
  <si>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</si>
  <si>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</si>
  <si>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</si>
  <si>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</si>
  <si>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</si>
  <si>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</si>
  <si>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</si>
  <si>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</si>
  <si>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</si>
  <si>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</si>
  <si>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</si>
  <si>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</si>
  <si>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</si>
  <si>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</si>
  <si>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</si>
  <si>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</si>
  <si>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</si>
  <si>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</si>
  <si>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</si>
  <si>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</si>
  <si>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</si>
  <si>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</si>
  <si>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</si>
  <si>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</si>
  <si>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</si>
  <si>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</si>
  <si>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</si>
  <si>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</si>
  <si>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</si>
  <si>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</si>
  <si>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</si>
  <si>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</si>
  <si>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</si>
  <si>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</si>
  <si>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</si>
  <si>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</si>
  <si>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</si>
  <si>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</si>
  <si>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</si>
  <si>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</si>
  <si>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</si>
  <si>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</si>
  <si>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</si>
  <si>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</si>
  <si>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</si>
  <si>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</si>
  <si>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</si>
  <si>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</si>
  <si>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</si>
  <si>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</si>
  <si>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</si>
  <si>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</si>
  <si>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</si>
  <si>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</si>
  <si>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</si>
  <si>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</si>
  <si>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</si>
  <si>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</si>
  <si>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</si>
  <si>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</si>
  <si>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</si>
  <si>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</si>
  <si>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</si>
  <si>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</si>
  <si>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</si>
  <si>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</si>
  <si>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</si>
  <si>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</si>
  <si>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</si>
  <si>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</si>
  <si>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</si>
  <si>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</si>
  <si>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</si>
  <si>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</si>
  <si>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</si>
  <si>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</si>
  <si>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</si>
  <si>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</si>
  <si>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</si>
  <si>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</si>
  <si>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</si>
  <si>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</si>
  <si>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</si>
  <si>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</si>
  <si>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</si>
  <si>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</si>
  <si>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</si>
  <si>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</si>
  <si>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</si>
  <si>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</si>
  <si>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</si>
  <si>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</si>
  <si>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</si>
  <si>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</si>
  <si>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</si>
  <si>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</si>
  <si>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</si>
  <si>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</si>
  <si>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</si>
  <si>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</si>
  <si>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</si>
  <si>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</si>
  <si>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</si>
  <si>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</si>
  <si>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</si>
  <si>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</si>
  <si>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</si>
  <si>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</si>
  <si>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</si>
  <si>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</si>
  <si>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</si>
  <si>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</si>
  <si>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</si>
  <si>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</si>
  <si>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</si>
  <si>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</si>
  <si>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</si>
  <si>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</si>
  <si>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</si>
  <si>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</si>
  <si>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</si>
  <si>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</si>
  <si>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</si>
  <si>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</si>
  <si>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</si>
  <si>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</si>
  <si>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</si>
  <si>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</si>
  <si>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</si>
  <si>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</si>
  <si>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</si>
  <si>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</si>
  <si>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</si>
  <si>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</si>
  <si>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</si>
  <si>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</si>
  <si>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</si>
  <si>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</si>
  <si>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</si>
  <si>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</si>
  <si>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</si>
  <si>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</si>
  <si>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</si>
  <si>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</si>
  <si>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</si>
  <si>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</si>
  <si>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</si>
  <si>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</si>
  <si>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</si>
  <si>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</si>
  <si>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</si>
  <si>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</si>
  <si>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</si>
  <si>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</si>
  <si>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</si>
  <si>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</si>
  <si>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</si>
  <si>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</si>
  <si>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</si>
  <si>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</si>
  <si>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</si>
  <si>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</si>
  <si>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</si>
  <si>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</si>
  <si>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</si>
  <si>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</si>
  <si>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</si>
  <si>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</si>
  <si>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</si>
  <si>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</si>
  <si>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</si>
  <si>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</si>
  <si>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</si>
  <si>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</si>
  <si>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</si>
  <si>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</si>
  <si>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</si>
  <si>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</si>
  <si>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</si>
  <si>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</si>
  <si>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</si>
  <si>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</si>
  <si>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</si>
  <si>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</si>
  <si>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</si>
  <si>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</si>
  <si>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</si>
  <si>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</si>
  <si>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</si>
  <si>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</si>
  <si>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</si>
  <si>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</si>
  <si>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</si>
  <si>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</si>
  <si>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</si>
  <si>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</si>
  <si>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</si>
  <si>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</si>
  <si>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</si>
  <si>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</si>
  <si>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</si>
  <si>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</si>
  <si>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</si>
  <si>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</si>
  <si>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</si>
  <si>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</si>
  <si>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</si>
  <si>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</si>
  <si>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</si>
  <si>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</si>
  <si>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</si>
  <si>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</si>
  <si>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</si>
  <si>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</si>
  <si>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</si>
  <si>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</si>
  <si>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</si>
  <si>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</si>
  <si>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</si>
  <si>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</si>
  <si>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</si>
  <si>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</si>
  <si>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</si>
  <si>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</si>
  <si>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</si>
  <si>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</si>
  <si>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</si>
  <si>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</si>
  <si>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</si>
  <si>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</si>
  <si>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</si>
  <si>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</si>
  <si>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</si>
  <si>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</si>
  <si>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</si>
  <si>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</si>
  <si>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</si>
  <si>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</si>
  <si>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</si>
  <si>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</si>
  <si>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</si>
  <si>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</si>
  <si>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</si>
  <si>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</si>
  <si>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</si>
  <si>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</si>
  <si>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</si>
  <si>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</si>
  <si>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</si>
  <si>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</si>
  <si>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</si>
  <si>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</si>
  <si>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</si>
  <si>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</si>
  <si>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</si>
  <si>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</si>
  <si>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</si>
  <si>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</si>
  <si>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</si>
  <si>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</si>
  <si>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</si>
  <si>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</si>
  <si>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</si>
  <si>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</si>
  <si>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</si>
  <si>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</si>
  <si>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</si>
  <si>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</si>
  <si>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</si>
  <si>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</si>
  <si>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</si>
  <si>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</si>
  <si>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</si>
  <si>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</si>
  <si>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</si>
  <si>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</si>
  <si>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</si>
  <si>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</si>
  <si>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</si>
  <si>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</si>
  <si>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</si>
  <si>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</si>
  <si>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</si>
  <si>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</si>
  <si>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</si>
  <si>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</si>
  <si>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</si>
  <si>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</si>
  <si>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</si>
  <si>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</si>
  <si>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</si>
  <si>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</si>
  <si>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</si>
  <si>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</si>
  <si>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</si>
  <si>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</si>
  <si>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</si>
  <si>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</si>
  <si>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</si>
  <si>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</si>
  <si>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</si>
  <si>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</si>
  <si>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</si>
  <si>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</si>
  <si>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</si>
  <si>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</si>
  <si>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</si>
  <si>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</si>
  <si>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</si>
  <si>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</si>
  <si>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</si>
  <si>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</si>
  <si>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</si>
  <si>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</si>
  <si>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</si>
  <si>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</si>
  <si>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</si>
  <si>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</si>
  <si>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</si>
  <si>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</si>
  <si>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</si>
  <si>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</si>
  <si>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</si>
  <si>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</si>
  <si>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</si>
  <si>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</si>
  <si>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</si>
  <si>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</si>
  <si>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</si>
  <si>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</si>
  <si>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</si>
  <si>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</si>
  <si>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</si>
  <si>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</si>
  <si>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</si>
  <si>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</si>
  <si>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</si>
  <si>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</si>
  <si>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</si>
  <si>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</si>
  <si>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</si>
  <si>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</si>
  <si>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</si>
  <si>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</si>
  <si>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</si>
  <si>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</si>
  <si>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</si>
  <si>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</si>
  <si>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</si>
  <si>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</si>
  <si>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</si>
  <si>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</si>
  <si>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</si>
  <si>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</si>
  <si>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</si>
  <si>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</si>
  <si>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</si>
  <si>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</si>
  <si>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</si>
  <si>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</si>
  <si>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</si>
  <si>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</si>
  <si>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</si>
  <si>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</si>
  <si>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</si>
  <si>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</si>
  <si>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</si>
  <si>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</si>
  <si>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</si>
  <si>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</si>
  <si>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</si>
  <si>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</si>
  <si>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</si>
  <si>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</si>
  <si>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</si>
  <si>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</si>
  <si>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</si>
  <si>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</si>
  <si>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</si>
  <si>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</si>
  <si>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</si>
  <si>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</si>
  <si>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</si>
  <si>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</si>
  <si>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</si>
  <si>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</si>
  <si>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</si>
  <si>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</si>
  <si>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</si>
  <si>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</si>
  <si>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</si>
  <si>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</si>
  <si>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</si>
  <si>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</si>
  <si>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</si>
  <si>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</si>
  <si>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</si>
  <si>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</si>
  <si>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</si>
  <si>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</si>
  <si>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</si>
  <si>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</si>
  <si>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</si>
  <si>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</si>
  <si>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</si>
  <si>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</si>
  <si>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</si>
  <si>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</si>
  <si>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</si>
  <si>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</si>
  <si>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</si>
  <si>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</si>
  <si>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</si>
  <si>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</si>
  <si>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</si>
  <si>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</si>
  <si>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</si>
  <si>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</si>
  <si>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</si>
  <si>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</si>
  <si>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</si>
  <si>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</si>
  <si>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</si>
  <si>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</si>
  <si>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</si>
  <si>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</si>
  <si>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</si>
  <si>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</si>
  <si>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</si>
  <si>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</si>
  <si>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</si>
  <si>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</si>
  <si>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</si>
  <si>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</si>
  <si>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</si>
  <si>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</si>
  <si>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</si>
  <si>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</si>
  <si>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</si>
  <si>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</si>
  <si>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</si>
  <si>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</si>
  <si>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</si>
  <si>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</si>
  <si>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</si>
  <si>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</si>
  <si>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</si>
  <si>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</si>
  <si>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</si>
  <si>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</si>
  <si>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</si>
  <si>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</si>
  <si>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</si>
  <si>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</si>
  <si>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</si>
  <si>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</si>
  <si>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</si>
  <si>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</si>
  <si>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</si>
  <si>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</si>
  <si>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</si>
  <si>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</si>
  <si>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</si>
  <si>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</si>
  <si>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</si>
  <si>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</si>
  <si>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</si>
  <si>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</si>
  <si>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</si>
  <si>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</si>
  <si>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</si>
  <si>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</si>
  <si>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</si>
  <si>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</si>
  <si>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</si>
  <si>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</si>
  <si>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</si>
  <si>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</si>
  <si>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</si>
  <si>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</si>
  <si>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</si>
  <si>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</si>
  <si>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</si>
  <si>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</si>
  <si>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</si>
  <si>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</si>
  <si>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</si>
  <si>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</si>
  <si>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</si>
  <si>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</si>
  <si>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</si>
  <si>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</si>
  <si>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</si>
  <si>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</si>
  <si>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</si>
  <si>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</si>
  <si>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</si>
  <si>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</si>
  <si>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</si>
  <si>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</si>
  <si>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</si>
  <si>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</si>
  <si>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</si>
  <si>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</si>
  <si>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</si>
  <si>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</si>
  <si>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</si>
  <si>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</si>
  <si>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</si>
  <si>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</si>
  <si>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</si>
  <si>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</si>
  <si>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</si>
  <si>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</si>
  <si>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</si>
  <si>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</si>
  <si>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</si>
  <si>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</si>
  <si>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</si>
  <si>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</si>
  <si>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</si>
  <si>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</si>
  <si>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</si>
  <si>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</si>
  <si>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</si>
  <si>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</si>
  <si>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</si>
  <si>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</si>
  <si>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</si>
  <si>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</si>
  <si>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</si>
  <si>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</si>
  <si>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</si>
  <si>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</si>
  <si>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</si>
  <si>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</si>
  <si>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</si>
  <si>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</si>
  <si>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</si>
  <si>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</si>
  <si>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</si>
  <si>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</si>
  <si>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</si>
  <si>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</si>
  <si>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</si>
  <si>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</si>
  <si>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</si>
  <si>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</si>
  <si>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</si>
  <si>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</si>
  <si>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</si>
  <si>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</si>
  <si>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</si>
  <si>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</si>
  <si>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</si>
  <si>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</si>
  <si>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</si>
  <si>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</si>
  <si>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</si>
  <si>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</si>
  <si>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</si>
  <si>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</si>
  <si>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</si>
  <si>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</si>
  <si>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</si>
  <si>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</si>
  <si>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</si>
  <si>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</si>
  <si>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</si>
  <si>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</si>
  <si>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</si>
  <si>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</si>
  <si>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</si>
  <si>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</si>
  <si>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</si>
  <si>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</si>
  <si>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</si>
  <si>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</si>
  <si>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</si>
  <si>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</si>
  <si>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</si>
  <si>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</si>
  <si>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</si>
  <si>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</si>
  <si>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</si>
  <si>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</si>
  <si>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</si>
  <si>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</si>
  <si>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</si>
  <si>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</si>
  <si>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</si>
  <si>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</si>
  <si>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</si>
  <si>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</si>
  <si>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</si>
  <si>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</si>
  <si>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</si>
  <si>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</si>
  <si>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</si>
  <si>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</si>
  <si>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</si>
  <si>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</si>
  <si>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</si>
  <si>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</si>
  <si>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</si>
  <si>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</si>
  <si>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</si>
  <si>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</si>
  <si>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</si>
  <si>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</si>
  <si>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</si>
  <si>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</si>
  <si>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</si>
  <si>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</si>
  <si>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</si>
  <si>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</si>
  <si>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</si>
  <si>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</si>
  <si>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</si>
  <si>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</si>
  <si>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</si>
  <si>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</si>
  <si>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</si>
  <si>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</si>
  <si>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</si>
  <si>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</si>
  <si>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</si>
  <si>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</si>
  <si>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</si>
  <si>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</si>
  <si>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</si>
  <si>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</si>
  <si>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</si>
  <si>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</si>
  <si>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</si>
  <si>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</si>
  <si>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</si>
  <si>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</si>
  <si>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</si>
  <si>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</si>
  <si>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</si>
  <si>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</si>
  <si>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</si>
  <si>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</si>
  <si>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</si>
  <si>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</si>
  <si>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</si>
  <si>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</si>
  <si>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</si>
  <si>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</si>
  <si>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</si>
  <si>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</si>
  <si>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</si>
  <si>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</si>
  <si>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</si>
  <si>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</si>
  <si>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</si>
  <si>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</si>
  <si>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</si>
  <si>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</si>
  <si>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</si>
  <si>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</si>
  <si>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</si>
  <si>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</si>
  <si>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</si>
  <si>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</si>
  <si>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</si>
  <si>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</si>
  <si>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</si>
  <si>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</si>
  <si>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</si>
  <si>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</si>
  <si>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</si>
  <si>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</si>
  <si>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</si>
  <si>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</si>
  <si>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</si>
  <si>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</si>
  <si>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</si>
  <si>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</si>
  <si>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</si>
  <si>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</si>
  <si>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</si>
  <si>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</si>
  <si>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</si>
  <si>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</si>
  <si>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</si>
  <si>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</si>
  <si>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</si>
  <si>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</si>
  <si>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</si>
  <si>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</si>
  <si>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</si>
  <si>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</si>
  <si>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</si>
  <si>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</si>
  <si>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</si>
  <si>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</si>
  <si>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</si>
  <si>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</si>
  <si>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</si>
  <si>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</si>
  <si>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</si>
  <si>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</si>
  <si>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</si>
  <si>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</si>
  <si>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</si>
  <si>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</si>
  <si>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</si>
  <si>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</si>
  <si>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</si>
  <si>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</si>
  <si>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</si>
  <si>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</si>
  <si>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</si>
  <si>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</si>
  <si>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</si>
  <si>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</si>
  <si>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</si>
  <si>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</si>
  <si>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</si>
  <si>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</si>
  <si>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</si>
  <si>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</si>
  <si>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</si>
  <si>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</si>
  <si>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</si>
  <si>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</si>
  <si>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</si>
  <si>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</si>
  <si>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</si>
  <si>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</si>
  <si>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</si>
  <si>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</si>
  <si>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</si>
  <si>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</si>
  <si>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</si>
  <si>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</si>
  <si>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</si>
  <si>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</si>
  <si>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</si>
  <si>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</si>
  <si>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</si>
  <si>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</si>
  <si>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</si>
  <si>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</si>
  <si>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</si>
  <si>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</si>
  <si>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</si>
  <si>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</si>
  <si>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</si>
  <si>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</si>
  <si>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</si>
  <si>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</si>
  <si>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</si>
  <si>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</si>
  <si>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</si>
  <si>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</si>
  <si>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</si>
  <si>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</si>
  <si>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</si>
  <si>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</si>
  <si>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</si>
  <si>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</si>
  <si>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</si>
  <si>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</si>
  <si>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</si>
  <si>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</si>
  <si>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</si>
  <si>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</si>
  <si>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</si>
  <si>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</si>
  <si>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</si>
  <si>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</si>
  <si>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</si>
  <si>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</si>
  <si>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</si>
  <si>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</si>
  <si>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</si>
  <si>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</si>
  <si>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</si>
  <si>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</si>
  <si>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</si>
  <si>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</si>
  <si>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</si>
  <si>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</si>
  <si>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</si>
  <si>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</si>
  <si>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</si>
  <si>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</si>
  <si>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</si>
  <si>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</si>
  <si>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</si>
  <si>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</si>
  <si>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</si>
  <si>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</si>
  <si>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</si>
  <si>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</si>
  <si>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</si>
  <si>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</si>
  <si>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</si>
  <si>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</si>
  <si>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</si>
  <si>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</si>
  <si>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</si>
  <si>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</si>
  <si>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</si>
  <si>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</si>
  <si>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</si>
  <si>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</si>
  <si>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</si>
  <si>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</si>
  <si>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</si>
  <si>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</si>
  <si>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</si>
  <si>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</si>
  <si>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</si>
  <si>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</si>
  <si>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</si>
  <si>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</si>
  <si>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</si>
  <si>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</si>
  <si>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</si>
  <si>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</si>
  <si>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</si>
  <si>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</si>
  <si>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</si>
  <si>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</si>
  <si>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</si>
  <si>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</si>
  <si>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</si>
  <si>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</si>
  <si>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</si>
  <si>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</si>
  <si>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</si>
  <si>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</si>
  <si>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</si>
  <si>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</si>
  <si>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</si>
  <si>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</si>
  <si>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</si>
  <si>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</si>
  <si>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</si>
  <si>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</si>
  <si>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</si>
  <si>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</si>
  <si>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</si>
  <si>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</si>
  <si>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</si>
  <si>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</si>
  <si>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</si>
  <si>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</si>
  <si>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</si>
  <si>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</si>
  <si>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</si>
  <si>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</si>
  <si>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</si>
  <si>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</si>
  <si>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</si>
  <si>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</si>
  <si>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</si>
  <si>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</si>
  <si>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</si>
  <si>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</si>
  <si>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</si>
  <si>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</si>
  <si>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</si>
  <si>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</si>
  <si>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</si>
  <si>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</si>
  <si>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</si>
  <si>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</si>
  <si>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</si>
  <si>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</si>
  <si>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</si>
  <si>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</si>
  <si>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</si>
  <si>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</si>
  <si>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</si>
  <si>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</si>
  <si>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</si>
  <si>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</si>
  <si>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</si>
  <si>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</si>
  <si>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</si>
  <si>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</si>
  <si>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</si>
  <si>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</si>
  <si>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</si>
  <si>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</si>
  <si>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</si>
  <si>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</si>
  <si>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</si>
  <si>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</si>
  <si>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</si>
  <si>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</si>
  <si>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</si>
  <si>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</si>
  <si>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</si>
  <si>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</si>
  <si>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</si>
  <si>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</si>
  <si>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</si>
  <si>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</si>
  <si>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</si>
  <si>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</si>
  <si>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</si>
  <si>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</si>
  <si>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</si>
  <si>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</si>
  <si>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</si>
  <si>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</si>
  <si>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</si>
  <si>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</si>
  <si>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</si>
  <si>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</si>
  <si>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</si>
  <si>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</si>
  <si>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</si>
  <si>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</si>
  <si>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</si>
  <si>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</si>
  <si>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</si>
  <si>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</si>
  <si>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</si>
  <si>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</si>
  <si>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</si>
  <si>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</si>
  <si>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</si>
  <si>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</si>
  <si>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</si>
  <si>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</si>
  <si>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</si>
  <si>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</si>
  <si>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</si>
  <si>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</si>
  <si>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</si>
  <si>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</si>
  <si>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</si>
  <si>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</si>
  <si>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</si>
  <si>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</si>
  <si>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</si>
  <si>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</si>
  <si>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</si>
  <si>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</si>
  <si>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</si>
  <si>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</si>
  <si>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</si>
  <si>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</si>
  <si>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</si>
  <si>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</si>
  <si>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</si>
  <si>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</si>
  <si>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</si>
  <si>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</si>
  <si>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</si>
  <si>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</si>
  <si>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</si>
  <si>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</si>
  <si>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</si>
  <si>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</si>
  <si>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</si>
  <si>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</si>
  <si>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</si>
  <si>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</si>
  <si>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</si>
  <si>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</si>
  <si>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</si>
  <si>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</si>
  <si>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</si>
  <si>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</si>
  <si>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</si>
  <si>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</si>
  <si>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</si>
  <si>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</si>
  <si>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</si>
  <si>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</si>
  <si>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</si>
  <si>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</si>
  <si>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</si>
  <si>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</si>
  <si>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</si>
  <si>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</si>
  <si>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</si>
  <si>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</si>
  <si>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</si>
  <si>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</si>
  <si>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</si>
  <si>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</si>
  <si>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</si>
  <si>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</si>
  <si>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</si>
  <si>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</si>
  <si>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</si>
  <si>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</si>
  <si>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</si>
  <si>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</si>
  <si>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</si>
  <si>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</si>
  <si>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</si>
  <si>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</si>
  <si>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</si>
  <si>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</si>
  <si>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</si>
  <si>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</si>
  <si>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</si>
  <si>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</si>
  <si>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</si>
  <si>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</si>
  <si>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</si>
  <si>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</si>
  <si>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</si>
  <si>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</si>
  <si>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</si>
  <si>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</si>
  <si>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</si>
  <si>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</si>
  <si>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</si>
  <si>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</si>
  <si>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</si>
  <si>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</si>
  <si>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</si>
  <si>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</si>
  <si>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</si>
  <si>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</si>
  <si>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</si>
  <si>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</si>
  <si>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</si>
  <si>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</si>
  <si>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</si>
  <si>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</si>
  <si>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</si>
  <si>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</si>
  <si>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</si>
  <si>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</si>
  <si>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</si>
  <si>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</si>
  <si>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</si>
  <si>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</si>
  <si>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</si>
  <si>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</si>
  <si>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</si>
  <si>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</si>
  <si>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</si>
  <si>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</si>
  <si>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</si>
  <si>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</si>
  <si>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</si>
  <si>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</si>
  <si>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</si>
  <si>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</si>
  <si>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</si>
  <si>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</si>
  <si>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</si>
  <si>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</si>
  <si>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</si>
  <si>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</si>
  <si>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</si>
  <si>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</si>
  <si>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</si>
  <si>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</si>
  <si>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</si>
  <si>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</si>
  <si>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</si>
  <si>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</si>
  <si>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</si>
  <si>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</si>
  <si>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</si>
  <si>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</si>
  <si>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</si>
  <si>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</si>
  <si>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</si>
  <si>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</si>
  <si>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</si>
  <si>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</si>
  <si>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</si>
  <si>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</si>
  <si>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</si>
  <si>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</si>
  <si>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</si>
  <si>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</si>
  <si>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</si>
  <si>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</si>
  <si>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</si>
  <si>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</si>
  <si>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</si>
  <si>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</si>
  <si>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</si>
  <si>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</si>
  <si>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</si>
  <si>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</si>
  <si>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</si>
  <si>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</si>
  <si>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</si>
  <si>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</si>
  <si>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</si>
  <si>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</si>
  <si>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</si>
  <si>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</si>
  <si>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</si>
  <si>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</si>
  <si>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</si>
  <si>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</si>
  <si>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</si>
  <si>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</si>
  <si>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</si>
  <si>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</si>
  <si>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</si>
  <si>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</si>
  <si>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</si>
  <si>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</si>
  <si>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</si>
  <si>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</si>
  <si>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</si>
  <si>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</si>
  <si>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</si>
  <si>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</si>
  <si>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</si>
  <si>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</si>
  <si>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</si>
  <si>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</si>
  <si>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</si>
  <si>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</si>
  <si>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</si>
  <si>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</si>
  <si>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</si>
  <si>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</si>
  <si>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</si>
  <si>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</si>
  <si>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</si>
  <si>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</si>
  <si>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</si>
  <si>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</si>
  <si>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</si>
  <si>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</si>
  <si>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</si>
  <si>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</si>
  <si>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</si>
  <si>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</si>
  <si>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</si>
  <si>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</si>
  <si>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</si>
  <si>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</si>
  <si>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</si>
  <si>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</si>
  <si>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</si>
  <si>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</si>
  <si>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</si>
  <si>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</si>
  <si>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</si>
  <si>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</si>
  <si>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</si>
  <si>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</si>
  <si>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</si>
  <si>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</si>
  <si>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</si>
  <si>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</si>
  <si>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</si>
  <si>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</si>
  <si>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</si>
  <si>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</si>
  <si>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</si>
  <si>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</si>
  <si>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</si>
  <si>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</si>
  <si>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</si>
  <si>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</si>
  <si>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</si>
  <si>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</si>
  <si>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</si>
  <si>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</si>
  <si>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</si>
  <si>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</si>
  <si>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</si>
  <si>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</si>
  <si>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</si>
  <si>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</si>
  <si>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</si>
  <si>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</si>
  <si>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</si>
  <si>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</si>
  <si>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</si>
  <si>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</si>
  <si>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</si>
  <si>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</si>
  <si>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</si>
  <si>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</si>
  <si>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</si>
  <si>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</si>
  <si>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</si>
  <si>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</si>
  <si>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</si>
  <si>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</si>
  <si>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</si>
  <si>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</si>
  <si>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</si>
  <si>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</si>
  <si>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</si>
  <si>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</si>
  <si>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</si>
  <si>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</si>
  <si>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</si>
  <si>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</si>
  <si>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</si>
  <si>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</si>
  <si>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</si>
  <si>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</si>
  <si>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</si>
  <si>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</si>
  <si>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</si>
  <si>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</si>
  <si>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</si>
  <si>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</si>
  <si>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</si>
  <si>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</si>
  <si>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</si>
  <si>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</si>
  <si>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</si>
  <si>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</si>
  <si>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</si>
  <si>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</si>
  <si>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</si>
  <si>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</si>
  <si>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</si>
  <si>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</si>
  <si>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</si>
  <si>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</si>
  <si>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</si>
  <si>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</si>
  <si>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</si>
  <si>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</si>
  <si>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</si>
  <si>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</si>
  <si>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</si>
  <si>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</si>
  <si>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</si>
  <si>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</si>
  <si>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</si>
  <si>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</si>
  <si>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</si>
  <si>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</si>
  <si>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</si>
  <si>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</si>
  <si>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</si>
  <si>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</si>
  <si>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</si>
  <si>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</si>
  <si>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</si>
  <si>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</si>
  <si>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</si>
  <si>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</si>
  <si>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</si>
  <si>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</si>
  <si>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</si>
  <si>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</si>
  <si>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</si>
  <si>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</si>
  <si>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</si>
  <si>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</si>
  <si>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</si>
  <si>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</si>
  <si>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</si>
  <si>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</si>
  <si>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</si>
  <si>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</si>
  <si>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</si>
  <si>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</si>
  <si>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</si>
  <si>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</si>
  <si>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</si>
  <si>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</si>
  <si>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</si>
  <si>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</si>
  <si>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</si>
  <si>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</si>
  <si>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</si>
  <si>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</si>
  <si>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</si>
  <si>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</si>
  <si>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</si>
  <si>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</si>
  <si>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</si>
  <si>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</si>
  <si>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</si>
  <si>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</si>
  <si>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</si>
  <si>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</si>
  <si>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</si>
  <si>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</si>
  <si>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</si>
  <si>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</si>
  <si>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</si>
  <si>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</si>
  <si>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</si>
  <si>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</si>
  <si>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</si>
  <si>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</si>
  <si>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</si>
  <si>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</si>
  <si>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</si>
  <si>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</si>
  <si>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</si>
  <si>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</si>
  <si>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</si>
  <si>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</si>
  <si>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</si>
  <si>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</si>
  <si>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</si>
  <si>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</si>
  <si>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</si>
  <si>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</si>
  <si>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</si>
  <si>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</si>
  <si>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</si>
  <si>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</si>
  <si>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</si>
  <si>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</si>
  <si>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</si>
  <si>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</si>
  <si>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</si>
  <si>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</si>
  <si>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</si>
  <si>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</si>
  <si>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</si>
  <si>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</si>
  <si>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</si>
  <si>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</si>
  <si>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</si>
  <si>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</si>
  <si>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</si>
  <si>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</si>
  <si>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</si>
  <si>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</si>
  <si>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</si>
  <si>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</si>
  <si>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</si>
  <si>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</si>
  <si>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</si>
  <si>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</si>
  <si>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</si>
  <si>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</si>
  <si>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</si>
  <si>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</si>
  <si>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</si>
  <si>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</si>
  <si>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</si>
  <si>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</si>
  <si>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</si>
  <si>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</si>
  <si>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</si>
  <si>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</si>
  <si>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</si>
  <si>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</si>
  <si>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</si>
  <si>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</si>
  <si>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</si>
  <si>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</si>
  <si>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</si>
  <si>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</si>
  <si>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</si>
  <si>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</si>
  <si>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</si>
  <si>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</si>
  <si>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</si>
  <si>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</si>
  <si>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</si>
  <si>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</si>
  <si>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</si>
  <si>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</si>
  <si>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</si>
  <si>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</si>
  <si>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</si>
  <si>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</si>
  <si>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</si>
  <si>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</si>
  <si>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</si>
  <si>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</si>
  <si>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</si>
  <si>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</si>
  <si>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</si>
  <si>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</si>
  <si>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</si>
  <si>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</si>
  <si>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</si>
  <si>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</si>
  <si>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</si>
  <si>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</si>
  <si>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</si>
  <si>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</si>
  <si>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</si>
  <si>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</si>
  <si>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</si>
  <si>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</si>
  <si>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</si>
  <si>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</si>
  <si>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</si>
  <si>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</si>
  <si>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</si>
  <si>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</si>
  <si>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</si>
  <si>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</si>
  <si>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</si>
  <si>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</si>
  <si>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</si>
  <si>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</si>
  <si>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</si>
  <si>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</si>
  <si>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</si>
  <si>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</si>
  <si>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</si>
  <si>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</si>
  <si>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</si>
  <si>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</si>
  <si>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</si>
  <si>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</si>
  <si>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</si>
  <si>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</si>
  <si>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</si>
  <si>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</si>
  <si>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</si>
  <si>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</si>
  <si>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</si>
  <si>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</si>
  <si>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</si>
  <si>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</si>
  <si>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</si>
  <si>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</si>
  <si>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</si>
  <si>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</si>
  <si>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</si>
  <si>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</si>
  <si>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</si>
  <si>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</si>
  <si>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</si>
  <si>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</si>
  <si>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</si>
  <si>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</si>
  <si>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</si>
  <si>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</si>
  <si>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</si>
  <si>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</si>
  <si>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</si>
  <si>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</si>
  <si>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</si>
  <si>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</si>
  <si>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</si>
  <si>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</si>
  <si>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</si>
  <si>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</si>
  <si>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</si>
  <si>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</si>
  <si>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</si>
  <si>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</si>
  <si>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</si>
  <si>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</si>
  <si>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</si>
  <si>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</si>
  <si>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</si>
  <si>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</si>
  <si>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</si>
  <si>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</si>
  <si>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</si>
  <si>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</si>
  <si>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</si>
  <si>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</si>
  <si>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</si>
  <si>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</si>
  <si>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</si>
  <si>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</si>
  <si>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</si>
  <si>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</si>
  <si>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</si>
  <si>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</si>
  <si>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</si>
  <si>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</si>
  <si>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</si>
  <si>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</si>
  <si>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</si>
  <si>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</si>
  <si>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</si>
  <si>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</si>
  <si>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</si>
  <si>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</si>
  <si>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</si>
  <si>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</si>
  <si>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</si>
  <si>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</si>
  <si>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</si>
  <si>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</si>
  <si>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</si>
  <si>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</si>
  <si>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</si>
  <si>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</si>
  <si>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</si>
  <si>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</si>
  <si>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</si>
  <si>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</si>
  <si>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</si>
  <si>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</si>
  <si>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</si>
  <si>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</si>
  <si>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</si>
  <si>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</si>
  <si>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</si>
  <si>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</si>
  <si>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</si>
  <si>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</si>
  <si>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</si>
  <si>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</si>
  <si>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</si>
  <si>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</si>
  <si>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</si>
  <si>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</si>
  <si>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</si>
  <si>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</si>
  <si>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</si>
  <si>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</si>
  <si>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</si>
  <si>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</si>
  <si>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</si>
  <si>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</si>
  <si>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</si>
  <si>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</si>
  <si>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</si>
  <si>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</si>
  <si>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</si>
  <si>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</si>
  <si>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</si>
  <si>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</si>
  <si>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</si>
  <si>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</si>
  <si>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</si>
  <si>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</si>
  <si>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</si>
  <si>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</si>
  <si>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</si>
  <si>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</si>
  <si>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</si>
  <si>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</si>
  <si>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</si>
  <si>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</si>
  <si>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</si>
  <si>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</si>
  <si>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</si>
  <si>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</si>
  <si>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</si>
  <si>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</si>
  <si>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</si>
  <si>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</si>
  <si>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</si>
  <si>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</si>
  <si>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</si>
  <si>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</si>
  <si>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</si>
  <si>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</si>
  <si>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</si>
  <si>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</si>
  <si>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</si>
  <si>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</si>
  <si>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</si>
  <si>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</si>
  <si>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</si>
  <si>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</si>
  <si>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</si>
  <si>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</si>
  <si>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</si>
  <si>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</si>
  <si>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</si>
  <si>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</si>
  <si>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</si>
  <si>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</si>
  <si>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</si>
  <si>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</si>
  <si>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</si>
  <si>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</si>
  <si>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</si>
  <si>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</si>
  <si>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</si>
  <si>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</si>
  <si>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</si>
  <si>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</si>
  <si>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</si>
  <si>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</si>
  <si>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</si>
  <si>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</si>
  <si>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</si>
  <si>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</si>
  <si>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</si>
  <si>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</si>
  <si>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</si>
  <si>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</si>
  <si>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</si>
  <si>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</si>
  <si>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</si>
  <si>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</si>
  <si>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</si>
  <si>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</si>
  <si>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</si>
  <si>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</si>
  <si>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</si>
  <si>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</si>
  <si>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</si>
  <si>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</si>
  <si>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</si>
  <si>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</si>
  <si>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</si>
  <si>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</si>
  <si>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</si>
  <si>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</si>
  <si>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</si>
  <si>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</si>
  <si>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</si>
  <si>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</si>
  <si>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</si>
  <si>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</si>
  <si>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</si>
  <si>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</si>
  <si>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</si>
  <si>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</si>
  <si>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</si>
  <si>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</si>
  <si>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</si>
  <si>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</si>
  <si>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</si>
  <si>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</si>
  <si>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</si>
  <si>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</si>
  <si>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</si>
  <si>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</si>
  <si>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</si>
  <si>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</si>
  <si>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</si>
  <si>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</si>
  <si>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</si>
  <si>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</si>
  <si>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</si>
  <si>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</si>
  <si>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</si>
  <si>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</si>
  <si>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</si>
  <si>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</si>
  <si>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</si>
  <si>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</si>
  <si>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</si>
  <si>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</si>
  <si>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</si>
  <si>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</si>
  <si>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</si>
  <si>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</si>
  <si>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</si>
  <si>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</si>
  <si>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</si>
  <si>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</si>
  <si>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</si>
  <si>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</si>
  <si>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</si>
  <si>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</si>
  <si>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</si>
  <si>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</si>
  <si>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</si>
  <si>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</si>
  <si>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</si>
  <si>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</si>
  <si>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</si>
  <si>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</si>
  <si>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</si>
  <si>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</si>
  <si>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</si>
  <si>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</si>
  <si>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</si>
  <si>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</si>
  <si>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</si>
  <si>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</si>
  <si>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</si>
  <si>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</si>
  <si>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</si>
  <si>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</si>
  <si>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</si>
  <si>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</si>
  <si>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</si>
  <si>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</si>
  <si>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</si>
  <si>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</si>
  <si>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</si>
  <si>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</si>
  <si>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</si>
  <si>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</si>
  <si>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</si>
  <si>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</si>
  <si>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</si>
  <si>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</si>
  <si>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</si>
  <si>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</si>
  <si>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</si>
  <si>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</si>
  <si>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</si>
  <si>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</si>
  <si>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</si>
  <si>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</si>
  <si>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</si>
  <si>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</si>
  <si>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</si>
  <si>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</si>
  <si>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</si>
  <si>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</si>
  <si>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</si>
  <si>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</si>
  <si>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</si>
  <si>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</si>
  <si>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</si>
  <si>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</si>
  <si>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</si>
  <si>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</si>
  <si>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</si>
  <si>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</si>
  <si>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</si>
  <si>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</si>
  <si>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</si>
  <si>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</si>
  <si>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</si>
  <si>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</si>
  <si>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</si>
  <si>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</si>
  <si>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</si>
  <si>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</si>
  <si>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</si>
  <si>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</si>
  <si>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</si>
  <si>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</si>
  <si>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</si>
  <si>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</si>
  <si>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</si>
  <si>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</si>
  <si>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</si>
  <si>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</si>
  <si>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</si>
  <si>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</si>
  <si>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</si>
  <si>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</si>
  <si>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</si>
  <si>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</si>
  <si>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</si>
  <si>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</si>
  <si>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</si>
  <si>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</si>
  <si>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</si>
  <si>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</si>
  <si>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</si>
  <si>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</si>
  <si>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</si>
  <si>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</si>
  <si>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</si>
  <si>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</si>
  <si>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</si>
  <si>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</si>
  <si>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</si>
  <si>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</si>
  <si>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</si>
  <si>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</si>
  <si>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</si>
  <si>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</si>
  <si>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</si>
  <si>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</si>
  <si>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</si>
  <si>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</si>
  <si>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</si>
  <si>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</si>
  <si>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</si>
  <si>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</si>
  <si>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</si>
  <si>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</si>
  <si>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</si>
  <si>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</si>
  <si>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</si>
  <si>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</si>
  <si>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</si>
  <si>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</si>
  <si>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</si>
  <si>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</si>
  <si>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</si>
  <si>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</si>
  <si>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</si>
  <si>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</si>
  <si>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</si>
  <si>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</si>
  <si>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</si>
  <si>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</si>
  <si>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</si>
  <si>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</si>
  <si>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</si>
  <si>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</si>
  <si>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</si>
  <si>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</si>
  <si>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</si>
  <si>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</si>
  <si>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</si>
  <si>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</si>
  <si>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</si>
  <si>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</si>
  <si>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</si>
  <si>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</si>
  <si>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</si>
  <si>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</si>
  <si>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</si>
  <si>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</si>
  <si>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</si>
  <si>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</si>
  <si>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</si>
  <si>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</si>
  <si>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</si>
  <si>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</si>
  <si>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</si>
  <si>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</si>
  <si>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</si>
  <si>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</si>
  <si>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</si>
  <si>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</si>
  <si>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</si>
  <si>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</si>
  <si>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</si>
  <si>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</si>
  <si>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</si>
  <si>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</si>
  <si>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</si>
  <si>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</si>
  <si>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</si>
  <si>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</si>
  <si>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</si>
  <si>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</si>
  <si>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</si>
  <si>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</si>
  <si>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</si>
  <si>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</si>
  <si>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</si>
  <si>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</si>
  <si>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</si>
  <si>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</si>
  <si>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</si>
  <si>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</si>
  <si>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</si>
  <si>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</si>
  <si>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</si>
  <si>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</si>
  <si>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</si>
  <si>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</si>
  <si>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</si>
  <si>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</si>
  <si>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</si>
  <si>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</si>
  <si>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</si>
  <si>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</si>
  <si>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</si>
  <si>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</si>
  <si>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</si>
  <si>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</si>
  <si>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</si>
  <si>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</si>
  <si>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</si>
  <si>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</si>
  <si>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</si>
  <si>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</si>
  <si>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</si>
  <si>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</si>
  <si>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</si>
  <si>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</si>
  <si>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</si>
  <si>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</si>
  <si>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</si>
  <si>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</si>
  <si>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</si>
  <si>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</si>
  <si>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</si>
  <si>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</si>
  <si>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</si>
  <si>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</si>
  <si>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</si>
  <si>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</si>
  <si>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</si>
  <si>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</si>
  <si>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</si>
  <si>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</si>
  <si>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</si>
  <si>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</si>
  <si>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</si>
  <si>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</si>
  <si>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</si>
  <si>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</si>
  <si>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</si>
  <si>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</si>
  <si>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</si>
  <si>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</si>
  <si>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</si>
  <si>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</si>
  <si>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</si>
  <si>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</si>
  <si>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</si>
  <si>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</si>
  <si>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</si>
  <si>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</si>
  <si>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</si>
  <si>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</si>
  <si>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</si>
  <si>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</si>
  <si>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</si>
  <si>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</si>
  <si>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</si>
  <si>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</si>
  <si>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</si>
  <si>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</si>
  <si>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</si>
  <si>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</si>
  <si>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</si>
  <si>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</si>
  <si>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</si>
  <si>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</si>
  <si>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</si>
  <si>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</si>
  <si>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</si>
  <si>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</si>
  <si>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</si>
  <si>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</si>
  <si>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</si>
  <si>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</si>
  <si>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</si>
  <si>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</si>
  <si>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</si>
  <si>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</si>
  <si>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</si>
  <si>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</si>
  <si>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</si>
  <si>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</si>
  <si>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</si>
  <si>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</si>
  <si>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</si>
  <si>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</si>
  <si>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</si>
  <si>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</si>
  <si>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</si>
  <si>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</si>
  <si>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</si>
  <si>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</si>
  <si>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</si>
  <si>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</si>
  <si>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</si>
  <si>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</si>
  <si>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</si>
  <si>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</si>
  <si>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</si>
  <si>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</si>
  <si>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</si>
  <si>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</si>
  <si>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</si>
  <si>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</si>
  <si>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</si>
  <si>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</si>
  <si>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</si>
  <si>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</si>
  <si>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</si>
  <si>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</si>
  <si>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</si>
  <si>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</si>
  <si>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</si>
  <si>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</si>
  <si>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</si>
  <si>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</si>
  <si>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</si>
  <si>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</si>
  <si>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</si>
  <si>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</si>
  <si>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</si>
  <si>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</si>
  <si>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</si>
  <si>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</si>
  <si>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</si>
  <si>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</si>
  <si>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</si>
  <si>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</si>
  <si>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</si>
  <si>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</si>
  <si>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</si>
  <si>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</si>
  <si>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</si>
  <si>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</si>
  <si>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</si>
  <si>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</si>
  <si>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</si>
  <si>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</si>
  <si>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</si>
  <si>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</si>
  <si>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</si>
  <si>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</si>
  <si>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</si>
  <si>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</si>
  <si>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</si>
  <si>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</si>
  <si>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</si>
  <si>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</si>
  <si>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</si>
  <si>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</si>
  <si>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</si>
  <si>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</si>
  <si>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</si>
  <si>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</si>
  <si>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</si>
  <si>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</si>
  <si>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</si>
  <si>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</si>
  <si>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</si>
  <si>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</si>
  <si>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</si>
  <si>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</si>
  <si>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</si>
  <si>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</si>
  <si>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</si>
  <si>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</si>
  <si>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</si>
  <si>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</si>
  <si>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</si>
  <si>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</si>
  <si>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</si>
  <si>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</si>
  <si>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</si>
  <si>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</si>
  <si>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</si>
  <si>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</si>
  <si>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</si>
  <si>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</si>
  <si>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</si>
  <si>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</si>
  <si>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</si>
  <si>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</si>
  <si>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</si>
  <si>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</si>
  <si>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</si>
  <si>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</si>
  <si>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</si>
  <si>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</si>
  <si>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</si>
  <si>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</si>
  <si>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</si>
  <si>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</si>
  <si>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</si>
  <si>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</si>
  <si>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</si>
  <si>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</si>
  <si>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</si>
  <si>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</si>
  <si>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</si>
  <si>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</si>
  <si>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</si>
  <si>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</si>
  <si>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</si>
  <si>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</si>
  <si>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</si>
  <si>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</si>
  <si>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</si>
  <si>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</si>
  <si>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</si>
  <si>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</si>
  <si>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</si>
  <si>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</si>
  <si>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</si>
  <si>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</si>
  <si>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</si>
  <si>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</si>
  <si>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</si>
  <si>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</si>
  <si>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</si>
  <si>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</si>
  <si>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</si>
  <si>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</si>
  <si>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</si>
  <si>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</si>
  <si>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</si>
  <si>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</si>
  <si>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</si>
  <si>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</si>
  <si>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</si>
  <si>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</si>
  <si>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</si>
  <si>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</si>
  <si>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</si>
  <si>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</si>
  <si>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</si>
  <si>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</si>
  <si>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</si>
  <si>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</si>
  <si>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</si>
  <si>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</si>
  <si>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</si>
  <si>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</si>
  <si>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</si>
  <si>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</si>
  <si>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</si>
  <si>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</si>
  <si>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</si>
  <si>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</si>
  <si>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</si>
  <si>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</si>
  <si>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</si>
  <si>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</si>
  <si>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</si>
  <si>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</si>
  <si>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</si>
  <si>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</si>
  <si>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</si>
  <si>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</si>
  <si>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</si>
  <si>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</si>
  <si>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</si>
  <si>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</si>
  <si>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</si>
  <si>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</si>
  <si>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</si>
  <si>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</si>
  <si>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</si>
  <si>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</si>
  <si>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</si>
  <si>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</si>
  <si>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</si>
  <si>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</si>
  <si>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</si>
  <si>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</si>
  <si>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</si>
  <si>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</si>
  <si>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</si>
  <si>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</si>
  <si>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</si>
  <si>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</si>
  <si>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</si>
  <si>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</si>
  <si>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</si>
  <si>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</si>
  <si>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</si>
  <si>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</si>
  <si>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</si>
  <si>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</si>
  <si>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</si>
  <si>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</si>
  <si>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</si>
  <si>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</si>
  <si>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</si>
  <si>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</si>
  <si>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</si>
  <si>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</si>
  <si>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</si>
  <si>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</si>
  <si>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</si>
  <si>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</si>
  <si>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</si>
  <si>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</si>
  <si>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</si>
  <si>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</si>
  <si>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</si>
  <si>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</si>
  <si>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</si>
  <si>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</si>
  <si>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</si>
  <si>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</si>
  <si>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</si>
  <si>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</si>
  <si>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</si>
  <si>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</si>
  <si>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</si>
  <si>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</si>
  <si>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</si>
  <si>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</si>
  <si>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</si>
  <si>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</si>
  <si>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</si>
  <si>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</si>
  <si>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</si>
  <si>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</si>
  <si>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</si>
  <si>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</si>
  <si>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</si>
  <si>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</si>
  <si>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</si>
  <si>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</si>
  <si>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</si>
  <si>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</si>
  <si>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</si>
  <si>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</si>
  <si>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</si>
  <si>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</si>
  <si>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</si>
  <si>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</si>
  <si>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</si>
  <si>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</si>
  <si>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</si>
  <si>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</si>
  <si>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</si>
  <si>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</si>
  <si>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</si>
  <si>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</si>
  <si>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</si>
  <si>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</si>
  <si>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</si>
  <si>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</si>
  <si>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</si>
  <si>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</si>
  <si>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</si>
  <si>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</si>
  <si>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</si>
  <si>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</si>
  <si>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</si>
  <si>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</si>
  <si>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</si>
  <si>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</si>
  <si>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</si>
  <si>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</si>
  <si>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</si>
  <si>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</si>
  <si>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</si>
  <si>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</si>
  <si>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</si>
  <si>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</si>
  <si>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</si>
  <si>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</si>
  <si>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</si>
  <si>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</si>
  <si>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</si>
  <si>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</si>
  <si>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</si>
  <si>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</si>
  <si>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</si>
  <si>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</si>
  <si>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</si>
  <si>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</si>
  <si>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</si>
  <si>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</si>
  <si>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</si>
  <si>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</si>
  <si>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</si>
  <si>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</si>
  <si>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</si>
  <si>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</si>
  <si>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</si>
  <si>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</si>
  <si>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</si>
  <si>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</si>
  <si>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</si>
  <si>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</si>
  <si>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</si>
  <si>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</si>
  <si>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</si>
  <si>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</si>
  <si>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</si>
  <si>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</si>
  <si>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</si>
  <si>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</si>
  <si>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</si>
  <si>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</si>
  <si>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</si>
  <si>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</si>
  <si>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</si>
  <si>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</si>
  <si>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</si>
  <si>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</si>
  <si>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</si>
  <si>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</si>
  <si>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</si>
  <si>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</si>
  <si>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</si>
  <si>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</si>
  <si>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</si>
  <si>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</si>
  <si>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</si>
  <si>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</si>
  <si>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</si>
  <si>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</si>
  <si>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</si>
  <si>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</si>
  <si>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</si>
  <si>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</si>
  <si>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</si>
  <si>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</si>
  <si>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</si>
  <si>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</si>
  <si>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</si>
  <si>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</si>
  <si>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</si>
  <si>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</si>
  <si>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</si>
  <si>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</si>
  <si>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</si>
  <si>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</si>
  <si>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</si>
  <si>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</si>
  <si>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</si>
  <si>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</si>
  <si>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</si>
  <si>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</si>
  <si>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</si>
  <si>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</si>
  <si>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</si>
  <si>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</si>
  <si>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</si>
  <si>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</si>
  <si>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</si>
  <si>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</si>
  <si>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</si>
  <si>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</si>
  <si>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</si>
  <si>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</si>
  <si>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</si>
  <si>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</si>
  <si>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</si>
  <si>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</si>
  <si>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</si>
  <si>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</si>
  <si>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</si>
  <si>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</si>
  <si>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</si>
  <si>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</si>
  <si>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</si>
  <si>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</si>
  <si>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</si>
  <si>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</si>
  <si>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</si>
  <si>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</si>
  <si>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</si>
  <si>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</si>
  <si>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</si>
  <si>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</si>
  <si>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</si>
  <si>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</si>
  <si>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</si>
  <si>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</si>
  <si>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</si>
  <si>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</si>
  <si>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</si>
  <si>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</si>
  <si>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</si>
  <si>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</si>
  <si>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</si>
  <si>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</si>
  <si>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</si>
  <si>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</si>
  <si>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</si>
  <si>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</si>
  <si>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</si>
  <si>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</si>
  <si>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</si>
  <si>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</si>
  <si>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</si>
  <si>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</si>
  <si>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</si>
  <si>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</si>
  <si>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</si>
  <si>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</si>
  <si>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</si>
  <si>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</si>
  <si>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</si>
  <si>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</si>
  <si>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</si>
  <si>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</si>
  <si>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</si>
  <si>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</si>
  <si>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</si>
  <si>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</si>
  <si>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</si>
  <si>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</si>
  <si>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</si>
  <si>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</si>
  <si>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</si>
  <si>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</si>
  <si>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</si>
  <si>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</si>
  <si>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</si>
  <si>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</si>
  <si>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</si>
  <si>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</si>
  <si>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</si>
  <si>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</si>
  <si>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</si>
  <si>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</si>
  <si>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</si>
  <si>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</si>
  <si>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</si>
  <si>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</si>
  <si>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</si>
  <si>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</si>
  <si>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</si>
  <si>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</si>
  <si>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</si>
  <si>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</si>
  <si>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</si>
  <si>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</si>
  <si>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</si>
  <si>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</si>
  <si>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</si>
  <si>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</si>
  <si>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</si>
  <si>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</si>
  <si>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</si>
  <si>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</si>
  <si>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</si>
  <si>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</si>
  <si>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</si>
  <si>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</si>
  <si>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</si>
  <si>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</si>
  <si>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</si>
  <si>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</si>
  <si>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</si>
  <si>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</si>
  <si>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</si>
  <si>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</si>
  <si>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</si>
  <si>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</si>
  <si>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</si>
  <si>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</si>
  <si>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</si>
  <si>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</si>
  <si>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</si>
  <si>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</si>
  <si>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</si>
  <si>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</si>
  <si>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</si>
  <si>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</si>
  <si>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</si>
  <si>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</si>
  <si>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</si>
  <si>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</si>
  <si>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</si>
  <si>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</si>
  <si>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</si>
  <si>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</si>
  <si>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</si>
  <si>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</si>
  <si>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</si>
  <si>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</si>
  <si>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</si>
  <si>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</si>
  <si>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</si>
  <si>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</si>
  <si>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</si>
  <si>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</si>
  <si>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</si>
  <si>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</si>
  <si>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</si>
  <si>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</si>
  <si>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</si>
  <si>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</si>
  <si>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</si>
  <si>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</si>
  <si>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</si>
  <si>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</si>
  <si>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</si>
  <si>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</si>
  <si>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</si>
  <si>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</si>
  <si>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</si>
  <si>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</si>
  <si>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</si>
  <si>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</si>
  <si>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</si>
  <si>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</si>
  <si>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</si>
  <si>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</si>
  <si>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</si>
  <si>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</si>
  <si>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</si>
  <si>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</si>
  <si>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</si>
  <si>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</si>
  <si>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</si>
  <si>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</si>
  <si>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</si>
  <si>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</si>
  <si>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</si>
  <si>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</si>
  <si>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</si>
  <si>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</si>
  <si>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</si>
  <si>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</si>
  <si>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</si>
  <si>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</si>
  <si>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</si>
  <si>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</si>
  <si>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</si>
  <si>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</si>
  <si>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</si>
  <si>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</si>
  <si>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</si>
  <si>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</si>
  <si>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</si>
  <si>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</si>
  <si>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</si>
  <si>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</si>
  <si>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</si>
  <si>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</si>
  <si>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</si>
  <si>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</si>
  <si>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</si>
  <si>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</si>
  <si>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</si>
  <si>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</si>
  <si>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</si>
  <si>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</si>
  <si>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</si>
  <si>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</si>
  <si>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</si>
  <si>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</si>
  <si>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</si>
  <si>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</si>
  <si>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</si>
  <si>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</si>
  <si>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</si>
  <si>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</si>
  <si>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</si>
  <si>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</si>
  <si>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</si>
  <si>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</si>
  <si>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</si>
  <si>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</si>
  <si>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</si>
  <si>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</si>
  <si>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</si>
  <si>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</si>
  <si>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</si>
  <si>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</si>
  <si>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</si>
  <si>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</si>
  <si>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</si>
  <si>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</si>
  <si>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</si>
  <si>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</si>
  <si>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</si>
  <si>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</si>
  <si>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</si>
  <si>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</si>
  <si>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</si>
  <si>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</si>
  <si>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</si>
  <si>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</si>
  <si>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</si>
  <si>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</si>
  <si>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</si>
  <si>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</si>
  <si>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</si>
  <si>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</si>
  <si>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</si>
  <si>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</si>
  <si>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</si>
  <si>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</si>
  <si>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</si>
  <si>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</si>
  <si>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</si>
  <si>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</si>
  <si>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</si>
  <si>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</si>
  <si>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</si>
  <si>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</si>
  <si>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</si>
  <si>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</si>
  <si>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</si>
  <si>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</si>
  <si>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</si>
  <si>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</si>
  <si>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</si>
  <si>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</si>
  <si>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</si>
  <si>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</si>
  <si>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</si>
  <si>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</si>
  <si>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</si>
  <si>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</si>
  <si>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</si>
  <si>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</si>
  <si>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</si>
  <si>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</si>
  <si>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</si>
  <si>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</si>
  <si>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</si>
  <si>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</si>
  <si>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</si>
  <si>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</si>
  <si>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</si>
  <si>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</si>
  <si>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</si>
  <si>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</si>
  <si>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</si>
  <si>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</si>
  <si>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</si>
  <si>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</si>
  <si>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</si>
  <si>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</si>
  <si>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</si>
  <si>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</si>
  <si>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</si>
  <si>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</si>
  <si>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</si>
  <si>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</si>
  <si>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</si>
  <si>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</si>
  <si>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</si>
  <si>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</si>
  <si>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</si>
  <si>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</si>
  <si>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</si>
  <si>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</si>
  <si>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</si>
  <si>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</si>
  <si>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</si>
  <si>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</si>
  <si>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</si>
  <si>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</si>
  <si>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</si>
  <si>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</si>
  <si>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</si>
  <si>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</si>
  <si>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</si>
  <si>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</si>
  <si>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</si>
  <si>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</si>
  <si>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</si>
  <si>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</si>
  <si>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</si>
  <si>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</si>
  <si>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</si>
  <si>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</si>
  <si>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</si>
  <si>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</si>
  <si>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</si>
  <si>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</si>
  <si>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</si>
  <si>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</si>
  <si>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</si>
  <si>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</si>
  <si>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</si>
  <si>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</si>
  <si>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</si>
  <si>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</si>
  <si>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</si>
  <si>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</si>
  <si>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</si>
  <si>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</si>
  <si>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</si>
  <si>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</si>
  <si>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</si>
  <si>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</si>
  <si>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</si>
  <si>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</si>
  <si>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</si>
  <si>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</si>
  <si>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</si>
  <si>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</si>
  <si>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</si>
  <si>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</si>
  <si>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</si>
  <si>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</si>
  <si>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</si>
  <si>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</si>
  <si>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</si>
  <si>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</si>
  <si>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</si>
  <si>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</si>
  <si>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</si>
  <si>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</si>
  <si>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</si>
  <si>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</si>
  <si>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</si>
  <si>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</si>
  <si>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</si>
  <si>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</si>
  <si>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</si>
  <si>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</si>
  <si>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</si>
  <si>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</si>
  <si>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</si>
  <si>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</si>
  <si>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</si>
  <si>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</si>
  <si>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</si>
  <si>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</si>
  <si>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</si>
  <si>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</si>
  <si>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</si>
  <si>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</si>
  <si>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</si>
  <si>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</si>
  <si>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</si>
  <si>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</si>
  <si>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</si>
  <si>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</si>
  <si>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</si>
  <si>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</si>
  <si>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</si>
  <si>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</si>
  <si>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</si>
  <si>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</si>
  <si>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</si>
  <si>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</si>
  <si>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</si>
  <si>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</si>
  <si>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</si>
  <si>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</si>
  <si>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</si>
  <si>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</si>
  <si>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</si>
  <si>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</si>
  <si>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</si>
  <si>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</si>
  <si>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</si>
  <si>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</si>
  <si>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</si>
  <si>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</si>
  <si>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</si>
  <si>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</si>
  <si>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</si>
  <si>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</si>
  <si>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</si>
  <si>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</si>
  <si>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</si>
  <si>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</si>
  <si>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</si>
  <si>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</si>
  <si>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</si>
  <si>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</si>
  <si>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</si>
  <si>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</si>
  <si>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</si>
  <si>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</si>
  <si>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</si>
  <si>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</si>
  <si>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</si>
  <si>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</si>
  <si>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</si>
  <si>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</si>
  <si>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</si>
  <si>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</si>
  <si>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</si>
  <si>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</si>
  <si>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</si>
  <si>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</si>
  <si>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</si>
  <si>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</si>
  <si>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</si>
  <si>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</si>
  <si>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</si>
  <si>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</si>
  <si>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</si>
  <si>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</si>
  <si>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</si>
  <si>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</si>
  <si>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</si>
  <si>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</si>
  <si>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</si>
  <si>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</si>
  <si>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</si>
  <si>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</si>
  <si>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</si>
  <si>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</si>
  <si>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</si>
  <si>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</si>
  <si>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</si>
  <si>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</si>
  <si>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</si>
  <si>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</si>
  <si>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</si>
  <si>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</si>
  <si>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</si>
  <si>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</si>
  <si>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</si>
  <si>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</si>
  <si>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</si>
  <si>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</si>
  <si>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</si>
  <si>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</si>
  <si>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</si>
  <si>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</si>
  <si>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</si>
  <si>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</si>
  <si>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</si>
  <si>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</si>
  <si>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</si>
  <si>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</si>
  <si>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</si>
  <si>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</si>
  <si>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</si>
  <si>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</si>
  <si>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</si>
  <si>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</si>
  <si>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</si>
  <si>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</si>
  <si>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</si>
  <si>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</si>
  <si>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</si>
  <si>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</si>
  <si>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</si>
  <si>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</si>
  <si>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</si>
  <si>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</si>
  <si>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</si>
  <si>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</si>
  <si>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</si>
  <si>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</si>
  <si>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</si>
  <si>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</si>
  <si>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</si>
  <si>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</si>
  <si>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</si>
  <si>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</si>
  <si>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</si>
  <si>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</si>
  <si>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</si>
  <si>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</si>
  <si>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</si>
  <si>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</si>
  <si>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</si>
  <si>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</si>
  <si>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</si>
  <si>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</si>
  <si>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</si>
  <si>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</si>
  <si>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</si>
  <si>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</si>
  <si>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</si>
  <si>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</si>
  <si>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</si>
  <si>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</si>
  <si>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</si>
  <si>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</si>
  <si>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</si>
  <si>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</si>
  <si>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</si>
  <si>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</si>
  <si>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</si>
  <si>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</si>
  <si>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</si>
  <si>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</si>
  <si>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</si>
  <si>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</si>
  <si>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</si>
  <si>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</si>
  <si>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</si>
  <si>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</si>
  <si>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</si>
  <si>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</si>
  <si>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</si>
  <si>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</si>
  <si>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</si>
  <si>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</si>
  <si>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</si>
  <si>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</si>
  <si>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</si>
  <si>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</si>
  <si>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</si>
  <si>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</si>
  <si>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</si>
  <si>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</si>
  <si>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</si>
  <si>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</si>
  <si>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</si>
  <si>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</si>
  <si>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</si>
  <si>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</si>
  <si>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</si>
  <si>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</si>
  <si>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</si>
  <si>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</si>
  <si>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</si>
  <si>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</si>
  <si>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</si>
  <si>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</si>
  <si>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</si>
  <si>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</si>
  <si>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</si>
  <si>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</si>
  <si>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</si>
  <si>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</si>
  <si>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</si>
  <si>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</si>
  <si>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</si>
  <si>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</si>
  <si>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</si>
  <si>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</si>
  <si>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</si>
  <si>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</si>
  <si>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</si>
  <si>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</si>
  <si>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</si>
  <si>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</si>
  <si>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</si>
  <si>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</si>
  <si>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</si>
  <si>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</si>
  <si>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</si>
  <si>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</si>
  <si>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</si>
  <si>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</si>
  <si>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</si>
  <si>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</si>
  <si>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</si>
  <si>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</si>
  <si>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</si>
  <si>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</si>
  <si>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</si>
  <si>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</si>
  <si>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</si>
  <si>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</si>
  <si>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</si>
  <si>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</si>
  <si>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</si>
  <si>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</si>
  <si>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</si>
  <si>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</si>
  <si>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</si>
  <si>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</si>
  <si>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</si>
  <si>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</si>
  <si>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</si>
  <si>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</si>
  <si>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</si>
  <si>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</si>
  <si>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</si>
  <si>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</si>
  <si>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</si>
  <si>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</si>
  <si>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</si>
  <si>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</si>
  <si>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</si>
  <si>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</si>
  <si>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</si>
  <si>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</si>
  <si>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</si>
  <si>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</si>
  <si>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</si>
  <si>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</si>
  <si>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</si>
  <si>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</si>
  <si>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</si>
  <si>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</si>
  <si>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</si>
  <si>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</si>
  <si>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</si>
  <si>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</si>
  <si>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</si>
  <si>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</si>
  <si>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</si>
  <si>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</si>
  <si>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</si>
  <si>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</si>
  <si>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</si>
  <si>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</si>
  <si>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</si>
  <si>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</si>
  <si>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</si>
  <si>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</si>
  <si>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</si>
  <si>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</si>
  <si>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</si>
  <si>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</si>
  <si>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</si>
  <si>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</si>
  <si>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</si>
  <si>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</si>
  <si>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</si>
  <si>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</si>
  <si>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</si>
  <si>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</si>
  <si>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</si>
  <si>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</si>
  <si>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</si>
  <si>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</si>
  <si>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</si>
  <si>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</si>
  <si>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</si>
  <si>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</si>
  <si>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</si>
  <si>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</si>
  <si>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</si>
  <si>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</si>
  <si>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</si>
  <si>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</si>
  <si>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</si>
  <si>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</si>
  <si>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</si>
  <si>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</si>
  <si>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</si>
  <si>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</si>
  <si>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</si>
  <si>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</si>
  <si>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</si>
  <si>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</si>
  <si>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</si>
  <si>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</si>
  <si>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</si>
  <si>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</si>
  <si>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</si>
  <si>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</si>
  <si>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</si>
  <si>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</si>
  <si>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</si>
  <si>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</si>
  <si>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</si>
  <si>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</si>
  <si>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</si>
  <si>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</si>
  <si>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</si>
  <si>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</si>
  <si>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</si>
  <si>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</si>
  <si>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</si>
  <si>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</si>
  <si>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</si>
  <si>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</si>
  <si>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</si>
  <si>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</si>
  <si>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</si>
  <si>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</si>
  <si>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</si>
  <si>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</si>
  <si>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</si>
  <si>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</si>
  <si>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</si>
  <si>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</si>
  <si>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</si>
  <si>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</si>
  <si>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</si>
  <si>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</si>
  <si>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</si>
  <si>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</si>
  <si>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</si>
  <si>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</si>
  <si>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</si>
  <si>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</si>
  <si>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</si>
  <si>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</si>
  <si>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</si>
  <si>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</si>
  <si>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</si>
  <si>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</si>
  <si>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</si>
  <si>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</si>
  <si>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</si>
  <si>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</si>
  <si>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</si>
  <si>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</si>
  <si>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</si>
  <si>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</si>
  <si>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</si>
  <si>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</si>
  <si>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</si>
  <si>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</si>
  <si>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</si>
  <si>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</si>
  <si>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</si>
  <si>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</si>
  <si>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</si>
  <si>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</si>
  <si>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</si>
  <si>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</si>
  <si>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</si>
  <si>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</si>
  <si>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</si>
  <si>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</si>
  <si>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مبلغ 150 میلیون در تاریخ 1401/11/06 به حساب 4748 واریز کردند - سفته 150 میلیون به تاریخ 1402/11/06 دریافت کردند - شماره سفته : 419492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</si>
  <si>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</si>
  <si>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</si>
  <si>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</si>
  <si>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</si>
  <si>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</si>
  <si>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</si>
  <si>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</si>
  <si>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</si>
  <si>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</si>
  <si>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</si>
  <si>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</si>
  <si>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</si>
  <si>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</si>
  <si>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</si>
  <si>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</si>
  <si>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</si>
  <si>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</si>
  <si>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</si>
  <si>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</si>
  <si>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</si>
  <si>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</si>
  <si>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</si>
  <si>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</si>
  <si>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</si>
  <si>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</si>
  <si>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</si>
  <si>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</si>
  <si>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</si>
  <si>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</si>
  <si>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</si>
  <si>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</si>
  <si>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</si>
  <si>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</si>
  <si>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</si>
  <si>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</si>
  <si>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</si>
  <si>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</si>
  <si>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</si>
  <si>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</si>
  <si>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</si>
  <si>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</si>
  <si>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</si>
  <si>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</si>
  <si>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</si>
  <si>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</si>
  <si>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</si>
  <si>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</si>
  <si>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</si>
  <si>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</si>
  <si>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</si>
  <si>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</si>
  <si>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</si>
  <si>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</si>
  <si>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</si>
  <si>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</si>
  <si>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</si>
  <si>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</si>
  <si>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</si>
  <si>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</si>
  <si>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</si>
  <si>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</si>
  <si>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</si>
  <si>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</si>
  <si>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</si>
  <si>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</si>
  <si>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</si>
  <si>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</si>
  <si>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</si>
  <si>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</si>
  <si>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</si>
  <si>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</si>
  <si>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</si>
  <si>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</si>
  <si>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</si>
  <si>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</si>
  <si>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</si>
  <si>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</si>
  <si>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</si>
  <si>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</si>
  <si>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</si>
  <si>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</si>
  <si>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</si>
  <si>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</si>
  <si>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</si>
  <si>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</si>
  <si>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</si>
  <si>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</si>
  <si>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</si>
  <si>
    <t>مبلغ 87 میلیون در تاریخ 1401/10/15 از 0339 به 4748 واریز شد.</t>
  </si>
  <si>
    <t>مبلغ 5 میلیون در تاریخ 1401/11/16 از کارت 3763 به حساب 3430 در ساعت 9:24 واریز شد</t>
  </si>
  <si>
    <t>مبلغ 30 میلیون در تاریخ 1401/11/16 به شبا 3430 در ساعت 10:47 واریز شد.</t>
  </si>
  <si>
    <t>مبلغ 6 میلیون در تاریخ 1401/09/12 از 1887 به 1325 در ساعت  20:10 واریز شد .</t>
  </si>
  <si>
    <t>مبلغ 4 میلیون در تاریخ 1401/09/12 از 9565 به 1325 در ساعت 18:12 واریز شد .</t>
  </si>
  <si>
    <t>مبلغ 10 میلیون در تاریخ 1401/09/12 از 9565 به 1325 در ساعت 19:30 واریز شد .</t>
  </si>
  <si>
    <t>مبلغ 90 میلیون در تاریخ 1401/11/16 از حساب 0057 به حساب واریز شد.</t>
  </si>
  <si>
    <t xml:space="preserve">شبا بانک 2005 </t>
  </si>
  <si>
    <t>شبا بانک 7354</t>
  </si>
  <si>
    <t>شبا بانک 7341</t>
  </si>
  <si>
    <t>در بهمن ماه راسی به ماهانه تبدیل شد - سفته اصلاح شد.</t>
  </si>
  <si>
    <t>تبدیل راسی به ماهانه شروع از سی ام آذرماه - سفته 100 میلیون به تاریخ 1402/03/30 داده شد - شماره سفته : 375005</t>
  </si>
  <si>
    <t>زهرا موسوی اصفهانی</t>
  </si>
  <si>
    <t>سفته به مبلغ 100 میلیون به تاریخ 1402/11/17 داده شد - شماره سفته : 044012</t>
  </si>
  <si>
    <t>1401/11/17</t>
  </si>
  <si>
    <t>شبا بانک 7528</t>
  </si>
  <si>
    <t>6037-9982-2962-5420</t>
  </si>
  <si>
    <t>شبا ابنک 8536</t>
  </si>
  <si>
    <t>چک به مبلغ 590 میلیون بابت مشارکت بهمن ماه  داده شد و در تاریخ هفدهم بهمن  پاس شد.</t>
  </si>
  <si>
    <t>1401/11/19</t>
  </si>
  <si>
    <t>سود دی ماه</t>
  </si>
  <si>
    <t>جمع کل تا اول بهمن</t>
  </si>
  <si>
    <t>جمع واریزی های بهمن ماه</t>
  </si>
  <si>
    <t>سود 15 روز 80 میلیون</t>
  </si>
  <si>
    <t>جمع کل تا پایان بهمن ماه</t>
  </si>
  <si>
    <t>سود بهمن ماه</t>
  </si>
  <si>
    <t>از 1401/10/21 تا 1401/11/20</t>
  </si>
  <si>
    <t>جمع کل تا اول اسفند</t>
  </si>
  <si>
    <t>از 1401/11/21 تا 1401/12/20</t>
  </si>
  <si>
    <t>علی اصغر براتی</t>
  </si>
  <si>
    <t>سفته 219657</t>
  </si>
  <si>
    <t>1402/11/22</t>
  </si>
  <si>
    <t>مبلغ 28 میلیون در تاریخ 1401/11/17 در سینما پیتزا کارت کشیدند.</t>
  </si>
  <si>
    <t>مبلغ 40 میلیون الباقی + 10 میلیون سود به حساب آقای سعید نوروزی انتقال و راسی شد.</t>
  </si>
  <si>
    <t>سعید نوروزی</t>
  </si>
  <si>
    <t>سفته 219658</t>
  </si>
  <si>
    <t>مبلغ 50 میلیون اصل پول از آقای وحید کامکاری به ایشون منتقل شد.</t>
  </si>
  <si>
    <t>1402/11/25</t>
  </si>
  <si>
    <t>تسویه چک 245 میلیون از اصل پول</t>
  </si>
  <si>
    <t>1402/03/09</t>
  </si>
  <si>
    <t>سفته 516189</t>
  </si>
  <si>
    <t>مبلغ 100 میلیون تاریخ 1401/11/09ساعت (11:15 رسیده) 01:51 به پارسیان 4606 واریز شد.</t>
  </si>
  <si>
    <t>مبلغ 80 میلیون در تاریخ 1401/11/12 در ساعت 09:39 به 3417 واریز شد.</t>
  </si>
  <si>
    <t>سفته 80 میلیون قبلی باطل شد</t>
  </si>
  <si>
    <t>سفته به مبلغ 160 میلیون به تاریخ 1402/11/12 داده شد - شماره سفته : 419481</t>
  </si>
  <si>
    <t>محمد یاسین خواجه کلاته حسینی</t>
  </si>
  <si>
    <t>سفته 627431</t>
  </si>
  <si>
    <t>1407/10/30</t>
  </si>
  <si>
    <t>مبلغ یک میلیون در تاریخ 1401/10/30 از کارت 4143 به کارت 0661 در ساعت 20:25 واریز شد.</t>
  </si>
  <si>
    <t>معصومه محجوبی طرقی</t>
  </si>
  <si>
    <t>سفته به مبلغ 25 میلیون به تاریخ 1402/11/17 داده شد - شماره سفته : 855318</t>
  </si>
  <si>
    <t>علی خورنگار</t>
  </si>
  <si>
    <t>سفته 044013</t>
  </si>
  <si>
    <t>چک بانک کشاورزی به مبلغ 15 میلیون باطل شد و راسی چهل ماهه  به مبلغ 75 میلیون شد.</t>
  </si>
  <si>
    <t>محمد غلامی ( رحمان )</t>
  </si>
  <si>
    <t>سفته 516190</t>
  </si>
  <si>
    <t>1405/04/29</t>
  </si>
  <si>
    <t>اصل 10 از 1399</t>
  </si>
  <si>
    <t>1405/04/15</t>
  </si>
  <si>
    <t>سفته 219656</t>
  </si>
  <si>
    <t>سفته 16 میلیون به شماره 603862 به تاریخ 1401/12/15 باطل شد - ( اصل 10 یکساله 16 )</t>
  </si>
  <si>
    <t xml:space="preserve">محمود غلامی </t>
  </si>
  <si>
    <t>سفته 044014</t>
  </si>
  <si>
    <t>1405/03/17</t>
  </si>
  <si>
    <t>مبلغ 10 و 15 میلیون در تاریخ 1401/11/17 از کارت 9837 به کارت 0661 واریز شد.</t>
  </si>
  <si>
    <t>احمد خیری پور</t>
  </si>
  <si>
    <t>سفته 044010</t>
  </si>
  <si>
    <t>مبلغ 5 میلیون در تاریخ 1401/10/26 از کارت 6605 به کارت 0661 واریز شد.</t>
  </si>
  <si>
    <t>1407/10/26</t>
  </si>
  <si>
    <t>سفته 205144</t>
  </si>
  <si>
    <t>مبلغ 7 و 15 میلیون در تاریخ 1401/11/17 از کارت 1298 به کارت 0661 واریز شد.</t>
  </si>
  <si>
    <t>1402/04/17</t>
  </si>
  <si>
    <t>مغایرت مبلغ در رو و پشت سفته - پشت سفته نوشته شده اصل 22 میلیون پنج ماهه 27 میلیون</t>
  </si>
  <si>
    <t>نطظر رضایی</t>
  </si>
  <si>
    <t>سفته 516163</t>
  </si>
  <si>
    <t>1407/10/25</t>
  </si>
  <si>
    <t>دو مبلغ 5 + 5 در تاریخ 1401/10/25 از کارتهای 1290 و 7520 به 0661 واریز شد.</t>
  </si>
  <si>
    <t>فاطمه مردان دوست</t>
  </si>
  <si>
    <t>سفته 516164</t>
  </si>
  <si>
    <t>مبلغ 10 میلیون در تاریخ 1401/10/26 از کارت 1298 به کارت 0661 واریز شد.</t>
  </si>
  <si>
    <t>حسن بهلولی</t>
  </si>
  <si>
    <t>1407/10/07</t>
  </si>
  <si>
    <t>سفته 516165</t>
  </si>
  <si>
    <t>مبلغ 10 میلیون در تاریخ 1401/10/07 از کارت 6220 به کارت 0661 واریز شد.</t>
  </si>
  <si>
    <t>سفته به مبلغ 40 میلیون به تاریخ 1402/10/11 داده شد - شماره سفته : 210684 - سفته باطل شد.</t>
  </si>
  <si>
    <t>سفته به مبلغ 100 میلیون به تاریخ 1402/11/17 داده شد - شماره سفته : 044015</t>
  </si>
  <si>
    <t>محسن اسداللهی</t>
  </si>
  <si>
    <t>مبلغ 10 و 15 میلیون در تاریخ 1401/11/17 از کارت 7071 به کارت 0661 واریز شد.</t>
  </si>
  <si>
    <t>علیرضا امیرشی بهلولی</t>
  </si>
  <si>
    <t>سفته 205114</t>
  </si>
  <si>
    <t>1407/11/18</t>
  </si>
  <si>
    <t>1401/11/18</t>
  </si>
  <si>
    <t>سفته 923973</t>
  </si>
  <si>
    <t>سجاد آخوند زاده</t>
  </si>
  <si>
    <t>سفته 407385</t>
  </si>
  <si>
    <t>1407/07/30</t>
  </si>
  <si>
    <t>سفته 407386</t>
  </si>
  <si>
    <t>محمد مهدی افضلی پل بندی</t>
  </si>
  <si>
    <t xml:space="preserve">مبلغ 50 میلیون در تاریخ 1401/11/05 از 7247 ( محمد عباسپور بهلولی )  به 8318 واریز شد. سفته به نام محمد عباسپور بهلولی داده شد - شماره سفته  205143  </t>
  </si>
  <si>
    <t>شبا بانک 8289</t>
  </si>
  <si>
    <t>اصل مبلغ 50 میلیون تسویه شود.</t>
  </si>
  <si>
    <t>شبا 6612</t>
  </si>
  <si>
    <t>شبا 9005</t>
  </si>
  <si>
    <t>صفرعلی جعازه</t>
  </si>
  <si>
    <t>سه ماهه - سفته به مبلغ 200 میلیون به تاریخ 1402/02/18 داده شد - شماره سفته  516166</t>
  </si>
  <si>
    <t>مبلغ 200 میلیون در تاریخ 1401/11/18 ساعت 09:29 به پست بانک واریز شد.</t>
  </si>
  <si>
    <t>واریز به کارت 9190</t>
  </si>
  <si>
    <t>واریز به کارت 2529</t>
  </si>
  <si>
    <t>مبلغ 4 میلیون در تاریخ برگشت شد.</t>
  </si>
  <si>
    <t>شبا بانک 3027</t>
  </si>
  <si>
    <t>سفته به مبلغ 902 میلیون به تاریخ 1402/11/16 داده شد - شماره سفته : 371307</t>
  </si>
  <si>
    <t>6037-9982-1702-8298</t>
  </si>
  <si>
    <t xml:space="preserve">سفته به مبلغ 20 میلیون به تاریخ 1402/11/18 داده شد - شماره سفته : 407362 </t>
  </si>
  <si>
    <t>مبلغ 10 میلیون در تاریخ 1401/11/18 از کارت9789 به کارت 1401 در ساعت 19:05 واریز شد.</t>
  </si>
  <si>
    <t>یکم اسفند2/500 و یکم فروردین 3/200 - واریزی اسفند یک میلیون بابت کسری 20 میلیون کم شود و 1/500 واریز شود.</t>
  </si>
  <si>
    <t>واریز به حساب 1741</t>
  </si>
  <si>
    <t>واریز به حساب سید مرتضی حسینی - تسویه شدند.</t>
  </si>
  <si>
    <t>اصل یکم اسفند با سود پرداخت شود - سفته در تاریخ 1401/11/18 باطل شد.</t>
  </si>
  <si>
    <t>چک 500 میلیون به تاریخ 1401/12/20</t>
  </si>
  <si>
    <t>مشارکت 18 بهمن به اصل سوم اضافه شد.</t>
  </si>
  <si>
    <t>مبلغ 42 میلیون در تاریخ 1401/11/18 در ساعت 20:07 به بانک ملی انتقال دادند + 6 میلیون</t>
  </si>
  <si>
    <t>سفته 100 میلیون قبلی به شماره 929867 باطل و سفته 150 جدید داده شد.</t>
  </si>
  <si>
    <t>سفته به مبلغ 150 میلیون به تاریخ 1402/11/03 داده شد - شماره سفته : 345950</t>
  </si>
  <si>
    <t>جواد جیم آبادی مقدم</t>
  </si>
  <si>
    <t>واریز به حساب 8445</t>
  </si>
  <si>
    <t>مبلغ 200 میلیون در تاریخ 1401/10/15  و مبلغ 70 میلیون در تاریخ 1401/10/17 به حساب کشاورزی شهرک واریز و مبلغ 46 تومن از خانم نصرت شعبانی انتقال یافت.</t>
  </si>
  <si>
    <t>شبا بانک 0273</t>
  </si>
  <si>
    <t>رضا غضنفری</t>
  </si>
  <si>
    <t>سفته به مبلغ 40 میلیون به تاریخ 1402/11/18 داده شد - شماره سفته : 210683</t>
  </si>
  <si>
    <t>فاطمه خنده می</t>
  </si>
  <si>
    <t>سفته به مبلغ 60 میلیون به تاریخ 1402/07/18 داده شد - شماره سفته : 747870</t>
  </si>
  <si>
    <t>بابت اصل مبلغ و سود بهمن ماه و سود از دوازدهم تا هجدهم چک به مبلغ 284 میلیون به تاریخ 1401/11/18 پست بانک داده شد و در تاریخ 1401/11/19 پاس شد.</t>
  </si>
  <si>
    <t>شبا 4840</t>
  </si>
  <si>
    <t>شبا بانک 1009</t>
  </si>
  <si>
    <t>اصل مبلغ با سود تسویه شد.</t>
  </si>
  <si>
    <t>واریز به حساب 7114</t>
  </si>
  <si>
    <t>سود مشارکت بهمن ماه به اصل مبلغ اضافه شد.</t>
  </si>
  <si>
    <t>مبلغ 10 میلیون در تاریخ 1401/11/19 از کارت4988 به کارت 1401 در ساعت 18:35 واریز شد.</t>
  </si>
  <si>
    <t>سفته به مبلغ 20 میلیون به تاریخ 1402/10/15 داده شد - شماره سفته : 143081</t>
  </si>
  <si>
    <t>چک 1/170 تحویل آقای حسنی شد و با کسرمشارکت سود 8 اسفند به میزان 127 میلیون مانده چک به مبلغ 1/043/000/000 تومان از رفاه حسنی به کشاورزی واریز شد</t>
  </si>
  <si>
    <t>1402/11/20</t>
  </si>
  <si>
    <t>سفته 516174</t>
  </si>
  <si>
    <t>سفته به مبلغ 100 میلیون به تاریخ 1402/11/23 داده شد - شماره سفته : 044008</t>
  </si>
  <si>
    <t>سفته به مبلغ 185 میلیون به تاریخ 1402/11/12 داده شد - شماره سفته : 516173 - مبلغ 180 میلیون در تاریخ 1401/11/12 به کشاورزی 3417 واریز شده است.</t>
  </si>
  <si>
    <t>واریز به کارت 4916</t>
  </si>
  <si>
    <t>6104-3374-8638-4686</t>
  </si>
  <si>
    <t>شبا بانک 8755</t>
  </si>
  <si>
    <t>شبا بانک 4367</t>
  </si>
  <si>
    <t>شبا بانک 7706</t>
  </si>
  <si>
    <t>6104-3371-1298-6532</t>
  </si>
  <si>
    <t>دوبار واریز شده است.</t>
  </si>
  <si>
    <t>شبا بانک 7416</t>
  </si>
  <si>
    <t>طلب قبلی</t>
  </si>
  <si>
    <t>محبوبه نصیری</t>
  </si>
  <si>
    <t>واریز به کارت 7072</t>
  </si>
  <si>
    <t>مبلغ 45 میلیون در تاریخ 1401/08/18 در ساعت 09:36 واریز شد و قرار شد دوماه سود نگیرن تا اصل پولشون 50 میلیون شود.</t>
  </si>
  <si>
    <t>1401/11/21</t>
  </si>
  <si>
    <t>شبا بانک 4919</t>
  </si>
  <si>
    <t>شبا بانک 0985</t>
  </si>
  <si>
    <t>واریز به کارت 8340</t>
  </si>
  <si>
    <t>شبا بانک 7210</t>
  </si>
  <si>
    <t>1401/11/22</t>
  </si>
  <si>
    <t>5859-8312-1150-7768</t>
  </si>
  <si>
    <t>واریز به کارت 2377</t>
  </si>
  <si>
    <t>طیبه غلامعلی زاده</t>
  </si>
  <si>
    <t>سفته به مبلغ 20 میلیون به تاریخ 1402/07/09 داده شد - شماره سفته : 210207</t>
  </si>
  <si>
    <t>معصومه امارلو</t>
  </si>
  <si>
    <t>اصل تا دهم اسفند 144 میلیون - 100 میلیون واریز شود و 44 میلیون ماهیانه 2/200/000 تومان هفتم هر ماه - اولین واریزی هفتم فروردین - سفته 44 میلیون داده شد</t>
  </si>
  <si>
    <t>مبلغ 5 میلیون بابت مشارکت نهم اسفند به ایشان پرداخت شود.</t>
  </si>
  <si>
    <t>مبلغ 60 میلیون در تاریخ 1401/11/18 به حساب 2005 واریز شد.</t>
  </si>
  <si>
    <t>سفته به مبلغ 90 میلیون به تاریخ 1402/12/06 داده شد - شماره سفته : 044002 (  انتقال از علی آقا به ما )</t>
  </si>
  <si>
    <t>سفته به مبلغ 50 میلیون به تاریخ 1402/05/06 داده شد - شماره سفته : 205102 ( جدید)</t>
  </si>
  <si>
    <t>سفته به مبلغ 10 میلیون به تاریخ 1402/05/15 داده شد - شماره سفته : 201301 ( جدید )</t>
  </si>
  <si>
    <t>1401/11/23</t>
  </si>
  <si>
    <t>تسویه 100 میلیون مانده دی ماه به همراه سودش</t>
  </si>
  <si>
    <t>فاطمه حسینی ( مادر خانم قاسم جوینی )</t>
  </si>
  <si>
    <t>چک 419307</t>
  </si>
  <si>
    <t>چک به مبلغ 400 میلیون به تاریخ 1401/10/10 به مدت یکسال تمدید و راسی شد.</t>
  </si>
  <si>
    <t>1402/10/10</t>
  </si>
  <si>
    <t>اطلاعات جدید آقای جوینی برای اسفند ماه</t>
  </si>
  <si>
    <t>سفته به مبلغ 300 میلیون به تاریخ 1402/12/15 داده شد - شماره سفته : 422140</t>
  </si>
  <si>
    <t>سفته 850450</t>
  </si>
  <si>
    <t>1402/11/23</t>
  </si>
  <si>
    <t>فریده دانایی اسماعیل آبادی</t>
  </si>
  <si>
    <t>صدیقه قربان نژاد</t>
  </si>
  <si>
    <t>سفته 444209</t>
  </si>
  <si>
    <t>ماهیانه شد.</t>
  </si>
  <si>
    <t>مبلغ 22 میلیون راسی داشتند که تا 1401/11/17 شد 37 میلیون + 3 میلیون در تاریخ 1401/11/10 در ساعت 19:48 به کارت 7046 انتقال دادند.</t>
  </si>
  <si>
    <t>سفته به مبلغ 40 میلیون به تاریخ 1402/11/17 داده شد - شماره سفته : 205102</t>
  </si>
  <si>
    <t>مهدری هنجاری  ( دختر مهره قربان نژاد )</t>
  </si>
  <si>
    <t>سفته 929880</t>
  </si>
  <si>
    <t>صدیقه قربان نژاد ( مهره )</t>
  </si>
  <si>
    <t>سفته 419491</t>
  </si>
  <si>
    <t>مبلغ 45 میلیون از اصل پول تسویه شد.</t>
  </si>
  <si>
    <t>شبا بانک 0002</t>
  </si>
  <si>
    <t>مبلغ 50 میلیون در تاریخ 1401/11/23 از حساب 2434 به حساب 0216 واریز کردند.</t>
  </si>
  <si>
    <t>رضا جیم آبادی</t>
  </si>
  <si>
    <t>محمدرضا ایران خواه</t>
  </si>
  <si>
    <t>سفته به مبلغ 200 میلیون به تاریخ 1402/11/24 داده شد - شماره سفته : 345979</t>
  </si>
  <si>
    <t>سفته به مبلغ 100 میلیون به تاریخ 1402/11/24 داده شد - شماره سفته : 929877</t>
  </si>
  <si>
    <t>مبلغ 16/500 بابت 12/500 حقوق مقدم و خانومش برای دی ماه که مربوط به آقای عبداللهی و مابقی غذای امشب ( 1401/11/23)</t>
  </si>
  <si>
    <t>1401/11/24</t>
  </si>
  <si>
    <t>6277-6012-5083-4916</t>
  </si>
  <si>
    <t>مبلغ 280/000 تومان در تاریخ 1401/11/24 به پست بانک برگشت داده شد.</t>
  </si>
  <si>
    <t>140111/24</t>
  </si>
  <si>
    <t>شبا بانک 3337</t>
  </si>
  <si>
    <t>شبا بانک 1883</t>
  </si>
  <si>
    <t>علی محمد صلواتی</t>
  </si>
  <si>
    <t>مبلغ 200 میلیون در تاریخ 1401/11/16 از کارت 3763 به حساب 3430 در ساعت 9:24 واریز شد</t>
  </si>
  <si>
    <t>چک 424035</t>
  </si>
  <si>
    <t>چک بانک ملی به مبلغ 470 میلیون تومان به تاریخ 1402/11/17 داده و ثبت شد.</t>
  </si>
  <si>
    <t>1402/11/17</t>
  </si>
  <si>
    <t>منصوره پورخواجه</t>
  </si>
  <si>
    <t>5892-1010-3938-6772</t>
  </si>
  <si>
    <t>مبلغ 10 میلیون از حساب برادرشون جواد پورخواجه به حساب ایشون انتقال پیدا کرد.</t>
  </si>
  <si>
    <t>مبلغ 8 میلیون از اصل پول تسویه شد.</t>
  </si>
  <si>
    <t>شبا بانک 2491</t>
  </si>
  <si>
    <t>مبلغ 10 میلیون در تاریخ 1401/11/17 از کارت 4893 به کارت 0887 امید جلالیان فرد واریز شد</t>
  </si>
  <si>
    <t>از کارت علی اصغر براتی به امید جلالیان</t>
  </si>
  <si>
    <t>مبلغ 10 میلیون در تاریخ 1401/11/16 در ساعت 07:21 از 3546 به 0661 انتقال پیدا کرد.</t>
  </si>
  <si>
    <t>مبلغ 10 میلیون در تاریخ 1401/11/17 در ساعت 07:28 از 3546 به 0661 انتقال پیدا کرد.</t>
  </si>
  <si>
    <t>مبلغ 10 میلیون در تاریخ 1401/11/15 در ساعت 20:59 از 3546 به 0661 انتقال پیدا کرد.</t>
  </si>
  <si>
    <t>مبلغ 10 میلیون در تاریخ 1401/11/18 از کارت 3047 به کارت 0661 واریز شد.</t>
  </si>
  <si>
    <t>مبلغ 5 میلیون در تاریخ 1401/11/19 از کارت 3047 به کارت 0661 واریز شد.</t>
  </si>
  <si>
    <t>محدثه عزیزی</t>
  </si>
  <si>
    <t>محدثه جلالی مبلغ 5 میلیون تاریخ 1401/11/17 ومبلغ 5 میلیون تومان در تاریخ 1401/11/17 از 3143 به 1325 واریز شد.</t>
  </si>
  <si>
    <t>محدثه عزیزی مبلغ 5 میلیون تاریخ 1401/11/17 ومبلغ 5 میلیون تومان در تاریخ 1401/11/17 از 3143 به 1325 واریز شد.</t>
  </si>
  <si>
    <t>مبلغ 7 میلیون تاریخ 1401/11/21 از کارت 0117 به کارت 1325 در ساعت 08:55 برگشت زدند</t>
  </si>
  <si>
    <t>از 200 میلیون 7 میلیون  سود 16 دی مرضیه و 7 میلیون سود 16 بهمن مرضیه و 28 میلیون سود 7 بهمن حسین جمعا 42 میلیون کسر و 10 میلیون پورسانت و مبلغ 148 میلیون در تاریخ 1401/10/26 به حساب 6662 واریز شد.</t>
  </si>
  <si>
    <t>فریده دانایی</t>
  </si>
  <si>
    <t>مبلغ 50 میلیون در تاریخ 1401/11/23 به حساب 6662 واریز شد.</t>
  </si>
  <si>
    <t>مبلغ 10 میلیون در تاریخ 1401/11/19 در ساعت 18:44 از 4931 به 1401 واریز شد.</t>
  </si>
  <si>
    <t>مبلغ 10 میلیون در تاریخ 1401/11/20 در ساعت 21:58 از 4931 به 1401 واریز شد.</t>
  </si>
  <si>
    <t>مبلغ 10 میلیون در تاریخ 1401/11/21 در ساعت 20:51 از 4931 به 1401 واریز شد.</t>
  </si>
  <si>
    <t>مبلغ 10 میلیون در تاریخ 1401/11/22 در ساعت 20:57 از 4931 به 1401 واریز شد.</t>
  </si>
  <si>
    <t>مبلغ 10 میلیون در تاریخ 1401/11/23 در ساعت 16:51 از 4931 به 1401 واریز شد.</t>
  </si>
  <si>
    <t>مبلغ 10 میلیون در تاریخ 1401/11/24 در ساعت 14:04 از 4931 به 1401 واریز شد.</t>
  </si>
  <si>
    <t>فریبا فکور</t>
  </si>
  <si>
    <t>مبلغ 25/500 تومان در تاریخ 1401/11/25 از حساب 4412  به شبا 2005 واریز شد.</t>
  </si>
  <si>
    <t>مبلغ 30 میلیون در تاریخ 1401/11/24 از حساب 4412  به شبا 2005 واریز شد.</t>
  </si>
  <si>
    <t>مبلغ 9/500 تومان در تاریخ 1401/11/24 از حساب 1861  به شبا 2005 واریز شد.</t>
  </si>
  <si>
    <t>مبلغ 10 میلیون در تاریخ 1401/11/25 در ساعت 16:37 از کارت 8164 به کارت 1401 واریز شد.</t>
  </si>
  <si>
    <t>مبلغ 10 میلیون در تاریخ 1401/11/24 در ساعت 19:02 از کارت 8164 به کارت 1401 واریز شد.</t>
  </si>
  <si>
    <t>مبلغ 10 میلیون در تاریخ 1401/11/26 در ساعت 08:26 از کارت 8164 به کارت 1401 واریز شد.</t>
  </si>
  <si>
    <t>مبلغ  60 میلیون ماهیانه و مبلغ 140 میلیون راسی.</t>
  </si>
  <si>
    <t>مبلغ 200 میلیون تاریخ 1401/11/04 بحساب 3430 ساعت 08:13 واریز شد - 60 ماهیانه 140 راسی</t>
  </si>
  <si>
    <t>مرضیه حیدری</t>
  </si>
  <si>
    <t>سفته به مبلغ 50 میلیون به تاریخ 1402/08/15 داده شد - شماره سفته : 070099 - اصل 50 میلیون طرح ویژه 7 درصد</t>
  </si>
  <si>
    <t>مبلغ 10 میلیون در تاریخ 1401/11/25 در ساعت 17:48 از کارت 2122 به کارت 1325 واریز شد.</t>
  </si>
  <si>
    <t>مبلغ 10 میلیون در تاریخ 1401/11/24 در ساعت 19:59 از کارت 2122 به کارت 1325 واریز شد.</t>
  </si>
  <si>
    <t>بابت سر رسید چک 15 /10 به مبلغ 169/400/000 تومان</t>
  </si>
  <si>
    <t>الباقی صد میلیون یکماهه گداشته شد تا 15 بهمن ماه</t>
  </si>
  <si>
    <t>زهرا عبداللهی (اسدالله )</t>
  </si>
  <si>
    <t>تسویه مبلغ 466 میلیون در تاریخ 1401/12/23</t>
  </si>
  <si>
    <t>سفته به مبلغ 65 میلیون تومان به تاریخ 1402/11/24 داده شد - شماره سفته : 044123</t>
  </si>
  <si>
    <t>سفته به مبلغ 125 میلیون به تاریخ 1402/12/07 داده شد - شماره سفته : 516181</t>
  </si>
  <si>
    <t>سفته به مبلغ 60 میلیون به تاریخ 1402/11/18 داده شد - شماره سفته : 929876</t>
  </si>
  <si>
    <t>بی بی جان نیازجو</t>
  </si>
  <si>
    <t>هر شش ماه دریافت میکنند- اصل پول 45 میلیون ماهیانه 2/250 که برای هر شش ماه سفته به مبلغ 13/500 داده شد</t>
  </si>
  <si>
    <t xml:space="preserve">تاریخ سفته ها 1401/10/14 و 1402/04/14 میباشد. شماره سفته ها : 482961 - 482960 </t>
  </si>
  <si>
    <t>برای اصل مبلغ سفته به مبلغ 45 میلیون به تاریخ 1402/04/14 داده شد - شماره سفته : 034448</t>
  </si>
  <si>
    <t>سود شش ماه اول با احتساب 40 روز اضافه تا تاریخ 1401/11/26 مبلغ 14/500 واریز گردد.</t>
  </si>
  <si>
    <t>سفته 380 میلیون به 355 میلیون تغیییر یافت - شماره سفته : 320966</t>
  </si>
  <si>
    <t>عطیه غلامی</t>
  </si>
  <si>
    <t>سفته به مبلغ 100 میلیون به تاریخ 1402/11/24 داده شد - شماره سفته : 929874</t>
  </si>
  <si>
    <t>آقای عبداللهی نوشتن مبلغ 100 میلیون به حساب کشاورزی من دریافت شد.</t>
  </si>
  <si>
    <t>هفت تا چک برای سود ماهانه و یک چک ضمانت برای اصل مبلغ دریافت کردند.</t>
  </si>
  <si>
    <t>سفته 627430</t>
  </si>
  <si>
    <t>1404/11/25</t>
  </si>
  <si>
    <t>تسویه شدند.</t>
  </si>
  <si>
    <t>نقدی دادن</t>
  </si>
  <si>
    <t>ارغوان تابانی ( دختر محمد تابانی )</t>
  </si>
  <si>
    <t>1401/11/25</t>
  </si>
  <si>
    <t>واریز به کارت 5822</t>
  </si>
  <si>
    <t>واریز به کارت فریبا فکور</t>
  </si>
  <si>
    <t>چک پست بانک به تاریخ 1401/11/17 - مشارکت 7 میلیارد - 5 میلیارد 8 درصد و از 5 بیشتر 9 درصد.</t>
  </si>
  <si>
    <t xml:space="preserve">چک 2/5 میلیارد خانم و 7 میلیارد تومان ماخیانه و چک 500 میلیون خودشان تاریخ 1401/12/15 جمعا شد ده میلیارد و میزان مشارکت ماهیانه 850 میلیون - واریزی 15 فروردین 850 </t>
  </si>
  <si>
    <t>چک به مبلغ ده میلیارد به تاریخ 1402/12/15 بانک ملی  به شماره 424038 داده و ثبت شد.</t>
  </si>
  <si>
    <t>چک 730 میلیون به تاریخ 1401/12/15</t>
  </si>
  <si>
    <t>مبلغ 730 میلیون چک پست بانک به تاریخ 1401/12/15 به شماره 645099 بابت مشارکت اسفند ماه به آقای امیرمهدی رضایی داده  و ثبت شد.</t>
  </si>
  <si>
    <t>چک بانک ملی به مبلغ 870/000/000 تومان به تاریخ 1402/11/28 به شماره 424039 به ایشون داده و ثبت شد.</t>
  </si>
  <si>
    <t>سفته به مبلغ 490 میلیون به تاریخ 1402  داده شد - شماره سفته : 415754 - سفته به علی عزیز عربی داده شد - سفته باطل شد.</t>
  </si>
  <si>
    <t>چهار چک ملل جمعا به مبلغ 290 میلیون + 60 واریزی به کشاورزی + 30 سود بهمن + 490 قبلی</t>
  </si>
  <si>
    <t>سود 28 بهمن ماه به اصل مبلغ اضافه شد.</t>
  </si>
  <si>
    <t>مبلغ 60 میلیون در تاریخ 1401/11/25 به حساب کشاورزی 0216 واریز شد.</t>
  </si>
  <si>
    <t>چک به مبلغ 75 میلیون بانک ملل به تاریخ 1401/11/26 به ما دادند.</t>
  </si>
  <si>
    <t>چک به مبلغ 75 میلیون بانک ملل به تاریخ 1401/11/27 به ما دادند.</t>
  </si>
  <si>
    <t>چک به مبلغ 75 میلیون بانک ملل به تاریخ 1401/11/28 به ما دادند.</t>
  </si>
  <si>
    <t>چک به مبلغ 75 میلیون بانک ملل به تاریخ 1401/11/29 به ما دادند.</t>
  </si>
  <si>
    <t>حجت ظریف تقی آباد</t>
  </si>
  <si>
    <t>سفته به مبلغ 100 میلیون به تاریخ 1402/10/26 داده شد - شماره سفته : 929871</t>
  </si>
  <si>
    <t>مبلغ طی چک آقای علی عزیز عربی بانک کشاورزی واریز - چک به مبلغ 180 میلیون به تاریخ 1401/11/25 به شماره 624929 بانک کشاورزی در وجه آقای عبداللهی داده شد.</t>
  </si>
  <si>
    <t>ابوالفضل عزیزعربی</t>
  </si>
  <si>
    <t>1402/02/26</t>
  </si>
  <si>
    <t>سفته 044124</t>
  </si>
  <si>
    <t>آقای عبداللهی نوشتن اصل 100 راسی سه ماهه 121 میلیون اما با مبلغ روی سفته مغایرت دارد</t>
  </si>
  <si>
    <t xml:space="preserve"> چک مبلغ 180 میلیون تاریخ 1401/11/25 شماره 624929 بانک کشاورزی به آقای عبداللهی داده شد.</t>
  </si>
  <si>
    <t>مبلغ 100 مربوط به آقای حجت ظریف و الباقی مربوط به آقای ابوالفضل عزیز عربی</t>
  </si>
  <si>
    <t>مبلغ 100 مربوط به آقای حجت ظریف و الباقی مربوط به آقای ابوالفضل عزیز عربی راسی</t>
  </si>
  <si>
    <t>تاریخ چک 2 میلیارد عقب افتاد و به 1402/11/30 تغییر یافت.</t>
  </si>
  <si>
    <t>شبا 0451</t>
  </si>
  <si>
    <t>آقای عبداللهی گفتن بابت اصل مبلغ چهارتا چک دادند که به حساب 3430 گذاشتند.</t>
  </si>
  <si>
    <t>1401/11/26</t>
  </si>
  <si>
    <t>سود بهمن ماه 72/300/000 تومان است.</t>
  </si>
  <si>
    <t>5859-8311-8003-5403</t>
  </si>
  <si>
    <t>آقای عبداللهی نوشتن مبلغ 20 میلیون خانم منیره ملکی ریشخوری دریافت شده است.</t>
  </si>
  <si>
    <t>منیره ملکی ریشخوری</t>
  </si>
  <si>
    <t>مرضیه غدیری</t>
  </si>
  <si>
    <t>سفته به مبلغ 10 میلیون به تاریخ 1402/11/15 داده شد - شماره سفته : 627427 ( معرف علی آقا )</t>
  </si>
  <si>
    <t>سفته به مبلغ 50 میلیون به تاریخ 1402/11/19 داده شد - شماره سفته : 142084 ( معرف علی آقا )</t>
  </si>
  <si>
    <t>سفته به مبلغ 20 میلیون به تاریخ 1402/11/15 داده شد - شماره سفته : 142100 ( معرف علی آقا )</t>
  </si>
  <si>
    <t>چک ایران زمین مبلغ 400 میلیون به تاریخ 1401/11/27 به ما داده شد. شماره چک : 371677</t>
  </si>
  <si>
    <t>چک ایران زمین مبلغ 400 میلیون به تاریخ 1401/11/26 به ما داده شد. شماره چک : 371676</t>
  </si>
  <si>
    <t>چک ایران زمین مبلغ 300 میلیون به تاریخ 1401/11/27 به ما داده شد. شماره چک : 371678</t>
  </si>
  <si>
    <t>چک ایران زمین مبلغ 400 میلیون به تاریخ 1401/11/29 به ما داده شد. شماره چک : 371679</t>
  </si>
  <si>
    <t>مبلغ 40 میلیون تاریخ 1401/11/19 به 6662 واریز شد + ده میلیون علی اقا واریز میکنند بررسی</t>
  </si>
  <si>
    <t>زهره رحمانی</t>
  </si>
  <si>
    <t>تسویه اصل 20 میلیون راسی</t>
  </si>
  <si>
    <t>شبا بانک 5759</t>
  </si>
  <si>
    <t>مشارکت 25 ام بهمن ماه - چک به مبلغ 200 میلیون بابت مشارکت بهمن ماه داده شد که پاس شد.</t>
  </si>
  <si>
    <t>اصل مبلغ 230 میلیون تومان سفته ها گرفته و پاره شد و قطعات تحویل آقای فتح آبادی گردید.</t>
  </si>
  <si>
    <t>سود مشارکت پنجم بهمن بابت اصل 230 پرداخت نشده است - بدلیل اوردن مبلغ جدید سفته 230 قبلی به علاوه واریزی جدید سفته داده خواهد شد.</t>
  </si>
  <si>
    <t>زهره طالبی</t>
  </si>
  <si>
    <t xml:space="preserve">سفته به مبلغ 35 میلیون به تاریخ 1402/11/27 داده شد - شماره سفته : 142082 </t>
  </si>
  <si>
    <t>بیست وهفتم</t>
  </si>
  <si>
    <t>حسین سلطان پور</t>
  </si>
  <si>
    <t xml:space="preserve">سفته به مبلغ 40 میلیون به تاریخ 1402/11/27 داده شد - شماره سفته : 855326 </t>
  </si>
  <si>
    <t xml:space="preserve">سفته 30 میلیونی به تاریخ 1402/11/27 داده شد - شماره سفته : 142085  </t>
  </si>
  <si>
    <t>مبلغ 2 میلیارد + 500 میلیون + 500 میلیون چک داده شد - ( مبلغ 2/100 پدر + 450 پسر )</t>
  </si>
  <si>
    <t>مبلغ 50 میلیون در تاریخ 1401/11/27 به حساب بانک ملی 0348 در ساعت 08:52 واریز شد.</t>
  </si>
  <si>
    <t>مبلغ 500 + 700 چک در وجه آقای علم کامکاری به تاریخ 1402/11/01 داده و ثبت شد.</t>
  </si>
  <si>
    <t>مبلغ 290 میلیون تومان چک های ملل را جهت مشارکت اول اسفند به خانم احیایی داده شد.</t>
  </si>
  <si>
    <t>مشارکت اسفند ماه چک به تاریخ 1401/11/06 پست بانک به مبلغ 1/077/850/000 داده شد.</t>
  </si>
  <si>
    <t>از مشارکت اسفند ماه کسر شود.</t>
  </si>
  <si>
    <t>چک بانک صادرات به مبلغ 245 میلیون به تاریخ 1401/11/26 داده شد که پاس شد.</t>
  </si>
  <si>
    <t>1401/11/28</t>
  </si>
  <si>
    <t>6063-7311-4947-7235</t>
  </si>
  <si>
    <t>واریز به حساب 7950</t>
  </si>
  <si>
    <t>1401/11/29</t>
  </si>
  <si>
    <t>اصل مبلغ دریافت شده است - سفته به مبلغ 40 میلیون به تاریخ 1402/04/27 داده شد - شماره سفته : 142076</t>
  </si>
  <si>
    <t>واریز به کارت 0282</t>
  </si>
  <si>
    <t>1401/11/30</t>
  </si>
  <si>
    <t>چک پست بانک به مبلغ 133 میلیون در تاریخ 1401/11/30 پاس شد.</t>
  </si>
  <si>
    <t>تمامی سفته ها باطل و سفته جدید به مبلغ 800 میلیون تئمان به تاریخ 1402/11/02 داده شد - شماره سفته : 371633</t>
  </si>
  <si>
    <t>مبلغ 87 میلیون در تاریخ 1401/10/15 از 0339 به 4748 واریز شد - سفته 130 میلیون باطل شد - شماره سفته : 364927</t>
  </si>
  <si>
    <t>قرار شد مبلغ 30 میلیون اخر ماه واریز کنند - سفته به مبلغ 60 تومان به تاریخ 1402/12/01 داده شد - شماره سفته : 044011</t>
  </si>
  <si>
    <t>مبلغ 45 میلیون از اصل پول تسویه شد - دو تا سفته 50 میلیون قبلی باطل و سفته 100 میلیونی به شماره 049272 داده شد.</t>
  </si>
  <si>
    <t>چک به مبلغ 190 میلیون تومان بابت مشارکت اسفند ماه به تاریخ 1401/11/02 پاس شد.</t>
  </si>
  <si>
    <t>واریز به کارت 0215</t>
  </si>
  <si>
    <t>سود اول بهمن 1401/11/02</t>
  </si>
  <si>
    <t>سود اول اسفند 1401/12/01</t>
  </si>
  <si>
    <t>برداشت از ملت</t>
  </si>
  <si>
    <t>1401/12/02</t>
  </si>
  <si>
    <t>تسویه بیستم بهمن ماه</t>
  </si>
  <si>
    <t>شبا بانک 9888</t>
  </si>
  <si>
    <t>تسویه دو ماه بهمن و اسفند</t>
  </si>
  <si>
    <t>در اسفند ماه تسویه شد.</t>
  </si>
  <si>
    <t>الباقی سود اسفند ماه به اصل مبلغ اضافه شد.</t>
  </si>
  <si>
    <t>تسویه سی ام آذر</t>
  </si>
  <si>
    <t>مشارکت سی ام دی ماه</t>
  </si>
  <si>
    <t>مشارکت سی ام دی ماه به اصل مبلغ اضافه شد.</t>
  </si>
  <si>
    <t>مشارکت سی ام بهمن ماه</t>
  </si>
  <si>
    <t>واریز به کارت 1169</t>
  </si>
  <si>
    <t>شبا بانک 7506</t>
  </si>
  <si>
    <t>1401/12/03</t>
  </si>
  <si>
    <t>واریز به کارت امیرمحمد گلچین</t>
  </si>
  <si>
    <t>مشارکت فروردین ماه</t>
  </si>
  <si>
    <t>تسویه مشارکت سی ام بهمن ماه</t>
  </si>
  <si>
    <t>1401/12/04</t>
  </si>
  <si>
    <t>حساب 1765</t>
  </si>
  <si>
    <t>شبا بانک 9009</t>
  </si>
  <si>
    <t>1401/12/06</t>
  </si>
  <si>
    <t>1401/12/05</t>
  </si>
  <si>
    <t>6037-7011-7061-5097</t>
  </si>
  <si>
    <t>واریز به کارت 3755</t>
  </si>
  <si>
    <t>مبلغ 250 میلیون در تاریخ 1401/10/07  به حساب پست بانک 3417 واریز شد.</t>
  </si>
  <si>
    <t>واریز به کارت 3647</t>
  </si>
  <si>
    <t>واریز به کارت محمد وحیدی خواه</t>
  </si>
  <si>
    <t>آقای عبداللهی گفتن خانمشون بهشون 700 تومان واریز کرده</t>
  </si>
  <si>
    <t>1401/12/07</t>
  </si>
  <si>
    <t>اصل مبلغ 50 میلیون تسویه شد.</t>
  </si>
  <si>
    <t>اصل مبلغ همراه با سود تسویه شد.</t>
  </si>
  <si>
    <t>محمدعلی غلام شاهی</t>
  </si>
  <si>
    <t>مبلغ 40 میلیون در تاریخ 1401/12/07 در ساعت 17:34 سینما پیتزا کارت کشیده شد.</t>
  </si>
  <si>
    <t>واریزی محمد علی غلام شاهی</t>
  </si>
  <si>
    <t>سفته به مبلغ 40 میلیون به تاریخ 1402/12/07 داده شد. شماره سفته : 142087</t>
  </si>
  <si>
    <t>تسویه اسفند ماه</t>
  </si>
  <si>
    <t>مبلغ 110 میلیون تومان در تاریخ 1401/11/27 از شبا 1269 به 4009 در ساعت 11:45 واریز شد. ( حسن عرب تیموری سرجامی )</t>
  </si>
  <si>
    <t>مبلغ 90 میلیون تومان در تاریخ 1401/11/27 از شبا 6007 به 4009 در ساعت 11:07 واریز شد. ( حسن عرب تیموری سرجامی )</t>
  </si>
  <si>
    <t>اولین واریزی 27 اسفند - سفته به مبلغ 200 میلیون تومان به تاریخ 1402/07/27 داده شد - شماره سفنه : 345976</t>
  </si>
  <si>
    <t>مبلغ 100 میلیون در تاریخ 1401/12/01 از حساب 5006 به حساب 4009 در ساعت 10:30 واریز شد.</t>
  </si>
  <si>
    <t>سود اسفند ماه به اصل مبلغ اضافه شد.</t>
  </si>
  <si>
    <t>اولین واریزی پنجم فروردین ماه</t>
  </si>
  <si>
    <t>سفته 360 میلیون به تاریخ 1403/01/05 داده شد - شماره سفته : 415756</t>
  </si>
  <si>
    <t>مبلغ 10 میلیون تومان تاریخ 1401/12/07 ازکارت 9684 به کارت 1401 ساعت 19:28 واریز شد.</t>
  </si>
  <si>
    <t>سفته به مبلغ 20/500/000 تومان به تاریخ 1402/12/29 داده شد - شماره سفته : 142090</t>
  </si>
  <si>
    <t>محمد سلطان زاده مزرجی ( مریم شفایی )</t>
  </si>
  <si>
    <t>اصل پول تسویه و مبلغ 10 میلیون از اصل بابت سود دوماه کسر شود.</t>
  </si>
  <si>
    <t>به کارت عزیزاله رحیمی تیموری قلعه گیر واریز شود.</t>
  </si>
  <si>
    <t>سفته به مبلغ 200 میلیون به تاریخ 1402/12/011 داده شد - شماره سفته : 345977</t>
  </si>
  <si>
    <t>سفته صد میلیون قبلی ایشون به شماره 929873 باطل شد.</t>
  </si>
  <si>
    <t>به حساب خانومشون خیرالنسا دلیر ارژنگی انتقال یافت.</t>
  </si>
  <si>
    <t>قرار شد از فروردین 1402 راسی شود . مبلغ 35 میلیون1401/10/07 به 8318 واریز شد - سفته باطل شد.</t>
  </si>
  <si>
    <t>مبلغ 100 میلون از اقای آراسته به ایشون منتقل شد  محاسبه از 11 فروردین</t>
  </si>
  <si>
    <t>مشارکت 11 فروردین ماه</t>
  </si>
  <si>
    <t>حسن ملیح</t>
  </si>
  <si>
    <t>سفته به مبلغ 100 میلیون به تاریخ 1402/12/08 داده شد. شماره سفته : 044007</t>
  </si>
  <si>
    <t>1401/12/08</t>
  </si>
  <si>
    <t>واریز به حساب پریسا احمدی بهلولی</t>
  </si>
  <si>
    <t>شبا بانک 4081</t>
  </si>
  <si>
    <t>مبلغ 10 میلیون در تاریخ 1401/11/19 از کارت 8206 به کارت 0661 واریز شد.</t>
  </si>
  <si>
    <t>کارت0661</t>
  </si>
  <si>
    <t>شبا بانک 7976</t>
  </si>
  <si>
    <t xml:space="preserve">حسین علیزاده </t>
  </si>
  <si>
    <t>سفته به مبلغ 200 میلیون به تاریخ 1402/12/09 داده شد. شماره سفته : 345981</t>
  </si>
  <si>
    <t>مبلغ 10 میلیون در تاریخ 1401/11/27 در ساعت 08:24 از کارت 8164 به کارت 1401 واریز شد.</t>
  </si>
  <si>
    <t>مبلغ 100 میلیون در تاریخ 1401/12/08 به حساب 8318 واریز شد.</t>
  </si>
  <si>
    <t>مبلغ 30 میلیون تاریخ 1401/11/26 از حساب 7793 به حساب 2005 در ساعت 17:38 واریز شد.</t>
  </si>
  <si>
    <t>مبلغ 10 میلیون در تاریخ 1401/11/27 ساعت 12:22 از 2952 به 0661 واریز شد.</t>
  </si>
  <si>
    <t>مبلغ 10 میلیون در تاریخ 1401/11/28 ساعت 01:09 از 2952 به 0661 واریز شد.</t>
  </si>
  <si>
    <t>مبلغ 15 میلیون در تاریخ 1401/11/27 ساعت 12:28 از 2952 به 0661 واریز شد.</t>
  </si>
  <si>
    <t>مبلغ 1 میلیون در تاریخ 1401/11/26 ساعت 20:08 از 2738 به 1401 واریز شد.</t>
  </si>
  <si>
    <t>مبلغ 9 میلیون در تاریخ 1401/11/26 ساعت 20:13:02 از 2738 به 1401 واریز شد.</t>
  </si>
  <si>
    <t>مبلغ 9 میلیون در تاریخ 1401/11/26 ساعت 20:13:49 از 5249 به 1401 واریز شد.</t>
  </si>
  <si>
    <t>مبلغ 1 میلیون در تاریخ 1401/11/26 ساعت 20:06 از 5249 به 1401 واریز شد.</t>
  </si>
  <si>
    <t>مبلغ 10 میلیون در تاریخ 1401/11/27 ساعت 10:57 از 2738 به 1401 واریز شد.</t>
  </si>
  <si>
    <t>مبلغ 10 میلیون در تاریخ 1401/11/28 ساعت 16:37 از 2738 به 1401 واریز شد.</t>
  </si>
  <si>
    <t>طاهره کاظمی</t>
  </si>
  <si>
    <t>مبلغ 50 میلیون به تاریخ 1401/12/01 از 7009 به 6663 واریز شد.</t>
  </si>
  <si>
    <t>طریقه واریز یک میلیارد توسط مصیب عبداللهی</t>
  </si>
  <si>
    <t>مبلغ 70 میلیون بابت سود بهمن ماه</t>
  </si>
  <si>
    <t>مبلغ 580 میلیون در تاریخ 1401/11/02 در ساعت 13 : 25 به 0216 واریز شد.</t>
  </si>
  <si>
    <t>مبلغ 200 میلیون در تاریخ 1401/11/02 در ساعت 11:33 از 7001 به 3430 واریز شد.</t>
  </si>
  <si>
    <t>مبلغ 100 میلیون در تاریخ 1401/11/02 در ساعت 11:29 به 3430 واریز شد.</t>
  </si>
  <si>
    <t>مبلغ 50 میلیون در تاریخ 1401/11/03 در ساعت 11:43 به 3430 واریز شد.</t>
  </si>
  <si>
    <t>سفته ندارند</t>
  </si>
  <si>
    <t>مبلغ 15 میلیون در تاریخ 1401/12/09 در ساعت 18:44 از 8910 به 3430 واریز شد.</t>
  </si>
  <si>
    <t>مبلغ 150 میلیون در تاریخ 1401/12/08 در ساعت 09:39 به 4009 واریز شد.</t>
  </si>
  <si>
    <t>دو تا چک بانک ملل به تاریخ 26 و 27 بهمن به مبلغ دوتا 75 میلیون توسط خانم احیایی  پاس شد</t>
  </si>
  <si>
    <t>دو تا چک بانک ملل به تاریخ 28 و29 بهمن به مبلغ دوتا 70 میلیون توسط خانم احیایی پاس شد</t>
  </si>
  <si>
    <t>چک های روح الله عرب تیموری به ما بوده است.</t>
  </si>
  <si>
    <t>مبلغ 2/730/000 تومان در تاریخ 1401/11/18 از کارت 8655 به کارت 1325 واریز شد.</t>
  </si>
  <si>
    <t>مبلغ 200 میلیون در تاریخ 1401/11/24 به 3417 واریز شد.</t>
  </si>
  <si>
    <t>مبلغ 100 میلیون در تاریخ 1401/11/24 به 3417 واریز شد.</t>
  </si>
  <si>
    <t>مبلغ 100 میلیون در تاریخ 1401/11/24 از 8913 به 0216 واریز شد.</t>
  </si>
  <si>
    <t>تبدیل سفته راسی به ماهانه</t>
  </si>
  <si>
    <t>مبلغ 104 میلیون در تاریخ 1401/11/23 به 1325 واریز شد.</t>
  </si>
  <si>
    <t>مبلغ 1 میلیون در تاریخ 1401/11/24 از کارت 9565 به 1325 واریز شد.</t>
  </si>
  <si>
    <t>سفته به مبلغ 100 میلیون به تاریخ 1402/11/03 داده شد - شماره سفته : 044003</t>
  </si>
  <si>
    <t>مبلغ 150 میلیون تاریخ 1401/12/09 به 3417 واریز شد و مبلغ 50 میلیون جاقوری تسویه شد.</t>
  </si>
  <si>
    <t>علی اکبر شاهسوند</t>
  </si>
  <si>
    <t>واریزی علی اکبر شاهسوند</t>
  </si>
  <si>
    <t>علی شریفی بانمکی</t>
  </si>
  <si>
    <t>سفته به مبلغ 30 میلیون به تاریخ 1402/12/05 داده شد. شماره سفته : 142086</t>
  </si>
  <si>
    <t>مبلغ 40 میلیون تاریخ 1401/12/09 به حساب 8318 واریز ومبلغ 55 تومان وحید براتی تسویه شد.</t>
  </si>
  <si>
    <t>اصل پول + سود توسط آقای علی دهنوی به مبلغ 55 میلیون تسویه شد - سفته در تاریخ 1401/11/18 باطل شد.</t>
  </si>
  <si>
    <t>سفته به مبلغ 20 میلیون به تاریخ 1402/12/08 داده شد. شماره سفته : 142089</t>
  </si>
  <si>
    <t>سفته به مبلغ 150 میلیون به تاریخ 1402/12/08 داده شد - شماره سفته : 419494</t>
  </si>
  <si>
    <t>سفته به مبلغ 100 میلیون به تاریخ 1402/12/09 داده شد - شماره سفته : 044004</t>
  </si>
  <si>
    <t>سفته به مبلغ 50 میلیون به تاریخ 1402/12/01 داده شد. شماره سفته : 205113</t>
  </si>
  <si>
    <t>اصل مبلغ 200 و اولین واریزی 12 فروردین 10 میلیون</t>
  </si>
  <si>
    <t>سفته به مبلغ 250 میلیون تومان به تاریخ 1401/10/06 داده شد - شماره سفته : 320969 - سفته اصلاح شد.</t>
  </si>
  <si>
    <t>سفته به مبلغ 150 میلیون به تاریخ 1401/10/06 داده شد - سفته : 320969</t>
  </si>
  <si>
    <t>مبلغ 100 میلیون از اصل 12 و 13 اسفند واریز میشود.</t>
  </si>
  <si>
    <t>سفته به مبلغ 100 میلیون به تاریخ 1402/11/25 داده شد - شماره سفته : 044005</t>
  </si>
  <si>
    <t>مبلغ 82/500 در تاریخ 1401.11/25 به صادرات واریز کردند ( تایید آقای عبداللهی )</t>
  </si>
  <si>
    <t>مبلغ 50 میلیون از اصل مربوط به خانم کبری بیدل ( مادرخانم ) میباشد که بهشان سفته 5 میلیونی داده شد - شماره سفته : 627423</t>
  </si>
  <si>
    <t>سفته 243272</t>
  </si>
  <si>
    <t>1403/01/22</t>
  </si>
  <si>
    <t>مبلغ 20 میلیون در تاریخ 1401/12/08 سینما پیتزا کارت کشیده شد.</t>
  </si>
  <si>
    <t>مبلغ 51/000/000 تومان مشارکت اسفند ماه به اصل مبلغ اضافه شد و سفته داده شد.</t>
  </si>
  <si>
    <t>چک تجارت به مبلغ 48/400/000 تومان بابت مشارکت بهمن ماه در تاریخ 1401/11/16 پاس شد.</t>
  </si>
  <si>
    <t>مبلغ 51/500/000 تومان مشارکت اسفند ماه به اصل مبلغ اضافه شد و سفته داده شد.</t>
  </si>
  <si>
    <t>کسر صد میلیون از اصل پول بابت سرهنگ ایوبی مقدم</t>
  </si>
  <si>
    <t>1401/12/09</t>
  </si>
  <si>
    <t>واریز به شبا 5002</t>
  </si>
  <si>
    <t>اشتباهی واریز شده باید برگشت داده بشه</t>
  </si>
  <si>
    <t>مبلغ 60 تاریخ 1401/11/08 به 2005 واریز شد ( مبلغ 40 ماهیانه و 20 راسی ) سفته به مبلغ 40 میلیون به تاریخ 1402/11/08 داده شد - شماره سفته : 205106</t>
  </si>
  <si>
    <t>شبا بانک 9715</t>
  </si>
  <si>
    <t>واریز به کارت علی بندانی</t>
  </si>
  <si>
    <t>شبا بانک 6525</t>
  </si>
  <si>
    <t>واریز به کارت4626</t>
  </si>
  <si>
    <t>شبا بانک 3825</t>
  </si>
  <si>
    <t>واریز به کارت 3222</t>
  </si>
  <si>
    <t>شبا بانک 2591</t>
  </si>
  <si>
    <t>اصل پول توسط چک برداشت و تسویه کامل شدند.</t>
  </si>
  <si>
    <t>واریز به کارت 7958</t>
  </si>
  <si>
    <t>واریز به حساب 1835</t>
  </si>
  <si>
    <t>5041-7210-6769-4860</t>
  </si>
  <si>
    <t>مبلغ 10 میلیون از خواهرشون خانم هدی شورئی به ایشون انتقال یافت.</t>
  </si>
  <si>
    <t>چک پست بانک به مبلغ 400 میلیون تومان به تاریخ 1402/09/25 با شماره چک 645100 داده شد.</t>
  </si>
  <si>
    <t>منیر احمد رسولی (دوست افغان )</t>
  </si>
  <si>
    <t>سفته 30 میلیونی باطل شد - سفته 50 میلیونی به تاریخ 1402/12/03 داده شد - شماره سفته : 142088</t>
  </si>
  <si>
    <t>سعید دهنوی</t>
  </si>
  <si>
    <t>شبا 0108</t>
  </si>
  <si>
    <t>شبا بانک 0192</t>
  </si>
  <si>
    <t>دو تا چک 450 و 550 قبلی باطل و چک بانک ملت به مبلغ یک میلیارد به تاریخ 1402/12/05 داده شد.</t>
  </si>
  <si>
    <t>مبلغ 200 میلیون به ایشان واریز کنیم و 7 میلیون طلب ما میشود.</t>
  </si>
  <si>
    <t>اصل یک میلیارد مشارکت 7 فروردین 63 میلیون و مشارکت 7 اردیبهشت 70 میلیون</t>
  </si>
  <si>
    <t>تمدید شد.</t>
  </si>
  <si>
    <t>1403/07/24</t>
  </si>
  <si>
    <t>بیست و دو ماه</t>
  </si>
  <si>
    <t>چک 128 میلیون + سفته 333 میلیون</t>
  </si>
  <si>
    <t>چک بانک کشاورزی قبلی به شماره 419310+ سفته 333 میلیون به شماره 407366</t>
  </si>
  <si>
    <t>سفته به مبلغ 120 میلیون به تاریخ 1402/12/10 به نام سید ابوتراب اکبری داده شد - شماره سفته : 345980</t>
  </si>
  <si>
    <t>سفته به مبلغ 50 میلیون به تاریخ 1402/12/10 به نام سیده فاطمه اکبری داده شد - شماره سفته : 205890</t>
  </si>
  <si>
    <t>مبلغ 240 میلیون در تاریخ 1401/11/27 به صادرات واریز کردند.</t>
  </si>
  <si>
    <t>چک 90 میلیون تومان به تاریخ 1401/11/30 پست بانک بابت مشارت بهمن ماه داده  و پاس شد.</t>
  </si>
  <si>
    <t>مشارکت 3 ماه اسفند  فروردین  اردیبهشت چک داده شد - ( مبلغ 114 اسفند - 112 فروردین - 112 اردیبهشت )</t>
  </si>
  <si>
    <t>علیرضا جلالی در تاریخ 1401/11/09مبلغ 140 میلیون تومان به حساب 8318 واریز کردند + مبلغ 10 میلیون خانم لک</t>
  </si>
  <si>
    <t>مبلغ خانم معصومه لک توسط آقای علیرضا جلالی واریز شده است - از کارت 7934 به کارت 9393 خانم لک</t>
  </si>
  <si>
    <t>1401/12/10</t>
  </si>
  <si>
    <t>شبا بانک 2000</t>
  </si>
  <si>
    <t>واریز به کارت 2457</t>
  </si>
  <si>
    <t>مبلغ 35 میلیون در تاریخ 1401/11/30 از 6005 به 4748 واریز شد و آقای عبداللهی تایید دادند.</t>
  </si>
  <si>
    <t>1403/11/30</t>
  </si>
  <si>
    <t>سفته 929868</t>
  </si>
  <si>
    <t>سفته 320979</t>
  </si>
  <si>
    <t>1407/11/17</t>
  </si>
  <si>
    <t>مبلغ 10 میلیون تاریخ 1401/10/17 از 3071 به 4996 واریز شد + 10 میلیون از حساب ماهانه</t>
  </si>
  <si>
    <t>مبلغ 10 میلیون از ماهانه کسر و تبدیل به سالانه</t>
  </si>
  <si>
    <t>ایشون بابت 205 میلیون سفته کامل دریافت کرده بودن و الان 10 میلیون سفته اضافه دستشون دارن.</t>
  </si>
  <si>
    <t>محمد جواد نادی</t>
  </si>
  <si>
    <t>مهدی بارانی</t>
  </si>
  <si>
    <t>از علی آقا انتقال پیدا کرد به سمت ما</t>
  </si>
  <si>
    <t>سفته های قبلی باطل شدند - شماره سفته های باطل شده : 692182 - 482964 - 960858</t>
  </si>
  <si>
    <t>نرگس قربانی</t>
  </si>
  <si>
    <t>سفته به مبلغ 10 میلیون به تاریخ 1402/12/05 داده شد. شماره سفته : 924092 - ( انتقالی از علی آقا به سمت ما - یکسال دیگه تمدید شد )</t>
  </si>
  <si>
    <t>شهربانو نیایی</t>
  </si>
  <si>
    <t>سفته به مبلغ 7/5 میلیون به تاریخ 1402/12/05 داده شد. شماره سفته : 662035 - ( انتقالی از علی آقا به سمت ما - یکسال دیگه تمدید شد )</t>
  </si>
  <si>
    <t>اعظم بارانی</t>
  </si>
  <si>
    <t>مبلغ 5 میلیون در تاریخ 1401/12/10 از کارت 8593 به کارت 1325 در ساعت 20:16 واریز شد.</t>
  </si>
  <si>
    <t>مبلغ 30 میلیون در تاریخ 1401/12/10 از کارت 5417 در سینما پیتزا کارت کشیده شد.</t>
  </si>
  <si>
    <t>سفته به مبلغ 380 میلیون به تاریخ 1402/12/09 داده شد - شماره سفته : 407365</t>
  </si>
  <si>
    <t>واریزی سرهنگ ایوبی</t>
  </si>
  <si>
    <t>واریزی جلال دل آرام</t>
  </si>
  <si>
    <t>مبلغ 30 میلیون در تاریخ 1401/12/10 از کارت 2537 در سینما پیتزا کارت کشیده شد.</t>
  </si>
  <si>
    <t>سفته به مبلغ 50 میلیون به تاریخ 1402/12/05 داده شد - شماره سفته : 219659</t>
  </si>
  <si>
    <t>هر سه ماهی دریافت میکنند. مبلغ سه ماه : 3/600/000 تومان + 22 روز سود تاخیر در واریز</t>
  </si>
  <si>
    <t xml:space="preserve">سفته به مبلغ 480 میلیون به تاریخ 1402/03/20 داده شد. شماره سفته : 415781 </t>
  </si>
  <si>
    <t>سفته به مبلغ 45 میلیون به تاریخ 1402/12/05 داده شد. شماره سفته : 929865</t>
  </si>
  <si>
    <t>چک 300 میلیون 1401/10/20 + سفته 120 میلیون 1401/11/15 تا بیستم اسفند محاسبه شدند.</t>
  </si>
  <si>
    <t>مبلغ 40 میلیون از علی آقا به سمت ما انتقال پیدا کرد.</t>
  </si>
  <si>
    <t>مبلغ 10 میلیون از سمت علی آقا ( ربابه علبزاده ) به سمت ما منتقل شد و سفته شون باطل شد.</t>
  </si>
  <si>
    <t>سفته به مبلغ 200 میلیون به تاریخ 1402/06/28 داده شد - شماره سفته : 419495</t>
  </si>
  <si>
    <t xml:space="preserve">تسویه چک 140 میلیونی </t>
  </si>
  <si>
    <t>محمود بهلولی</t>
  </si>
  <si>
    <t>1406/03/07</t>
  </si>
  <si>
    <t>چک 419316</t>
  </si>
  <si>
    <t>چک 905031</t>
  </si>
  <si>
    <t>علی مهدوی تبار</t>
  </si>
  <si>
    <t>1405/01/31</t>
  </si>
  <si>
    <t>چک 419320</t>
  </si>
  <si>
    <t>چک بانک تجارت به مبلغ صد میلیون به تاریخ 1402/01/16 بابت مشارکت فروردین داده و ثبت شد.</t>
  </si>
  <si>
    <t>چک پست بانک به مبلغ صد میلیون به تاریخ 1402/02/16 بابت مشارکت اردیبهشت داده و ثبت شد.</t>
  </si>
  <si>
    <t>چک بانک ملی به مبلغ صد میلیون به تاریخ 1402/03/16 بابت مشارکت خرداد داده و ثبت شد.</t>
  </si>
  <si>
    <t>علی عرب غضنفری</t>
  </si>
  <si>
    <t>چک بانک ملی به مبلغ 900 میلیون به تاریخ 1402/06/11 به ایشون داده شد - شماره چک : 424043</t>
  </si>
  <si>
    <t>چک بانک مسکن به مبلغ 160 میلیون به تاریخ 1402/08/18 به ایشون داده شد - شماره چک : 453367</t>
  </si>
  <si>
    <t>فاطمه بهلولی</t>
  </si>
  <si>
    <t>چک بانک صادرات به مبلغ 80 میلیون بدون تاریخ به ایشون داده شد - شماره چک : 343270</t>
  </si>
  <si>
    <t xml:space="preserve">سفته به مبلغ 800 میلیون به تاریخ 1402/03/14 داده شد. شماره سفته : 371308 </t>
  </si>
  <si>
    <t xml:space="preserve">سفته به مبلغ 500 میلیون به تاریخ 1402/03/14 داده شد. شماره سفته : 415783 </t>
  </si>
  <si>
    <t>مبلغ 200 میلیون در تاریخ 1401/10/14 به حساب 3008 واریز شد - شماره پیگیری : 650114</t>
  </si>
  <si>
    <t>مبلغ 200 میلیون در تاریخ 1401/11/01 به حساب 3008 واریز شد - شماره پیگیری : 650117</t>
  </si>
  <si>
    <t>مبلغ 100 میلیون در تاریخ 1401/11/25 به حساب 3008 واریز شد - شماره پیگیری : 650127</t>
  </si>
  <si>
    <t>مبلغ 300 میلیون در تاریخ 1401/10/14 به حساب 3008 واریز شد - شماره پیگیری : 650113</t>
  </si>
  <si>
    <t>مبلغ 400 میلیون در تاریخ 1401/11/25 به حساب 3008 واریز شد - شماره پیگیری : 650124</t>
  </si>
  <si>
    <t>حسین بهلولی</t>
  </si>
  <si>
    <t xml:space="preserve">سفته به مبلغ 300 میلیون به تاریخ 1402/05/14 داده شد. شماره سفته : 415782 </t>
  </si>
  <si>
    <t>مبلغ 300 میلیون در تاریخ 1401/05/13در ساعت 10:47 واریز شد - شماره پیگیری : 776613</t>
  </si>
  <si>
    <t>حساب قدیم - صادرات - 1400/09/30 - 5 درصد تبدیل به 6 درصد</t>
  </si>
  <si>
    <t>حساب قدیم - مسکن - 1402/08/18 - 5 درصد تبدیل به 6 درصد</t>
  </si>
  <si>
    <t>حساب قدیم - صادرات - بدون تاریخ - 5 درصد تبدیل به 6 درصد</t>
  </si>
  <si>
    <t>بانک کشاورزی</t>
  </si>
  <si>
    <t>بانک صادرات</t>
  </si>
  <si>
    <t>بانک کشاورزی ( واریزی چند مرحله ای جدول )</t>
  </si>
  <si>
    <t>چک بانک صادرات به مبلغ 200 میلیون به تاریخ 1400/09/30 به ایشون داده شد - شماره چک : 343280</t>
  </si>
  <si>
    <t>چک بانک تجارت به تاریخ 1401/11/10 به مبلغ 440 میلیون تومان از ما داشتند + مشارکت یکماه جمعا 462 میلیون تومان - مبلغ 120 میلیون تومان به ایشان واریز شود.</t>
  </si>
  <si>
    <t>مبلغ 120 میلیون تومان به ایشان واریز شود.</t>
  </si>
  <si>
    <t xml:space="preserve">سفته به مبلغ 100 میلیون به تاریخ 1402/12/12 داده شد. شماره سفته : 850443 </t>
  </si>
  <si>
    <t>سفته 250 میلیون قبلی به شماره 320972 باطل شد - سفته 100 میلیون آقای ایوبی طلب ما از آقای بهلوری</t>
  </si>
  <si>
    <t xml:space="preserve"> سفته 100 میلیون آقای ایوبی طلب ما از آقای بهلوری میباشد. ( سفنه 250 میلیون رو تحویل دادند و باطل شد. )</t>
  </si>
  <si>
    <t>سفته به مبلغ 30 میلیون به تاریخ 1402/12/08 داده شد - شماره سفته : 142094</t>
  </si>
  <si>
    <t>مبلغ 10 میلیون در تاریخ 1401/12/07 در ساعت 03 : 20 از 1340 به 4996 واریز شد.</t>
  </si>
  <si>
    <t>مبلغ 10 میلیون در تاریخ 1401/12/08 در ساعت 06 : 18 از 1340 به 4996 واریز شد.</t>
  </si>
  <si>
    <t>مبلغ 10 میلیون در تاریخ 1401/12/09 در ساعت 04 :17 از 1340 به 4996 واریز شد.</t>
  </si>
  <si>
    <t>واریز به کارت 1358</t>
  </si>
  <si>
    <t>سفته به مبلغ 100 + 50 میلیون به تاریخ 1402/08/01 به نام آقای حسن ابراهیمی داده شد - شماره سفته : 976099 - 976098</t>
  </si>
  <si>
    <t>1401/12/12</t>
  </si>
  <si>
    <t>شبا بانک 5140</t>
  </si>
  <si>
    <t xml:space="preserve">سفته به مبلغ 30 میلیون به تاریخ 1402/12/07 داده شد - شماره سفته : 855316 </t>
  </si>
  <si>
    <t>1401/12/13</t>
  </si>
  <si>
    <t>شبا بانک 4849</t>
  </si>
  <si>
    <t>آقای عبداللهی نوشتن سی میلیون واریزی دوم و سوم وهفتم به صادرات</t>
  </si>
  <si>
    <t xml:space="preserve">سفته به مبلغ 60 میلیون به تاریخ 1402/12/01 داده شد - شماره سفته : 506383 </t>
  </si>
  <si>
    <t>مبلغ 46 میلیون تومان در تاریخ 1401/12/13 به ملت خانم زهرا پورخواجه واریز شد.</t>
  </si>
  <si>
    <t>چک بابت اصل مشارکت داده و ثبت شد - عکس چک ارسال نشده است.</t>
  </si>
  <si>
    <t>سفته به مبلغ 150 میلیون به تاریخ 1402/12/25 داده شد - شماره سفته : 345949</t>
  </si>
  <si>
    <t>1401/12/14</t>
  </si>
  <si>
    <t>شبا 3029</t>
  </si>
  <si>
    <t>تسویه سفته 83 میلیون سر رسید 29 آذر + سود تا اسفند جمعا 97/284/000 تومان</t>
  </si>
  <si>
    <t>مبلغ 180 هزار تومان اضافه واریز شده است در فروردین ماه کسر شود.</t>
  </si>
  <si>
    <t>سفته به مبلغ 85 میلیون به تاریخ 1402/12/05 داده شد - شماره سفته : 850445</t>
  </si>
  <si>
    <t>ساجده جلالی</t>
  </si>
  <si>
    <t xml:space="preserve">سفته به مبلغ 70 میلیون به تاریخ 1402/12/14 داده شد. شماره سفته : 049268 </t>
  </si>
  <si>
    <t>پرداخت چک</t>
  </si>
  <si>
    <t>واریز به کارت 7680</t>
  </si>
  <si>
    <t>از حساب خانم پورخواجه</t>
  </si>
  <si>
    <t>معصومه نجاری</t>
  </si>
  <si>
    <t>سفته به میلغ 15 میلیون به تاریخ 1402/12/14 داده شد - شماره سفته : 205137</t>
  </si>
  <si>
    <t>مبلغ 4/999/000 تومان در تاریخ 1401/12/14 3در ساعت 19:09 به کارت 8442 واریز شد.</t>
  </si>
  <si>
    <t>مبلغ 10 تومان در تاریخ 1401/12/12 3در ساعت 13:08 به کارت کشاورزی 0661 واریز شد.</t>
  </si>
  <si>
    <t>مبلغ 10/000/000 تومان تاریخ 1401/12/07 ساعت 07:28 از کارت 9960 به کارت 0661 واریز شد.</t>
  </si>
  <si>
    <t>مبلغ 10/000/000 تومان تاریخ 1401/12/07 ساعت 07:26 از کارت 2524 به کارت 0661 واریز شد.</t>
  </si>
  <si>
    <t>مبلغ 10/000/000 تومان تاریخ 1401/12/07 ساعت 07:27 از کارت 5429 به کارت 0661 واریز شد.</t>
  </si>
  <si>
    <t>سفته 732911</t>
  </si>
  <si>
    <t>مبلغ 30 میلیون از سفته راسی آقای احمدرضا افضلی پل بندی به ایشان انتقال یافت.</t>
  </si>
  <si>
    <t>مبلغ 110 میلیون در تاریخ 1401/12/06 به حساب 2005 توسط حوا شاکری واریز شد.</t>
  </si>
  <si>
    <t>مبلغ 40 میلیون در تاریخ 1401/12/06 به حساب 2005 توسط محمد کامکاری واریز شد.</t>
  </si>
  <si>
    <t>مبلغ 5 میلیون در تاریخ 1401/12/11 در ساعت 09:53 از کارت 9879 به کارت 1325 واریز شد.</t>
  </si>
  <si>
    <t>مبلغ 10 میلیون در تاریخ 1401/12/11 در ساعت 09:46 از کارت 6023 به کارت 1325 واریز شد.</t>
  </si>
  <si>
    <t>مبلغ 15 میلیون در تاریخ 1401/12/11 در ساعت 09:41 از کارت 6023 به کارت 1325 واریز شد.</t>
  </si>
  <si>
    <t>مبلغ 40 میلیون در تاریخ 1401/12/10 در ساعت 08:40 از حساب 4004 به حساب 4009 واریز شد.</t>
  </si>
  <si>
    <t>مبلغ 10 میلیون در تاریخ 1401/12/11 در ساعت 00:07 از کارت 8178 به کارت 1325 واریز شد.</t>
  </si>
  <si>
    <t>مبلغ 194 میلیون در تاریخ 1401/11/01 به حساب 3008 واریز کردند و بخاطر 6 میلیون کسری تاریخ واریزی از یکم هر ماه به پانزدهم هر ماه انتقال یافت.</t>
  </si>
  <si>
    <t>مبلغ 20 میلیون تاریخ 12/8 براشون واریز شد و 30 میلیون به حساب آقای علی شریفی انتقال یافت.</t>
  </si>
  <si>
    <t xml:space="preserve">نطر غلامی </t>
  </si>
  <si>
    <t>سفته 999396</t>
  </si>
  <si>
    <t xml:space="preserve">نظر غلامی </t>
  </si>
  <si>
    <t>واریز به کارت منصوره غلامی</t>
  </si>
  <si>
    <t>اصل 14/500 یکساله 22 و تمدید مجدد 22 میلیون یکساله 36 میلیون که 8 میلیون اسفند پرداخت شد.</t>
  </si>
  <si>
    <t>مبلغ 2 میلیون تاریخ 1401/12/15در ساعت 10:56 از 4584 به 8442 خانم پورخواجه واریز شد.</t>
  </si>
  <si>
    <t>مبلغ 10 میلیون تاریخ 1401/12/14در ساعت 13:37 از 4584 به 8442 خانم پورخواجه واریز شد.</t>
  </si>
  <si>
    <t>مبلغ 10 +10 در تاریخ 1401/10/15 در ساعت 15:59 و 16 از 3956 و 7837 به0479 واریز شد</t>
  </si>
  <si>
    <t>مبلغ 3 میلیون در تاریخ 1401/11/10 در ساعت 19:38 از کارت 7046 به کارت 4996 واریز شد.</t>
  </si>
  <si>
    <t>مبلغ 50 تومان در تاریخ 1401/12/11 3در ساعت 14:01 به حساب 9443 واریز شد.</t>
  </si>
  <si>
    <t>مبلغ 40 میلیون در تاریخ 1401/11/18 ساعت 13:30 به حساب 4748 واریز شد.</t>
  </si>
  <si>
    <t>1401/12/16</t>
  </si>
  <si>
    <t>سفته 180 میلیون تاریخ 1402/11/12 بنام مرتضی میرمجرابی داده شد  شماره سفته : 516173 - مبلغ 180 میلیون تاریخ 1401/11/12 به کشاورزی 3417 واریز شد.</t>
  </si>
  <si>
    <t>1401/12/17</t>
  </si>
  <si>
    <t>شبا بانک 4945</t>
  </si>
  <si>
    <t>برگشت به حساب شده</t>
  </si>
  <si>
    <t>واریز به کارت 3536</t>
  </si>
  <si>
    <t>1401/12/18</t>
  </si>
  <si>
    <t>اشتباه واریز شده بود که به حساب آقای علی عبداللهی برگشت زدند.</t>
  </si>
  <si>
    <t>1401/12/25</t>
  </si>
  <si>
    <t>شبا بانک 5113</t>
  </si>
  <si>
    <t>بابت مشارکت چک به تاریخ 1401/11/06 پست بانک به مبلغ 1/077/850/000 داده شد.</t>
  </si>
  <si>
    <t>بابت مشارکت بهمن</t>
  </si>
  <si>
    <t>از مشارکت بهمن ماه ایشون 4/150/000 تومان بدهکار هستن.</t>
  </si>
  <si>
    <t>مبلغ 170 میلیون 8 درصد از اصل پول کسر شود.</t>
  </si>
  <si>
    <t>سود 13 روز 170 میلیون</t>
  </si>
  <si>
    <t>واریز به کارت 1330</t>
  </si>
  <si>
    <t>شبا بانک 7396</t>
  </si>
  <si>
    <t>شبا بانک 2049</t>
  </si>
  <si>
    <t>اشتباها دوبار واریز شد.</t>
  </si>
  <si>
    <t>به کارت 0019</t>
  </si>
  <si>
    <t>واریز به کارت نجمه گلچین</t>
  </si>
  <si>
    <t>1401/12/19</t>
  </si>
  <si>
    <t>شبا بانک 3731</t>
  </si>
  <si>
    <t>شبا بانک 4049</t>
  </si>
  <si>
    <t>شبا بانک 7805</t>
  </si>
  <si>
    <t>مبلغ 4/500 و 5/500 تاریخ 1401/10/14 به حساب علی عبداللهی-سفته به مبلغ 10 میلیون به تاریخ 1402/11/15 داده شد - شماره سفته : 627427 ( معرف علی آقا )</t>
  </si>
  <si>
    <t>واریز به کارت 6410</t>
  </si>
  <si>
    <t>مبلغ 206 هزار تومان را در تاریخ 1401/12/18 در ساعت 18:27 به حساب خانم حسن آبادی برگشت زدند.</t>
  </si>
  <si>
    <t>مبلغ 4 میلیون در تاریخ 1401/12/19 در ساعت 10:06 به حساب خانم حسن آبادی برگشت زدند.</t>
  </si>
  <si>
    <t>1401/12/20</t>
  </si>
  <si>
    <t>واریز به کارت 8901</t>
  </si>
  <si>
    <t>برگشت به حساب شده است.</t>
  </si>
  <si>
    <t>تسویه سفته 50 میلیونی فاطمه بارانی</t>
  </si>
  <si>
    <t>واریز به کارت 3956</t>
  </si>
  <si>
    <t>واریز به کارت 7845</t>
  </si>
  <si>
    <t>واریز به کارت 4959</t>
  </si>
  <si>
    <t>1401/12/21</t>
  </si>
  <si>
    <t>1401/12/22</t>
  </si>
  <si>
    <t>واریز به کارت 6530</t>
  </si>
  <si>
    <t>6104-3389-9210-8890</t>
  </si>
  <si>
    <t>پاس چک 350 میلیون</t>
  </si>
  <si>
    <t>مشارکت 20 فروردین ماه میشود 7/150 و مشارکت 20 اردیبهشت ماه میشود 11 میلیون</t>
  </si>
  <si>
    <t>سفته 9 میلیون به شماره 267310 و سفته 50 میلیون به شماره 266601  باطل شدند.</t>
  </si>
  <si>
    <t>مبلغ 10 میلیون در تاریخ 1401/12/22 در ساعت 18:46 از کارت 1317 به کارت 8442 واریز شد.</t>
  </si>
  <si>
    <t>تسویه سفته 50 میلیون - سفته به شماره 253968 باطل شد.</t>
  </si>
  <si>
    <t>تسویه سفته 36 میلیونی - سفته 999396 باطل شد.</t>
  </si>
  <si>
    <t>سفته به مبلغ 43 میلیون به تاریخ 1402/10/06 داده شد - شماره سفته : 222598 - از بهمن ماه ششم هرماه واریز شود - باطل شد.</t>
  </si>
  <si>
    <t xml:space="preserve">مبلغ 50 میلیون واریز میکنند + 42 قبلی + 272 راسی + 20 از مشارکت فروردین و اردیبهشت </t>
  </si>
  <si>
    <t>سفته های قبلی باطل شدند - شماره های : 186643 - 186642 - 698087 - 496752</t>
  </si>
  <si>
    <t>سفته به مبلغ 384 میلیون به تاریخ 1402/12/30 داده شد - شماره سفته : 422148</t>
  </si>
  <si>
    <t>تسویه سفته 20 میلیون - سفته به شماره 521684 باطل شد.</t>
  </si>
  <si>
    <t>رویا ظریف بازیار ( حمیده بیرجندی )</t>
  </si>
  <si>
    <t>تسویه سفته 20 میلیون - سفته به شماره 521681 باطل شد.</t>
  </si>
  <si>
    <t>تسویه سفته 70 میلیون - سفته به شماره 586676 باطل شد.</t>
  </si>
  <si>
    <t>راضیه افخوانی</t>
  </si>
  <si>
    <t>الباقی مشارکت + 20 میلیون تاریخ 1401/12/23 پرداخت شود.</t>
  </si>
  <si>
    <t>تاریخ 1401/12/24 پرداخت شود.</t>
  </si>
  <si>
    <t>تاریخ 1401/12/28 پرداخت شود.</t>
  </si>
  <si>
    <t>طلب تا 1401/12/22 خانم بیرجندی سفته ده میلیون تومان - فردا 23 ام سفته 40 میلیون می اورند و اقای عبداللهی سفته 50 به ایشان میدهند.</t>
  </si>
  <si>
    <t>بیست و هشتم بجای 70 میلیون مبلغ 60 میلیون به ایشان واریز کنیم.</t>
  </si>
  <si>
    <t>مبلغ 78 از مشارکت اسفند و 100 میلیون از اصل پول بعد واریزی کسر شود و اصل پول 1/300/000/000 تومان میشود.</t>
  </si>
  <si>
    <t>مبلغ 31  تومان صبح 26 ام واریز شود بابت مانده چک 60 میلیون - چک تحویا اقای عبداللهی شد</t>
  </si>
  <si>
    <t>مبلغ 100 میلیون در تاریخ 1401/11/17 و مبلغ 100 میلیون در تاریخ 1401/11/18 واریز کردند.</t>
  </si>
  <si>
    <t>مبلغ 100 میلیون در تاریخ 1401/11/17 به حساب 2005 واریز شد.</t>
  </si>
  <si>
    <t>مبلغ 7 میلیون در تاریخ 1401/10/19 در ساعت 13:37 از کارت 7881 به کارت 4996 واریز شد.</t>
  </si>
  <si>
    <t>مبلغ 8 میلیون در تاریخ 1401/11/19 در ساعت 15:58 از کارت 2260 به کارت 4996 واریز شد.</t>
  </si>
  <si>
    <t>از اسفند ماه</t>
  </si>
  <si>
    <t>مبلغ 10 میلیون تاریخ 1401/12/02 از کارت 8928 به کارت 4996 در ساعت 22:37 واریز شد.</t>
  </si>
  <si>
    <t>مبلغ 10 میلیون تاریخ 1401/12/03 از کارت 8928 به کارت 4996 در ساعت 07:52 واریز شد.</t>
  </si>
  <si>
    <t>مبلغ 10 میلیون تاریخ 1401/12/07 از کارت 8928 به کارت 4996 در ساعت 02:35 واریز شد.</t>
  </si>
  <si>
    <t>مبلغ 10 تومان تاریخ 1401/12/14 در ساعت 09:28 به کارت 9498 مرتضی رمضانی  واریز شد.</t>
  </si>
  <si>
    <t>مبلغ 20 تومان تاریخ 1401/12/14 به شبا 10001  مرتضی رمضانی  واریز شد.</t>
  </si>
  <si>
    <t>مبلغ 40 تومان تاریخ 1401/12/14 به  واریز شد.</t>
  </si>
  <si>
    <t>مبلغ 50 میلیون تاریخ 1401/12/10 ا به ملی 4009 واربز شد. ( ساعت 08:47 ) سیده فاطمه اکبری</t>
  </si>
  <si>
    <t>مبلغ 120 میلیون تاریخ 1401/12/10 ا به ملی 4009 واربز شد. ( ساعت 08:47 ) مرضیه اخوان</t>
  </si>
  <si>
    <t>مبلغ 10 میلیون  تاریخ 1401/11/18  ساعت 09:31 از کارت 5572 به کارت 0661 واریز شد.</t>
  </si>
  <si>
    <t>معصومه رضائیان</t>
  </si>
  <si>
    <t>مبلغ 4/050/000 تومان در تاریخ 1401/12/11 از کارت 7612 به کارت 6301 واریز شد.</t>
  </si>
  <si>
    <t>مبلغ 10/000/000 تومان در تاریخ 1401/12/10 از کارت 7612 به کارت 6301 واریز شد.</t>
  </si>
  <si>
    <t>مبلغ 50 میلیون در تاریخ 1401/08/08 در ساعت 19 به حساب 25 واریز شد.</t>
  </si>
  <si>
    <t>مبلغ 10 میلیون در تاریخ 1401/11/30 ساعت 12:38 از 4504 به 4996 واریز شد.</t>
  </si>
  <si>
    <t>مبلغ 10 میلیون در تاریخ 1401/11/30 ساعت 19:06 از 6111 به 4996 واریز شد.</t>
  </si>
  <si>
    <t>مبلغ 10 میلیون در تاریخ 1401/12/01 در ساعت 12:27 از 7009 به 0661 واریز شد.</t>
  </si>
  <si>
    <t>مبلغ 10 میلیون در تاریخ 1401/12/02 در ساعت 05:40 از 7009 به 0661 واریز شد.</t>
  </si>
  <si>
    <t xml:space="preserve">مبلغ 100 میلیون در تاریخ 1401/11/27 به 3430 واریز شد - </t>
  </si>
  <si>
    <t>مبلغ 10 میلیون در تاریخ 1401/12/25 در ساعت 18:13 از 0117 به 8442 واریز شد.</t>
  </si>
  <si>
    <t>مبلغ 7/000/000 تومان تاریخ 1401/12/22 ساعت 19:53 از کارت 3770 به کارت 8442 واریز شد.</t>
  </si>
  <si>
    <t>مبلغ 50 تومان تاریخ 1401/12/23 ساعت 21:30 از حساب 05628 به حساب 7064 واریز شد.</t>
  </si>
  <si>
    <t>مبلغ 100/000/000 تومان تاریخ 1401/12/22 ساعت 19:47 از حساب 9 به حساب 7064 واریز شد.</t>
  </si>
  <si>
    <t xml:space="preserve">عبدالله عرب تیموری </t>
  </si>
  <si>
    <t>مبلغ 30 میلیون تومان توسط ساجده جلالی به ایشان پرداخت شد.</t>
  </si>
  <si>
    <t>سود اسفند ماه به مبلغ 73/500 +4/500 + 50 میلیون از اصل + 65 میلیون از اصل جمعا به مبلغ 193 میلیون به ایشان پرداخت شود + 7 میلیون اضافه از سود فروردین ماه جمعا دویست میلیون</t>
  </si>
  <si>
    <t>توسط عبدالله عرب تیموری</t>
  </si>
  <si>
    <t>الباقی سود توسط عبدالله عرب تیموری در تاریخ 1401/12/23 پرداخت شد</t>
  </si>
  <si>
    <t>سود اسفند ماه توسط عبدالله عرب تیموری در تاریخ 1401/12/23 واریز شد.</t>
  </si>
  <si>
    <t>مبلغ 200 به محمد اکبریان + 54/500 حسین کاشانی + 5 میلیون حجت ظریف و 9 میلیون کارت به کارت توسط علی عزیز عربی جمعا 268/500 در تاریخ 1401/12/23 واریز شد و 31/500 مانده</t>
  </si>
  <si>
    <t>مبلغ 54 میلیون 15 فروردین از اصل تسویه شود.</t>
  </si>
  <si>
    <t>سفته به مبلغ 30 میلیون به تاریخ 1403/01/15 داده شد - شماره سفته : 142091</t>
  </si>
  <si>
    <t>سفته 80 میلیون قبلی باطل شد. شماره سفته : 929864</t>
  </si>
  <si>
    <t>سفته به مبلغ 50 میلیون به تاریخ 1402/12/29 داده شد - شماره سفته : 142092</t>
  </si>
  <si>
    <t>مرتضی حسنی</t>
  </si>
  <si>
    <t>مبلغ 100 واریزی و 34 میلیون ششم فروردین ماه و مبلغ 6 میلیون نقدی پرداخت میکنند.</t>
  </si>
  <si>
    <t>سفته به مبلغ 140 میلیون به تاریخ 1402/12/29 داده شد. شماره سفته : 419487 - معرف ابراهیم علی اکبری</t>
  </si>
  <si>
    <t>مبلغ 45 جمع 250 و ماهیانه 13/500 بیست و نهم هر ماه</t>
  </si>
  <si>
    <t xml:space="preserve">سفته به مبلغ 300 میلیون به تاریخ 1402/12/24 داده شد. شماره سفته : 422150 </t>
  </si>
  <si>
    <t>مبلغ 20 میلیون باقیمانده تا 300 میلیون طی ماه های آینده به حساب واریز میشود.</t>
  </si>
  <si>
    <t>سفته 049269</t>
  </si>
  <si>
    <t>واریز به کارت 7926</t>
  </si>
  <si>
    <t>چک بانک ملی 500 میلیون تاریخ 1402/06/04 به شماره 424044 به ایشون داده و ثبت شد - 18 ام واریز به ملت خانم پورخواجه</t>
  </si>
  <si>
    <t>1401/12/24</t>
  </si>
  <si>
    <t>به کارت 9599</t>
  </si>
  <si>
    <t>مبلغ 120 میلیون تاریخ 1401/12/24 طی کارتخوان به حساب خانم حمیده بیرجندی واریز شد.</t>
  </si>
  <si>
    <t>شبا بانک 8673</t>
  </si>
  <si>
    <t>واریز به حساب علی وحیدی خواه</t>
  </si>
  <si>
    <t>واریز به زینب کریمی</t>
  </si>
  <si>
    <t>سفته به مبلغ 50 میلیون به تاریخ 1403/06/15 داده شد - شماره سفته : 142080</t>
  </si>
  <si>
    <t>صفیه بیرجندی ( حمیده بیرجندی )</t>
  </si>
  <si>
    <t>سفته به مبلغ 400 میلیون به تاریخ 1402/12/15 داده شد - شماره سفته : 422151</t>
  </si>
  <si>
    <t>سفته به مبلغ 500 میلیون به تاریخ 1402/12/15 داده شد - شماره سفته : 422149</t>
  </si>
  <si>
    <t>سفته به مبلغ 28 میلیون به تاریخ 1402/12/27 داده شد - شماره سفته : 855317</t>
  </si>
  <si>
    <t>1402/07/28</t>
  </si>
  <si>
    <t>چک 672609</t>
  </si>
  <si>
    <t>از چک 350 اسفند 230 بهشان پرداخت شود و 120 چک + 120 ماهانه که سفته 110 دارن جمعا 240</t>
  </si>
  <si>
    <t>بی بی نرگس بابادی</t>
  </si>
  <si>
    <t xml:space="preserve">سفته به مبلغ 150 میلیون به تاریخ 1402/12/27 داده شد. شماره سفته : 419484 </t>
  </si>
  <si>
    <t>مهلا عرب تیموری</t>
  </si>
  <si>
    <t>اولین واریزی 1پنجم خرداد ماه 1402</t>
  </si>
  <si>
    <t>سفته به مبلغ 200 میلیون به تاریخ داده شد - شماره سفته :</t>
  </si>
  <si>
    <t>مبلغ 109 چک شهر + 2 میلیون کارت رستوران + 100 میلیون علی عزیز عربی واریز میکنند + مشارکت فروردین ماه + مشارکت اردیبهشت ماه محاسبه و به اصل اضافه شد جمعا 230 میلیون</t>
  </si>
  <si>
    <t>سفته به مبلغ 20 میلیون تومان به تاریخ 1402/12/12 داده شد - شماره سفته : 644098</t>
  </si>
  <si>
    <t>مبلغ 10 میلیون از حساب برادرشون جواد پورخواجه به حساب ایشون انتقال پیدا کرد - سفته به میلغ 10 میلیون به تاریخ 1402/12/20 داده شد - شماره سفته : 644099</t>
  </si>
  <si>
    <t>سفته 371629</t>
  </si>
  <si>
    <t>مبلغ 284 + 231 چهار ماهه</t>
  </si>
  <si>
    <t>واریز به حساب 6421</t>
  </si>
  <si>
    <t>امید محجوب طرقی</t>
  </si>
  <si>
    <t>5892-1013-1093-7210</t>
  </si>
  <si>
    <t>واریز به کارت 8355</t>
  </si>
  <si>
    <t>واریز به کارت 1763</t>
  </si>
  <si>
    <t>واریز به حساب 8466</t>
  </si>
  <si>
    <t>1401/12/26</t>
  </si>
  <si>
    <t>واریز به حساب 2049</t>
  </si>
  <si>
    <t>واریز به حساب 8289</t>
  </si>
  <si>
    <t>مرضیه مختاری</t>
  </si>
  <si>
    <t xml:space="preserve">سفته به مبلغ 10 میلیون به تاریخ 1402/12/25 داده شد. شماره سفته : 644100 </t>
  </si>
  <si>
    <t xml:space="preserve">سفته به مبلغ 80 میلیون به تاریخ 1402/12/25 داده شد. شماره سفته : 923975 </t>
  </si>
  <si>
    <t>مبلغ 20 میلیون از مشارکت فروردین ماه کسر شود.</t>
  </si>
  <si>
    <t>مبلغ 80 میلیون طی چک رمزدار بانک ملی دریافت شد میزان مشارکت 4/800 بیست و پنجم هر ماه</t>
  </si>
  <si>
    <t xml:space="preserve">سفته به مبلغ 80 میلیون به تاریخ 1402/07/01 داده شد. شماره سفته : 049274 </t>
  </si>
  <si>
    <t>چک به مبلغ 60 میلیون پشت بانک 911187 به تاریخ 1401/12/25 در وجه اقای عبداللهی داده شد.</t>
  </si>
  <si>
    <t>واریز به کارت 4867</t>
  </si>
  <si>
    <t>واریز به حساب 1687</t>
  </si>
  <si>
    <t>1401/12/27</t>
  </si>
  <si>
    <t>مبلغ 30 میلیون در تاریخ 1401/12/03 در ساعت 14:34:30 از 6005 به 6662 انتقال پیدا کرد.</t>
  </si>
  <si>
    <t>سفته به مبلغ 150 میلیون به تاریخ 1403/01/06 داده شد - شماره سفته : 419490 - باطل شد</t>
  </si>
  <si>
    <t>سفته به مبلغ 200 میلیون به تاریخ 1403/01/06 داده شد - شماره سفته : 419486</t>
  </si>
  <si>
    <t>سفته 049271</t>
  </si>
  <si>
    <t>1402/06/26</t>
  </si>
  <si>
    <t>سفته به مبلغ 500 میلیون به تاریخ 1401/12/26 داده شد - شماره سفته : 422147</t>
  </si>
  <si>
    <t>مبلغ 110 سفته برگشت داده و باطل شد.</t>
  </si>
  <si>
    <t>واریز به کارت 8329</t>
  </si>
  <si>
    <t>6037-9975-6557-6619</t>
  </si>
  <si>
    <t>مبلغ 400 هزار تومان از فروردین ماه کسر شود.</t>
  </si>
  <si>
    <t>شبا بانک 80984</t>
  </si>
  <si>
    <t>شبا بانک 8466</t>
  </si>
  <si>
    <t>چک بانک شهر به مبلغ 109میلیون به تاریخ 1401/12/27 به ما داده شد و مبلغ 2 میلیون سینما پیتزا کارت کشیده شد.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</si>
  <si>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باید برگردانند.</t>
    </r>
  </si>
  <si>
    <t>پنجم فروردین 47/600 و پنجم اردیبهشت 60/200</t>
  </si>
  <si>
    <t xml:space="preserve">چک بانک ملی به مبلغ 860 میلیون به شماره 424047 به تاریخ 1403/01/05 به ایشون داده و ثبت شد - </t>
  </si>
  <si>
    <t>واریز به کارت 4015</t>
  </si>
  <si>
    <t>فرشته ضیلیی فرد</t>
  </si>
  <si>
    <t>ده ماهه</t>
  </si>
  <si>
    <t>چک 424049</t>
  </si>
  <si>
    <t>مبلغ 118 مشارکت سوم فروردین 1402 و 382 باید واریز کنند.</t>
  </si>
  <si>
    <t>سفته به مبلغ 20 میلیون به تاریخ 1402/11/30 داده شد - شماره سفته : 644073</t>
  </si>
  <si>
    <t>6037-9972-8353-6010</t>
  </si>
  <si>
    <t>واریز به حساب 4515</t>
  </si>
  <si>
    <t>تسویه چک 60 میلیون بهمن ماه</t>
  </si>
  <si>
    <t>امین صاحبدادی</t>
  </si>
  <si>
    <t>مبلغ 5 میلیون در تاریخ 1401/11/06 به کارت 5379 واریز شد.</t>
  </si>
  <si>
    <t>مبلغ 10 میلیون در تاریخ 1401/11/07 به کارت 5379 واریز شد.</t>
  </si>
  <si>
    <t>مبلغ 7 میلیون در تاریخ 1401/11/08 به کارت 5379 واریز شد.</t>
  </si>
  <si>
    <t>6104-3373-5817-3647</t>
  </si>
  <si>
    <t>واریز به حساب 2491</t>
  </si>
  <si>
    <t>واریز به حساب مژگان پورخواجه</t>
  </si>
  <si>
    <t>تسویه یکم فروردین ماه و تسویه بدهی شان به ما</t>
  </si>
  <si>
    <t>واریز به حساب الهام حقی پناه</t>
  </si>
  <si>
    <t>شبا بانک 3510</t>
  </si>
  <si>
    <t>شبا بانک 9124</t>
  </si>
  <si>
    <t>6277-6012-6759-9353</t>
  </si>
  <si>
    <t>6037-7015-4081-7480</t>
  </si>
  <si>
    <t>6104-3379-4344-9346</t>
  </si>
  <si>
    <t>واریز به کارت 8107</t>
  </si>
  <si>
    <t>واریز به کارت 9040</t>
  </si>
  <si>
    <t>1401/12/29</t>
  </si>
  <si>
    <t>واریز به کارت 4786</t>
  </si>
  <si>
    <t>مبلغ 500 هزار تومان در اسفند ماه پرداخت میشود.</t>
  </si>
  <si>
    <t>مبلغ 500 هزار تومان بدهی بهمن ماه</t>
  </si>
  <si>
    <t>واریز به کارت 3975</t>
  </si>
  <si>
    <t>سفته به مبلغ 32 میلیون به تاریخ 1402/06/01 داده شد - شماره سفته : 142095</t>
  </si>
  <si>
    <t>محمد شریف گلچین</t>
  </si>
  <si>
    <t>سفته به مبلغ 40 میلیون به تاریخ 1402/08/15 داده شد - شماره سفته : 142096</t>
  </si>
  <si>
    <t>چک پست بانک به مبلغ 500 میلیون به تاریخ 1401/12/20 داده و ثبت شد و پاس شد.</t>
  </si>
  <si>
    <t>از اصل علی غلامی</t>
  </si>
  <si>
    <t>چک پست بانک به مبلغ 500 میلیون به تاریخ 1401/12/20 داده و ثبت و پاس شد.</t>
  </si>
  <si>
    <t>مبلغ 40 میلیون در تاریخ 1401/11/05 از حساب 2000 به حساب پارسیان واریز شده است - سفته به مبلغ 40 میلیون داده شد.</t>
  </si>
  <si>
    <t>تسویه اسفند ماه - سفته به مبلغ  22 میلیون به تاریخ 1402/06/06 داده شد - شماره سفته : 644075</t>
  </si>
  <si>
    <t>سفته های 642890 و 924097 به مبلغ 50 میلیون و 10 میلیون باطل شدند.</t>
  </si>
  <si>
    <t>سفته به مبلغ 120 میلیون به تاریخ 1403/01/01 داده شد - شماره سفته : 419488</t>
  </si>
  <si>
    <t>واریز به حساب 4297</t>
  </si>
  <si>
    <t>واریز به حساب فاطمه حسینی بیرم آباد</t>
  </si>
  <si>
    <t>واریز به حساب 5798</t>
  </si>
  <si>
    <t>واریز به حساب ابوالقاسم عرب زوزنی</t>
  </si>
  <si>
    <t>سود 4/200/000 تومان جعفر رضائیان به اصل مبلغ اضافه شد.</t>
  </si>
  <si>
    <t>بیستم اسفند ماه</t>
  </si>
  <si>
    <t>بیستم فروردین ماه</t>
  </si>
  <si>
    <t>بیستم اسفند ماه تسویه نشده است.</t>
  </si>
  <si>
    <t>اسفند ماه</t>
  </si>
  <si>
    <t>فروردین ماه</t>
  </si>
  <si>
    <t>از اصل چک 500 میلیون در وجه وحید کامکاری داده شد.</t>
  </si>
  <si>
    <t>مبلغ 20 میلیون در اسفند ماه کسر شد.</t>
  </si>
  <si>
    <t>مبلغ 100 میلیون از حساب های پریسا خنک بان کسر و به ایشان اضافه گردید.</t>
  </si>
  <si>
    <t xml:space="preserve">هر سه ماهی دریافت میکنند. مبلغ سه ماه : 3/600/000 تومان </t>
  </si>
  <si>
    <t>1402/01/01</t>
  </si>
  <si>
    <t>واریز به کارت 7940</t>
  </si>
  <si>
    <t>اصل مبلغ + سود توسط آقای حسین علیزاده طرقی تسویه شد.</t>
  </si>
  <si>
    <t>شبا بانک 6170</t>
  </si>
  <si>
    <t>واریز به حساب 2303</t>
  </si>
  <si>
    <t>واریز به حساب اکرم فتاح حصاری</t>
  </si>
  <si>
    <t>هر دوماهی واریز میشود - تسویه بهمن و اسفند</t>
  </si>
  <si>
    <t>شبا بانک 4008</t>
  </si>
  <si>
    <t>واریز به حساب 5140</t>
  </si>
  <si>
    <t>واریز به حساب 5587</t>
  </si>
  <si>
    <t>واریز به حساب جواد رمضانی</t>
  </si>
  <si>
    <t>به کارت 3543</t>
  </si>
  <si>
    <t>1402/01/02</t>
  </si>
  <si>
    <t>واریز به حساب 0553</t>
  </si>
  <si>
    <t>واریز به حساب عبدالغفور رامی</t>
  </si>
  <si>
    <t>مبلغ 500 هزار تومان از مشارکت اسفند ماه کسر شود.</t>
  </si>
  <si>
    <t>سود 5/950/000 تومان جعفر رضائیان به اصل مبلغ اضافه شد - سفته به مبلغ 20 میلیون تومان به تاریخ 1402/12/12 داده شد - شماره سفته : 644098</t>
  </si>
  <si>
    <t>1402/01/03</t>
  </si>
  <si>
    <t>شبا بانک 9504</t>
  </si>
  <si>
    <t>واریز به کارت 4143</t>
  </si>
  <si>
    <t>واریز به شبا 4830</t>
  </si>
  <si>
    <t>واریز به حساب 0930</t>
  </si>
  <si>
    <t>واریز به حساب علی عزیز عربی</t>
  </si>
  <si>
    <t>واریز به شبا 5716</t>
  </si>
  <si>
    <t>واریز به حساب 7198</t>
  </si>
  <si>
    <t>1402/01/04</t>
  </si>
  <si>
    <t>واریز به کارت 5249</t>
  </si>
  <si>
    <t>سود اول فروردین 1402/01/04</t>
  </si>
  <si>
    <t>به حساب 6214</t>
  </si>
  <si>
    <t>1402/01/05</t>
  </si>
  <si>
    <t>واریز به کارت محسن احتشام</t>
  </si>
  <si>
    <t>واریز به حساب 5100</t>
  </si>
  <si>
    <t>واریز به حساب 3337</t>
  </si>
  <si>
    <t>واریز به حساب 7749</t>
  </si>
  <si>
    <t>واریز به حساب 5793</t>
  </si>
  <si>
    <t>مبلغ مشارکت از اردیبهشت ماه</t>
  </si>
  <si>
    <t>واریز به حساب 7334</t>
  </si>
  <si>
    <t>مبلغ 20 میلیون از مشارکت فروردین ماه کسر شود و مبلغ 32/300 واریز گردد.</t>
  </si>
  <si>
    <t>چک به مبلغ 1/080/000/000 تومان بانک ملی به تاریخ 1403/01/01 داده و ثبت شد.</t>
  </si>
  <si>
    <t>واریز به حساب 2523</t>
  </si>
  <si>
    <t>واریز به حساب محسن احمدی زردادخانی</t>
  </si>
  <si>
    <t>واریز به حساب 0947</t>
  </si>
  <si>
    <t>برای نصف ماه محاسبه شد.</t>
  </si>
  <si>
    <t>مبلغ 10 میلیون در تاریخ 1401/12/14 از کارت 8517 به کارت 8442 واریز شد.</t>
  </si>
  <si>
    <t>1402/01/06</t>
  </si>
  <si>
    <t>واریز به حساب 1454</t>
  </si>
  <si>
    <t>واریز به حساب 6676</t>
  </si>
  <si>
    <t>برای سه ماه - هر ماه 150 هزار تومان بهش واریزی داریم.</t>
  </si>
  <si>
    <t>این نوشته در تاریخ 1402/01/06 باطل شد.</t>
  </si>
  <si>
    <t>مبلغ 400 از حساب آقای حامد حسنی واریز میشود. (1402/01/06)</t>
  </si>
  <si>
    <t>مبلغ (8/400+16) جمعا 24/400 فردا به حساب کشاورزی واریز کنم. (1402/01/06)</t>
  </si>
  <si>
    <t>مبلغ 29 میلیون بابت واریزی مشارکت قمر ابراهیمی و زهرا خالقی و مریم ابراهیمی و محمدرضا خالقی واریز شود. (1402/01/06)</t>
  </si>
  <si>
    <t>سفته های 20/480/000 مرتضی خالقی  734491 و 64 میلیون قمر ابراهیمی  063473 باطل شدند.</t>
  </si>
  <si>
    <t>مریم ابراهیمی</t>
  </si>
  <si>
    <t>سفته 855320</t>
  </si>
  <si>
    <t>1402/12/25</t>
  </si>
  <si>
    <t>سفته 12/800/000 مریم ابراهیمی 029144 باطل و سفته 21 میلیون جدید 855320 داده شد. راسی</t>
  </si>
  <si>
    <t>اصل مبلغ مرتضی خالقی و قمر ابراهیمی به مبلغ 84/480 بهمراه سود مشارکت جمعا 87 واریز شود.</t>
  </si>
  <si>
    <t>شبا بانک 5170</t>
  </si>
  <si>
    <t>واریز به حساب 7490</t>
  </si>
  <si>
    <t>قاسم رضایی</t>
  </si>
  <si>
    <t>چک بانک ملی به مبلغ 750 میلیون تومان به تاریخ 1403/01/02 به ایشون داده و ثبت شد.</t>
  </si>
  <si>
    <t>شبا بانک 8469</t>
  </si>
  <si>
    <t>حسینعلی خورنگاه</t>
  </si>
  <si>
    <t xml:space="preserve">سفته به مبلغ 50 میلیون به تاریخ 1403/01/07 داده شد. شماره سفته : 855321 </t>
  </si>
  <si>
    <t>واریز به کارت 5457</t>
  </si>
  <si>
    <t>واریز به کارت طلعت زراعتی</t>
  </si>
  <si>
    <t>سفته به مبلغ 342 میلیون به تاریخ 1402/12/10 داده شد - شماره سفته : 415784</t>
  </si>
  <si>
    <t>مبلغ 10 میلیون در تاریخ 1402/01/12 از کارت 7983 به کارت 8384 در ساعت 17:02 واریز شد.</t>
  </si>
  <si>
    <t>مبلغ 10 میلیون در تاریخ 1402/01/12 از کارت 7160 به کارت 8384 در ساعت 16:54 واریز شد.</t>
  </si>
  <si>
    <t>ملیحه برومند</t>
  </si>
  <si>
    <t>مبلغ 10 میلیون در تاریخ 1402/01/16 از کارت 5512 به کارت 8384 در ساعت 16:09 واریز شد.</t>
  </si>
  <si>
    <t>مبلغ 10 میلیون در تاریخ 1402/01/16 از کارت 7983 به کارت 8384 در ساعت 16:06 واریز شد.</t>
  </si>
  <si>
    <t>مبلغ 10 میلیون در تاریخ 1402/01/19 از کارت 3091 به کارت 8384 در ساعت 12:36 واریز شد.</t>
  </si>
  <si>
    <t>سفته به مبلغ 200 میلیون به تاریخ 1402/12/05 داده شد - شماره سفته 419483</t>
  </si>
  <si>
    <t>مبلغ 60 میلیون در تاریخ 1401/12/06 از حساب 8006 به حساب 4425 واریز شد.</t>
  </si>
  <si>
    <t>پریزاد نوروزی سنگانی</t>
  </si>
  <si>
    <t xml:space="preserve">سفته به مبلغ 20 میلیون به تاریخ 1402/05/30 داده شد. شماره سفته : 210210 </t>
  </si>
  <si>
    <t>مبلغ 50 تومان تاریخ 1402/01/15 ساعت 13:02 از حساب 05628 به حساب 7064 واریز شد.</t>
  </si>
  <si>
    <t>سفته به مبلغ 50 میلیون به تاریخ 1403/01/06 داده شد - شماره سفته : 142083 - کل مبلغ 250 میلیون 7 درصد</t>
  </si>
  <si>
    <t>مبلغ 16 میلیون در تاریخ 1402/01/16 در ساعت 14:04 از حساب 5970 به حساب 1897 واریز شد.</t>
  </si>
  <si>
    <t>محمد جلال شیرزادی</t>
  </si>
  <si>
    <t>مبلغ 100 میلیون در تاریخ 1402/01/13در ساعت 19:48 از 8869 به 1897 واریز شد.</t>
  </si>
  <si>
    <t>مبلغ 100 میلیون در تاریخ 1402/01/13در ساعت 19:05 در کارت خوان آذین طب کارت کشیده شد.</t>
  </si>
  <si>
    <t xml:space="preserve">سفته به مبلغ 200 میلیون به تاریخ 1404/01/14 داده شد. شماره سفته : 345983 </t>
  </si>
  <si>
    <t>ازتاریخ 1402/01/19 درصد مشارکت از 5 به 6 درصد تغییر یافت.</t>
  </si>
  <si>
    <t>مبلغ 100 میلیون در تاریخ 1401/12/13 از حساب 5003 به حساب 3430 واریز شد.</t>
  </si>
  <si>
    <t>مبلغ 150 میلیون در تاریخ 1401/12/28 در ساعت 08:10 از شبا 0182 به شبا 1722 واریز شد.</t>
  </si>
  <si>
    <t>مبلغ 30 میلیون تاریخ 1402/01/10 از حساب 3004 به حساب 1897 در ساعت 12:20 واریز شد.</t>
  </si>
  <si>
    <t>مبلغ 9 میلیون تاریخ 1402/01/10 از کارت 3174 به کارت 0734 در ساعت 16:24 واریز شد.</t>
  </si>
  <si>
    <t>زهرا دانایی زاده</t>
  </si>
  <si>
    <t xml:space="preserve">سفته به مبلغ 12 میلیون به تاریخ 1402/06/05 داده شد. شماره سفته : 201307 </t>
  </si>
  <si>
    <t>سود سی ام اسفند ماه</t>
  </si>
  <si>
    <t>سود اسفند ماه کامل نیست و مبلغ 19/270/000 تومان میشود.</t>
  </si>
  <si>
    <t>سود اسفند ماه به اصل مبلغ اضافه میشود.</t>
  </si>
  <si>
    <t>سود سی ام فروردین ماه</t>
  </si>
  <si>
    <t>سفته به مبلغ 20 میلیون به تاریخ 1402/02/19 داده شد - شماره سفته : 095346</t>
  </si>
  <si>
    <t>سفته به مبلغ 52 میلیون به تاریخ 1402/06/08 داده شد - شماره سفته : 359176</t>
  </si>
  <si>
    <t>ملیحه رستمی سورگ</t>
  </si>
  <si>
    <t>مبلغ 100 میلیون در تاریخ 1402/01/08 در ساعت 20:26 در کارتخوان آذین طب کارت کشیده شد.</t>
  </si>
  <si>
    <t>سفته به مبلغ 200 میلیون به تاریخ 1402/07/09 داده شد - شماره سفته : 345982</t>
  </si>
  <si>
    <t>مبلغ 100 میلیون تاریخ 1402/01/09 در ساعت 11:46 به حساب حمیده جوینی 1897 واریز شد.</t>
  </si>
  <si>
    <t>از چک 560 میلیون 250 میلیون سی فروردین واریز و 310 میلیون ماهانه تا یکسال - از 310 میلیون مبلغ 300 میلیون چک در وجه خانم صدیقه بذرافشان و ده میلیون سفته طلبکارند</t>
  </si>
  <si>
    <t>چک 560 میلیون بانک مسکن تحویل آقای عبداللهی شد.</t>
  </si>
  <si>
    <t>مبلغ 300 میلیون چک بانک ملی به تاریخ 1403/01/30 در وجه خانم صدیقه بذرافشان داده شد.</t>
  </si>
  <si>
    <t>مبلغ 9 میلیون 1401/11/19 از 9789 به 1401 واریز و یک میلیون از مشارکت ماهیانه کسر شود.</t>
  </si>
  <si>
    <t>مبلغ 50 میلیون در تاریخ 1401/12/10 از حساب 1929 به شبا 4748 واریز شد.</t>
  </si>
  <si>
    <t>مبلغ 50 میلیون در تاریخ 1402/01/07 از حساب 4159 به شبا 1897 در ساعت 20:47 واریز شد.</t>
  </si>
  <si>
    <t>برای 130 میلیون جدید سفته به مبلغ 135 میلیون به تاریخ 1403/01/01 داده شد - شماره سفته : 516175</t>
  </si>
  <si>
    <t>کل مبلغ از 1402/02/01 با نرخ مشارکت 7 درصد محاسبه و پرداخت میشود.</t>
  </si>
  <si>
    <t>مبلغ 80 میلیون در تاریخ 1401/12/18 در ساعت 10:37 از شبا 8791 به شبا 1722 واریز شد.</t>
  </si>
  <si>
    <t>از ابراهیم علی اکبری به زهرا پورخواجه</t>
  </si>
  <si>
    <t>مبلغ 70 میلیون در تاریخ 1401/12/18 در ساعت 11:42 از شبا 5287 به شبا 1722 واریز شد.</t>
  </si>
  <si>
    <t>مبلغ 30 میلیون در تاریخ 1402/01/07 در ساعت 12:28 از شبا 8791 به شبا 1722 واریز شد.</t>
  </si>
  <si>
    <t>چک به مبلغ 200 میلیون بانک صادرات به تاریخ 1402/01/05 در وجه آقای احسان عبداللهی دارند.</t>
  </si>
  <si>
    <t>چک به مبلغ 140 میلیون بانک کشاورزی به تاریخ 1401/12/03 در وجه آاقی محمد عبداللهی وجود دارد.</t>
  </si>
  <si>
    <t>سمیرا حلیمی ( آیهان مرادی )</t>
  </si>
  <si>
    <t>مبلغ 10 میلیون تاریخ 1401/12/25در ساعت 07:05 از 1308 به 8442 خانم پورخواجه واریز شد.</t>
  </si>
  <si>
    <t>سود سی ام اسفند ماه 16/530/000 + 1/140/000 + 1/600/000 تومان جمعا 19/270 تومان</t>
  </si>
  <si>
    <t>نرجس نیشابوری طرق</t>
  </si>
  <si>
    <t>تا تاریخ 1402/12/05 تمدید شد و سفته داده شد - شماره سفته : 924092 - ( انتقال از علی آقا )</t>
  </si>
  <si>
    <t>مبلغ 50 میلیون تاریخ 1401/11/30 از حساب 1434 به حساب 1325 در ساعت 23:03 واریز شد.</t>
  </si>
  <si>
    <t>واریز کننده اکرم ساری</t>
  </si>
  <si>
    <t>مبلغ 35 میلیون تاریخ 1401/12/09 از حساب 3043 به حساب 1325 در ساعت 14:29 واریز شد.</t>
  </si>
  <si>
    <t>واریز کننده علی عبداللهی</t>
  </si>
  <si>
    <t>سود فروردین ماه به اصل مبلغ اضافه شد</t>
  </si>
  <si>
    <t>مبلغ 50 میلیون تاریخ 1402/01/10 از حساب 3006 به حساب 1897 در ساعت 00:50 واریز شد.</t>
  </si>
  <si>
    <t>مبلغ 50 میلیون تاریخ 1402/01/10 از حساب 4002 به حساب 1897 در ساعت 00:48 واریز شد.</t>
  </si>
  <si>
    <t>واریز کننده محمدرضا واحدی</t>
  </si>
  <si>
    <t>واریز کننده مسعود جازاری</t>
  </si>
  <si>
    <t>واریز کننده  جازاری</t>
  </si>
  <si>
    <t>مبلغ 100 میلیون تاریخ 1402/01/14 از حساب 8918 به حساب 1722 ساعت 13:08 واریز شد.</t>
  </si>
  <si>
    <t>مبلغ 50 میلیون تاریخ 1402/01/10 از حساب 3006 به حساب 1897  واریز شد.</t>
  </si>
  <si>
    <t>مبلغ 61 میلیون تاریخ 1402/01/15 به حساب 3430  در ساعت  13:25 واریز شد.</t>
  </si>
  <si>
    <t>موعد پرداخت دهم هر ماه</t>
  </si>
  <si>
    <t>چک بانک ملی بابت اصل مشارکت به مبلغ 300 میلیون تومان به تاریخ 1402/12/14 داده و ثبت شد - شماره چک : 424045</t>
  </si>
  <si>
    <t>مبلغ 100 میلیون تاریخ 1402/01/07 از حساب 3008 به حساب 2000 امید ملکی واریز شد.</t>
  </si>
  <si>
    <t>مبلغ 100 میلیون تاریخ 1402/01/08 از حساب 3008 به حساب 0927 مرضیه احیایی واریز شد.</t>
  </si>
  <si>
    <t>مبلغ 300 میلیون تاریخ 1402/01/06 از حساب 3057 به حساب 1897 حمیده جوینی واریز شد.</t>
  </si>
  <si>
    <t>واریز کننده طاهره فال بین گل خطمی</t>
  </si>
  <si>
    <t>مبلغ 62 میلیون تاریخ 1402/01/07 از حساب 8005 به حساب 1897 حمیده جوینی واریز شد.</t>
  </si>
  <si>
    <t>سود فروردین ماه 164 میلیون بود که 26 میلیون بابت طلب کسر شد و 138 میلیون باقیمانده به اصل مبلغ اضافه شد.</t>
  </si>
  <si>
    <t>مبلغ 100 میلیون تاریخ 1402/01/08 از حساب 3008 مصطفی خدادوست به حساب 0927 مرضیه احیایی واریز شد.</t>
  </si>
  <si>
    <t>1402/01/08</t>
  </si>
  <si>
    <t>مبلغ 100 میلیون در اسفند ماه پرداخت شده است.</t>
  </si>
  <si>
    <t>مبلغ 100 میلیون تاریخ 1402/01/07 از حساب 3008 مصطفی خدادوست به حساب 2000 امید ملکی واریز شد.</t>
  </si>
  <si>
    <t>1402/01/07</t>
  </si>
  <si>
    <t>واریز به کارت علی تاجی رشخوار</t>
  </si>
  <si>
    <t>واریز به حساب 7284</t>
  </si>
  <si>
    <t>واریز به حساب 0984</t>
  </si>
  <si>
    <t>واریز به کارت 1920</t>
  </si>
  <si>
    <t>شبا بانک 2593</t>
  </si>
  <si>
    <t>شبا بانک 9891</t>
  </si>
  <si>
    <t>واریز به کارت 5412</t>
  </si>
  <si>
    <t>6037-7015-3102-8097</t>
  </si>
  <si>
    <t>واریز به کارت محمد قاسمی</t>
  </si>
  <si>
    <t>مبلغ 4 میلیون در تاریخ 27 اسفند به کارت آقای محمد قاسمی واریز شده است.</t>
  </si>
  <si>
    <t>6104-3375-4436-8531</t>
  </si>
  <si>
    <t>محمد سارانی</t>
  </si>
  <si>
    <t>چک بانک ملی به مبلغ 1/500/000/000 تومان به تاریخ 1402/07/08 در وجه آقای محمد سارانی داده شد. شماره چک :424053</t>
  </si>
  <si>
    <t>چک  صادرات به مبلغ 1/500/000/000 تومان تاریخ 1402/01/08 در وجه آقای عبداللهی داده شد.</t>
  </si>
  <si>
    <t>مبلغ 26 میلیون در تاریخ 1402/01/07 از حساب 4159 به شبا 1897 در ساعت 20:49 واریز شد.</t>
  </si>
  <si>
    <t>شبا بانک 3043</t>
  </si>
  <si>
    <t>6037-9974-0912-4626</t>
  </si>
  <si>
    <t>6037-7011-9073-0215</t>
  </si>
  <si>
    <t>واریز به کارت 8352</t>
  </si>
  <si>
    <t>الباقی سود فروردین ماه به اصل مبلغ اضافه شد.</t>
  </si>
  <si>
    <t>مشارکت اردیبهشت ماه</t>
  </si>
  <si>
    <t>شبا بانک 0292</t>
  </si>
  <si>
    <t>شبا بانک 0702</t>
  </si>
  <si>
    <t>واریز به حساب 4830</t>
  </si>
  <si>
    <t>از 1402/02/30 تا 1403/02/30 به مدت یکسال - اولین پرداختی سی ام اردیبهشت</t>
  </si>
  <si>
    <t>مبلغ رضا حشمتی از 19/200 به 20 میلیون از تاریخ 1402/02/20 اعمال ذشود.</t>
  </si>
  <si>
    <t>سفته 516177</t>
  </si>
  <si>
    <t>سفته به مبلغ 200 میلیون به تاریخ 1404/07/11 داده شد - شماره سفته : 516176</t>
  </si>
  <si>
    <t>مبلغ 200 میلیون چک بانک کشاورزی بابت 100 ماهیانه و 100 سالیانه به تاریخ 1403/01/02 داده شد - شماره چک : 067559</t>
  </si>
  <si>
    <t>مراد غلامی ( محمدصادق خالقی )</t>
  </si>
  <si>
    <t>سفته 407374</t>
  </si>
  <si>
    <t>فاطمه غلامی ( خواهر مراد غلامی )</t>
  </si>
  <si>
    <t>1402/01/09</t>
  </si>
  <si>
    <t>شبا بانک 6746</t>
  </si>
  <si>
    <t>محمد غلامی ( پسر محسن غلامی از تیگاب )</t>
  </si>
  <si>
    <t>واریز به حساب 8619</t>
  </si>
  <si>
    <t>5859-8311-2235-0761</t>
  </si>
  <si>
    <t>واریز به حساب 2738</t>
  </si>
  <si>
    <t>شبا بانک 1765</t>
  </si>
  <si>
    <t>واریز به حساب غلامرضا غلامی</t>
  </si>
  <si>
    <t>چک 367 میلیون بانک ملت به تاریخ 1402/01/25 بابت مشارکت 25 ام اسفند و فروردین داده شد.</t>
  </si>
  <si>
    <t>تسویه مشارکت اسفند و فروردین</t>
  </si>
  <si>
    <t>یکم فروردین</t>
  </si>
  <si>
    <t>یکم اسفند</t>
  </si>
  <si>
    <t>مانده از یکم اسفند 83 میلیون</t>
  </si>
  <si>
    <t>واریز به حساب 0067</t>
  </si>
  <si>
    <t>شبا بانک 4851</t>
  </si>
  <si>
    <t>5892-1012-0435-3755</t>
  </si>
  <si>
    <t>سفته 205138</t>
  </si>
  <si>
    <t>مبلغ 50 میلیون واریز میکنند + 272 قبلی جمعا 322 میلیون</t>
  </si>
  <si>
    <t>سفته 422148</t>
  </si>
  <si>
    <t>1402/06/30</t>
  </si>
  <si>
    <t>سفته به مبلغ 384 میلیون به تاریخ 1402/12/30 داده شد - شماره سفته : 422148 - سفته باطل شد.</t>
  </si>
  <si>
    <t>سفته به مبلغ 42 میلیون به تاریخ 1403/01/20 داده شد - شماره سفته : 855322</t>
  </si>
  <si>
    <t>منتفی شد.</t>
  </si>
  <si>
    <t>سفته 923974</t>
  </si>
  <si>
    <t>کافی نت اسدی</t>
  </si>
  <si>
    <t>سفته به مبلغ 20 میلیون به تاریخ 1403/01/01 داده شد - شماره سفته : 855323</t>
  </si>
  <si>
    <t>سفته 20 میلیونی قبلی باطل شد - شماره سفته : 737379</t>
  </si>
  <si>
    <t>سفته به مبلغ 60 میلیون به تاریخ 1403/01/10 داده شد - شماره سفته : 044127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</si>
  <si>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برگشت شد.</t>
    </r>
  </si>
  <si>
    <t>سفته 20 میلیون قبلی باطل شد و سفته به مبلغ 90 میلیون به تاریخ 1402/12/22 به نام خانم کلوتی داده شد - شماره سفته : 923214</t>
  </si>
  <si>
    <t>مانده از پانزدهم اسفند 33/500/000 تومان</t>
  </si>
  <si>
    <t>مانده ار 27 ام اسفند مبلغ 23/500/000 تومان</t>
  </si>
  <si>
    <t>واریز به کارت مریم رستگار مقدم اصغری</t>
  </si>
  <si>
    <t>واریز به حساب امید ملکی</t>
  </si>
  <si>
    <t>واریزی ها مربوط به سفته 84 میلیون مرتضی خالقی و قمر ابراهیمی 25 اسفند ماه جمعا 86/500 واریز میکنیم</t>
  </si>
  <si>
    <t>واریز به حساب 1386</t>
  </si>
  <si>
    <t>اولین واریزی پنجم فروردین ماه - سفته 360 میلیون به تاریخ 1403/01/05 داده شد - شماره سفته : 415756</t>
  </si>
  <si>
    <t>فکرکنم اصل پول با سود تسویه شد.</t>
  </si>
  <si>
    <t>علی شاهسون</t>
  </si>
  <si>
    <t>6037-6974-4164-0585</t>
  </si>
  <si>
    <t>6037-6976-6104-3486</t>
  </si>
  <si>
    <t>تسویه فروردین ماه</t>
  </si>
  <si>
    <t>مبلغ 50 میلیون در اسفند پرداخت شده است.</t>
  </si>
  <si>
    <t>واریز به کارت 9031</t>
  </si>
  <si>
    <t>چک های 165 میلیون به مورخ 1401/12/01 و 140 میلیون مورخ 1401/12/02  بانک تجارت باطل شدند.</t>
  </si>
  <si>
    <t>چک های 225 میلیون مورخ 1402/06/01 و 180 میلیون مورخ 1402/06/20 بانک ملت صحیح است.</t>
  </si>
  <si>
    <t>وضعیت چک ها تا تاریخ 1402/01/10</t>
  </si>
  <si>
    <t>چک به تاریخ 1402/03/15 بانک ملی به مبلغ 1/500/000/000 تومان داده شد.</t>
  </si>
  <si>
    <t>مبلغ 1/175/000/000 تومان به آقای عبداللهی دادند و قرار شد اصل مشارکت + سود تا تاریخ 1402/03/15 پرداخت شود.</t>
  </si>
  <si>
    <t>ضمنا مبلغ 180 میلیون تومان تاریخ 1402/01/25 به حساب آقای محمدرضا عبداللهی واریز شود.</t>
  </si>
  <si>
    <t>فاطمه بهرامی ( پیروزی راد )</t>
  </si>
  <si>
    <t>1402/01/11</t>
  </si>
  <si>
    <t>مبلغ 100 میلیون از اصل به همراه سود تسویه شد.</t>
  </si>
  <si>
    <t>شبا بانک 5917</t>
  </si>
  <si>
    <t>واریز به حساب حبیب غلامیان سراب</t>
  </si>
  <si>
    <t>واریز به حساب علی بندانی</t>
  </si>
  <si>
    <t>1401/01/11</t>
  </si>
  <si>
    <t>واریز به حساب مفهوم یادگاری</t>
  </si>
  <si>
    <t>واریز به حساب 6743</t>
  </si>
  <si>
    <t>واریز به حساب 6455</t>
  </si>
  <si>
    <t>واریز به شبا 4393</t>
  </si>
  <si>
    <t>1402/01/12</t>
  </si>
  <si>
    <t>واریز به حساب 6446</t>
  </si>
  <si>
    <t>واریز به حساب نوید پروانه</t>
  </si>
  <si>
    <t>واریز به حساب 3222</t>
  </si>
  <si>
    <t>واریز به حساب 4004</t>
  </si>
  <si>
    <t>واریز به کارت 8384</t>
  </si>
  <si>
    <t>واریز به کارت 4342</t>
  </si>
  <si>
    <t>1402/01/13</t>
  </si>
  <si>
    <t>واریز به کارت 4785</t>
  </si>
  <si>
    <t>مبلغ 320 هزار تومان بیشتر واریز شده است.</t>
  </si>
  <si>
    <t>1402/01/14</t>
  </si>
  <si>
    <t>چک 400 میلیون به تاریخ 1401/11/08 بهشون دادیم - عکس پشت چک موجود بود</t>
  </si>
  <si>
    <t>مصطفی خالقی</t>
  </si>
  <si>
    <t>سفته 345984</t>
  </si>
  <si>
    <t>واریز به حساب 3336</t>
  </si>
  <si>
    <t>آقای عبداللهی پشت سفته نوشتن 104 + 30+ 11 - ( چک 104 میلیون بانک ملت به تاریخ 1402/01/26 و سفته 41 میلیون به تاریخ 1402/02/12 باطل شدند. )</t>
  </si>
  <si>
    <t>1403/02/06</t>
  </si>
  <si>
    <t>حسن ملیح ( صدیقه ابراهیمی )</t>
  </si>
  <si>
    <t>واریز به کارت 8004</t>
  </si>
  <si>
    <t>چک 9 روز عقب بیفتد و مبلغ 13 میلیون کارت به کارت واریز شد.</t>
  </si>
  <si>
    <t>مبلغ 15 رستوران کارت کشیدن + مبلغ 5 + 5 واریز به کارت کشاورزی خانمشون + مبلغ 20 چک به تاریخ 1402/02/20 + مبلغ 10 تاریخ 1402/01/14 واریز به کارت کشاورزی + 20 میلیون واریز میشه</t>
  </si>
  <si>
    <t xml:space="preserve">سفته به مبلغ 80 میلیون به تاریخ 1403/01/07 داده شد. شماره سفته : 747876 </t>
  </si>
  <si>
    <t>سفته به مبلغ 100 میلیون به تاریخ 1402/10/11 داده شد - شماره سفته : 747873</t>
  </si>
  <si>
    <t>سفته به مبلغ 500 میلیون به تاریخ 1403/01/12 داده شد - شماره سفته : 422152</t>
  </si>
  <si>
    <t>سه سفته به مبالغ 100 + 100 + 207 مجموعا 407 میلیون باطل شدند0</t>
  </si>
  <si>
    <t>پشت سفته آقای عبداللهی نوشتن 407 + 58 + 30 + 4 + 1 میلیون شیرینی مجموعا 500 میلیون</t>
  </si>
  <si>
    <t>احمدرضا علیپور ( کلثوم عباس پور )</t>
  </si>
  <si>
    <t>مبلغ 58 میلیون و مبلغ 30 میلیون در تاریخ 1402/01/14 در کارت خوان آذین طب کارت کشیده شد.</t>
  </si>
  <si>
    <t>مبلغ 4 میلیون نقدی و 1 میلیون شیرینی</t>
  </si>
  <si>
    <t>1402/01/15</t>
  </si>
  <si>
    <t>واریز به حساب 3873</t>
  </si>
  <si>
    <t>6277-6013-1373-2081</t>
  </si>
  <si>
    <t>واریز به کارت 1632</t>
  </si>
  <si>
    <t>واریز به کارت 8797</t>
  </si>
  <si>
    <t>واریز به کارت مهدی خوردوی گلخطمی</t>
  </si>
  <si>
    <t>مبلغ 100 میلیون در تاریخ 1402/01/05 در ساعت 20:03 واریز شده و آقای عبداللهی تایید دادند.</t>
  </si>
  <si>
    <t>واریز به حساب 4943</t>
  </si>
  <si>
    <t>واریز به حساب 0054</t>
  </si>
  <si>
    <t>واریز به شبا زهره بیرجندی</t>
  </si>
  <si>
    <t>سفته به مبلغ 80 میلیون به تاریخ 1403/01/19 داده شد - شماره سفته : 747874</t>
  </si>
  <si>
    <t>سفته به مبلغ 30 میلیون به تاریخ 1403/01/19 داده شد - شماره سفته : 205110</t>
  </si>
  <si>
    <t>مهدی خدادوست</t>
  </si>
  <si>
    <t>چک بانک ملی  به مبلغ 500 میلیون به تاریخ 1403/01/16 با شماره 424057 به ایشان داده و ثبت شد.</t>
  </si>
  <si>
    <t>شبا بانک 9752</t>
  </si>
  <si>
    <t>شبا بانک 5223</t>
  </si>
  <si>
    <t>شبا بانک 3952</t>
  </si>
  <si>
    <t>سفته به مبلغ 500 میلیون به تاریخ 1403/02/01 داده شد - شماره سفته : 407382</t>
  </si>
  <si>
    <t>سفته به مبلغ 700 میلیون به تاریخ 1403/02/01 داده شد - شماره سفته : 371310</t>
  </si>
  <si>
    <t>چک ایشون به همراه سودش جمعا دویست میلیون شد.</t>
  </si>
  <si>
    <t>سفته به مبلغ 150 میلیون به تاریخ 1403/01/03 داده شد - شماره سفته : 419463</t>
  </si>
  <si>
    <t>1402/10/08</t>
  </si>
  <si>
    <t>سفته 747875</t>
  </si>
  <si>
    <t>سفته 50 میلیون قبلی به تاریخ 1401/10/08 باطل شد.</t>
  </si>
  <si>
    <t>الباقی چک 140 میلیون که ماهیانه شد و چک باطل شد.</t>
  </si>
  <si>
    <t>سفته 419496</t>
  </si>
  <si>
    <t>محمد بیدل پل بندی</t>
  </si>
  <si>
    <t>سفته به مبلغ 91 میلیون به تاریخ 1403/01/16 داده شد - شماره سفته : 929885</t>
  </si>
  <si>
    <t>مبلغ 50 میلیون تاریخ 1402/01/16 در ساعت 14:50:14 در کارت خوان آذین طب کارت کشیده شد.</t>
  </si>
  <si>
    <t>مبلغ 40 میلیون تاریخ 1402/01/16 در ساعت 14:50:27 در کارت خوان آذین طب کارت کشیده شد.</t>
  </si>
  <si>
    <t>مبلغ 40 میلیون تاریخ 1402/01/16 در ساعت 14:56:31 در کارت خوان آذین طب کارت کشیده شد.</t>
  </si>
  <si>
    <t>واریز به حساب 7606</t>
  </si>
  <si>
    <t>مشارکت فروردین ماه به مبلغ 46/050/000 تومان + 6/500/000 تومان نقدی + 80 میلیون واریزی به شهر در تاریخ 1402/01/13 جمعا 132/500/000 تومان به اصل مبلغ اضافه شد.</t>
  </si>
  <si>
    <t>سیده فائزه موفی</t>
  </si>
  <si>
    <t>سفته به مبلغ 100 میلیون به تاریخ 1403/01/15 داده شد - شماره سفته : 929884</t>
  </si>
  <si>
    <t>واریز به کارت 3297</t>
  </si>
  <si>
    <t>مبلغ 99 میلیون  در تاریخ 1402/01/16 در ساعت 18:54 درکارت خوان آذین طب کارت کشیده شد.</t>
  </si>
  <si>
    <t>سفته به مبلغ 130 میلیون به تاریخ 1403/01/16 داده شد - شماره سفته : 419493</t>
  </si>
  <si>
    <t>سفته به مبلغ 90 میلیون به تاریخ 1402/08/16 داده شد - شماره سفته : 929882</t>
  </si>
  <si>
    <t>مبلغ 83/800 تومان در تاریخ 1402/01/16ساعت 20:33 در کارت خوان آذین طب کارت کشیده شد.</t>
  </si>
  <si>
    <t>مبلغ ---- تومان در تاریخ 1402/01/16ساعت ----- در کارت خوان آذین طب کارت کشیده شد.</t>
  </si>
  <si>
    <t>واریز به حساب 8391</t>
  </si>
  <si>
    <t>بابت چک 80 میلیون</t>
  </si>
  <si>
    <t>مبلغ 5 میلیون در تاریخ 1401/11/23 به 4996 واریز کردند - سود 5 میلیون اسفند ماه پرداخت شود</t>
  </si>
  <si>
    <t>قمر ابراهیمی سراب</t>
  </si>
  <si>
    <t>سفته به مبلغ 5 میلیون به تاریخ 1403/01/05 داده شد - شماره سفته : 359393</t>
  </si>
  <si>
    <t>فاطمه خالقی</t>
  </si>
  <si>
    <t>سفته به مبلغ 5 میلیون به تاریخ 1402/07/25 داده شد - شماره سفته : 659146</t>
  </si>
  <si>
    <t>سفته به مبلغ 5 میلیون به تاریخ 1402/07/25 داده شد - شماره سفته : 659148</t>
  </si>
  <si>
    <t>مبلغ 200 مبلبون در تاریخ 1401/12/14 به حساب 1722 در ساعت 08:18 واریز شد - واریز کننده غلامرضا رستمی</t>
  </si>
  <si>
    <t>واریز به حساب 5148</t>
  </si>
  <si>
    <t>واریز به حساب فاطمه ایزی</t>
  </si>
  <si>
    <r>
      <t>سفته به مبلغ 50 میلیون به تاریخ 1402/11/23 داده شد - شماره سفته : 444218 -</t>
    </r>
    <r>
      <rPr>
        <b/>
        <sz val="14"/>
        <color rgb="FFFF0000"/>
        <rFont val="Arial"/>
        <family val="2"/>
        <scheme val="minor"/>
      </rPr>
      <t xml:space="preserve"> سفته 5 میلیون قبلی به تاریخ 1401/11/23 به شماره 785545 باطل شد.</t>
    </r>
  </si>
  <si>
    <t>شبا بانک 3748</t>
  </si>
  <si>
    <t>واریز به حساب محسن نظری</t>
  </si>
  <si>
    <t>واریز به حساب 0068</t>
  </si>
  <si>
    <t>واریز به کارت 6338</t>
  </si>
  <si>
    <t>حسین علیمیرزایی</t>
  </si>
  <si>
    <t>مبلغ 100 میلیون ماهیانه و مبلغ 100 میلیون به ایشان واریز شود.</t>
  </si>
  <si>
    <t>سفته به مبلغ 100 میلیون به تاریخ 1403/02/22 داده شد - شماره سفته : 242479</t>
  </si>
  <si>
    <t>چک 200 میلیونی بانک سپه به تاریخ 1402/01/22 به شماره 857052 باطل شد.</t>
  </si>
  <si>
    <t>علی حسینی نصر آباد</t>
  </si>
  <si>
    <t>واریز به کارت 7666</t>
  </si>
  <si>
    <t>واریز به کارت زهره حسنی</t>
  </si>
  <si>
    <t>1402/01/19</t>
  </si>
  <si>
    <t>آقای عبداللهی نوشتن از اصل</t>
  </si>
  <si>
    <t>سود فروردین ماه به اصل اضافه شد + مبلغ 32/500 به شبا 7064 واریز شد جمعا مبلغ 50 میلیون</t>
  </si>
  <si>
    <t>علی آقا واریز میکنند.</t>
  </si>
  <si>
    <t>سفته های 30 میلیون غلامرضا ساری و 80 میلیون اقدس علیزاده باطل و سفته جدید به مبلغ 110 میلیون به تاریخ 1403/02/05 داده شد - شماره سفته : 044125</t>
  </si>
  <si>
    <t>واریز به حساب 3178</t>
  </si>
  <si>
    <t>واریز به حساب 5341</t>
  </si>
  <si>
    <t>اولین واریزی بیست و پنجم فروردین ماه</t>
  </si>
  <si>
    <t>واریز به کارت 6698</t>
  </si>
  <si>
    <t>مبلغ 500 هزار تومان اضافه واریز شده است.</t>
  </si>
  <si>
    <t>واریز به حساب 2753</t>
  </si>
  <si>
    <t>واریز به کارت 8635</t>
  </si>
  <si>
    <t>6037-7011-9438-2815</t>
  </si>
  <si>
    <t>6037-9979-0522-7782</t>
  </si>
  <si>
    <t>مادر حسین ساعی - معصومه کخایی</t>
  </si>
  <si>
    <t>6277-6012-7817-4931</t>
  </si>
  <si>
    <t>شبا بانک 0339</t>
  </si>
  <si>
    <t>مبلغ 92/700/000 تاریخ 1402/01/16 از حساب 6343 به حساب 4159 ساعت 11:49واریز شد.</t>
  </si>
  <si>
    <t>سفته به مبلغ 200 میلیون به تاریخ 1403/01/26 داده شد - شماره سفته : 624320</t>
  </si>
  <si>
    <t>سفته 100 میلیون قبلی به شماره 929861 باطل شد.</t>
  </si>
  <si>
    <t xml:space="preserve">مبلغ 100 میلیون طرح ویژه به مبلغ قبلی اضافه شد - اولین واریزی 26 اردیبهشت ماه </t>
  </si>
  <si>
    <t>مشارکت 5 میلیون تومان مربوط به 26 فروردین پرداخت شد. ( به اصل اضافه شد )</t>
  </si>
  <si>
    <t>سود از تاریخ 16 فروردین تا 26 فروردین به مبلغ 2/300/000 تومان محاسبه و از اصل کم شد.</t>
  </si>
  <si>
    <t>الباقی سود بهمن ماه به مبلغ 50 میلیون به اصل مبلغ اضافه شد.</t>
  </si>
  <si>
    <t>مشارکت فروردین 20 میلیون پرداخت شده و مانده 67/500 می باشد - مشارکت اردیبهشت 87/500</t>
  </si>
  <si>
    <t>در تاریخ 1402/01/25 مبلغ 20 میلیون واریز و الباقی مشارکت اسفند به اصل اضافه شد.</t>
  </si>
  <si>
    <t>سفته به مبلغ 50 میلیون به تاریخ 1403/01/25 به نام محمد عباسی پور بهلولی داده شد - شماره سفته : 359332</t>
  </si>
  <si>
    <t>سفته 170 میلیون تا تاریخ 1403/01/06 تمدید و کل مبلغ 180 میلیون از اردیبهشت 7 درصد شده است - شماره سفته :516187</t>
  </si>
  <si>
    <t>چک بانک ملی به مبلغ یک میلیارد تومن به تاریخ 1402/07/19 به شماره 424058 به ایشان داده و ثبت شد.</t>
  </si>
  <si>
    <t>تسویه 50 میلیون به همراه سود</t>
  </si>
  <si>
    <t>واریز به کارت 2776</t>
  </si>
  <si>
    <t>واریز به کارت 7020</t>
  </si>
  <si>
    <t>واریز به حساب 7225</t>
  </si>
  <si>
    <t>تسویه مشارکت اسفند ماه</t>
  </si>
  <si>
    <t>واریز به حساب 8528</t>
  </si>
  <si>
    <t>6037-7015-2074-6410</t>
  </si>
  <si>
    <t>6104-3389-5328-0100</t>
  </si>
  <si>
    <t>واریز به کارت امیر محمد غلامی</t>
  </si>
  <si>
    <t>واریز به حساب 1043</t>
  </si>
  <si>
    <t>واریز به حساب 6935</t>
  </si>
  <si>
    <t>سفته به مبلغ 500 میلیون به تاریخ 1403/01/25 به نام عباس مصمور داده شد - شماره سفته : 407388</t>
  </si>
  <si>
    <t>سفته به مبلغ 60 میلیون به تاریخ 1403/01/25 به نام صفر زنده دل داده شد - شماره سفته : 923981</t>
  </si>
  <si>
    <t>مبلغ 190 + 110 تاریخ 1402/01/16 و مبلغ 190 + 10 تاریخ 1402/01/17به  شهر واریز شد.</t>
  </si>
  <si>
    <t xml:space="preserve">آقای عبداللهی نوشتن مبلغ 560 با درصد مشارکت 9 به بانک شهر در تاریخ 16 و 17 </t>
  </si>
  <si>
    <t>مشارکت فروردین 367 و مشارکت اردیبهشت 255/340</t>
  </si>
  <si>
    <t>زهره کامگار ( دخترعمه )</t>
  </si>
  <si>
    <t>1403/04/10</t>
  </si>
  <si>
    <t>سفته 318229</t>
  </si>
  <si>
    <t>حسابهاشون در دفتر آقای عبداللهی موجود است.</t>
  </si>
  <si>
    <t>سفته به مبلغ 50 میلیون به تاریخ 1403/01/25 داده شد - شماره سفته 931783</t>
  </si>
  <si>
    <t>مبلغ 50 میلیون در تاریخ 1402/01/20 در ساعت 23:03 در کارتخوان آذین طب کارت کشده شد.</t>
  </si>
  <si>
    <t>علی تاجی</t>
  </si>
  <si>
    <t>مبلغ 20 میلیون در تاریخ 1402/01/20 در ساعت 23:11 در کارت خوان آذین طب کارت کشیده شد.</t>
  </si>
  <si>
    <t>سفته به مبلغ 30 میلیون به تاریخ 1403/01/03 داده شد - شماره سفته : 931784 - مبلغ 20 علی تاجی + 10 جدید مهناز پورخواجه</t>
  </si>
  <si>
    <t>1402/01/21</t>
  </si>
  <si>
    <t>واریز به حساب 6511</t>
  </si>
  <si>
    <t>چک 200 میلیون باطل شد.</t>
  </si>
  <si>
    <t xml:space="preserve"> سفته صد میلیونی تحویل و باطل  شد.</t>
  </si>
  <si>
    <t>حسین رمضانی</t>
  </si>
  <si>
    <t>سفته 371631</t>
  </si>
  <si>
    <t>1408/02/21</t>
  </si>
  <si>
    <t>مبلغ 40 میلیون تومان در تاریخ 1402/01/21 ساعت 08:48 در کارت خوان آذین طب کارت کشیده شد.</t>
  </si>
  <si>
    <t>شبا بانک 2809</t>
  </si>
  <si>
    <t>سفنه به مبلغ 350 میلیون به تاریخ 1403/01/18 داده شد - شماره سفته : 415726</t>
  </si>
  <si>
    <t>سفنه به مبلغ 350 میلیون به تاریخ 1402/07/18 داده شد - شماره سفته : 422141 - تمدید شش ماهه</t>
  </si>
  <si>
    <t>واریز به حساب8434</t>
  </si>
  <si>
    <t>مبلغ 108 میلیون تومان بابت مشارکت پنجم فروردین و پنجم اردیبهشت پرداخت شد.</t>
  </si>
  <si>
    <t>جلیل خافی</t>
  </si>
  <si>
    <t>اولین واریزی 21 ام اردیبهشت ماه</t>
  </si>
  <si>
    <t>چک 300 میلیون ثبت شد.</t>
  </si>
  <si>
    <t>سفته 718278</t>
  </si>
  <si>
    <t>1402/07/22</t>
  </si>
  <si>
    <t>حسن خنده می</t>
  </si>
  <si>
    <t>سفته به مبلغ 135 میلیون به تاریخ 1402/07/06 داده شد - شماره سفته : 730326</t>
  </si>
  <si>
    <t>واریز به کارت 7768</t>
  </si>
  <si>
    <t>چهار سفته مجموعا به مبلغ 135 میلیون از خانم طیبه رحمانی باطل شدند - انتقال به خودمان</t>
  </si>
  <si>
    <t>حامد علی نیا</t>
  </si>
  <si>
    <t>1402/01/22</t>
  </si>
  <si>
    <t xml:space="preserve">واریز به حساب8434 </t>
  </si>
  <si>
    <t>تسویه پنجم و نوزدهم فروردین</t>
  </si>
  <si>
    <t>مبلغ 700 هزار تومان بیشتر واریز شده است.</t>
  </si>
  <si>
    <t>مبلغ 400 هزار تومان از فروردین ماه بابت بدهی کسر شد.</t>
  </si>
  <si>
    <t>واریز به کارت 8629</t>
  </si>
  <si>
    <t>شبا بانک 3712</t>
  </si>
  <si>
    <t>تسویه فروردین ماه - واریز به حساب عظیم صاحبدادی کاریزی</t>
  </si>
  <si>
    <t>واریز به حساب 9147</t>
  </si>
  <si>
    <t>شبا بانک 4463</t>
  </si>
  <si>
    <t>محمدعلی کریم خواه</t>
  </si>
  <si>
    <t>سفته 359350</t>
  </si>
  <si>
    <t>مبلغ 24 میلیون و یک میلیون تاریخ 1402/01/22 ساعت 19:07 و 19:09 در آذین طب کارت کشیده شد</t>
  </si>
  <si>
    <t>چک بانک ملی مبلغ 2 میلیارد تاریخ 1403/02/10 شماره 424060 در وجه زهرا حسینی داده شد.</t>
  </si>
  <si>
    <t>شبا بانک 4392</t>
  </si>
  <si>
    <t>واریز به حساب زهرا حسینی</t>
  </si>
  <si>
    <t>ابوالقاسم خیاط مقدم</t>
  </si>
  <si>
    <t>سفته به مبلغ 100 میلیون به تاریخ 1403/01/24 داده شد - شماره سفته : 923222</t>
  </si>
  <si>
    <t>1402/01/23</t>
  </si>
  <si>
    <t>تسویه دوماه اسفند و فروردین ماه</t>
  </si>
  <si>
    <t xml:space="preserve">تسویه فروردین ماه </t>
  </si>
  <si>
    <t>6037-6916-2215-2684</t>
  </si>
  <si>
    <t>6037-7014-3960-3975</t>
  </si>
  <si>
    <t>شبا بانک 4638</t>
  </si>
  <si>
    <t>شبا بانک 3819</t>
  </si>
  <si>
    <t>شبا بانک 2821</t>
  </si>
  <si>
    <t>از مشارکت یکم اردیبهشت</t>
  </si>
  <si>
    <t>1402/01/24</t>
  </si>
  <si>
    <t>واریز به حساب 4975</t>
  </si>
  <si>
    <t>شبا بانک 4092</t>
  </si>
  <si>
    <t>شبا بانک 6213</t>
  </si>
  <si>
    <t>6037-7015-4770-3956</t>
  </si>
  <si>
    <t>1402/01/25</t>
  </si>
  <si>
    <t>واریز به کارت 9044</t>
  </si>
  <si>
    <t>شبا ابنک 4008</t>
  </si>
  <si>
    <t>6037-6976-4189-1293</t>
  </si>
  <si>
    <t>1402/01/26</t>
  </si>
  <si>
    <t>مبلغ 2/700/000 تومان بیشتر واریز شده است.</t>
  </si>
  <si>
    <t>واریز به کارت 7480</t>
  </si>
  <si>
    <t>واریز به کارت 0483</t>
  </si>
  <si>
    <t>ساجده جلالی ( حسین جلالی )</t>
  </si>
  <si>
    <t>شبا بانک 5840</t>
  </si>
  <si>
    <t>مبلغ 60 قبلی + 60 جدید یک سفته دادیم- آقای عبداللهی نوشتن 50 کارت به کارت و 10 باید بررسی</t>
  </si>
  <si>
    <t>شبا بانک 1032</t>
  </si>
  <si>
    <t>6277-6012-0369-5984</t>
  </si>
  <si>
    <t>واریز به حساب 3203</t>
  </si>
  <si>
    <t>مبلغ جدید برای 5 روز محاسبه شد.</t>
  </si>
  <si>
    <t>مهدی عرب تیموری</t>
  </si>
  <si>
    <t>شبا بانک 3382</t>
  </si>
  <si>
    <t>محمد دسترس</t>
  </si>
  <si>
    <t>سفته به مبلغ 200 میلیون به تاریخ 1403/01/24 داده شد - شماره سفته : 341898</t>
  </si>
  <si>
    <t>مبلغ 50 میلیون در تاریخ 1402/01/26ساعت 14:04:07 در کارت خوان آذین طب کارت کشیده شد.</t>
  </si>
  <si>
    <t>مبلغ 50 میلیون در تاریخ 1402/01/26ساعت 14:04:32 در کارت خوان آذین طب کارت کشیده شد.</t>
  </si>
  <si>
    <t>شبا بانک 7094</t>
  </si>
  <si>
    <t>واریز به حساب 6496</t>
  </si>
  <si>
    <t>شبا بانک 6511</t>
  </si>
  <si>
    <t>شبا بانک 2434</t>
  </si>
  <si>
    <t>علی جلائی جوان</t>
  </si>
  <si>
    <t>سفته به مبلغ 100 میلیون به تاریخ 1403/01/27 داده شد - شماره سفته : 718281</t>
  </si>
  <si>
    <t>بیست میلیون تومان بابت 12 روز واریز شود.</t>
  </si>
  <si>
    <t>تاریخ چک بانک صادرات 18 اسفند 1402 به مبلغ 2 میلیارد شد.</t>
  </si>
  <si>
    <t>1402/08/18</t>
  </si>
  <si>
    <t>چک بانک صادرات 377143</t>
  </si>
  <si>
    <t>چک 780 میلیون قبلی باطل شد.</t>
  </si>
  <si>
    <t>1402/02/18</t>
  </si>
  <si>
    <t>چک به مبلغ 370 میلیون بانک سپه به شماره 857068 بهتاریخ 1402/07/15 به ایشان داده شد.</t>
  </si>
  <si>
    <t>1402/01/27</t>
  </si>
  <si>
    <t>شبا بانک 4056</t>
  </si>
  <si>
    <t>واریز به کارت فهیمه مصمور</t>
  </si>
  <si>
    <t>واریز به حساب لیلا شادکی</t>
  </si>
  <si>
    <t>6037-9917-6491-8896</t>
  </si>
  <si>
    <t>غلامعلی اسداللهی</t>
  </si>
  <si>
    <t>مبلغ 50 میلیون در تاریخ 1402/01/27ساعت 14:28:25 در کارت خوان آذین طب کارت کشیده شد.</t>
  </si>
  <si>
    <t>غلامرضا اسداللهی</t>
  </si>
  <si>
    <t>واریز به حساب 4373</t>
  </si>
  <si>
    <t>برداشت از حساب 4159</t>
  </si>
  <si>
    <t>اصل 130 + 27 سود + 15 + سود دو ماهه جمعا 200 میلیون</t>
  </si>
  <si>
    <t>سفته به مبلغ 200 میلیون به تاریخ 1402/04/02 داده شد - شماره سفته : 624303</t>
  </si>
  <si>
    <t>مبلغ 10 میلیون در تاریخ 1402/01/27 در ساعت 19:45 از کارت 2758 به کارت 0734 واریز شد.</t>
  </si>
  <si>
    <t>حیدر جیم آبادی</t>
  </si>
  <si>
    <t>سفته به مبلغ 50 میلیون به تاریخ 1402/07/14 داده شد - شماره سفته : 062625</t>
  </si>
  <si>
    <t>سفته به مبلغ 50 میلیون به تاریخ 1402/08/05 داده شد - شماره سفته : 556444</t>
  </si>
  <si>
    <t>از پنجم اردیبهشت از علی عبداللهی انتقال به خودمان</t>
  </si>
  <si>
    <t>1402/01/28</t>
  </si>
  <si>
    <t>واریز به کارت 7567</t>
  </si>
  <si>
    <t>از اصل پول تسویه میشود.</t>
  </si>
  <si>
    <t>الهام جمالیان</t>
  </si>
  <si>
    <t>سفته به مبلغ 100 میلیون به تاریخ 1403/01/28 داده شد - شماره سفته : 318234</t>
  </si>
  <si>
    <t>فائزه جلائی جوان</t>
  </si>
  <si>
    <t>جواد رمضانی</t>
  </si>
  <si>
    <t>چک بانک ملی به مبلغ 700 میلیون تومان به تاریخ 1403/01/28 به شماره 424061 به ایشان داده و ثبت شد.</t>
  </si>
  <si>
    <t>محمد چمنی ریابی</t>
  </si>
  <si>
    <t>سفته به مبلغ 200 میلیون به تاریخ 1402/06/17 داده شد - شماره سفته : 516178</t>
  </si>
  <si>
    <t>سفته به مبلغ 12 میلیون به تاریخ 14023/01/27 داده شد - شماره سفته : 611938</t>
  </si>
  <si>
    <t xml:space="preserve">مبلغ 100 میلیون سفته به تاریخ 1402/12/16 داده شد - شماره سفته : 316577 </t>
  </si>
  <si>
    <t>1402/01/29</t>
  </si>
  <si>
    <t>زهرا خدادوست</t>
  </si>
  <si>
    <t>شبا بانک 5716</t>
  </si>
  <si>
    <t>شبا بانک 3966</t>
  </si>
  <si>
    <t>5892-1014-2369-1308</t>
  </si>
  <si>
    <t>خاطره خالقی - قمر ابراهیمی</t>
  </si>
  <si>
    <t>6037-9974-6839-7832</t>
  </si>
  <si>
    <t>تسویه سود خاطره خالقی 500 تومان + قمر ابراهیمی 300 تومان</t>
  </si>
  <si>
    <t>واریز به حساب 5152</t>
  </si>
  <si>
    <t>1402/01/30</t>
  </si>
  <si>
    <t>6037-7016-8097-0313</t>
  </si>
  <si>
    <t>شبا بانک 8610</t>
  </si>
  <si>
    <t>شرکت آکپا ایران کیش</t>
  </si>
  <si>
    <t>شبا بانک 2751</t>
  </si>
  <si>
    <t>شبا بانک 3700</t>
  </si>
  <si>
    <t>تسویه فروردین ماه - واریز به کارت مهدی بلیله</t>
  </si>
  <si>
    <t>واریز به کارت 3970</t>
  </si>
  <si>
    <t>واربز به کارت 2188</t>
  </si>
  <si>
    <t>سود فروردین ماه به اصل اضافه شد.</t>
  </si>
  <si>
    <t>شبا بانک3956</t>
  </si>
  <si>
    <t>واریز به حساب 9124</t>
  </si>
  <si>
    <t>واریز به کارت 8093</t>
  </si>
  <si>
    <t>نرگس قربانی ( نرجس نیشابوری )</t>
  </si>
  <si>
    <t>واریز به کارت 8776</t>
  </si>
  <si>
    <t>1402/01/31</t>
  </si>
  <si>
    <t>واریز به حساب 0182</t>
  </si>
  <si>
    <t>تسویه اسقند ماه</t>
  </si>
  <si>
    <t>شبا بانک 0581</t>
  </si>
  <si>
    <t>واریز  به کارت 9892</t>
  </si>
  <si>
    <t>واریز  به کارت 4989</t>
  </si>
  <si>
    <t>مبلغ 10 میلیون بابت محمدرضا خاکسار کسر شد.</t>
  </si>
  <si>
    <t>مانده 12 اسفند ماه</t>
  </si>
  <si>
    <t>مانده 12 اسفند 5/500 + مشارکت 12 فروردین 106/500 = 112</t>
  </si>
  <si>
    <t>مانده فروردین ماه 69 میلیون</t>
  </si>
  <si>
    <t>مانده اسفند ماه 58/650/000 تومان</t>
  </si>
  <si>
    <t>1402/02/01</t>
  </si>
  <si>
    <t>شبا بانک 9920</t>
  </si>
  <si>
    <t>فاطمه بهرامی ( محمدرضا پیروزی راد )</t>
  </si>
  <si>
    <t>واریز به کارت 7074</t>
  </si>
  <si>
    <t>مانده از پانزدهم فروردین 39/000/000 تومان</t>
  </si>
  <si>
    <t>1402/02/02</t>
  </si>
  <si>
    <t>مانده از بیست و هشتم فروردین 37/200/000 تومان</t>
  </si>
  <si>
    <t>واریز به کارت 8849</t>
  </si>
  <si>
    <t>زهرا کریمی</t>
  </si>
  <si>
    <t>سفته به مبلغ 50 میلی.ن به تاریخ 1402/10/20 داده شد - شماره سفته : 565584</t>
  </si>
  <si>
    <t>1402/02/03</t>
  </si>
  <si>
    <t>6037-7011-7583-3612</t>
  </si>
  <si>
    <t>مبلغ 94/800 + 200 جمعا 95 میلیون در تاریخ 1402/02/03 در کارتخوان آذین طب کارت کشیدند</t>
  </si>
  <si>
    <t>مبلغ را راسی میگذارند فقط ماهیانه مبلغی بابت اقساط وام بهشون پرداخت میکنیم.</t>
  </si>
  <si>
    <t>1403/01/03</t>
  </si>
  <si>
    <t>سفته 317561</t>
  </si>
  <si>
    <t>خدیجه کامگارپور ( حامد رازی )</t>
  </si>
  <si>
    <t>آقای عبداللهی پشت سفته نوشتن اصل 95 میلیون نوع مبلغ مشخص شود.</t>
  </si>
  <si>
    <t>زهرا الهی</t>
  </si>
  <si>
    <t>سفته به مبلغ 100 میلیون به تاریخ 1403/01/04 داده شد - شماره سفته : 317562</t>
  </si>
  <si>
    <t>سه تا چک بانک ملی به مبلغ های یک میلیارد بدون تاریخ در وجه نامشخص و چک 950 میلیون به تاریخ 1403/02/02 در وجه فهیمه تبانی ( ناخوانا ) و چک 250 میلیون به تاریخ 1403/02/02 در وجه آرزو جعفر آبادی داده شد جمعا به مبلغ 2/200/000/000 تومان</t>
  </si>
  <si>
    <t>چک بانک ملی به مبلغ 500 میلیون به تاریخ 1402/11/02 در وجه مصطفی کمایستانی باطل شد.</t>
  </si>
  <si>
    <t>آقای عبداللهی نوشتن 15 مانده ماه قبل + 140 ملیون سود دوم اردیبهشت به اصل جدید 1/700</t>
  </si>
  <si>
    <t>دلیل واریزی؟؟؟</t>
  </si>
  <si>
    <t>1402/02/04</t>
  </si>
  <si>
    <t>واریز به حساب 6982</t>
  </si>
  <si>
    <t>از اصل مبلغ کسر شد.</t>
  </si>
  <si>
    <t>واریز به کارت 6857</t>
  </si>
  <si>
    <t>سه سفته جمعا به مبلغ 110 میلیون به تاریخ 1402/01/07 دستشون دادیم - شماره سفته : 924094-723468-642895</t>
  </si>
  <si>
    <t>1403/02/03</t>
  </si>
  <si>
    <t>سفته 624302</t>
  </si>
  <si>
    <t>شاید با بالایی یکی باشن باید سوال شود.</t>
  </si>
  <si>
    <t>سفته به مبلغ 50 میلیون به تاریخ 1403/02/02 داده شد - شماره سفته : 931785</t>
  </si>
  <si>
    <t>از تاربخ واریزی 1402/03/01 که بابت 1402/02/01 شروع میشود میزان مشارکت ماهیانه از 7 درصد به 8 درصد تغییر یافت.</t>
  </si>
  <si>
    <t>مریم بهلوری</t>
  </si>
  <si>
    <t>6037-6975-4012-4549</t>
  </si>
  <si>
    <t>حمید حیدری</t>
  </si>
  <si>
    <t>1402/09/01</t>
  </si>
  <si>
    <t>محاسبه شود</t>
  </si>
  <si>
    <t>سفته 359334</t>
  </si>
  <si>
    <t>اصل 50 میلیون واریزی 12 اسفند 1401 تا تاربخ 1402/09/01 راسی محاسبه شود.</t>
  </si>
  <si>
    <t>فکر کنم از اصل مبلغ</t>
  </si>
  <si>
    <t>محمد وحیدی خواه</t>
  </si>
  <si>
    <t>1402/02/05</t>
  </si>
  <si>
    <t>شبا بانک 2008</t>
  </si>
  <si>
    <t>مبلغ 40 میلیون از اصل 120 میلیون باقی مانده است.</t>
  </si>
  <si>
    <t>شبا بانک 3071</t>
  </si>
  <si>
    <t>واریز به حساب 6946</t>
  </si>
  <si>
    <t>5029-0810-6398-4989</t>
  </si>
  <si>
    <t>شبا 8913 مسعود صدیق پور</t>
  </si>
  <si>
    <t>6037-7014-4541-7451</t>
  </si>
  <si>
    <t>شبا بانک 7291</t>
  </si>
  <si>
    <t>5892-1013-8594-8589</t>
  </si>
  <si>
    <t>شبا بانک 1835</t>
  </si>
  <si>
    <t>مشارکت فروردین 20 میلیون پرداخت شده و مانده 67/500 می باشد0</t>
  </si>
  <si>
    <t>مشارکت اردیبهشت 87/500</t>
  </si>
  <si>
    <t>حسین درویش زاده</t>
  </si>
  <si>
    <t>مبلغ 99/900/000 تومان تاریخ 1402/02/05 در ساعت 18 در کارتخوان آذین طب کارت کشیده شد</t>
  </si>
  <si>
    <t>سفته به مبلغ 200 میلیون به تاریخ 1403/02/05 داده شد - شماره سفته : 516167</t>
  </si>
  <si>
    <t>مبلغ 57 میلیون مشارکت محمد عزیز عربی پرداخت شد + 14 میلیون مشارکت پنجم خرداد + 14 میلیون نقدی</t>
  </si>
  <si>
    <t>توسط حسین درویش زاده</t>
  </si>
  <si>
    <t>واریزی پنجم خرداد انجام شد - اولین واریزی پنجم تیر ماه</t>
  </si>
  <si>
    <t>سفته به مبلغ 200 میلیون به تاریخ 1403/02/29 داده شد - شماره سفته : 624327</t>
  </si>
  <si>
    <t>مشارکت دوم اردیبهشت پرداخت شد.</t>
  </si>
  <si>
    <t>اصل مبلغ 160 میلیون تومان و میزان مشارکت ماهیانه 11/200 دوم هر ماه - اولین واریزی دوم خرداد</t>
  </si>
  <si>
    <t>مریم قندی بهلولی</t>
  </si>
  <si>
    <t>سفته 242478</t>
  </si>
  <si>
    <t>1403/02/04</t>
  </si>
  <si>
    <t>حسن قندی بهلولی</t>
  </si>
  <si>
    <t>عکس واریزی واضح نیست.</t>
  </si>
  <si>
    <t>سفته به مبلغ 100 میلیون به تاریخ 1403/01/30 داده شد - شماره سفته : 718285</t>
  </si>
  <si>
    <t>آقای عبداللهی نوشتن 100 این سفته + 35 سفته قبلی جمعا 135 میلیون ماهیانه 10 میلیون</t>
  </si>
  <si>
    <t>مهدی قندی بهلولی</t>
  </si>
  <si>
    <t>سفته 318235</t>
  </si>
  <si>
    <t>1403/02/05</t>
  </si>
  <si>
    <t>مبلغ 50 میلیون در تاریخ 1402/02/05 در ساعت 20:44 در کارتخوان آذین طب کارت کشیده شد.</t>
  </si>
  <si>
    <t>اصل 873 + 50 میلیون پنجم اردیبهشت + (50+27) در طی آینده</t>
  </si>
  <si>
    <t xml:space="preserve">سفته به مبلغ یک میلیارد به تاریخ 1403/02/01 داده شد. شماره سفته : 371634 </t>
  </si>
  <si>
    <t>تسویه فروردین ماه - آقای عبداللهی نوشتن مبلغ 140 میلیون از اصل دوازدهم اردیبهشت پرداخت میشود.</t>
  </si>
  <si>
    <t>محمدرضا حسین زاده ( همسر خانم نخعی تیتوئی )</t>
  </si>
  <si>
    <t>مبلغ 100 میلیون در تاریخ 1402/02/05 در ساعت 21:08 در کارتخوان آذین طب کارت کشیده شد.</t>
  </si>
  <si>
    <t>سفته به مبلغ 150 میلیون به تاریخ 1403/02/05 داده شد - شماره سفته : 624345</t>
  </si>
  <si>
    <t xml:space="preserve">مهلا حسین زاده </t>
  </si>
  <si>
    <t>سفته به مبلغ 100 میلیون به تاریخ 1403/02/04 داده شد - شماره سفته : 718282</t>
  </si>
  <si>
    <t>مبلغ 80 میلیون در تاریخ 1402/02/05 در ساعت 21:20 در کارتخوان آذین طب کارت کشیده شد.</t>
  </si>
  <si>
    <t>مبلغ 10 میلیون در تاریخ 1402/02/05 در ساعت 15:28 به کارت 96 واریز شد - عکس واضح نیس</t>
  </si>
  <si>
    <t>مبلغ 10 میلیون بعدی عکسش واضح نیست.</t>
  </si>
  <si>
    <t>سفته های قبلی باطل شدند</t>
  </si>
  <si>
    <t>سفته به میلغ 750 میلیون به تاریخ 1403/02/04 در وجه آقای ابراهیم تیموری داده شد - شماره سفته : 371309</t>
  </si>
  <si>
    <t>سفته به مبلغ 12 میلیون به تاریخ 1403/01/27 داده شد - شماره سفته : 611938</t>
  </si>
  <si>
    <t>سفته به مبلغ 16 میلیون به تاریخ 1403/01/27 داده شد - شماره سفته : 611937</t>
  </si>
  <si>
    <t>محمد روشن دل</t>
  </si>
  <si>
    <t>واریز به کارت 0025</t>
  </si>
  <si>
    <t>شبا بانک 5133</t>
  </si>
  <si>
    <t>تسویه اردیبهشت ماه</t>
  </si>
  <si>
    <t>واریزی های خرداد</t>
  </si>
  <si>
    <t>شبا بانک 6004</t>
  </si>
  <si>
    <t>واریز به حساب منیره رستگاری مقدم</t>
  </si>
  <si>
    <t>5047-0610-7880-5161</t>
  </si>
  <si>
    <t>شبا 1588 زهرا علی اکبری</t>
  </si>
  <si>
    <t>شبا بانک 0315</t>
  </si>
  <si>
    <t>اولین واریزی 21 ام اردیبهشت ماه - چک 300 میلیون ثبت شد.</t>
  </si>
  <si>
    <t>شبا بانک 5571</t>
  </si>
  <si>
    <t>واریز به کارت سعید رازی</t>
  </si>
  <si>
    <t>قربان عرب تیموری</t>
  </si>
  <si>
    <t>سفته به مبلغ 100 میلیون به تاریخ 1403/02/31 داده شد - شماره سفته : 718284</t>
  </si>
  <si>
    <t>فاطمه فخری</t>
  </si>
  <si>
    <t>چک 174153</t>
  </si>
  <si>
    <t>1408/02/29</t>
  </si>
  <si>
    <t>غلامعلی نیازجو</t>
  </si>
  <si>
    <t>تمدید شد - چک بانک ملت به مبلغ 500 میلیون به تاریخ 1403/03/01 به شماره 540132 داده شد.</t>
  </si>
  <si>
    <t>مبلغ 15/500 کارت کشیدند + 24/500 سود 27 اردیبهشت فائزه نیازجو جمعا 40 میلیون</t>
  </si>
  <si>
    <t>سفته به مبلغ 40 میلیون به تاریخ --------- داده شد - شماره سفته : 931794</t>
  </si>
  <si>
    <t>سود اردیبهشت ماه به اصل مبلغ آقای علی اکبر نیازجو اضافه شد.</t>
  </si>
  <si>
    <t>سفته به مبلغ 140 میلیون به تاریخ 1403/02/27 داده شد - شماره سفته : 624347</t>
  </si>
  <si>
    <t>سفته به مبلغ 100 میلیون به تاریخ 1403/02/05 داده شد - شماره سفته : 718289</t>
  </si>
  <si>
    <t>سفته 40 میلیون و 20 میلیون باطل شدند. شماره سفته ها : 931757-192249</t>
  </si>
  <si>
    <t>سفته 30 میلیون باطل شد - شماره سفته : 828566</t>
  </si>
  <si>
    <t>سود خرداد ماه تسویه شد.</t>
  </si>
  <si>
    <t>سود خرداد ماه تسویه شد - سفته 60 میلیون + سفته 30 میلیون + سود 4/800 خرداد + 6/200 در تاریخ 1402/03/01 واریز به کارت 0734 جمعا مبلغ 100 میلیون اضافه شد.</t>
  </si>
  <si>
    <t>اسماعیل محمدیان</t>
  </si>
  <si>
    <t>سفته به مبلغ 150 میلیون به تاریخ 1403/03/01 داده شد - شماره سفته : 624348</t>
  </si>
  <si>
    <t>مبلغ 98 میلیون در تاریخ 1402/02/31 و مبلغ 40 میلیون در تاریخ 1402/03/01 در کارتخوان آذین طب کارت کشیده شد و مشارکت یکم تیر ماه به اصل مبلغ اضافه شد - اولین واریزی یکم مرداد ماه</t>
  </si>
  <si>
    <t>مبلغ 98 میلیون در تاریخ 1402/02/31 در کارتخوان آذین طب کارت کشیده شد - تایید آقای عبداللهی</t>
  </si>
  <si>
    <t>1402/03/02</t>
  </si>
  <si>
    <t>شبا بانک 0181</t>
  </si>
  <si>
    <t>واریز به حساب 7261</t>
  </si>
  <si>
    <t>واریزبه کارت 8462</t>
  </si>
  <si>
    <t>واریز به کارت محمود جلالی</t>
  </si>
  <si>
    <t>تسویه از اصل مبلغ محمود جلالی</t>
  </si>
  <si>
    <t>سفته به مبلغ 50 میلیون به تاریخ 1403/03/11 داده شد - شماره سفته : 359349</t>
  </si>
  <si>
    <t>سفته 35 میلیون قبلی باطل شد - شماره سفته : 974778</t>
  </si>
  <si>
    <t>مبلغ 40 میلیون در تاریخ 1402/03/01 کارت کشیدند و مبلغ 100 میلیون به شبای کشاورزی حمیده جوینی واریز میکنند.</t>
  </si>
  <si>
    <t>واریز به کارت خانم فاطمه حسینی بیرم آباد ( خانم هادی حسن زاده )</t>
  </si>
  <si>
    <t>رضا رکوتا</t>
  </si>
  <si>
    <t>واریز به حساب 8430</t>
  </si>
  <si>
    <t>شبا بانک 8199</t>
  </si>
  <si>
    <t xml:space="preserve"> واریز کننده : مجید سلجوقیان مقدم</t>
  </si>
  <si>
    <t>مبلغ 50 میلیون در تاریخ 1402/02/31 در ساعت 11:18  به بانک شهر واریز شد.</t>
  </si>
  <si>
    <t>5892-1014-2369-1837</t>
  </si>
  <si>
    <t>خاطره خالقی</t>
  </si>
  <si>
    <t>شبا بانک 0053</t>
  </si>
  <si>
    <t>مهرداد ابراهیم زاده</t>
  </si>
  <si>
    <t>سفته 242480</t>
  </si>
  <si>
    <t>مبلغ 50 و 20 میلیون درتاریخ 1402/03/02 ساعت 18:59:25 و 18:59:44 آذین طب کارت کشیده شد</t>
  </si>
  <si>
    <t>سفته به مبلغ 318 میلیون به تاریخ 1403/04/03 داده شد - شماره سفته : 407373</t>
  </si>
  <si>
    <t>واریز به کارت 7487</t>
  </si>
  <si>
    <t>1402/03/03</t>
  </si>
  <si>
    <t>جواد توسلی نیا</t>
  </si>
  <si>
    <t>واریز به شبا 2341</t>
  </si>
  <si>
    <t>واریز به حساب 8065</t>
  </si>
  <si>
    <t>شبا بانک 5719</t>
  </si>
  <si>
    <t>واریز به کا ت 6415</t>
  </si>
  <si>
    <t>1402/03/04</t>
  </si>
  <si>
    <t>واریز به حساب 3299</t>
  </si>
  <si>
    <t>واریز به حساب 3865</t>
  </si>
  <si>
    <t>واریز به حساب 5221</t>
  </si>
  <si>
    <t>واریز به حساب 0724</t>
  </si>
  <si>
    <t>1402/03/06</t>
  </si>
  <si>
    <t>واریز به حساب 3361</t>
  </si>
  <si>
    <t>واریز به کارت 1759</t>
  </si>
  <si>
    <t>6037-6976-6372-2905</t>
  </si>
  <si>
    <t>واریز به کارت 2486</t>
  </si>
  <si>
    <t>واریز به حساب 5426</t>
  </si>
  <si>
    <t>شبا بانک 7749</t>
  </si>
  <si>
    <t>محمد مراد بخش</t>
  </si>
  <si>
    <t>1402/03/08</t>
  </si>
  <si>
    <t>واریز به کارت 7478</t>
  </si>
  <si>
    <t>واریز به کارت 9194</t>
  </si>
  <si>
    <t>نیاز به بررسی واریزی اردیبهشت</t>
  </si>
  <si>
    <t>شبا بانک 4005</t>
  </si>
  <si>
    <t>محمد دسترس شهن تیموری آسفیجی</t>
  </si>
  <si>
    <t>شبا بانک 2421</t>
  </si>
  <si>
    <t>6276-1211-9866-9194</t>
  </si>
  <si>
    <t>منیره مهری</t>
  </si>
  <si>
    <t>سفته به مبلغ 300 میلیون به تاریخ 1403/03/03 داده شد - شماره سفته : 320976</t>
  </si>
  <si>
    <t>1403/03/01</t>
  </si>
  <si>
    <t>چک بانک ملت به مبلغ 500 میلیون به ناریخ 1403/03/01 داده شد.</t>
  </si>
  <si>
    <t>چک 540132</t>
  </si>
  <si>
    <t>اصل 500 تبدیل به 250 راسی یکساله شد 500 چک 500 ملت به تاریخ یکم خرداد 1403 داده شد.</t>
  </si>
  <si>
    <t>فکر کنم 250</t>
  </si>
  <si>
    <t>سفته به میلغ 250 میلیون به تاریخ 1403/03/01 داده شد - شماره سفته : 407376</t>
  </si>
  <si>
    <t>اصل 370 میلیون در طی چند سفته 1402/04/08 به خانم بیرجندی پرداخت شود.</t>
  </si>
  <si>
    <t>سفته 100 میلیون به تاریخ 1401/12/08 به شماره : 504137</t>
  </si>
  <si>
    <t>سفته 90 میلیون به تاریخ 1402/04/15 به شماره : 627029</t>
  </si>
  <si>
    <t>سفته 100 میلیون به تاریخ 1401/12/08 به شماره : 582428</t>
  </si>
  <si>
    <t>سفته 80 میلیون به تاریخ 1401/12/08 به شماره : 586677</t>
  </si>
  <si>
    <t>مبلغ 200 میلیون به تاریخ 1402/08/25 سفته داده شد - سفته باطل شد.</t>
  </si>
  <si>
    <t>سفته 422153</t>
  </si>
  <si>
    <t>1403/12/01</t>
  </si>
  <si>
    <t>1402/04/01</t>
  </si>
  <si>
    <t xml:space="preserve">امید حاجی میری </t>
  </si>
  <si>
    <t>سفته 516189 سالانه به مبلغ 124 میلیون در 1402/04/05 پرداخت شود - سفته 452416 به مبلغ 70 میلیون در 1402/03/20 پرداخت شود.</t>
  </si>
  <si>
    <t>مبلغ 60 میلیون امید حاجی میری + 10 میلیون زهرا علیزاده جمعا 70 میلیون</t>
  </si>
  <si>
    <t>سفته به مبلغ 105 میلیون به تاریخ 1403/03/19 داده شد - شماره سفته : 345988</t>
  </si>
  <si>
    <t>سفته به مبلغ 90 میلیون به تاریخ 1403/02/19 به شماره 242499 باطل شد.</t>
  </si>
  <si>
    <t>اصل مبلغ 105 میلیون و میزان مشارکت ماهیانه 7/500 - اولین واریزی نوزدهم تیر ماه</t>
  </si>
  <si>
    <t>نوزدهم خرداد مشارکت 6/300 پرداخت شده است.</t>
  </si>
  <si>
    <t>سفته به مبلغ 180 میلیون به تاریخ 1403/03/01 داده شد - شماره سفته 345989</t>
  </si>
  <si>
    <t>چک بانک ملت به تاریخ 1402/03/01 به مبلغ 230 میلیون باطل شد.</t>
  </si>
  <si>
    <t>شهناز رجبی زاده</t>
  </si>
  <si>
    <t>سفته به مبلغ 50 میلیون به تاریخ 1403/02/16 داده شد - شماره سفته : 359338 - سفته باطل شد.</t>
  </si>
  <si>
    <t>سفته به مبلغ 80 میلیون به تاریخ 1403/03/16 داده شد - شماره سفته : 922219</t>
  </si>
  <si>
    <t>1403/03/12</t>
  </si>
  <si>
    <t>1402/03/12</t>
  </si>
  <si>
    <t>سفته 845644</t>
  </si>
  <si>
    <t>چک به مبلغ یک میلیارد تومان به تاریخ 1403/03/12 بانک ملی به شماره 424065 داده و ثبت شد.</t>
  </si>
  <si>
    <t>چک 424080</t>
  </si>
  <si>
    <t>چک بانک ملی داده و ثبت شد.</t>
  </si>
  <si>
    <t>مبلغ 25 میلیون سود واریز شد.</t>
  </si>
  <si>
    <t>چک بانک تجارت به مبلغ 200 میلیون به تاریخ 1403/08/16 به شماره 939996 داده شد - تمدید شد.</t>
  </si>
  <si>
    <t>مبلغ 223 میلیون تومان به تاریخ چهاردهم شهریور در وجه محمد مراد بخش - چک ثبت شد.</t>
  </si>
  <si>
    <t>چک بانک ملی به مبلغ 223 میلیون به تاریخ 1402/06/14 به شماره 424081 داده شد  - 24/300+90/000+108/000</t>
  </si>
  <si>
    <t>شبا بانک 4943</t>
  </si>
  <si>
    <t>شبا بانک 1809</t>
  </si>
  <si>
    <t>شبا بانک 9289</t>
  </si>
  <si>
    <t>محمد عزیزی قادر آبادی</t>
  </si>
  <si>
    <t>واریز به حساب 8719</t>
  </si>
  <si>
    <t>6277-6012-8752-8101</t>
  </si>
  <si>
    <t>واریز به حساب 4498</t>
  </si>
  <si>
    <t>واریز به حساب مهدی کیانی</t>
  </si>
  <si>
    <t>1402/03/10</t>
  </si>
  <si>
    <t>واریز به کارت 6138</t>
  </si>
  <si>
    <t>شبا بانک 3888</t>
  </si>
  <si>
    <t>14023/03/10</t>
  </si>
  <si>
    <t>6104-3379-5174-3697</t>
  </si>
  <si>
    <t>شبا بانک 0774</t>
  </si>
  <si>
    <t>عقیل کرم شنو ( آقای حیدری )</t>
  </si>
  <si>
    <t>چک بانک ملی به مبلغ 1/500/000/000 تومان به تاریخ 1403/02/28 به شماره 424083 در وجه آقای حیدری داده و به نام عقیل کرم شنو ثبت شد.</t>
  </si>
  <si>
    <t>چک بانک ملی به مبلغ 1/200/000/000 تومان به تاریخ 1403/02/25 به شماره 424082 در وجه آقای حیدری داده و به نام عقیل کرم شنو ثبت شد.</t>
  </si>
  <si>
    <t>واریز به حساب 5362</t>
  </si>
  <si>
    <t>واریز به حساب 1514</t>
  </si>
  <si>
    <t>راضیه مقدم ( حاجی آباد )</t>
  </si>
  <si>
    <t>مرضیه مقدم ( حاجی آباد )</t>
  </si>
  <si>
    <t>سفته به مبلغ 100 میلیون به تاریخ 1403/03/06 داده شد - شماره سفته : 923208</t>
  </si>
  <si>
    <t>سفته به مبلغ 30 میلیون به تاریخ 1403/03/10 داده شد - شماره سفته : 359344</t>
  </si>
  <si>
    <t>چک بانک ملی 1/100/000/000 تومان به تاریخ 1402/04/15 به شماره 424038</t>
  </si>
  <si>
    <t>اصل مبلغ مشارکت 12/100/000/000 تومان با نرخ سود مشارکت 9 درصد تعیین شد.</t>
  </si>
  <si>
    <t>چک سود مشارکت 1402/03/15 داده شد.</t>
  </si>
  <si>
    <t xml:space="preserve">در جلسه 1402/02/06 در محل رستوران همه حسابها به روز شد. </t>
  </si>
  <si>
    <t>مانده مشارکت اردیبهشت 60 میلیون</t>
  </si>
  <si>
    <t xml:space="preserve"> مبلغ 5 میلیون به اصل اضافه شد - آخرین به روز رسانی تاریخ 1402/03/10 - مشارکت 25 خرداد </t>
  </si>
  <si>
    <t>مبلغ 100 میلیون در تاریخ 1402/03/10 به حساب 9586 آذین طب در ساعت 20:41 واریز شد.</t>
  </si>
  <si>
    <t>مبلغ 100 میلیون در تاریخ 1402/03/10 به حساب 1897 حمیده جوینی ساعت 21:37 واریز شد.</t>
  </si>
  <si>
    <t>سفته به مبلغ 200 میلیون به تاریخ 1403/03/10 داده شد - شماره سفته : 624304</t>
  </si>
  <si>
    <t>6037-7014-3499-1094</t>
  </si>
  <si>
    <t>زهره جاوید ( رضا حسینی احمدی سرمایه گذار کوچک )</t>
  </si>
  <si>
    <t>1402/02/14</t>
  </si>
  <si>
    <t>سود مشارکت دهم خرداد به اصل مبلغ اضافه شد - اولین واریزی دهم تیر ماه</t>
  </si>
  <si>
    <t>سفته 25 میلیون به شماره 252965 باطل شد.</t>
  </si>
  <si>
    <t>سفته به مبلغ 100 میلیون به تاریخ 1403/03/10 داده شد - شماره سفته : 506382</t>
  </si>
  <si>
    <t>مبلغ 73 میلیون در تاریخ 1402/03/10 به حساب 1897 واریز شد - اولین واریزی دهم تیر ماه</t>
  </si>
  <si>
    <t>1402/03/11</t>
  </si>
  <si>
    <t>واریز به حساب 1482</t>
  </si>
  <si>
    <t>واریز از بانک اما پرفراژ ندارد</t>
  </si>
  <si>
    <t>واریز از طریق بانک اما پرفراژ ندارد.</t>
  </si>
  <si>
    <t>واریز ار طریق بانک اما پرفراژ ندارد.</t>
  </si>
  <si>
    <t>واریز به حساب 2570</t>
  </si>
  <si>
    <t>شبا بانک 2254</t>
  </si>
  <si>
    <t>6104-3389-5615-7958</t>
  </si>
  <si>
    <t>1403/03/11</t>
  </si>
  <si>
    <t>واریز به حساب 2841</t>
  </si>
  <si>
    <t>شبا بانک 2058</t>
  </si>
  <si>
    <t>واریز به کارت 3836</t>
  </si>
  <si>
    <t>شبا بانک 1983</t>
  </si>
  <si>
    <t>سفته به مبلغ 170 میلیون به تاریخ 1403/03/12 داده شد - شماره سفته : 624305</t>
  </si>
  <si>
    <t>محمدجواد غلامی ( پسر کاظم غلامی )</t>
  </si>
  <si>
    <t>مبلغ 19 میلیون جمعا آقای کاظم غلامی و خانم اقبال و محمد جواد غلامی هشتم هر ماه واریز شود</t>
  </si>
  <si>
    <t>مبلغ 150 میلیون به خانم فاطمه عبداللهی پرداخت شد.</t>
  </si>
  <si>
    <t>مبلغ 150 میلیون توسط کاظم غلامی پرداخت شد - واریزی یکم خرداد طلبکار میباشند.</t>
  </si>
  <si>
    <t>سفته 50 میلیون به شماره 776810 باطل شد.</t>
  </si>
  <si>
    <t>چک بانک مسکن به مبلغ 150 میلیون به تاریخ 1403/06/16 در وجه مجتبی عبداللهی داده شد - شماره چک : 453369</t>
  </si>
  <si>
    <t>چک مشارکت 1402/05/15 به مبلغ 1/100/000/000 تومان بانک ملت کوهسنگی داده شد.</t>
  </si>
  <si>
    <t>چک مشارکت 1402/04/15 به مبلغ 1/100/000/000 تومان بانک ملی شهرک صنعتی داده شد.</t>
  </si>
  <si>
    <t>چک بانک ملت 1/100/000/000 تومان به تاریخ 1402/05/15 به شماره 638726</t>
  </si>
  <si>
    <t>چک بانک ملت 1/089/000/000 تومان به تاریخ 1402/03/15 - باطل شد</t>
  </si>
  <si>
    <t>چک بانک تجارت 500/000/000 تومان به تاریخ 1402/03/21 به شماره 939961</t>
  </si>
  <si>
    <t>چک بانک تجارت 500/000/000 تومان به تاریخ 1402/03/17 به شماره 939987</t>
  </si>
  <si>
    <t>سفته به مبلغ 30 میلیون به تاریخ 1403/03/11 داده شد - شماره سفته : 931795</t>
  </si>
  <si>
    <t>آقای عبداللهی نوشتن اصل مبلغ 30 میلیون طرح ویژه 7 درصد ماهیانه 1/800</t>
  </si>
  <si>
    <t>مبلغ 5/500 برگشت زده است.</t>
  </si>
  <si>
    <t>شبا بانک 9094</t>
  </si>
  <si>
    <t>6104-3375-4014-9125</t>
  </si>
  <si>
    <t>واریز به حساب 3158</t>
  </si>
  <si>
    <t>واریز به حساب حسین کریمی لنگرک</t>
  </si>
  <si>
    <t xml:space="preserve">فیض الله مرادی </t>
  </si>
  <si>
    <t>چک بانک ملی به مبلغ 1/250/000/000 تومان به تاریخ 1403/02/22 به شماره 424074 در وجه آقای مرادی داده و به نام محمود حسابی ثبت شد.</t>
  </si>
  <si>
    <t>گفتن ده میلیون کارت به کارت شده و آقای عبداللهی در جریانن</t>
  </si>
  <si>
    <t>جمعا 190 میلیون واریز شده که 50 میلیون به حساب خانم رمضانی اضافه شده و الباقی به حساب اقای مرتضی حسنی</t>
  </si>
  <si>
    <t>مبلغ 50 جمع 250 و ماهیانه 13/500 بیست و نهم هر ماه</t>
  </si>
  <si>
    <t>1402/03/13</t>
  </si>
  <si>
    <t>اطلاعات واریزی 140 میلیون در اطلاعات خانم فاطمه رمضانی مشاهده شود.</t>
  </si>
  <si>
    <t>غلام رسول بادل بهلولی</t>
  </si>
  <si>
    <t>واریز به کارت 4891</t>
  </si>
  <si>
    <t>واریز به کارت 1790</t>
  </si>
  <si>
    <t>1403/03/13</t>
  </si>
  <si>
    <t>6037-7011-8218-4785</t>
  </si>
  <si>
    <t>واریز به شبا 1000</t>
  </si>
  <si>
    <t>از سمت علی اقا انتقال به ما</t>
  </si>
  <si>
    <t>شبا بانک 1502</t>
  </si>
  <si>
    <t>زهرا عبداللهی ( فرزند محمدرضا )</t>
  </si>
  <si>
    <t>واریز به کارت 5318</t>
  </si>
  <si>
    <t>تسویه مشارکت دوماه 1402/02/10 و 1402/03/10</t>
  </si>
  <si>
    <t>واریز به کارت 7137</t>
  </si>
  <si>
    <t>سفته های قبلی به مبلغ 500 میلیون باطل شدند.</t>
  </si>
  <si>
    <t>سفته 100 میلیون و سفته 500 میلیون به تاریخ 1403/02/08 داده شد - شماره سفته ها : 718290 - 422145</t>
  </si>
  <si>
    <t>واریزی هشتم تیرماه 37 - واریزی هشتم مرداد ماه 37 - واریزی هشتم شهریور 42</t>
  </si>
  <si>
    <t>موسی علیزاده</t>
  </si>
  <si>
    <t>سفته 100 میلیون و 8 میلیون به تاریخ 1403/03/12 داده شد - شماره سفته ها : 366761 - 718291</t>
  </si>
  <si>
    <t>محمدعلی نجفی</t>
  </si>
  <si>
    <t>سفته به مبلغ 100 میلیون به تاریخ 1403/03/14 داده شد - شماره سفته : 923979</t>
  </si>
  <si>
    <t>واریزی 72/500 صیاد نبی + 27/500 کارت خوان</t>
  </si>
  <si>
    <t>سود خرداد ماه به مبلغ 72/500 به اصل آقای محمدعلی نجفی اضافه شد.</t>
  </si>
  <si>
    <t>سفته های 15 میلیون و پنج میلیون باطل شدند.</t>
  </si>
  <si>
    <t>اصل مبلغ 15 + 5 جمعا 20 میلیون 1402/04/11 به حساب مریم شفایی واریز شود.</t>
  </si>
  <si>
    <t>سفته به مبلغ 20/500/000 تومان به تاریخ 1402/12/29 داده شد - شماره سفته : 142090 - سفته های قبلی 10 + 5 + 20/500 همگی باطل شدند.</t>
  </si>
  <si>
    <t>سفته به مبلغ 35/500/000 تومان به تاریخ 1403/03/29 در وجه خانم مریم شفایی داده شد - شماره سفته : 565582</t>
  </si>
  <si>
    <t>علیرضا لطفی کاریزنو</t>
  </si>
  <si>
    <t>سفته به مبلغ 100 میلیون به تاریخ 1403/03/14 داده شد - شماره سفته : 242488</t>
  </si>
  <si>
    <t>مبلغ 70 میلیون در تاریخ 1402/03/13 در ساعت 20:15 در کارتخوان آذین طب کارت کشبده شد.</t>
  </si>
  <si>
    <t>مبلغ 30 میلیون باید به حساب کشاورزی خانم حمیده جوینی واریز شود.</t>
  </si>
  <si>
    <t>1402/03/14</t>
  </si>
  <si>
    <t>5859-8310-8317-1412</t>
  </si>
  <si>
    <t>واریز به کارت معصومه ریگی</t>
  </si>
  <si>
    <t>شبا بانک 1002</t>
  </si>
  <si>
    <t>واریز به حساب ابوالفضل بهلوری</t>
  </si>
  <si>
    <t>واریز به حساب 0273</t>
  </si>
  <si>
    <t>واریز به حساب 7028</t>
  </si>
  <si>
    <t>واریز به حساب امیر مصمور</t>
  </si>
  <si>
    <t>شبا بانک 0095</t>
  </si>
  <si>
    <t>واریز به حساب مریم عبداللهی</t>
  </si>
  <si>
    <t>یاسر ممتاز کوشکی</t>
  </si>
  <si>
    <t>مبلغ 99 میلیون کارت کشیده شد و الباقی در روزهای آینده کارت کشیده خواهد شد.</t>
  </si>
  <si>
    <t>چک بانک ملی به مبلغ 700/000/000 تومان به تاریخ 1403/03/15 به شماره 424084 در وجه آقای یاسر ممتاز داده و ثبت شد.</t>
  </si>
  <si>
    <t>واریز به کارت محمدرضا آذربویه</t>
  </si>
  <si>
    <t>1402/03/15</t>
  </si>
  <si>
    <t>6037-9974-9505-8928</t>
  </si>
  <si>
    <t>6104-3374-5525-9554</t>
  </si>
  <si>
    <t>شبا بانک 2190</t>
  </si>
  <si>
    <t>شبا بانک 4041</t>
  </si>
  <si>
    <t>شبا بانک 1115</t>
  </si>
  <si>
    <t>واریز به حساب 9101</t>
  </si>
  <si>
    <t>واریز از طریق حساب مبدا 1897 توسط پرداخت لحظه ای پل</t>
  </si>
  <si>
    <t>1402/03/16</t>
  </si>
  <si>
    <t>سوپر کریمی</t>
  </si>
  <si>
    <t>آقای عبداللهی نوشتن تسویه مشارکت</t>
  </si>
  <si>
    <t>واریز به حساب 7708</t>
  </si>
  <si>
    <t>سوپرمارکت امیر</t>
  </si>
  <si>
    <t>6037-6974-9321-7050</t>
  </si>
  <si>
    <t>چک بانک صادرات شرکت به مبلغ 528 میلیون تاریخ 1402/04/02 در وجه رضا عبداللهی و بنام علم کامکاری ثبت شد.</t>
  </si>
  <si>
    <t>مهدی اسدی</t>
  </si>
  <si>
    <t>واریز به حساب 3816</t>
  </si>
  <si>
    <t>6277-6013-2457-3250</t>
  </si>
  <si>
    <t>واریز به حساب فهیمه مصمور</t>
  </si>
  <si>
    <t>واریز به حساب 0248</t>
  </si>
  <si>
    <t>واریز به کارت 8472</t>
  </si>
  <si>
    <t>شبا بانک 0984</t>
  </si>
  <si>
    <t>چک بانک ملت شرکت به مبلغ 320 میلیون به تاریخ 1402/03/30 در وجه رضا عبداللهی و به نام حسام ثبت شد.</t>
  </si>
  <si>
    <t>واریز به کارت 0070</t>
  </si>
  <si>
    <t>در تاریخ 1402/03/16 توسط پرداخت لحظه ای پل از حساب 1897 به حساب 1835 واریز شده است.</t>
  </si>
  <si>
    <t>مبلغ مشخص نبود.</t>
  </si>
  <si>
    <t>6280-2313-5515-9400</t>
  </si>
  <si>
    <t>شبا بانک 7275</t>
  </si>
  <si>
    <t>به کارت 0560 مجتبی عبداللهی</t>
  </si>
  <si>
    <t>معصومه گندمی</t>
  </si>
  <si>
    <t>1402/03/17</t>
  </si>
  <si>
    <t>واریز به حساب 3814</t>
  </si>
  <si>
    <t>هزینه سفر برای فروش</t>
  </si>
  <si>
    <t>5047-0610-2680-2948</t>
  </si>
  <si>
    <t>6037-7016-2568-3971</t>
  </si>
  <si>
    <t>مهدی احمدی پساوه ئی</t>
  </si>
  <si>
    <t>6104-3389-2568-3662</t>
  </si>
  <si>
    <t>واریز به شبا 7002</t>
  </si>
  <si>
    <t>سیصد میلیون سفته های قبلی همگی باطل شدند.</t>
  </si>
  <si>
    <t>مبلغ 50 میلیون در تاریخ 1402/03/17 در کارتخوان آذین طب کارت کشیده شد.</t>
  </si>
  <si>
    <t>واریز به کارت 37</t>
  </si>
  <si>
    <t>یحیی رضای</t>
  </si>
  <si>
    <t>شبا بانک 7879</t>
  </si>
  <si>
    <t>شبا بانک 0022</t>
  </si>
  <si>
    <t>آرمین دهنوی</t>
  </si>
  <si>
    <t>شبا بانک 1643</t>
  </si>
  <si>
    <t>واریز به حساب ساریه بیسوده</t>
  </si>
  <si>
    <t>شبا بانک 7535</t>
  </si>
  <si>
    <t>در تاریخ 1402/03/17 توسط پرداخت لحظه ای پل از حساب 1897 به حساب 5751 واریز شده است.</t>
  </si>
  <si>
    <t>واریز از طزیق بانک اما پرفراژ ندارد.</t>
  </si>
  <si>
    <t>چک بانک صادرات شرکت به مبلغ 174 میلیون تاریخ 1402/03/31 در وجه رضا عبداللهی و بنام عادل ضایی ثبت شد.</t>
  </si>
  <si>
    <t>واریز به کارت 2195</t>
  </si>
  <si>
    <t>احسان پابرجا</t>
  </si>
  <si>
    <t>1402/02/27</t>
  </si>
  <si>
    <t>1402/09/02</t>
  </si>
  <si>
    <t>سفته 516183</t>
  </si>
  <si>
    <t>توافق شد چک برای ماهیانه داده شود - 22 خرداد 96 - 6 تیر 85 - 6 مرداد 95200 - 6 شهریور 360 از اصل + 95200 جمعا 455200</t>
  </si>
  <si>
    <t>طبق محاسبات خودشون جمع کل سود مشارکت برج 3 و 4 و 45 روز سود مشارکت تا 1402/04/15 بصورت زیر : سود یکم خرداد 36/100 + سود تاخیر یکم تا پانزدهم تیر 36/100 به مبلغ 3/250 تومان + سود مشارکت برج 4 به مبلغ 36/100 جمعا 75/450 تا 1402/04/15</t>
  </si>
  <si>
    <t>طبق محاسبات خودشون سود باقیمانده خرداد ماه 36/400 + سود یکماهه باقیمانده خرداد ماه به مبلغ 2/550 + سود تیر ماه جمعا تا 1402/04/15 میشود 110/350</t>
  </si>
  <si>
    <t>1402/03/18</t>
  </si>
  <si>
    <t>سفته به مبلغ 40 میلیون به تاریخ 1403/04/01 داده شد - شماره سفته : 359353</t>
  </si>
  <si>
    <t>سفته به مبلغ 340 میلیون به تاریخ 1402/03/12 داده شد - شماره سفته : 455612</t>
  </si>
  <si>
    <t>6037-7011-2654-0589</t>
  </si>
  <si>
    <t>واریز به حساب 6831</t>
  </si>
  <si>
    <t>واریز به حساب 6817</t>
  </si>
  <si>
    <t>شبا بانک 4687</t>
  </si>
  <si>
    <t>زیبا حورانی</t>
  </si>
  <si>
    <t>شبا بانک 5377</t>
  </si>
  <si>
    <t>شبا بانک 0005</t>
  </si>
  <si>
    <t>شبا بانک 0574 بابت درصد فروش</t>
  </si>
  <si>
    <t>واریز به حساب 3943</t>
  </si>
  <si>
    <t>واریز به حساب دادخدا نادی</t>
  </si>
  <si>
    <t>واریز به حساب 9654</t>
  </si>
  <si>
    <t>شبا بانک 7281</t>
  </si>
  <si>
    <t>شبا بانک 2359</t>
  </si>
  <si>
    <t>شبا بانک 9643  درصد فروش</t>
  </si>
  <si>
    <t>مصطفی پویان لکزا</t>
  </si>
  <si>
    <t>5894-6311-6347-5676</t>
  </si>
  <si>
    <t>محمد زنگویی</t>
  </si>
  <si>
    <t>سفته به مبلغ 200 میلیون به تاریخ 1403/03/18 داده شد - شماره سفته : 516185</t>
  </si>
  <si>
    <t>سفته به مبلغ 150 میلیون به تاریخ 1403/05/06 داده شد - شماره سفته : 845643</t>
  </si>
  <si>
    <t>چک سه میلیارد قبلی باطل شد و چک جدید بانک ملی به مبلغ 640 میلیون به تاریخ 1402/07/20 به شماره 424085 داده و ثبت شد.</t>
  </si>
  <si>
    <t>سفته به مبلغ 175 میلیون به تاریخ 1403/03/18 داده شد - شماره سفته : 516184 - پشت سفته نوشته شده 170 میلیون</t>
  </si>
  <si>
    <t>واریزبه حساب 0248</t>
  </si>
  <si>
    <t>1402/03/19</t>
  </si>
  <si>
    <t>6037-7016-2837-4990</t>
  </si>
  <si>
    <t>بابت چی؟</t>
  </si>
  <si>
    <t>فائزه خودی</t>
  </si>
  <si>
    <t>شبا بانک 1820</t>
  </si>
  <si>
    <t>1402/03/27</t>
  </si>
  <si>
    <t>6104-3374-3837-1344</t>
  </si>
  <si>
    <t>1402/03/20</t>
  </si>
  <si>
    <t>واریز به حساب 5058</t>
  </si>
  <si>
    <t>شبا بانک 6008</t>
  </si>
  <si>
    <t>عباس رضایی</t>
  </si>
  <si>
    <t>6037-7015-0503-9435</t>
  </si>
  <si>
    <t>واریز به کارت 8982</t>
  </si>
  <si>
    <t>مبلغ 80 میلیون در تاریخ 1402/03/20 به حساب 4159 واریز شد.</t>
  </si>
  <si>
    <t>سفته به مبلغ 80 میلیون به تاریخ 1402/08/20 داده شد - شماره سفته : 242489</t>
  </si>
  <si>
    <t>واریز به حساب 2058</t>
  </si>
  <si>
    <t>به حساب علی عزیز عربی واریز شد.</t>
  </si>
  <si>
    <t>وحید براتی</t>
  </si>
  <si>
    <t>شبا بانک 2547</t>
  </si>
  <si>
    <t>واریز به حساب علی دهنوی</t>
  </si>
  <si>
    <t>مبلغ 40 میلیون از اصل 70 میلیون در تاریخ 22 و 23 خرداد پرداخت شود - مانده 30 میلیون از این سفته به همراه سفته 124 میلیون تا 03/09 با هم به تاریخ مورد نیاز با محاسبه سود پرداخت شود.</t>
  </si>
  <si>
    <t>سفته 065789</t>
  </si>
  <si>
    <t>سفته های 240389 و 065789 باطل شد - مبلغ 60 میلیون تاریخ 1402/03/20 در کارتخوان آذین طب کارت کشیده شد.</t>
  </si>
  <si>
    <t>سفته 422143</t>
  </si>
  <si>
    <t>1402/09/28</t>
  </si>
  <si>
    <t>واریز به کارت 4733</t>
  </si>
  <si>
    <t>واریز به کارت 9294</t>
  </si>
  <si>
    <t>1402/03/21</t>
  </si>
  <si>
    <t>1402/02/07</t>
  </si>
  <si>
    <t>واریز به کارت 9285</t>
  </si>
  <si>
    <t>مرضیه حیدری ( علی بندانی )</t>
  </si>
  <si>
    <t>انتقال از علی آقا به ما</t>
  </si>
  <si>
    <t>شبا ابنک 8243</t>
  </si>
  <si>
    <t>شبا بانک 8434</t>
  </si>
  <si>
    <t>چک بانک صادرات شرکت به مبلغ 145 میلیون به تاریخ 1402/04/02 در وجه رضا عبداللهی و به نام حسام ثبت شد.</t>
  </si>
  <si>
    <t>شبا بانک 9936</t>
  </si>
  <si>
    <t>واریز به کارت 5512</t>
  </si>
  <si>
    <t>ریحانه سرشت طینت</t>
  </si>
  <si>
    <t>شبا بانک 8134</t>
  </si>
  <si>
    <t>ابراهیم عرب</t>
  </si>
  <si>
    <t>شبا بانک 7899</t>
  </si>
  <si>
    <t>ککوچک ساری</t>
  </si>
  <si>
    <t>6277-6012-9873-6354</t>
  </si>
  <si>
    <t>علی شریفی</t>
  </si>
  <si>
    <t>شبا بانک 2635</t>
  </si>
  <si>
    <t>چک بانک ملی به مبلغ 95/200 به تاریخ 1402/06/06 در وجه زهرا قاسمی تبار داده و ثبت شد.</t>
  </si>
  <si>
    <t>چک بانک ملی به مبلغ 95/200 به تاریخ 1402/05/06 در وجه زهرا قاسمی تبار داده و ثبت شد.</t>
  </si>
  <si>
    <t>چک ها بابت مشارکت</t>
  </si>
  <si>
    <t>چک بانک صادرات شرکت به مبلغ 181 میلیون تاریخ 1402/04/03 در وجه آقای عبداللهی داده شد.</t>
  </si>
  <si>
    <t>چک مشارکت بابت عباس وحیدی خواه، عطیه شیرقازخانی و اکرم حسین زاده برای شش ماه داده شد.</t>
  </si>
  <si>
    <t>مبلغ 17 میلیون وحیدی خواه + 6/500 تومان شیرغازخانی + 7 میلیون حسین زاده + سود مشارکت این مبالغ بمدت سه ماه جمعا 36 میلیون در سه ماه</t>
  </si>
  <si>
    <t>چک بانک ملی به مبلغ 108 میلیون تاریخ 1402/06/11 در وجه عباس وحیدی خواه داده و ثبت شد.</t>
  </si>
  <si>
    <t>چک بانک ملی به مبلغ 108 میلیون تاریخ 1402/09/11 در وجه عباس وحیدی خواه داده و ثبت شد.</t>
  </si>
  <si>
    <t>برای شش ماه چک داده شد - به نام عباس وحیدی خواه</t>
  </si>
  <si>
    <t>ابراهیم اسدی</t>
  </si>
  <si>
    <t>1405/03/04</t>
  </si>
  <si>
    <t>سفته 455613</t>
  </si>
  <si>
    <t>چک بانک ملی به مبلغ 91 میلیون به تاریخ 1402/05/18 داده و ثبت شد.</t>
  </si>
  <si>
    <t>شبا بانک 5476</t>
  </si>
  <si>
    <t>واریز به کارت اسدالله عباسپور نادی</t>
  </si>
  <si>
    <t>شبا بانک 8716</t>
  </si>
  <si>
    <t>واریز به حساب عظیم صاحبدادی کاریزی</t>
  </si>
  <si>
    <t>چک بانک صادرات شرکت به مبلغ 206 میلیون بابت مشارکت ها به تاریخ 1402/04/18 در وجه رضا عبداللهی داده شد.</t>
  </si>
  <si>
    <t>شبا بانک 5679</t>
  </si>
  <si>
    <t>حسنقلی کامکاری</t>
  </si>
  <si>
    <t>واریز به کارت 1912</t>
  </si>
  <si>
    <t>واریزبه کارت 8374</t>
  </si>
  <si>
    <t>شبا بانک 7764</t>
  </si>
  <si>
    <t>محسن رضایی</t>
  </si>
  <si>
    <t xml:space="preserve">سفته به مبلغ 350 میلیون به تاریخ 1403/03/18 داده شد - شماره سفته : 422128 </t>
  </si>
  <si>
    <t>چک بانک صادرات شرکت به مبلغ 80 میلیون به تاریخ 1402/04/01 در وجه رضا عبداللهی داده شد - سفته 80 میلیون به شماره 969517 باطل شد.</t>
  </si>
  <si>
    <t>چک های داده شده</t>
  </si>
  <si>
    <t>چک بانک ملی به مبلغ 80 میلیون تاریخ 1402/06/18 در وجه آقای محمد جواد نادی داده و ثبت شد.</t>
  </si>
  <si>
    <t>چک بانک ملی به مبلغ 80 میلیون تاریخ 1402/05/18 در وجه آقای محمد جواد نادی داده و ثبت شد.</t>
  </si>
  <si>
    <t>سفته به مبلغ صد میلیون به تاریخ 1403/03/09 داده شد - شماره سفته : 718292</t>
  </si>
  <si>
    <t>6062-5611-0205-7463</t>
  </si>
  <si>
    <t>1402/03/23</t>
  </si>
  <si>
    <t>شبا بانک 8672</t>
  </si>
  <si>
    <t>حسن کامگاری</t>
  </si>
  <si>
    <t>واریز به 5148 فاطمه ایزی</t>
  </si>
  <si>
    <t>سفته 488517</t>
  </si>
  <si>
    <t>مبلغ 100 میلیون توسط صدیقه ناروئی در تاریخ 1402/03/03 در ساعت 12:17 به حساب 4159 بانک شهر واریز گردید.</t>
  </si>
  <si>
    <t>مبلغ 118 میلیون توسط محمد کامگاری در تاریخ 1402/03/03 در ساعت 12:17 به حساب 4159 بانک شهر واریز گردید.</t>
  </si>
  <si>
    <t>1403/09/03</t>
  </si>
  <si>
    <t>محمد کامگاری - مغایرت تاریخ و زمان</t>
  </si>
  <si>
    <t>خانم حمیده بیرجندی هفته آینده چک بهشون بدیم به 15 تیرماه بابت 370 سفته 04/15 دست ایشان و 91 سود 1/300 تیرماه</t>
  </si>
  <si>
    <t>در تاریخ 1402/03/23 نوشتن 75 میلیون باقیمانده 1402/03/15 میباشد.</t>
  </si>
  <si>
    <t>توسط آقای جعفر رضائیان یزدی مشارکت پرداخت میشود.</t>
  </si>
  <si>
    <t>سفته به مبلغ 25 میلیون به تاریخ 1403/03/25 داده شد - شماره سفته 359345</t>
  </si>
  <si>
    <t>مبلغ 80 میلیون در تاریخ 1401/09/20 به حساب 3417 واریز شده است.</t>
  </si>
  <si>
    <t>چک بانک کشاورزی به مبلغ صد میلیون به تاریخ 1402/03/25 در وجه آقای جلال کرمانی داده شد - مبلغ 102 میلیون تومان صبح چهارم به حساب ایشان واریز شود.</t>
  </si>
  <si>
    <t>سفته 044126</t>
  </si>
  <si>
    <t>1403/03/22</t>
  </si>
  <si>
    <t>زهرا شفیعی</t>
  </si>
  <si>
    <t>1403/04/02</t>
  </si>
  <si>
    <t>سفته 359348</t>
  </si>
  <si>
    <t>مبلغ 20 میلیون در تاریخ 1402/03/23 در ساعت 19:45 کارتخوان آذین طب کارت کشیده شد.</t>
  </si>
  <si>
    <t>مبلغ 60 میلیون 1402/3/21به 4159 واریز شد - مبلغ 52 میلیون از حساب زهرا خدادوست به حساب حمیده جوینی واریز شد.</t>
  </si>
  <si>
    <t>سفته به مبلغ 170 میلیون به تاریخ 1403/03/17 داده شد - شماره سفته : 624322</t>
  </si>
  <si>
    <t>1402/03/24</t>
  </si>
  <si>
    <t>واریز به کارت 2484</t>
  </si>
  <si>
    <t>سفته 718293</t>
  </si>
  <si>
    <t>1402/09/24</t>
  </si>
  <si>
    <t>چک بانک ملت شرکت به مبلغ 80 میلیون به تاریخ 1402/04/01 در وجه رضا عبداللهی داده و به نام عباس عباسی ثبت شد.</t>
  </si>
  <si>
    <t>چک بانک ملت شرکت به مبلغ 87/500 تومان تاریخ 1402/05/01 در وجه رضا عبداللهی داده و به نام عباس عباسی ثبت شد.</t>
  </si>
  <si>
    <t>سفته 12 میلیون به شماره 012655 باطل شد.</t>
  </si>
  <si>
    <t>سفته 8 میلیون به شماره 685315 باطل شد.</t>
  </si>
  <si>
    <t>سفته به مبلغ 20 میلیون به تاریخ 1403/03/15  داده شد - شماره سفته : 931796</t>
  </si>
  <si>
    <t>مبلغ 135 میلیون از اصل طی چک بانک ملت به تاریخ 1402/04/16 در وجه رضا عبداللهی تسویه میشود.</t>
  </si>
  <si>
    <t>چک بانک ملت شرکت به مبلغ 106 میلیون به تاریخ 1402/04/09 بابت اصل و سود یکماه در وجه رضا عبداللهی داده شد.</t>
  </si>
  <si>
    <t>واریز به کارت 6885</t>
  </si>
  <si>
    <t>بهار لطفی</t>
  </si>
  <si>
    <t>واریز به کارت 0788</t>
  </si>
  <si>
    <t>5894-6318-3858-0900</t>
  </si>
  <si>
    <t xml:space="preserve">چک بانک ملت به مبلغ 525 میلیون به تاریخ 1402/04/12 بابت سفته 480 و سود مشارکت داده شد. </t>
  </si>
  <si>
    <t>میلاد عبداللهی</t>
  </si>
  <si>
    <t>واریز به حساب 9507</t>
  </si>
  <si>
    <t>واریز به حساب 0865</t>
  </si>
  <si>
    <t>شبا بانک 2817</t>
  </si>
  <si>
    <t>واریزی یکم خرداد و یکم تیر ماه</t>
  </si>
  <si>
    <t>شبا بانک 7698</t>
  </si>
  <si>
    <t>واریز به حساب علی غلامی همسرشون</t>
  </si>
  <si>
    <t>واریز به حساب 2640</t>
  </si>
  <si>
    <t>1402/3/25</t>
  </si>
  <si>
    <t>شبا بانک 3339</t>
  </si>
  <si>
    <t>واریز به حساب مهدی یگانه</t>
  </si>
  <si>
    <t>1402/03/26</t>
  </si>
  <si>
    <t>1402/3/26</t>
  </si>
  <si>
    <t>علی اصغر زارع پور قلعه نو</t>
  </si>
  <si>
    <t>واریز به شبا 7005</t>
  </si>
  <si>
    <t>ابراهیم تیموری حفیظ آبادی</t>
  </si>
  <si>
    <t>شبا بانک 2567</t>
  </si>
  <si>
    <t>واریز به کارت 5697</t>
  </si>
  <si>
    <t>سود اول اردیبهشت 1402/02/01</t>
  </si>
  <si>
    <t>فرورردین 1402</t>
  </si>
  <si>
    <t>اردیبهشت 1402</t>
  </si>
  <si>
    <t>سود اول خرداد 1402/03/02</t>
  </si>
  <si>
    <t>سود اول خرداد 1402/03/03</t>
  </si>
  <si>
    <t>چک بانک ملت به مبلغ 120 میلیون به تاریخ 1402/04/19 در وجه رضا عبداللهی صادر و به نام حسن حسینی ثبت شد.</t>
  </si>
  <si>
    <t>چک بانک ملت به مبلغ 120 میلیون به تاریخ 1402/05/19 در وجه رضا عبداللهی صادر و به نام حسن حسینی ثبت شد.</t>
  </si>
  <si>
    <t>واریز به حساب 1022</t>
  </si>
  <si>
    <t>فاطمه قربانی جاهد</t>
  </si>
  <si>
    <t xml:space="preserve">سفته به مبلغ 100 میلیون به تاریخ 1403/03/28 داده شد - شماره سفته : 718287 </t>
  </si>
  <si>
    <t>سمیه رستگار</t>
  </si>
  <si>
    <t xml:space="preserve">سفته به مبلغ 60 میلیون به تاریخ 1403/03/28 داده شد - شماره سفته : 488582 </t>
  </si>
  <si>
    <t>مبلغ 50 +10 در تاریخ 1402/03/27 در کارتخوان آذین طب کارت کشیده شد.</t>
  </si>
  <si>
    <t>حسابشون به آقای ایمان رستم زاده انتقال یافت.</t>
  </si>
  <si>
    <t>علیرضا خرمی دوست</t>
  </si>
  <si>
    <t>چک بانک ملی به مبلغ 450 میلیون به تاریخ 1403/03/27 در وجه ایشون داده شد.</t>
  </si>
  <si>
    <t>سفته به مبلغ 16 میلیون به تاریخ 1403/01/27 داده شد - شماره سفته : 611937 - سفته باطل شد.</t>
  </si>
  <si>
    <t xml:space="preserve">در تاریخ 1402/03/27 مبلغ 10 میلیون به کارت کشاورزی 3770 و مبلغ 2 میلیون کارت کشیده شد. </t>
  </si>
  <si>
    <t>سفته به مبلغ 28 میلیون به تاریخ 1403/03/27 داده شد - شماره سفته : 921797</t>
  </si>
  <si>
    <t>سفته به مبلغ 12 میلیون به تاریخ 1403/01/27 داده شد - شماره سفته : 611938 - سفته باطل شد.</t>
  </si>
  <si>
    <t>واریزی خرداد ماه و تیر ماه</t>
  </si>
  <si>
    <t>6037-9981-3504-4666</t>
  </si>
  <si>
    <t>چک بانک ملی به مبلغ 460 میلیون به تاریخ 1403/06/06 در وجه ایشون داده و ثبت شد.</t>
  </si>
  <si>
    <t>اصل 150 میلیون طی واریزی های آقای علی عزیز عربی واریز شده - مشارکت 27 تیر ماه به اصل اضافه شده است - اولین واریزی 27 مرداد ماه</t>
  </si>
  <si>
    <t>اصل 150 میلیون طی واریزی های74 میلیون کارتخوان در تاریخ 1402/03/27 + 50 میلیون به 62 کشاورزی در تاریخ 1402/03/27 + دستی ( مبلغ 21 میلیون ) + مبلغ 5 میلیون جمعا 150 میلیون</t>
  </si>
  <si>
    <t>1402/03/28</t>
  </si>
  <si>
    <t>زهره صلواتی موحد</t>
  </si>
  <si>
    <t>شبا بانک 8344</t>
  </si>
  <si>
    <t>سفته 30 میلیون باطل شد - شماره سفته : 592065</t>
  </si>
  <si>
    <t>اولین واریزی 26 تیرماه</t>
  </si>
  <si>
    <t>سفته به مبلغ 40 میلیون به تاریخ 1403/03/26 داده شد - شماره سفته : 931798</t>
  </si>
  <si>
    <t>شبا بانک 7339</t>
  </si>
  <si>
    <t>نوشتن واریزی اردیبهشت ماه</t>
  </si>
  <si>
    <t>واریز به حساب 4491</t>
  </si>
  <si>
    <t>اصل پول تسویه شد - سود یکماه همراه بیست روز واریز شد.</t>
  </si>
  <si>
    <t>زهرا رسولی طرقی</t>
  </si>
  <si>
    <t>شبا بانک 7602</t>
  </si>
  <si>
    <t>واریز به حساب 1517</t>
  </si>
  <si>
    <t>سجاد تابانی</t>
  </si>
  <si>
    <t>واریز به کارت 9396</t>
  </si>
  <si>
    <t>چک بانک ملت شرکت به مبلغ 1/100/000/000 میلیون به تاریخ 1402/06/28 در وجه رضا عبداللهی داده و به نام ایشون ثبت شد.</t>
  </si>
  <si>
    <t>چک بانک ملت شرکت به مبلغ 100/000/000 میلیون به تاریخ 1402/05/28 در وجه رضا عبداللهی داده و به نام ایشون ثبت شد.</t>
  </si>
  <si>
    <t>مبلغ 10/500 از برج 3 همسرشون علی محمد صلواتی + 9/500 سینما کارت کشیدن جمعا 20 میلیون</t>
  </si>
  <si>
    <t>شبا بانک 0995</t>
  </si>
  <si>
    <t>محمد عبداللهی</t>
  </si>
  <si>
    <t>6037-7012-0771-9375</t>
  </si>
  <si>
    <t>سفته های قبلی 45 + 15 قبلی به شماره های 725133 و 732734 باطل شدند.</t>
  </si>
  <si>
    <t>سفته به مبلغ 60 میلیون به تاریخ 1403/03/16 داده شد - شماره سفته : 318236</t>
  </si>
  <si>
    <t>مبلغ 100 میلیون در تاریخ 1402/03/28 در ساعت 18:57 در کارتخوان آذین طب کارت کشیده شد.</t>
  </si>
  <si>
    <t>واریز به کارت 9446</t>
  </si>
  <si>
    <t>علی اصغر علی پور</t>
  </si>
  <si>
    <t>1402/03/29</t>
  </si>
  <si>
    <t>شبا بانک 7774</t>
  </si>
  <si>
    <t>واریزی شخصی</t>
  </si>
  <si>
    <t>شبا بانک 0206</t>
  </si>
  <si>
    <t>مشارکت تیر ماه</t>
  </si>
  <si>
    <t>مبلغ آقای پوستچی به ایشون اضافه شد که از مرداد ماه لحاظ میشود.</t>
  </si>
  <si>
    <t>اولین واریزی ششم مرداد - شروع قرارداد جدید 1402/03/07 - پایان قرارداد 1403/06/06</t>
  </si>
  <si>
    <t>شبا بانک 6358</t>
  </si>
  <si>
    <t>پایا بانک ملی</t>
  </si>
  <si>
    <t>اکرم محمدی</t>
  </si>
  <si>
    <t>شبا بانک 2931</t>
  </si>
  <si>
    <t>شبا بانک 6005</t>
  </si>
  <si>
    <t>5041-7210-0037-1964</t>
  </si>
  <si>
    <t>علی جلایی جوان</t>
  </si>
  <si>
    <t>مبلغ 20 میلیون افزایش سرمایه تاریخ 1402/03/29 - واریزی 14 تیر 3 و واریزی 14 مرداد 8/750</t>
  </si>
  <si>
    <t>سفته به مبلغ 135 میلیون به تاریخ 1403/06/14 داده شد - شماره سفته : 516170 - سفته های 5 + 100 قبلی باطل شدند.</t>
  </si>
  <si>
    <t>رضا ابوالحسنی</t>
  </si>
  <si>
    <t xml:space="preserve">سفته به مبلغ 20 میلیون به تاریخ 1403/03/29 داده شد - شماره سفته : 359356 </t>
  </si>
  <si>
    <t>مبلغ 10+ 10 در تاریخ 1402/03/29 از کارت های 5317 و 4782 به 3719 واریز شد.</t>
  </si>
  <si>
    <t>شش ماهه - چک بانک ملت به تاریخ 1402/09/27 در وجه رضا عبداللهی داده و به نام سید رضا حسینی کمر زرد ثبت شد.</t>
  </si>
  <si>
    <t>سید رضا حسینی کمر زرد</t>
  </si>
  <si>
    <t>سفته 50 میلیون به شماره 609328 به نام علی میرانی باطل شد.</t>
  </si>
  <si>
    <t>سفته به مبلغ 50 میلیون به تاریخ 1403/03/30 به نام فاطمه میرانی نژاد داده شد - شماره سفته : 535891</t>
  </si>
  <si>
    <t>اصل مبلغ از آقای علی میرانی به خانم فاطمه میرانی نژاد انتقال یافت.</t>
  </si>
  <si>
    <t>مشارکت خانم زهرا حسینی قائن به ایشون انتقال یافت.</t>
  </si>
  <si>
    <t>مشارکت ایشون به خانم پریسا خنک بان انتقال یافت.</t>
  </si>
  <si>
    <t>عبدالله پور</t>
  </si>
  <si>
    <t>مبلغ 160 طی 100 همراه بانک و 60 کارتخوان و 22 طی ماه آینده و مشارکت تا پنجم تیر ماه</t>
  </si>
  <si>
    <t>اولین واریزی پنجم تیر ماه 6 میلیون و پنجم مرداد ماه 14 میلیون</t>
  </si>
  <si>
    <t>مبلغ 22 میلیون بدهی اصل دریافت شد طی 14 میلیون از واریزی مرداد + 6 میلیون از تیرماه</t>
  </si>
  <si>
    <t>اولین واریزی پنجم شهریور</t>
  </si>
  <si>
    <t>سمیه خورا ( ابراهیم زاده )</t>
  </si>
  <si>
    <t>عکس سفته نیست</t>
  </si>
  <si>
    <t>1402/08/30</t>
  </si>
  <si>
    <t>مبلغ 50 میلیون به حساب ابراهیم علی اکبری واریز میکنند و 25 میلیون هم رستوران کارت کشیده شد.</t>
  </si>
  <si>
    <t>چک بانک ملی به مبلغ 925/000/000 تومان در وجه آقای مصطفی قربانی به تاریخ 1403/04/20 به شماره 424027 داده و ثبت شد.</t>
  </si>
  <si>
    <t>از اصل مبلغ 350 میلیون چک برای 1402/05/05 داده شد.</t>
  </si>
  <si>
    <t>سود مشارکت بیستم تیر ماه به اصل چک 350 میلیون اضافه شد جمعا 440 میلیون</t>
  </si>
  <si>
    <t>اصل مشارکت 925 میلیون</t>
  </si>
  <si>
    <t>چک بانک ملت شرکت به مبلغ 440 میلیون به تاریخ 1402/05/05 در وجه رضا عبداللهی صادر و به نام مصطفی قربانی ثبت شد.</t>
  </si>
  <si>
    <t>1402/3/30</t>
  </si>
  <si>
    <t>علی شجاعی</t>
  </si>
  <si>
    <t>زکیه زمانی قنبر آباد</t>
  </si>
  <si>
    <t>سفته به مبلغ 200 میلیون به تاریخ 1403/03/31 داده شد - شماره سفته :345987</t>
  </si>
  <si>
    <t>توسط آقای جعفر رضائیان یزدی مشارکت پرداخت میشود - اصل را قرار است واریز کنند.</t>
  </si>
  <si>
    <t>اشرف سادات سید قطبی</t>
  </si>
  <si>
    <t>شبا بانک 5255</t>
  </si>
  <si>
    <t>سمانه عزیزی بهلولی</t>
  </si>
  <si>
    <t>شبا بانک 1496</t>
  </si>
  <si>
    <t>خانم سمیه خورا مبلغ 50 میلیون در تاریخ 1402/03/30 به حساب 8791 آقای ابراهیم علی اکبری واریز کردند.</t>
  </si>
  <si>
    <t>چک بانک ملت شرکت به تاریخ 1402/04/30 در وجه رضا عبداللهی داده و به نام علیرضا خرمی دوست ثبت شد.</t>
  </si>
  <si>
    <t>چک بانک ملت شرکت به تاریخ 1402/05/30 در وجه رضا عبداللهی داده و به نام علیرضا خرمی دوست ثبت شد.</t>
  </si>
  <si>
    <t>شبا بانک 6000</t>
  </si>
  <si>
    <t>واریز به حساب 8021</t>
  </si>
  <si>
    <t>تسویه اصل مبلغ سفته کبری مودی 6 ساله که 2 ساله برداشت کرد</t>
  </si>
  <si>
    <t>سفته به مبلغ 290 میلیون به تاریخ 1402/08/15 داده شده است - شماره سفته : 446130</t>
  </si>
  <si>
    <t>مبلغ 30 میلیون در تاریخ 1402/02/16 در ساعت 10:14 به حساب 4159 واریز شده است.</t>
  </si>
  <si>
    <t>مبلغ 50 میلیون در تاریخ 1402/02/16 در ساعت 11:02 به حساب 4159 واریز شد.</t>
  </si>
  <si>
    <t xml:space="preserve">سفته به مبلغ 200 میلیون به تاریخ 1402/08/27 داده شد. شماره سفته : 516171 </t>
  </si>
  <si>
    <t>1402/03/31</t>
  </si>
  <si>
    <t>شبا بانک 0354</t>
  </si>
  <si>
    <t>دوبار واریز شده است - برگشت به حساب شده است</t>
  </si>
  <si>
    <t>واریز به کارت 8533</t>
  </si>
  <si>
    <t>مهدی غلامی فرزند رحیم</t>
  </si>
  <si>
    <t>مبلغ 50 میلیون در تاریخ 1402/03/11 در ساعت 11:03:20 به حساب 4159 واریز شده است.</t>
  </si>
  <si>
    <t>احمد خواجه کلاته حسینی</t>
  </si>
  <si>
    <t>مبلغ 20 میلیون در تاریخ 1402/03/30 در ساعت 12:58:07 به حساب 4159 واریز شده است.</t>
  </si>
  <si>
    <t>واریزی 9 تیر ماه مبلغ 5 میلیون و اصل تمدید شد به نرخ مشارکت 6 درصد از 9 مرداد ماه</t>
  </si>
  <si>
    <t>سفته به مبلغ 100 میلیون به تاریخ 1403/04/09 داده شد - شماره سفته : 923980 - سفته قبلی باطل شد - شماره : 343852</t>
  </si>
  <si>
    <t>1405/04/14</t>
  </si>
  <si>
    <t>سفته 446126</t>
  </si>
  <si>
    <t>سفته 80 میلیون به شماره 343853 باطل شد.</t>
  </si>
  <si>
    <t>محمد جامی</t>
  </si>
  <si>
    <t>1405/01/07</t>
  </si>
  <si>
    <t>سفته 578789</t>
  </si>
  <si>
    <t>مبلغ 9 میلیون در تاریخ 12 اردیبهشت در ساعت 11:15 به حساب احمد خواجه کلانه حسینی واریز کزده است.</t>
  </si>
  <si>
    <t>فروردین و اردیبهشت مهدی غلامی توسط محمد جامی در تاریخ 1402/02/12 در ساعت 11:15 واریز کرده است - 5 خرداد و 5 تیر با هم واریز شود.</t>
  </si>
  <si>
    <t>مهدی رفیعی</t>
  </si>
  <si>
    <t>1405/03/11</t>
  </si>
  <si>
    <t>سفته 488521</t>
  </si>
  <si>
    <t>مبلغ 50 میلیون در تاریخ 141402/03/11 به حساب 4159 بانک شهر واریز شده است.</t>
  </si>
  <si>
    <t>معصومه غلامی پل بند</t>
  </si>
  <si>
    <t>سفته به مبلغ 10 میلیون به تاریخ 1403/03/15 داده شد - شماره سفته : 366766</t>
  </si>
  <si>
    <t>سفته اعلام کردند ندارند.</t>
  </si>
  <si>
    <t xml:space="preserve">سفته به مبلغ 50 میلیون به تاریخ .... داده شد - شماره سفته : 855324 </t>
  </si>
  <si>
    <t>واریز 1401/12/25</t>
  </si>
  <si>
    <t>عباس شادفر</t>
  </si>
  <si>
    <t>1403/02/20</t>
  </si>
  <si>
    <t>سفته 242497</t>
  </si>
  <si>
    <t>جعفر شادفر</t>
  </si>
  <si>
    <t>1403/03/31</t>
  </si>
  <si>
    <t>سفته 359355</t>
  </si>
  <si>
    <t>مبلغ 8 میلیون به کارت و 12 میلیون نقدی</t>
  </si>
  <si>
    <t>چک بانک صادرات به مبلغ 300 میلیون به تاریخ 1402/04/06 از مهیار حبیبی نقیبی در وجه رضا عبداللهی به خانم مرضیه احیایی بابت مشارکت ماهیانه انتقال یافت.</t>
  </si>
  <si>
    <t>بی بی زهرا هاشمی</t>
  </si>
  <si>
    <t xml:space="preserve">سفته به مبلغ 250 میلیون به تاریخ 1403/03/31 داده شد - شماره سفته : 407377 </t>
  </si>
  <si>
    <t>اولین واریزی 1402/05/31 - مبلغ طی چک از آقای علی عزیز عربی دریافت میشود.</t>
  </si>
  <si>
    <t>سفته 50 میلیون قبلی شماره 492432 باطل و سفته به مبلغ 50 میلیون به تاریخ 1403/03/10 داده شد - شماره سفته : 578788</t>
  </si>
  <si>
    <t>چک به مبلغ 145 میلیون به تاریخ 1402/03/31 از اقای علی عزیز عربی دریافت شد.</t>
  </si>
  <si>
    <t>شبا 0479</t>
  </si>
  <si>
    <t>ملیحه جمشیدی مقدم</t>
  </si>
  <si>
    <t xml:space="preserve">سفته به مبلغ 120 میلیون به تاریخ 1403/04/01 داده شد - شماره سفته : 624307 </t>
  </si>
  <si>
    <t>محبوبه برزگر</t>
  </si>
  <si>
    <t>شبا بانک 5831</t>
  </si>
  <si>
    <t>سفته به میلغ 100 میلیون به تاریخ 1403/04/01 داده شد - شماره سفته : 627578</t>
  </si>
  <si>
    <t>غلامرضا شیرزادی</t>
  </si>
  <si>
    <t>شبا بانک 8869</t>
  </si>
  <si>
    <t>باقیمانده اسفند ماه 720 میلیون میباشد که به اصل مبلغ اضافه میشود.</t>
  </si>
  <si>
    <t>مبلغ 170 میلیون در تاریخ 1401/12/13 از اصل پول کسر شد که باید از ضمانت ها کسر شود.</t>
  </si>
  <si>
    <t>مبلغ 720 میلیون سود اسفند ماه به اصل پول اضافه شد که باید ضمانت داده شود.</t>
  </si>
  <si>
    <t>بابت مشارکت اسفند</t>
  </si>
  <si>
    <t>از ابتدای سال 1402 کلیه مبالغ 7 درصد محاسبه میشود.</t>
  </si>
  <si>
    <t>مبلغ 3 میلیارد بابت چک 1402/01/20 از اصل کسر میشود</t>
  </si>
  <si>
    <t>مبلغ 50 میلیون در تاریخ 1402/01/15 از اصل کسر و به حساب پریسا خنک بان اضافه میشود.</t>
  </si>
  <si>
    <t>سود 20 روز سه میلیارد</t>
  </si>
  <si>
    <t>سود 15 روز 500 میلیون</t>
  </si>
  <si>
    <t>اصل پول و سود</t>
  </si>
  <si>
    <t>سود فروردین ماه</t>
  </si>
  <si>
    <t>باقیمانده فروردین ماه 1/079/900/000 میلیون میباشد که به اصل مبلغ اضافه میشود.</t>
  </si>
  <si>
    <t>اصل پول و سود برای اردیبهشت ماه</t>
  </si>
  <si>
    <t>مبلغ 3 میلیارد هفتصد بابت چک 1402/02/20 از اصل کسر میشود</t>
  </si>
  <si>
    <t xml:space="preserve">اصل پول و سود </t>
  </si>
  <si>
    <t>سود 20 روز سه میلیارد و هفتصد</t>
  </si>
  <si>
    <t>سود اردیبهشت ماه</t>
  </si>
  <si>
    <t>مانده چک سه میلیارد و هفتصد</t>
  </si>
  <si>
    <t>مانده چک</t>
  </si>
  <si>
    <t>ادامه در خرداد ماه</t>
  </si>
  <si>
    <t>بابت مشارکت اردیبهشت ماه</t>
  </si>
  <si>
    <t>باقیمانده اردیبهشت ماه 838/800/000 میلیون میباشد که به اصل مبلغ اضافه میشود.</t>
  </si>
  <si>
    <t>اصل پول و سود برای خرداد ماه</t>
  </si>
  <si>
    <t>اطلاعات تا تیر</t>
  </si>
  <si>
    <t>مبلغ 50 میلیون از اصل پول به ابوالفضل بهلوری انتقال یافت.</t>
  </si>
  <si>
    <t>مبلغ 720 میلیون باقیمانده سود اسفند ماه به اصل پول اضافه شد که باید ضمانت داده شود.</t>
  </si>
  <si>
    <t>مبلغ 1/079/900/000 میلیون باقیمانده سود فروردین ماه به اصل پول اضافه شد که باید ضمانت داده شود.</t>
  </si>
  <si>
    <t>مبلغ 838/800/000 میلیون باقیمانده سود اردیبهشت ماه به اصل پول اضافه شد که باید ضمانت داده شود.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</si>
</sst>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  <font>
      <b/>
      <sz val="16"/>
      <color rgb="FFFF0000"/>
      <name val="Arial"/>
      <family val="2"/>
      <scheme val="minor"/>
    </font>
    <font>
      <b/>
      <sz val="16"/>
      <name val="Arial"/>
      <family val="2"/>
      <scheme val="minor"/>
    </font>
    <font>
      <b/>
      <sz val="12"/>
      <color rgb="FFFF0000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656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14" borderId="7" xfId="0" applyNumberFormat="1" applyFont="1" applyFill="1" applyBorder="1" applyAlignment="1">
      <alignment horizontal="center" vertical="center" wrapText="1"/>
    </xf>
    <xf numFmtId="0" fontId="0" fillId="2" borderId="34" xfId="0" applyFill="1" applyBorder="1"/>
    <xf numFmtId="0" fontId="0" fillId="2" borderId="41" xfId="0" applyFill="1" applyBorder="1"/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2" borderId="9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13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10" fillId="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7" borderId="9" xfId="0" applyNumberFormat="1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/>
    </xf>
    <xf numFmtId="3" fontId="2" fillId="7" borderId="8" xfId="0" applyNumberFormat="1" applyFont="1" applyFill="1" applyBorder="1" applyAlignment="1">
      <alignment horizontal="center" vertical="center" wrapText="1"/>
    </xf>
    <xf numFmtId="0" fontId="2" fillId="7" borderId="52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vertical="center"/>
    </xf>
    <xf numFmtId="0" fontId="26" fillId="2" borderId="6" xfId="0" applyFont="1" applyFill="1" applyBorder="1" applyAlignment="1">
      <alignment vertical="center"/>
    </xf>
    <xf numFmtId="3" fontId="5" fillId="3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49" fontId="5" fillId="6" borderId="8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vertical="center"/>
    </xf>
    <xf numFmtId="3" fontId="2" fillId="29" borderId="1" xfId="0" applyNumberFormat="1" applyFont="1" applyFill="1" applyBorder="1" applyAlignment="1">
      <alignment horizontal="center" vertical="center" wrapText="1"/>
    </xf>
    <xf numFmtId="164" fontId="2" fillId="29" borderId="6" xfId="0" applyNumberFormat="1" applyFont="1" applyFill="1" applyBorder="1" applyAlignment="1">
      <alignment horizontal="center" vertical="center" wrapText="1"/>
    </xf>
    <xf numFmtId="3" fontId="2" fillId="29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3" fontId="5" fillId="6" borderId="6" xfId="0" applyNumberFormat="1" applyFont="1" applyFill="1" applyBorder="1" applyAlignment="1">
      <alignment horizontal="center" vertical="center" wrapText="1"/>
    </xf>
    <xf numFmtId="3" fontId="2" fillId="4" borderId="3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9" borderId="6" xfId="0" applyNumberFormat="1" applyFont="1" applyFill="1" applyBorder="1" applyAlignment="1">
      <alignment horizontal="center" vertical="center" wrapText="1"/>
    </xf>
    <xf numFmtId="164" fontId="14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30" borderId="1" xfId="0" applyFill="1" applyBorder="1" applyAlignment="1">
      <alignment horizontal="right" vertical="center"/>
    </xf>
    <xf numFmtId="0" fontId="6" fillId="30" borderId="1" xfId="0" applyFont="1" applyFill="1" applyBorder="1" applyAlignment="1">
      <alignment horizontal="center" vertical="center"/>
    </xf>
    <xf numFmtId="3" fontId="2" fillId="30" borderId="1" xfId="0" applyNumberFormat="1" applyFont="1" applyFill="1" applyBorder="1" applyAlignment="1">
      <alignment horizontal="center" vertical="center" wrapText="1"/>
    </xf>
    <xf numFmtId="164" fontId="2" fillId="30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0" fillId="30" borderId="6" xfId="0" applyFill="1" applyBorder="1" applyAlignment="1">
      <alignment horizontal="right" vertical="center"/>
    </xf>
    <xf numFmtId="0" fontId="3" fillId="30" borderId="6" xfId="0" applyFont="1" applyFill="1" applyBorder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3" fontId="2" fillId="30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3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6" fillId="32" borderId="1" xfId="0" applyFont="1" applyFill="1" applyBorder="1" applyAlignment="1">
      <alignment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right" vertical="center"/>
    </xf>
    <xf numFmtId="0" fontId="6" fillId="32" borderId="1" xfId="0" applyFont="1" applyFill="1" applyBorder="1" applyAlignment="1">
      <alignment horizontal="center" vertical="center"/>
    </xf>
    <xf numFmtId="0" fontId="6" fillId="32" borderId="1" xfId="0" applyFont="1" applyFill="1" applyBorder="1" applyAlignment="1">
      <alignment horizontal="right" vertical="center"/>
    </xf>
    <xf numFmtId="0" fontId="0" fillId="32" borderId="13" xfId="0" applyFill="1" applyBorder="1" applyAlignment="1">
      <alignment horizontal="center" vertical="center"/>
    </xf>
    <xf numFmtId="0" fontId="6" fillId="32" borderId="5" xfId="0" applyFont="1" applyFill="1" applyBorder="1" applyAlignment="1">
      <alignment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1" fontId="5" fillId="2" borderId="42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2" borderId="8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4" fillId="2" borderId="5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6" xfId="0" applyFill="1" applyBorder="1" applyAlignment="1"/>
    <xf numFmtId="0" fontId="6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2" borderId="8" xfId="0" applyNumberFormat="1" applyFont="1" applyFill="1" applyBorder="1" applyAlignment="1">
      <alignment horizontal="right" vertical="center" wrapText="1"/>
    </xf>
    <xf numFmtId="3" fontId="14" fillId="2" borderId="47" xfId="0" applyNumberFormat="1" applyFont="1" applyFill="1" applyBorder="1" applyAlignment="1">
      <alignment horizontal="right" vertical="center" wrapText="1"/>
    </xf>
    <xf numFmtId="3" fontId="14" fillId="2" borderId="9" xfId="0" applyNumberFormat="1" applyFont="1" applyFill="1" applyBorder="1" applyAlignment="1">
      <alignment horizontal="right" vertical="center" wrapText="1"/>
    </xf>
    <xf numFmtId="3" fontId="24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right" vertical="center"/>
    </xf>
    <xf numFmtId="0" fontId="14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2" fillId="2" borderId="1" xfId="0" applyNumberFormat="1" applyFont="1" applyFill="1" applyBorder="1" applyAlignment="1">
      <alignment horizontal="right" vertical="center" wrapText="1"/>
    </xf>
    <xf numFmtId="3" fontId="22" fillId="2" borderId="1" xfId="0" applyNumberFormat="1" applyFont="1" applyFill="1" applyBorder="1" applyAlignment="1">
      <alignment horizontal="center" vertical="center" wrapText="1"/>
    </xf>
    <xf numFmtId="164" fontId="22" fillId="2" borderId="1" xfId="0" applyNumberFormat="1" applyFont="1" applyFill="1" applyBorder="1" applyAlignment="1">
      <alignment horizontal="center" vertical="center" wrapText="1"/>
    </xf>
    <xf numFmtId="3" fontId="14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" fillId="20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2" fillId="32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0" fillId="2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164" fontId="14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13" borderId="6" xfId="0" applyFont="1" applyFill="1" applyBorder="1" applyAlignment="1">
      <alignment vertical="center"/>
    </xf>
    <xf numFmtId="3" fontId="6" fillId="13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>
      <alignment vertical="center"/>
    </xf>
    <xf numFmtId="1" fontId="5" fillId="2" borderId="6" xfId="0" applyNumberFormat="1" applyFont="1" applyFill="1" applyBorder="1" applyAlignment="1">
      <alignment vertical="center" wrapText="1"/>
    </xf>
    <xf numFmtId="0" fontId="27" fillId="2" borderId="5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2" borderId="1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2" borderId="16" xfId="0" applyNumberFormat="1" applyFont="1" applyFill="1" applyBorder="1" applyAlignment="1">
      <alignment horizontal="right" vertical="center" wrapText="1"/>
    </xf>
    <xf numFmtId="3" fontId="2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0" borderId="6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right" vertical="center"/>
    </xf>
    <xf numFmtId="49" fontId="3" fillId="13" borderId="1" xfId="0" applyNumberFormat="1" applyFont="1" applyFill="1" applyBorder="1" applyAlignment="1">
      <alignment horizontal="center" vertical="center" wrapText="1"/>
    </xf>
    <xf numFmtId="49" fontId="5" fillId="13" borderId="1" xfId="0" applyNumberFormat="1" applyFont="1" applyFill="1" applyBorder="1" applyAlignment="1">
      <alignment horizontal="center" vertical="center" wrapText="1"/>
    </xf>
    <xf numFmtId="3" fontId="2" fillId="20" borderId="5" xfId="0" applyNumberFormat="1" applyFont="1" applyFill="1" applyBorder="1" applyAlignment="1">
      <alignment horizontal="center" vertical="center" wrapText="1"/>
    </xf>
    <xf numFmtId="164" fontId="2" fillId="20" borderId="5" xfId="0" applyNumberFormat="1" applyFont="1" applyFill="1" applyBorder="1" applyAlignment="1">
      <alignment horizontal="center" vertical="center" wrapText="1"/>
    </xf>
    <xf numFmtId="0" fontId="2" fillId="20" borderId="6" xfId="0" applyFont="1" applyFill="1" applyBorder="1" applyAlignment="1">
      <alignment horizontal="right" vertical="center"/>
    </xf>
    <xf numFmtId="0" fontId="2" fillId="20" borderId="13" xfId="0" applyFont="1" applyFill="1" applyBorder="1" applyAlignment="1">
      <alignment horizontal="right" vertical="center"/>
    </xf>
    <xf numFmtId="3" fontId="2" fillId="20" borderId="13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5" fillId="2" borderId="13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6" fillId="2" borderId="13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vertical="center"/>
    </xf>
    <xf numFmtId="0" fontId="5" fillId="0" borderId="67" xfId="0" applyFont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3" borderId="6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1" fontId="5" fillId="6" borderId="8" xfId="0" applyNumberFormat="1" applyFont="1" applyFill="1" applyBorder="1" applyAlignment="1">
      <alignment horizontal="center" vertical="center" wrapText="1"/>
    </xf>
    <xf numFmtId="3" fontId="6" fillId="0" borderId="6" xfId="0" applyNumberFormat="1" applyFont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center" vertical="center" wrapText="1"/>
    </xf>
    <xf numFmtId="164" fontId="14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vertical="center" wrapText="1"/>
    </xf>
    <xf numFmtId="164" fontId="2" fillId="9" borderId="6" xfId="0" applyNumberFormat="1" applyFont="1" applyFill="1" applyBorder="1" applyAlignment="1">
      <alignment vertical="center" wrapText="1"/>
    </xf>
    <xf numFmtId="3" fontId="2" fillId="2" borderId="18" xfId="0" applyNumberFormat="1" applyFont="1" applyFill="1" applyBorder="1" applyAlignment="1">
      <alignment vertical="center" wrapText="1"/>
    </xf>
    <xf numFmtId="3" fontId="2" fillId="33" borderId="1" xfId="0" applyNumberFormat="1" applyFont="1" applyFill="1" applyBorder="1" applyAlignment="1">
      <alignment horizontal="center" vertical="center" wrapText="1"/>
    </xf>
    <xf numFmtId="164" fontId="2" fillId="33" borderId="1" xfId="0" applyNumberFormat="1" applyFont="1" applyFill="1" applyBorder="1" applyAlignment="1">
      <alignment horizontal="center" vertical="center" wrapText="1"/>
    </xf>
    <xf numFmtId="3" fontId="2" fillId="3" borderId="18" xfId="0" applyNumberFormat="1" applyFont="1" applyFill="1" applyBorder="1" applyAlignment="1">
      <alignment vertical="center" wrapText="1"/>
    </xf>
    <xf numFmtId="3" fontId="2" fillId="3" borderId="0" xfId="0" applyNumberFormat="1" applyFont="1" applyFill="1" applyBorder="1" applyAlignment="1">
      <alignment vertical="center" wrapText="1"/>
    </xf>
    <xf numFmtId="3" fontId="2" fillId="3" borderId="19" xfId="0" applyNumberFormat="1" applyFont="1" applyFill="1" applyBorder="1" applyAlignment="1">
      <alignment vertical="center" wrapText="1"/>
    </xf>
    <xf numFmtId="3" fontId="2" fillId="3" borderId="13" xfId="0" applyNumberFormat="1" applyFont="1" applyFill="1" applyBorder="1" applyAlignment="1">
      <alignment vertical="center" wrapText="1"/>
    </xf>
    <xf numFmtId="3" fontId="10" fillId="3" borderId="13" xfId="0" applyNumberFormat="1" applyFont="1" applyFill="1" applyBorder="1" applyAlignment="1">
      <alignment vertical="center" wrapText="1"/>
    </xf>
    <xf numFmtId="0" fontId="0" fillId="3" borderId="0" xfId="0" applyFill="1"/>
    <xf numFmtId="3" fontId="0" fillId="3" borderId="0" xfId="0" applyNumberFormat="1" applyFill="1" applyAlignment="1">
      <alignment horizontal="center" vertical="center"/>
    </xf>
    <xf numFmtId="3" fontId="0" fillId="3" borderId="0" xfId="0" applyNumberFormat="1" applyFill="1"/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3" fontId="3" fillId="2" borderId="27" xfId="0" applyNumberFormat="1" applyFont="1" applyFill="1" applyBorder="1" applyAlignment="1">
      <alignment horizontal="right" vertical="center" wrapText="1"/>
    </xf>
    <xf numFmtId="3" fontId="3" fillId="2" borderId="54" xfId="0" applyNumberFormat="1" applyFont="1" applyFill="1" applyBorder="1" applyAlignment="1">
      <alignment horizontal="right" vertical="center" wrapText="1"/>
    </xf>
    <xf numFmtId="3" fontId="3" fillId="2" borderId="61" xfId="0" applyNumberFormat="1" applyFont="1" applyFill="1" applyBorder="1" applyAlignment="1">
      <alignment horizontal="right" vertical="center" wrapText="1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0" fontId="5" fillId="0" borderId="16" xfId="0" applyFont="1" applyBorder="1" applyAlignment="1">
      <alignment horizontal="right" vertical="center"/>
    </xf>
    <xf numFmtId="0" fontId="5" fillId="0" borderId="43" xfId="0" applyFont="1" applyBorder="1" applyAlignment="1">
      <alignment horizontal="right" vertical="center"/>
    </xf>
    <xf numFmtId="0" fontId="5" fillId="0" borderId="17" xfId="0" applyFont="1" applyBorder="1" applyAlignment="1">
      <alignment horizontal="right" vertical="center"/>
    </xf>
    <xf numFmtId="0" fontId="5" fillId="0" borderId="8" xfId="0" applyFont="1" applyBorder="1" applyAlignment="1">
      <alignment horizontal="right" vertical="center"/>
    </xf>
    <xf numFmtId="0" fontId="5" fillId="0" borderId="47" xfId="0" applyFont="1" applyBorder="1" applyAlignment="1">
      <alignment horizontal="right" vertical="center"/>
    </xf>
    <xf numFmtId="0" fontId="5" fillId="0" borderId="9" xfId="0" applyFont="1" applyBorder="1" applyAlignment="1">
      <alignment horizontal="right" vertical="center"/>
    </xf>
    <xf numFmtId="3" fontId="2" fillId="4" borderId="41" xfId="0" applyNumberFormat="1" applyFont="1" applyFill="1" applyBorder="1" applyAlignment="1">
      <alignment horizontal="center" vertical="center" wrapText="1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righ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4" borderId="42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0" fillId="30" borderId="5" xfId="0" applyFill="1" applyBorder="1" applyAlignment="1">
      <alignment horizontal="right" vertical="center"/>
    </xf>
    <xf numFmtId="0" fontId="0" fillId="30" borderId="6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5" fillId="2" borderId="1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0" fontId="6" fillId="4" borderId="13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0" fontId="0" fillId="5" borderId="1" xfId="0" applyFill="1" applyBorder="1" applyAlignment="1">
      <alignment horizontal="right" vertical="center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right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3" fontId="2" fillId="2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3" fontId="2" fillId="4" borderId="16" xfId="0" applyNumberFormat="1" applyFont="1" applyFill="1" applyBorder="1" applyAlignment="1">
      <alignment horizontal="right" vertical="center" wrapText="1"/>
    </xf>
    <xf numFmtId="3" fontId="2" fillId="4" borderId="43" xfId="0" applyNumberFormat="1" applyFont="1" applyFill="1" applyBorder="1" applyAlignment="1">
      <alignment horizontal="right" vertical="center" wrapText="1"/>
    </xf>
    <xf numFmtId="3" fontId="2" fillId="4" borderId="17" xfId="0" applyNumberFormat="1" applyFont="1" applyFill="1" applyBorder="1" applyAlignment="1">
      <alignment horizontal="right" vertical="center" wrapText="1"/>
    </xf>
    <xf numFmtId="3" fontId="2" fillId="4" borderId="18" xfId="0" applyNumberFormat="1" applyFont="1" applyFill="1" applyBorder="1" applyAlignment="1">
      <alignment horizontal="right" vertical="center" wrapText="1"/>
    </xf>
    <xf numFmtId="3" fontId="2" fillId="4" borderId="0" xfId="0" applyNumberFormat="1" applyFont="1" applyFill="1" applyBorder="1" applyAlignment="1">
      <alignment horizontal="right" vertical="center" wrapText="1"/>
    </xf>
    <xf numFmtId="3" fontId="2" fillId="4" borderId="19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right" vertical="center" wrapText="1"/>
    </xf>
    <xf numFmtId="3" fontId="2" fillId="4" borderId="47" xfId="0" applyNumberFormat="1" applyFont="1" applyFill="1" applyBorder="1" applyAlignment="1">
      <alignment horizontal="right" vertical="center" wrapText="1"/>
    </xf>
    <xf numFmtId="3" fontId="2" fillId="4" borderId="9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 wrapText="1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right" vertical="center" wrapText="1"/>
    </xf>
    <xf numFmtId="0" fontId="5" fillId="2" borderId="42" xfId="0" applyFont="1" applyFill="1" applyBorder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5" fillId="4" borderId="14" xfId="0" applyFont="1" applyFill="1" applyBorder="1" applyAlignment="1">
      <alignment horizontal="right" vertical="center"/>
    </xf>
    <xf numFmtId="0" fontId="5" fillId="4" borderId="42" xfId="0" applyFont="1" applyFill="1" applyBorder="1" applyAlignment="1">
      <alignment horizontal="right" vertical="center"/>
    </xf>
    <xf numFmtId="0" fontId="5" fillId="4" borderId="15" xfId="0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10" fillId="2" borderId="1" xfId="0" applyFont="1" applyFill="1" applyBorder="1" applyAlignment="1">
      <alignment horizontal="right" vertical="center"/>
    </xf>
    <xf numFmtId="3" fontId="5" fillId="2" borderId="18" xfId="0" applyNumberFormat="1" applyFont="1" applyFill="1" applyBorder="1" applyAlignment="1">
      <alignment horizontal="right" vertical="center"/>
    </xf>
    <xf numFmtId="3" fontId="5" fillId="2" borderId="0" xfId="0" applyNumberFormat="1" applyFont="1" applyFill="1" applyBorder="1" applyAlignment="1">
      <alignment horizontal="right" vertical="center"/>
    </xf>
    <xf numFmtId="3" fontId="5" fillId="2" borderId="19" xfId="0" applyNumberFormat="1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3" fontId="2" fillId="29" borderId="16" xfId="0" applyNumberFormat="1" applyFont="1" applyFill="1" applyBorder="1" applyAlignment="1">
      <alignment horizontal="right" vertical="center" wrapText="1"/>
    </xf>
    <xf numFmtId="3" fontId="2" fillId="29" borderId="43" xfId="0" applyNumberFormat="1" applyFont="1" applyFill="1" applyBorder="1" applyAlignment="1">
      <alignment horizontal="right" vertical="center" wrapText="1"/>
    </xf>
    <xf numFmtId="3" fontId="2" fillId="29" borderId="17" xfId="0" applyNumberFormat="1" applyFont="1" applyFill="1" applyBorder="1" applyAlignment="1">
      <alignment horizontal="right" vertical="center" wrapText="1"/>
    </xf>
    <xf numFmtId="3" fontId="2" fillId="29" borderId="18" xfId="0" applyNumberFormat="1" applyFont="1" applyFill="1" applyBorder="1" applyAlignment="1">
      <alignment horizontal="right" vertical="center" wrapText="1"/>
    </xf>
    <xf numFmtId="3" fontId="2" fillId="29" borderId="0" xfId="0" applyNumberFormat="1" applyFont="1" applyFill="1" applyBorder="1" applyAlignment="1">
      <alignment horizontal="right" vertical="center" wrapText="1"/>
    </xf>
    <xf numFmtId="3" fontId="2" fillId="29" borderId="19" xfId="0" applyNumberFormat="1" applyFont="1" applyFill="1" applyBorder="1" applyAlignment="1">
      <alignment horizontal="right" vertical="center" wrapText="1"/>
    </xf>
    <xf numFmtId="3" fontId="2" fillId="29" borderId="8" xfId="0" applyNumberFormat="1" applyFont="1" applyFill="1" applyBorder="1" applyAlignment="1">
      <alignment horizontal="right" vertical="center" wrapText="1"/>
    </xf>
    <xf numFmtId="3" fontId="2" fillId="29" borderId="47" xfId="0" applyNumberFormat="1" applyFont="1" applyFill="1" applyBorder="1" applyAlignment="1">
      <alignment horizontal="right" vertical="center" wrapText="1"/>
    </xf>
    <xf numFmtId="3" fontId="2" fillId="29" borderId="9" xfId="0" applyNumberFormat="1" applyFont="1" applyFill="1" applyBorder="1" applyAlignment="1">
      <alignment horizontal="right" vertical="center" wrapText="1"/>
    </xf>
    <xf numFmtId="3" fontId="2" fillId="29" borderId="14" xfId="0" applyNumberFormat="1" applyFont="1" applyFill="1" applyBorder="1" applyAlignment="1">
      <alignment horizontal="center" vertical="center" wrapText="1"/>
    </xf>
    <xf numFmtId="3" fontId="2" fillId="29" borderId="15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0" fontId="0" fillId="32" borderId="5" xfId="0" applyFill="1" applyBorder="1" applyAlignment="1">
      <alignment horizontal="right" vertical="center"/>
    </xf>
    <xf numFmtId="0" fontId="0" fillId="32" borderId="13" xfId="0" applyFill="1" applyBorder="1" applyAlignment="1">
      <alignment horizontal="right" vertical="center"/>
    </xf>
    <xf numFmtId="0" fontId="6" fillId="32" borderId="5" xfId="0" applyFont="1" applyFill="1" applyBorder="1" applyAlignment="1">
      <alignment horizontal="center" vertical="center"/>
    </xf>
    <xf numFmtId="0" fontId="6" fillId="32" borderId="13" xfId="0" applyFont="1" applyFill="1" applyBorder="1" applyAlignment="1">
      <alignment horizontal="center" vertical="center"/>
    </xf>
    <xf numFmtId="0" fontId="0" fillId="30" borderId="13" xfId="0" applyFill="1" applyBorder="1" applyAlignment="1">
      <alignment horizontal="right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6" xfId="0" applyFill="1" applyBorder="1" applyAlignment="1">
      <alignment horizontal="right" vertical="center"/>
    </xf>
    <xf numFmtId="0" fontId="0" fillId="32" borderId="5" xfId="0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0" fillId="32" borderId="6" xfId="0" applyFill="1" applyBorder="1" applyAlignment="1">
      <alignment horizontal="center" vertical="center"/>
    </xf>
    <xf numFmtId="0" fontId="6" fillId="30" borderId="5" xfId="0" applyFont="1" applyFill="1" applyBorder="1" applyAlignment="1">
      <alignment horizontal="center" vertical="center"/>
    </xf>
    <xf numFmtId="0" fontId="6" fillId="30" borderId="13" xfId="0" applyFont="1" applyFill="1" applyBorder="1" applyAlignment="1">
      <alignment horizontal="center" vertical="center"/>
    </xf>
    <xf numFmtId="0" fontId="6" fillId="30" borderId="6" xfId="0" applyFont="1" applyFill="1" applyBorder="1" applyAlignment="1">
      <alignment horizontal="center" vertical="center"/>
    </xf>
    <xf numFmtId="3" fontId="2" fillId="30" borderId="5" xfId="0" applyNumberFormat="1" applyFont="1" applyFill="1" applyBorder="1" applyAlignment="1">
      <alignment horizontal="center" vertical="center" wrapText="1"/>
    </xf>
    <xf numFmtId="3" fontId="2" fillId="30" borderId="13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5" xfId="0" applyNumberFormat="1" applyFont="1" applyFill="1" applyBorder="1" applyAlignment="1">
      <alignment horizontal="center" vertical="center" wrapText="1"/>
    </xf>
    <xf numFmtId="164" fontId="2" fillId="30" borderId="13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right" vertical="center"/>
    </xf>
    <xf numFmtId="0" fontId="5" fillId="3" borderId="43" xfId="0" applyFont="1" applyFill="1" applyBorder="1" applyAlignment="1">
      <alignment horizontal="right" vertical="center"/>
    </xf>
    <xf numFmtId="0" fontId="5" fillId="3" borderId="17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right" vertical="center"/>
    </xf>
    <xf numFmtId="0" fontId="5" fillId="3" borderId="47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right"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3" fillId="2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0" fontId="6" fillId="18" borderId="1" xfId="0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18" borderId="1" xfId="0" applyNumberFormat="1" applyFont="1" applyFill="1" applyBorder="1" applyAlignment="1">
      <alignment horizontal="right" vertical="center"/>
    </xf>
    <xf numFmtId="164" fontId="2" fillId="18" borderId="5" xfId="0" applyNumberFormat="1" applyFont="1" applyFill="1" applyBorder="1" applyAlignment="1">
      <alignment horizontal="center" vertical="center" wrapText="1"/>
    </xf>
    <xf numFmtId="164" fontId="2" fillId="18" borderId="13" xfId="0" applyNumberFormat="1" applyFont="1" applyFill="1" applyBorder="1" applyAlignment="1">
      <alignment horizontal="center" vertical="center" wrapText="1"/>
    </xf>
    <xf numFmtId="164" fontId="2" fillId="18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2" fontId="5" fillId="3" borderId="1" xfId="0" applyNumberFormat="1" applyFont="1" applyFill="1" applyBorder="1" applyAlignment="1">
      <alignment horizontal="center" vertical="center" wrapText="1"/>
    </xf>
    <xf numFmtId="3" fontId="2" fillId="10" borderId="18" xfId="0" applyNumberFormat="1" applyFont="1" applyFill="1" applyBorder="1" applyAlignment="1">
      <alignment horizontal="right" vertical="center" wrapText="1"/>
    </xf>
    <xf numFmtId="3" fontId="2" fillId="10" borderId="0" xfId="0" applyNumberFormat="1" applyFont="1" applyFill="1" applyBorder="1" applyAlignment="1">
      <alignment horizontal="right" vertical="center" wrapText="1"/>
    </xf>
    <xf numFmtId="3" fontId="2" fillId="10" borderId="19" xfId="0" applyNumberFormat="1" applyFont="1" applyFill="1" applyBorder="1" applyAlignment="1">
      <alignment horizontal="right" vertical="center" wrapText="1"/>
    </xf>
    <xf numFmtId="3" fontId="2" fillId="15" borderId="16" xfId="0" applyNumberFormat="1" applyFont="1" applyFill="1" applyBorder="1" applyAlignment="1">
      <alignment horizontal="right" vertical="center" wrapText="1"/>
    </xf>
    <xf numFmtId="3" fontId="2" fillId="15" borderId="43" xfId="0" applyNumberFormat="1" applyFont="1" applyFill="1" applyBorder="1" applyAlignment="1">
      <alignment horizontal="right" vertical="center" wrapText="1"/>
    </xf>
    <xf numFmtId="3" fontId="2" fillId="15" borderId="17" xfId="0" applyNumberFormat="1" applyFont="1" applyFill="1" applyBorder="1" applyAlignment="1">
      <alignment horizontal="right" vertical="center" wrapText="1"/>
    </xf>
    <xf numFmtId="3" fontId="2" fillId="15" borderId="18" xfId="0" applyNumberFormat="1" applyFont="1" applyFill="1" applyBorder="1" applyAlignment="1">
      <alignment horizontal="right" vertical="center" wrapText="1"/>
    </xf>
    <xf numFmtId="3" fontId="2" fillId="15" borderId="0" xfId="0" applyNumberFormat="1" applyFont="1" applyFill="1" applyBorder="1" applyAlignment="1">
      <alignment horizontal="right" vertical="center" wrapText="1"/>
    </xf>
    <xf numFmtId="3" fontId="2" fillId="15" borderId="19" xfId="0" applyNumberFormat="1" applyFont="1" applyFill="1" applyBorder="1" applyAlignment="1">
      <alignment horizontal="right" vertical="center" wrapText="1"/>
    </xf>
    <xf numFmtId="3" fontId="2" fillId="15" borderId="8" xfId="0" applyNumberFormat="1" applyFont="1" applyFill="1" applyBorder="1" applyAlignment="1">
      <alignment horizontal="right" vertical="center" wrapText="1"/>
    </xf>
    <xf numFmtId="3" fontId="2" fillId="15" borderId="47" xfId="0" applyNumberFormat="1" applyFont="1" applyFill="1" applyBorder="1" applyAlignment="1">
      <alignment horizontal="right" vertical="center" wrapText="1"/>
    </xf>
    <xf numFmtId="3" fontId="2" fillId="15" borderId="9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center" vertical="center" wrapText="1"/>
    </xf>
    <xf numFmtId="3" fontId="22" fillId="2" borderId="14" xfId="0" applyNumberFormat="1" applyFont="1" applyFill="1" applyBorder="1" applyAlignment="1">
      <alignment horizontal="right" vertical="center" wrapText="1"/>
    </xf>
    <xf numFmtId="3" fontId="22" fillId="2" borderId="42" xfId="0" applyNumberFormat="1" applyFont="1" applyFill="1" applyBorder="1" applyAlignment="1">
      <alignment horizontal="right" vertical="center" wrapText="1"/>
    </xf>
    <xf numFmtId="3" fontId="22" fillId="2" borderId="15" xfId="0" applyNumberFormat="1" applyFont="1" applyFill="1" applyBorder="1" applyAlignment="1">
      <alignment horizontal="right" vertical="center" wrapText="1"/>
    </xf>
    <xf numFmtId="3" fontId="2" fillId="31" borderId="5" xfId="0" applyNumberFormat="1" applyFont="1" applyFill="1" applyBorder="1" applyAlignment="1">
      <alignment horizontal="center" vertical="center" wrapText="1"/>
    </xf>
    <xf numFmtId="3" fontId="2" fillId="31" borderId="6" xfId="0" applyNumberFormat="1" applyFont="1" applyFill="1" applyBorder="1" applyAlignment="1">
      <alignment horizontal="center" vertical="center" wrapText="1"/>
    </xf>
    <xf numFmtId="3" fontId="2" fillId="31" borderId="14" xfId="0" applyNumberFormat="1" applyFont="1" applyFill="1" applyBorder="1" applyAlignment="1">
      <alignment horizontal="center" vertical="center" wrapText="1"/>
    </xf>
    <xf numFmtId="3" fontId="2" fillId="31" borderId="1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10" fillId="31" borderId="5" xfId="0" applyNumberFormat="1" applyFont="1" applyFill="1" applyBorder="1" applyAlignment="1">
      <alignment horizontal="center" vertical="center" wrapText="1"/>
    </xf>
    <xf numFmtId="3" fontId="10" fillId="3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right" vertical="center" wrapText="1"/>
    </xf>
    <xf numFmtId="3" fontId="10" fillId="6" borderId="6" xfId="0" applyNumberFormat="1" applyFont="1" applyFill="1" applyBorder="1" applyAlignment="1">
      <alignment horizontal="right" vertical="center" wrapText="1"/>
    </xf>
    <xf numFmtId="3" fontId="2" fillId="32" borderId="16" xfId="0" applyNumberFormat="1" applyFont="1" applyFill="1" applyBorder="1" applyAlignment="1">
      <alignment horizontal="right" vertical="center" wrapText="1"/>
    </xf>
    <xf numFmtId="3" fontId="2" fillId="32" borderId="43" xfId="0" applyNumberFormat="1" applyFont="1" applyFill="1" applyBorder="1" applyAlignment="1">
      <alignment horizontal="right" vertical="center" wrapText="1"/>
    </xf>
    <xf numFmtId="3" fontId="2" fillId="32" borderId="17" xfId="0" applyNumberFormat="1" applyFont="1" applyFill="1" applyBorder="1" applyAlignment="1">
      <alignment horizontal="right" vertical="center" wrapText="1"/>
    </xf>
    <xf numFmtId="3" fontId="2" fillId="32" borderId="8" xfId="0" applyNumberFormat="1" applyFont="1" applyFill="1" applyBorder="1" applyAlignment="1">
      <alignment horizontal="right" vertical="center" wrapText="1"/>
    </xf>
    <xf numFmtId="3" fontId="2" fillId="32" borderId="47" xfId="0" applyNumberFormat="1" applyFont="1" applyFill="1" applyBorder="1" applyAlignment="1">
      <alignment horizontal="right" vertical="center" wrapText="1"/>
    </xf>
    <xf numFmtId="3" fontId="2" fillId="32" borderId="9" xfId="0" applyNumberFormat="1" applyFont="1" applyFill="1" applyBorder="1" applyAlignment="1">
      <alignment horizontal="right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164" fontId="2" fillId="32" borderId="5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1" fontId="5" fillId="6" borderId="5" xfId="0" applyNumberFormat="1" applyFont="1" applyFill="1" applyBorder="1" applyAlignment="1">
      <alignment horizontal="center" vertical="center" wrapText="1"/>
    </xf>
    <xf numFmtId="1" fontId="5" fillId="6" borderId="6" xfId="0" applyNumberFormat="1" applyFont="1" applyFill="1" applyBorder="1" applyAlignment="1">
      <alignment horizontal="center" vertical="center" wrapText="1"/>
    </xf>
    <xf numFmtId="3" fontId="2" fillId="9" borderId="16" xfId="0" applyNumberFormat="1" applyFont="1" applyFill="1" applyBorder="1" applyAlignment="1">
      <alignment horizontal="center" vertical="center" wrapText="1"/>
    </xf>
    <xf numFmtId="3" fontId="2" fillId="9" borderId="1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14" fillId="4" borderId="5" xfId="0" applyNumberFormat="1" applyFont="1" applyFill="1" applyBorder="1" applyAlignment="1">
      <alignment horizontal="center" vertical="center" wrapText="1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5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2" borderId="5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3" fontId="2" fillId="33" borderId="1" xfId="0" applyNumberFormat="1" applyFont="1" applyFill="1" applyBorder="1" applyAlignment="1">
      <alignment horizontal="right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3" fontId="2" fillId="9" borderId="18" xfId="0" applyNumberFormat="1" applyFont="1" applyFill="1" applyBorder="1" applyAlignment="1">
      <alignment horizontal="center" vertical="center" wrapText="1"/>
    </xf>
    <xf numFmtId="3" fontId="2" fillId="9" borderId="19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center" vertical="center" wrapText="1"/>
    </xf>
    <xf numFmtId="3" fontId="2" fillId="33" borderId="1" xfId="0" applyNumberFormat="1" applyFont="1" applyFill="1" applyBorder="1" applyAlignment="1">
      <alignment horizontal="center" vertical="center" wrapText="1"/>
    </xf>
    <xf numFmtId="3" fontId="2" fillId="33" borderId="14" xfId="0" applyNumberFormat="1" applyFont="1" applyFill="1" applyBorder="1" applyAlignment="1">
      <alignment horizontal="center" vertical="center" wrapText="1"/>
    </xf>
    <xf numFmtId="3" fontId="2" fillId="33" borderId="15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4" borderId="18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>
      <alignment horizontal="center" vertical="center" wrapText="1"/>
    </xf>
    <xf numFmtId="3" fontId="2" fillId="4" borderId="19" xfId="0" applyNumberFormat="1" applyFont="1" applyFill="1" applyBorder="1" applyAlignment="1">
      <alignment horizontal="center" vertical="center" wrapText="1"/>
    </xf>
    <xf numFmtId="49" fontId="3" fillId="2" borderId="13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164" fontId="2" fillId="2" borderId="13" xfId="0" applyNumberFormat="1" applyFont="1" applyFill="1" applyBorder="1" applyAlignment="1">
      <alignment horizontal="center" vertical="center"/>
    </xf>
    <xf numFmtId="3" fontId="25" fillId="2" borderId="5" xfId="0" applyNumberFormat="1" applyFont="1" applyFill="1" applyBorder="1" applyAlignment="1">
      <alignment horizontal="right" vertical="center" wrapText="1"/>
    </xf>
    <xf numFmtId="3" fontId="25" fillId="2" borderId="1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/>
    </xf>
    <xf numFmtId="3" fontId="10" fillId="6" borderId="13" xfId="0" applyNumberFormat="1" applyFont="1" applyFill="1" applyBorder="1" applyAlignment="1">
      <alignment horizontal="center" vertical="center" wrapText="1"/>
    </xf>
    <xf numFmtId="3" fontId="2" fillId="20" borderId="8" xfId="0" applyNumberFormat="1" applyFont="1" applyFill="1" applyBorder="1" applyAlignment="1">
      <alignment horizontal="right" vertical="center" wrapText="1"/>
    </xf>
    <xf numFmtId="3" fontId="2" fillId="20" borderId="47" xfId="0" applyNumberFormat="1" applyFont="1" applyFill="1" applyBorder="1" applyAlignment="1">
      <alignment horizontal="right" vertical="center" wrapText="1"/>
    </xf>
    <xf numFmtId="3" fontId="2" fillId="20" borderId="9" xfId="0" applyNumberFormat="1" applyFont="1" applyFill="1" applyBorder="1" applyAlignment="1">
      <alignment horizontal="right" vertical="center" wrapText="1"/>
    </xf>
    <xf numFmtId="3" fontId="2" fillId="20" borderId="16" xfId="0" applyNumberFormat="1" applyFont="1" applyFill="1" applyBorder="1" applyAlignment="1">
      <alignment horizontal="center" vertical="center" wrapText="1"/>
    </xf>
    <xf numFmtId="3" fontId="2" fillId="20" borderId="43" xfId="0" applyNumberFormat="1" applyFont="1" applyFill="1" applyBorder="1" applyAlignment="1">
      <alignment horizontal="center" vertical="center" wrapText="1"/>
    </xf>
    <xf numFmtId="3" fontId="2" fillId="20" borderId="17" xfId="0" applyNumberFormat="1" applyFont="1" applyFill="1" applyBorder="1" applyAlignment="1">
      <alignment horizontal="center" vertical="center" wrapText="1"/>
    </xf>
    <xf numFmtId="164" fontId="2" fillId="6" borderId="5" xfId="0" applyNumberFormat="1" applyFont="1" applyFill="1" applyBorder="1" applyAlignment="1">
      <alignment horizontal="center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20" borderId="5" xfId="0" applyFill="1" applyBorder="1" applyAlignment="1">
      <alignment horizontal="right" vertical="center"/>
    </xf>
    <xf numFmtId="0" fontId="0" fillId="20" borderId="13" xfId="0" applyFill="1" applyBorder="1" applyAlignment="1">
      <alignment horizontal="right" vertical="center"/>
    </xf>
    <xf numFmtId="0" fontId="6" fillId="20" borderId="5" xfId="0" applyFont="1" applyFill="1" applyBorder="1" applyAlignment="1">
      <alignment horizontal="center" vertical="center"/>
    </xf>
    <xf numFmtId="0" fontId="6" fillId="20" borderId="13" xfId="0" applyFont="1" applyFill="1" applyBorder="1" applyAlignment="1">
      <alignment horizontal="center" vertical="center"/>
    </xf>
    <xf numFmtId="3" fontId="2" fillId="20" borderId="18" xfId="0" applyNumberFormat="1" applyFont="1" applyFill="1" applyBorder="1" applyAlignment="1">
      <alignment horizontal="center" vertical="center" wrapText="1"/>
    </xf>
    <xf numFmtId="3" fontId="2" fillId="20" borderId="0" xfId="0" applyNumberFormat="1" applyFont="1" applyFill="1" applyBorder="1" applyAlignment="1">
      <alignment horizontal="center" vertical="center" wrapText="1"/>
    </xf>
    <xf numFmtId="3" fontId="2" fillId="20" borderId="19" xfId="0" applyNumberFormat="1" applyFont="1" applyFill="1" applyBorder="1" applyAlignment="1">
      <alignment horizontal="center" vertical="center" wrapText="1"/>
    </xf>
    <xf numFmtId="3" fontId="2" fillId="20" borderId="8" xfId="0" applyNumberFormat="1" applyFont="1" applyFill="1" applyBorder="1" applyAlignment="1">
      <alignment horizontal="center" vertical="center" wrapText="1"/>
    </xf>
    <xf numFmtId="3" fontId="2" fillId="20" borderId="47" xfId="0" applyNumberFormat="1" applyFont="1" applyFill="1" applyBorder="1" applyAlignment="1">
      <alignment horizontal="center" vertical="center" wrapText="1"/>
    </xf>
    <xf numFmtId="3" fontId="2" fillId="20" borderId="9" xfId="0" applyNumberFormat="1" applyFont="1" applyFill="1" applyBorder="1" applyAlignment="1">
      <alignment horizontal="center" vertical="center" wrapText="1"/>
    </xf>
    <xf numFmtId="3" fontId="2" fillId="20" borderId="16" xfId="0" applyNumberFormat="1" applyFont="1" applyFill="1" applyBorder="1" applyAlignment="1">
      <alignment horizontal="right" vertical="center" wrapText="1"/>
    </xf>
    <xf numFmtId="3" fontId="2" fillId="20" borderId="43" xfId="0" applyNumberFormat="1" applyFont="1" applyFill="1" applyBorder="1" applyAlignment="1">
      <alignment horizontal="right" vertical="center" wrapText="1"/>
    </xf>
    <xf numFmtId="3" fontId="2" fillId="20" borderId="17" xfId="0" applyNumberFormat="1" applyFont="1" applyFill="1" applyBorder="1" applyAlignment="1">
      <alignment horizontal="right" vertical="center" wrapText="1"/>
    </xf>
    <xf numFmtId="3" fontId="2" fillId="20" borderId="5" xfId="0" applyNumberFormat="1" applyFont="1" applyFill="1" applyBorder="1" applyAlignment="1">
      <alignment horizontal="center" vertical="center" wrapText="1"/>
    </xf>
    <xf numFmtId="3" fontId="2" fillId="20" borderId="13" xfId="0" applyNumberFormat="1" applyFont="1" applyFill="1" applyBorder="1" applyAlignment="1">
      <alignment horizontal="center" vertical="center" wrapText="1"/>
    </xf>
    <xf numFmtId="3" fontId="2" fillId="20" borderId="6" xfId="0" applyNumberFormat="1" applyFont="1" applyFill="1" applyBorder="1" applyAlignment="1">
      <alignment horizontal="center" vertical="center" wrapText="1"/>
    </xf>
    <xf numFmtId="3" fontId="2" fillId="20" borderId="18" xfId="0" applyNumberFormat="1" applyFont="1" applyFill="1" applyBorder="1" applyAlignment="1">
      <alignment horizontal="right" vertical="center" wrapText="1"/>
    </xf>
    <xf numFmtId="3" fontId="2" fillId="20" borderId="0" xfId="0" applyNumberFormat="1" applyFont="1" applyFill="1" applyBorder="1" applyAlignment="1">
      <alignment horizontal="right" vertical="center" wrapText="1"/>
    </xf>
    <xf numFmtId="3" fontId="2" fillId="20" borderId="19" xfId="0" applyNumberFormat="1" applyFont="1" applyFill="1" applyBorder="1" applyAlignment="1">
      <alignment horizontal="right" vertical="center" wrapText="1"/>
    </xf>
    <xf numFmtId="3" fontId="22" fillId="2" borderId="16" xfId="0" applyNumberFormat="1" applyFont="1" applyFill="1" applyBorder="1" applyAlignment="1">
      <alignment horizontal="right" vertical="center" wrapText="1"/>
    </xf>
    <xf numFmtId="3" fontId="22" fillId="2" borderId="43" xfId="0" applyNumberFormat="1" applyFont="1" applyFill="1" applyBorder="1" applyAlignment="1">
      <alignment horizontal="right" vertical="center" wrapText="1"/>
    </xf>
    <xf numFmtId="3" fontId="22" fillId="2" borderId="17" xfId="0" applyNumberFormat="1" applyFont="1" applyFill="1" applyBorder="1" applyAlignment="1">
      <alignment horizontal="right" vertical="center" wrapText="1"/>
    </xf>
    <xf numFmtId="3" fontId="22" fillId="2" borderId="18" xfId="0" applyNumberFormat="1" applyFont="1" applyFill="1" applyBorder="1" applyAlignment="1">
      <alignment horizontal="right" vertical="center" wrapText="1"/>
    </xf>
    <xf numFmtId="3" fontId="22" fillId="2" borderId="0" xfId="0" applyNumberFormat="1" applyFont="1" applyFill="1" applyBorder="1" applyAlignment="1">
      <alignment horizontal="right" vertical="center" wrapText="1"/>
    </xf>
    <xf numFmtId="3" fontId="22" fillId="2" borderId="19" xfId="0" applyNumberFormat="1" applyFont="1" applyFill="1" applyBorder="1" applyAlignment="1">
      <alignment horizontal="right" vertical="center" wrapText="1"/>
    </xf>
    <xf numFmtId="3" fontId="22" fillId="2" borderId="8" xfId="0" applyNumberFormat="1" applyFont="1" applyFill="1" applyBorder="1" applyAlignment="1">
      <alignment horizontal="right" vertical="center" wrapText="1"/>
    </xf>
    <xf numFmtId="3" fontId="22" fillId="2" borderId="47" xfId="0" applyNumberFormat="1" applyFont="1" applyFill="1" applyBorder="1" applyAlignment="1">
      <alignment horizontal="right" vertical="center" wrapText="1"/>
    </xf>
    <xf numFmtId="3" fontId="22" fillId="2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right" vertical="center"/>
    </xf>
    <xf numFmtId="0" fontId="6" fillId="6" borderId="1" xfId="0" applyFont="1" applyFill="1" applyBorder="1" applyAlignment="1">
      <alignment horizontal="center" vertical="center"/>
    </xf>
    <xf numFmtId="1" fontId="5" fillId="6" borderId="16" xfId="0" applyNumberFormat="1" applyFont="1" applyFill="1" applyBorder="1" applyAlignment="1">
      <alignment horizontal="right" vertical="center" wrapText="1"/>
    </xf>
    <xf numFmtId="1" fontId="5" fillId="6" borderId="43" xfId="0" applyNumberFormat="1" applyFont="1" applyFill="1" applyBorder="1" applyAlignment="1">
      <alignment horizontal="right" vertical="center" wrapText="1"/>
    </xf>
    <xf numFmtId="1" fontId="5" fillId="6" borderId="17" xfId="0" applyNumberFormat="1" applyFont="1" applyFill="1" applyBorder="1" applyAlignment="1">
      <alignment horizontal="right" vertical="center" wrapText="1"/>
    </xf>
    <xf numFmtId="1" fontId="5" fillId="6" borderId="18" xfId="0" applyNumberFormat="1" applyFont="1" applyFill="1" applyBorder="1" applyAlignment="1">
      <alignment horizontal="right" vertical="center" wrapText="1"/>
    </xf>
    <xf numFmtId="1" fontId="5" fillId="6" borderId="0" xfId="0" applyNumberFormat="1" applyFont="1" applyFill="1" applyBorder="1" applyAlignment="1">
      <alignment horizontal="right" vertical="center" wrapText="1"/>
    </xf>
    <xf numFmtId="1" fontId="5" fillId="6" borderId="19" xfId="0" applyNumberFormat="1" applyFont="1" applyFill="1" applyBorder="1" applyAlignment="1">
      <alignment horizontal="right" vertical="center" wrapText="1"/>
    </xf>
    <xf numFmtId="1" fontId="5" fillId="6" borderId="8" xfId="0" applyNumberFormat="1" applyFont="1" applyFill="1" applyBorder="1" applyAlignment="1">
      <alignment horizontal="right" vertical="center" wrapText="1"/>
    </xf>
    <xf numFmtId="1" fontId="5" fillId="6" borderId="47" xfId="0" applyNumberFormat="1" applyFont="1" applyFill="1" applyBorder="1" applyAlignment="1">
      <alignment horizontal="right" vertical="center" wrapText="1"/>
    </xf>
    <xf numFmtId="1" fontId="5" fillId="6" borderId="9" xfId="0" applyNumberFormat="1" applyFont="1" applyFill="1" applyBorder="1" applyAlignment="1">
      <alignment horizontal="right" vertical="center" wrapText="1"/>
    </xf>
    <xf numFmtId="1" fontId="5" fillId="2" borderId="18" xfId="0" applyNumberFormat="1" applyFont="1" applyFill="1" applyBorder="1" applyAlignment="1">
      <alignment horizontal="right" vertical="center" wrapText="1"/>
    </xf>
    <xf numFmtId="1" fontId="5" fillId="2" borderId="0" xfId="0" applyNumberFormat="1" applyFont="1" applyFill="1" applyBorder="1" applyAlignment="1">
      <alignment horizontal="right" vertical="center" wrapText="1"/>
    </xf>
    <xf numFmtId="1" fontId="5" fillId="2" borderId="19" xfId="0" applyNumberFormat="1" applyFont="1" applyFill="1" applyBorder="1" applyAlignment="1">
      <alignment horizontal="right" vertical="center" wrapText="1"/>
    </xf>
    <xf numFmtId="3" fontId="6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/>
    </xf>
    <xf numFmtId="3" fontId="2" fillId="2" borderId="42" xfId="0" applyNumberFormat="1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/>
    </xf>
    <xf numFmtId="3" fontId="5" fillId="2" borderId="16" xfId="0" applyNumberFormat="1" applyFont="1" applyFill="1" applyBorder="1" applyAlignment="1">
      <alignment horizontal="center" vertical="center" wrapText="1"/>
    </xf>
    <xf numFmtId="3" fontId="5" fillId="2" borderId="43" xfId="0" applyNumberFormat="1" applyFont="1" applyFill="1" applyBorder="1" applyAlignment="1">
      <alignment horizontal="center" vertical="center" wrapText="1"/>
    </xf>
    <xf numFmtId="3" fontId="5" fillId="2" borderId="17" xfId="0" applyNumberFormat="1" applyFont="1" applyFill="1" applyBorder="1" applyAlignment="1">
      <alignment horizontal="center" vertical="center" wrapText="1"/>
    </xf>
    <xf numFmtId="3" fontId="5" fillId="2" borderId="18" xfId="0" applyNumberFormat="1" applyFont="1" applyFill="1" applyBorder="1" applyAlignment="1">
      <alignment horizontal="center" vertical="center" wrapText="1"/>
    </xf>
    <xf numFmtId="3" fontId="5" fillId="2" borderId="0" xfId="0" applyNumberFormat="1" applyFont="1" applyFill="1" applyBorder="1" applyAlignment="1">
      <alignment horizontal="center" vertical="center" wrapText="1"/>
    </xf>
    <xf numFmtId="3" fontId="5" fillId="2" borderId="19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3" fontId="5" fillId="2" borderId="47" xfId="0" applyNumberFormat="1" applyFont="1" applyFill="1" applyBorder="1" applyAlignment="1">
      <alignment horizontal="center" vertical="center" wrapText="1"/>
    </xf>
    <xf numFmtId="3" fontId="5" fillId="2" borderId="9" xfId="0" applyNumberFormat="1" applyFont="1" applyFill="1" applyBorder="1" applyAlignment="1">
      <alignment horizontal="center" vertical="center" wrapText="1"/>
    </xf>
    <xf numFmtId="3" fontId="2" fillId="6" borderId="14" xfId="0" applyNumberFormat="1" applyFont="1" applyFill="1" applyBorder="1" applyAlignment="1">
      <alignment horizontal="right" vertical="center" wrapText="1"/>
    </xf>
    <xf numFmtId="3" fontId="2" fillId="6" borderId="42" xfId="0" applyNumberFormat="1" applyFont="1" applyFill="1" applyBorder="1" applyAlignment="1">
      <alignment horizontal="right" vertical="center" wrapText="1"/>
    </xf>
    <xf numFmtId="3" fontId="2" fillId="6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3" fontId="10" fillId="6" borderId="13" xfId="0" applyNumberFormat="1" applyFont="1" applyFill="1" applyBorder="1" applyAlignment="1">
      <alignment horizontal="right" vertical="center" wrapText="1"/>
    </xf>
    <xf numFmtId="3" fontId="2" fillId="3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rightToLeft="1" topLeftCell="A64" zoomScale="70" zoomScaleNormal="70" workbookViewId="0">
      <selection activeCell="D75" sqref="D75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465" t="s">
        <v>2430</v>
      </c>
      <c r="C1" s="7466"/>
      <c r="D1" s="746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7468" t="s">
        <v>877</v>
      </c>
      <c r="D3" s="7469"/>
    </row>
    <row r="4" spans="1:4" ht="30" customHeight="1" x14ac:dyDescent="0.2">
      <c r="A4" s="146">
        <v>2</v>
      </c>
      <c r="B4" s="3673">
        <v>20000000</v>
      </c>
      <c r="C4" s="2461"/>
      <c r="D4" s="150" t="s">
        <v>864</v>
      </c>
    </row>
    <row r="5" spans="1:4" ht="30" customHeight="1" x14ac:dyDescent="0.2">
      <c r="A5" s="146">
        <v>3</v>
      </c>
      <c r="B5" s="3673">
        <v>5000000</v>
      </c>
      <c r="C5" s="2462" t="s">
        <v>865</v>
      </c>
      <c r="D5" s="151" t="s">
        <v>866</v>
      </c>
    </row>
    <row r="6" spans="1:4" ht="30" customHeight="1" x14ac:dyDescent="0.2">
      <c r="A6" s="146">
        <v>4</v>
      </c>
      <c r="B6" s="3673">
        <v>10000000</v>
      </c>
      <c r="C6" s="2462" t="s">
        <v>867</v>
      </c>
      <c r="D6" s="151" t="s">
        <v>870</v>
      </c>
    </row>
    <row r="7" spans="1:4" ht="30" customHeight="1" x14ac:dyDescent="0.2">
      <c r="A7" s="146">
        <v>5</v>
      </c>
      <c r="B7" s="3673">
        <v>10000000</v>
      </c>
      <c r="C7" s="2462" t="s">
        <v>868</v>
      </c>
      <c r="D7" s="151" t="s">
        <v>869</v>
      </c>
    </row>
    <row r="8" spans="1:4" ht="30" customHeight="1" x14ac:dyDescent="0.2">
      <c r="A8" s="146">
        <v>6</v>
      </c>
      <c r="B8" s="3673">
        <v>90000000</v>
      </c>
      <c r="C8" s="2462" t="s">
        <v>871</v>
      </c>
      <c r="D8" s="151" t="s">
        <v>872</v>
      </c>
    </row>
    <row r="9" spans="1:4" ht="30" customHeight="1" x14ac:dyDescent="0.2">
      <c r="A9" s="146">
        <v>7</v>
      </c>
      <c r="B9" s="3673">
        <v>10000000</v>
      </c>
      <c r="C9" s="2462" t="s">
        <v>873</v>
      </c>
      <c r="D9" s="151" t="s">
        <v>869</v>
      </c>
    </row>
    <row r="10" spans="1:4" ht="30" customHeight="1" x14ac:dyDescent="0.2">
      <c r="A10" s="146">
        <v>8</v>
      </c>
      <c r="B10" s="3673">
        <v>70000000</v>
      </c>
      <c r="C10" s="2462" t="s">
        <v>874</v>
      </c>
      <c r="D10" s="151" t="s">
        <v>872</v>
      </c>
    </row>
    <row r="11" spans="1:4" ht="30" customHeight="1" x14ac:dyDescent="0.2">
      <c r="A11" s="146">
        <v>9</v>
      </c>
      <c r="B11" s="3673">
        <v>2250000</v>
      </c>
      <c r="C11" s="2462" t="s">
        <v>875</v>
      </c>
      <c r="D11" s="152"/>
    </row>
    <row r="12" spans="1:4" ht="30" customHeight="1" x14ac:dyDescent="0.2">
      <c r="A12" s="146">
        <v>10</v>
      </c>
      <c r="B12" s="3673">
        <v>10000000</v>
      </c>
      <c r="C12" s="2462" t="s">
        <v>443</v>
      </c>
      <c r="D12" s="151" t="s">
        <v>869</v>
      </c>
    </row>
    <row r="13" spans="1:4" ht="30" customHeight="1" x14ac:dyDescent="0.2">
      <c r="A13" s="146">
        <v>11</v>
      </c>
      <c r="B13" s="3673">
        <v>20000000</v>
      </c>
      <c r="C13" s="3633"/>
      <c r="D13" s="151" t="s">
        <v>872</v>
      </c>
    </row>
    <row r="14" spans="1:4" ht="30" customHeight="1" x14ac:dyDescent="0.2">
      <c r="A14" s="146">
        <v>12</v>
      </c>
      <c r="B14" s="3673">
        <v>29150000</v>
      </c>
      <c r="C14" s="7470" t="s">
        <v>914</v>
      </c>
      <c r="D14" s="7471"/>
    </row>
    <row r="15" spans="1:4" ht="30" customHeight="1" x14ac:dyDescent="0.2">
      <c r="A15" s="146">
        <v>13</v>
      </c>
      <c r="B15" s="3673">
        <v>10000000</v>
      </c>
      <c r="C15" s="2462" t="s">
        <v>2072</v>
      </c>
      <c r="D15" s="151" t="s">
        <v>869</v>
      </c>
    </row>
    <row r="16" spans="1:4" ht="30" customHeight="1" x14ac:dyDescent="0.2">
      <c r="A16" s="146">
        <v>14</v>
      </c>
      <c r="B16" s="3673">
        <v>10000000</v>
      </c>
      <c r="C16" s="2462" t="s">
        <v>2072</v>
      </c>
      <c r="D16" s="151" t="s">
        <v>869</v>
      </c>
    </row>
    <row r="17" spans="1:4" ht="30" customHeight="1" x14ac:dyDescent="0.2">
      <c r="A17" s="146">
        <v>15</v>
      </c>
      <c r="B17" s="3673">
        <v>850000</v>
      </c>
      <c r="C17" s="2462" t="s">
        <v>2262</v>
      </c>
      <c r="D17" s="151" t="s">
        <v>869</v>
      </c>
    </row>
    <row r="18" spans="1:4" ht="30" customHeight="1" x14ac:dyDescent="0.2">
      <c r="A18" s="146">
        <v>16</v>
      </c>
      <c r="B18" s="3673">
        <v>50000000</v>
      </c>
      <c r="C18" s="2462" t="s">
        <v>1916</v>
      </c>
      <c r="D18" s="151" t="s">
        <v>2874</v>
      </c>
    </row>
    <row r="19" spans="1:4" ht="30" customHeight="1" x14ac:dyDescent="0.2">
      <c r="A19" s="146">
        <v>17</v>
      </c>
      <c r="B19" s="3673">
        <v>31900000</v>
      </c>
      <c r="C19" s="7470" t="s">
        <v>2277</v>
      </c>
      <c r="D19" s="7471"/>
    </row>
    <row r="20" spans="1:4" ht="30" customHeight="1" x14ac:dyDescent="0.2">
      <c r="A20" s="146">
        <v>18</v>
      </c>
      <c r="B20" s="3673">
        <v>5000000</v>
      </c>
      <c r="C20" s="2462" t="s">
        <v>2553</v>
      </c>
      <c r="D20" s="151"/>
    </row>
    <row r="21" spans="1:4" ht="30" customHeight="1" x14ac:dyDescent="0.2">
      <c r="A21" s="146">
        <v>19</v>
      </c>
      <c r="B21" s="3673">
        <v>10000000</v>
      </c>
      <c r="C21" s="2462" t="s">
        <v>2875</v>
      </c>
      <c r="D21" s="151" t="s">
        <v>869</v>
      </c>
    </row>
    <row r="22" spans="1:4" ht="30" customHeight="1" x14ac:dyDescent="0.2">
      <c r="A22" s="146">
        <v>20</v>
      </c>
      <c r="B22" s="3673">
        <v>2800000</v>
      </c>
      <c r="C22" s="2462" t="s">
        <v>2875</v>
      </c>
      <c r="D22" s="151" t="s">
        <v>869</v>
      </c>
    </row>
    <row r="23" spans="1:4" ht="30" customHeight="1" x14ac:dyDescent="0.2">
      <c r="A23" s="146">
        <v>21</v>
      </c>
      <c r="B23" s="3672">
        <v>10000000</v>
      </c>
      <c r="C23" s="2462" t="s">
        <v>2877</v>
      </c>
      <c r="D23" s="151" t="s">
        <v>869</v>
      </c>
    </row>
    <row r="24" spans="1:4" ht="30" customHeight="1" x14ac:dyDescent="0.2">
      <c r="A24" s="146">
        <v>22</v>
      </c>
      <c r="B24" s="3672">
        <v>9000000</v>
      </c>
      <c r="C24" s="2462" t="s">
        <v>2897</v>
      </c>
      <c r="D24" s="151" t="s">
        <v>869</v>
      </c>
    </row>
    <row r="25" spans="1:4" ht="30" customHeight="1" x14ac:dyDescent="0.2">
      <c r="A25" s="146">
        <v>23</v>
      </c>
      <c r="B25" s="3672">
        <v>10000000</v>
      </c>
      <c r="C25" s="2462" t="s">
        <v>2897</v>
      </c>
      <c r="D25" s="151" t="s">
        <v>869</v>
      </c>
    </row>
    <row r="26" spans="1:4" ht="30" customHeight="1" x14ac:dyDescent="0.2">
      <c r="A26" s="146">
        <v>24</v>
      </c>
      <c r="B26" s="3672">
        <v>10000000</v>
      </c>
      <c r="C26" s="2462" t="s">
        <v>2897</v>
      </c>
      <c r="D26" s="151" t="s">
        <v>869</v>
      </c>
    </row>
    <row r="27" spans="1:4" ht="30" customHeight="1" x14ac:dyDescent="0.2">
      <c r="A27" s="146">
        <v>25</v>
      </c>
      <c r="B27" s="3672">
        <v>2300000</v>
      </c>
      <c r="C27" s="2462" t="s">
        <v>2897</v>
      </c>
      <c r="D27" s="151" t="s">
        <v>869</v>
      </c>
    </row>
    <row r="28" spans="1:4" ht="30" customHeight="1" x14ac:dyDescent="0.2">
      <c r="A28" s="146">
        <v>26</v>
      </c>
      <c r="B28" s="3672">
        <v>9000000</v>
      </c>
      <c r="C28" s="2462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7461" t="s">
        <v>4541</v>
      </c>
      <c r="D29" s="7462"/>
    </row>
    <row r="30" spans="1:4" ht="30" customHeight="1" x14ac:dyDescent="0.2">
      <c r="A30" s="146"/>
      <c r="B30" s="149">
        <f>B29*0.06</f>
        <v>43800000</v>
      </c>
      <c r="C30" s="7461" t="s">
        <v>2876</v>
      </c>
      <c r="D30" s="7462"/>
    </row>
    <row r="31" spans="1:4" ht="30" customHeight="1" x14ac:dyDescent="0.2">
      <c r="A31" s="146"/>
      <c r="B31" s="2472">
        <f>B29+B30</f>
        <v>773800000</v>
      </c>
      <c r="C31" s="7463" t="s">
        <v>5393</v>
      </c>
      <c r="D31" s="7464"/>
    </row>
    <row r="32" spans="1:4" ht="30" customHeight="1" x14ac:dyDescent="0.2">
      <c r="A32" s="146">
        <v>27</v>
      </c>
      <c r="B32" s="3675">
        <v>140000000</v>
      </c>
      <c r="C32" s="2462" t="s">
        <v>2599</v>
      </c>
      <c r="D32" s="151"/>
    </row>
    <row r="33" spans="1:4" ht="30" customHeight="1" x14ac:dyDescent="0.2">
      <c r="A33" s="146">
        <v>28</v>
      </c>
      <c r="B33" s="3675">
        <v>10000000</v>
      </c>
      <c r="C33" s="2462" t="s">
        <v>1189</v>
      </c>
      <c r="D33" s="151" t="s">
        <v>869</v>
      </c>
    </row>
    <row r="34" spans="1:4" ht="30" customHeight="1" x14ac:dyDescent="0.2">
      <c r="A34" s="146">
        <v>29</v>
      </c>
      <c r="B34" s="3675">
        <v>10000000</v>
      </c>
      <c r="C34" s="2462" t="s">
        <v>3770</v>
      </c>
      <c r="D34" s="151"/>
    </row>
    <row r="35" spans="1:4" ht="30" customHeight="1" x14ac:dyDescent="0.2">
      <c r="A35" s="146">
        <v>30</v>
      </c>
      <c r="B35" s="3675">
        <v>10000000</v>
      </c>
      <c r="C35" s="2462" t="s">
        <v>3770</v>
      </c>
      <c r="D35" s="151"/>
    </row>
    <row r="36" spans="1:4" ht="30" customHeight="1" x14ac:dyDescent="0.2">
      <c r="A36" s="146">
        <v>31</v>
      </c>
      <c r="B36" s="3675">
        <v>5000000</v>
      </c>
      <c r="C36" s="2462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7461" t="s">
        <v>4542</v>
      </c>
      <c r="D37" s="7462"/>
    </row>
    <row r="38" spans="1:4" ht="30" customHeight="1" x14ac:dyDescent="0.2">
      <c r="A38" s="146">
        <v>32</v>
      </c>
      <c r="B38" s="149">
        <f>B31+B37</f>
        <v>948800000</v>
      </c>
      <c r="C38" s="7461" t="s">
        <v>4545</v>
      </c>
      <c r="D38" s="7462"/>
    </row>
    <row r="39" spans="1:4" ht="30" customHeight="1" x14ac:dyDescent="0.2">
      <c r="A39" s="146">
        <v>33</v>
      </c>
      <c r="B39" s="149">
        <f>B38*0.07</f>
        <v>66416000.000000007</v>
      </c>
      <c r="C39" s="7461" t="s">
        <v>3211</v>
      </c>
      <c r="D39" s="7462"/>
    </row>
    <row r="40" spans="1:4" ht="30" customHeight="1" x14ac:dyDescent="0.2">
      <c r="A40" s="146"/>
      <c r="B40" s="2472">
        <f>B38+B39</f>
        <v>1015216000</v>
      </c>
      <c r="C40" s="7463" t="s">
        <v>5394</v>
      </c>
      <c r="D40" s="7464"/>
    </row>
    <row r="41" spans="1:4" ht="30" customHeight="1" x14ac:dyDescent="0.2">
      <c r="A41" s="146">
        <v>34</v>
      </c>
      <c r="B41" s="3675">
        <v>10000000</v>
      </c>
      <c r="C41" s="2462" t="s">
        <v>3078</v>
      </c>
      <c r="D41" s="151" t="s">
        <v>869</v>
      </c>
    </row>
    <row r="42" spans="1:4" ht="30" customHeight="1" x14ac:dyDescent="0.2">
      <c r="A42" s="146">
        <v>35</v>
      </c>
      <c r="B42" s="3675">
        <v>10000000</v>
      </c>
      <c r="C42" s="2462" t="s">
        <v>4043</v>
      </c>
      <c r="D42" s="151"/>
    </row>
    <row r="43" spans="1:4" ht="30" customHeight="1" x14ac:dyDescent="0.2">
      <c r="A43" s="146">
        <v>36</v>
      </c>
      <c r="B43" s="3675">
        <v>5000000</v>
      </c>
      <c r="C43" s="2462" t="s">
        <v>4043</v>
      </c>
      <c r="D43" s="151" t="s">
        <v>869</v>
      </c>
    </row>
    <row r="44" spans="1:4" ht="30" customHeight="1" x14ac:dyDescent="0.2">
      <c r="A44" s="146">
        <v>37</v>
      </c>
      <c r="B44" s="3675">
        <v>10000000</v>
      </c>
      <c r="C44" s="2462" t="s">
        <v>4043</v>
      </c>
      <c r="D44" s="151"/>
    </row>
    <row r="45" spans="1:4" ht="30" customHeight="1" x14ac:dyDescent="0.2">
      <c r="A45" s="146">
        <v>38</v>
      </c>
      <c r="B45" s="3677">
        <v>10000000</v>
      </c>
      <c r="C45" s="2462" t="s">
        <v>4128</v>
      </c>
      <c r="D45" s="151" t="s">
        <v>869</v>
      </c>
    </row>
    <row r="46" spans="1:4" ht="30" customHeight="1" x14ac:dyDescent="0.2">
      <c r="A46" s="146"/>
      <c r="B46" s="3677">
        <v>3500000</v>
      </c>
      <c r="C46" s="2462" t="s">
        <v>4117</v>
      </c>
      <c r="D46" s="151" t="s">
        <v>4547</v>
      </c>
    </row>
    <row r="47" spans="1:4" ht="30" customHeight="1" x14ac:dyDescent="0.2">
      <c r="A47" s="146">
        <v>39</v>
      </c>
      <c r="B47" s="3678">
        <v>10000000</v>
      </c>
      <c r="C47" s="2463" t="s">
        <v>4144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7461" t="s">
        <v>4543</v>
      </c>
      <c r="D48" s="7462"/>
    </row>
    <row r="49" spans="1:4" ht="30" customHeight="1" x14ac:dyDescent="0.2">
      <c r="A49" s="146"/>
      <c r="B49" s="574">
        <f>B40+B48</f>
        <v>1073716000</v>
      </c>
      <c r="C49" s="7461" t="s">
        <v>4544</v>
      </c>
      <c r="D49" s="7462"/>
    </row>
    <row r="50" spans="1:4" ht="30" customHeight="1" x14ac:dyDescent="0.2">
      <c r="A50" s="146"/>
      <c r="B50" s="574">
        <f>B49*0.07</f>
        <v>75160120</v>
      </c>
      <c r="C50" s="7461" t="s">
        <v>4546</v>
      </c>
      <c r="D50" s="7462"/>
    </row>
    <row r="51" spans="1:4" ht="30" customHeight="1" x14ac:dyDescent="0.2">
      <c r="A51" s="146"/>
      <c r="B51" s="2472">
        <f>B49+B50</f>
        <v>1148876120</v>
      </c>
      <c r="C51" s="7463" t="s">
        <v>5395</v>
      </c>
      <c r="D51" s="7464"/>
    </row>
    <row r="52" spans="1:4" ht="30" customHeight="1" x14ac:dyDescent="0.2">
      <c r="A52" s="146"/>
      <c r="B52" s="3676">
        <v>10000000</v>
      </c>
      <c r="C52" s="2463" t="s">
        <v>3003</v>
      </c>
      <c r="D52" s="151"/>
    </row>
    <row r="53" spans="1:4" ht="30" customHeight="1" x14ac:dyDescent="0.2">
      <c r="A53" s="146"/>
      <c r="B53" s="3676">
        <v>10000000</v>
      </c>
      <c r="C53" s="2463" t="s">
        <v>3003</v>
      </c>
      <c r="D53" s="151"/>
    </row>
    <row r="54" spans="1:4" ht="30" customHeight="1" x14ac:dyDescent="0.2">
      <c r="A54" s="146"/>
      <c r="B54" s="3676">
        <v>10000000</v>
      </c>
      <c r="C54" s="2463" t="s">
        <v>4540</v>
      </c>
      <c r="D54" s="151"/>
    </row>
    <row r="55" spans="1:4" ht="30" customHeight="1" x14ac:dyDescent="0.2">
      <c r="A55" s="146"/>
      <c r="B55" s="3674">
        <v>10000000</v>
      </c>
      <c r="C55" s="2462" t="s">
        <v>4540</v>
      </c>
      <c r="D55" s="151"/>
    </row>
    <row r="56" spans="1:4" ht="30" customHeight="1" x14ac:dyDescent="0.2">
      <c r="A56" s="146"/>
      <c r="B56" s="3674">
        <v>10000000</v>
      </c>
      <c r="C56" s="2462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7461" t="s">
        <v>5389</v>
      </c>
      <c r="D57" s="7462"/>
    </row>
    <row r="58" spans="1:4" ht="30" customHeight="1" x14ac:dyDescent="0.2">
      <c r="A58" s="146"/>
      <c r="B58" s="574">
        <f>B51+B57</f>
        <v>1198876120</v>
      </c>
      <c r="C58" s="7461" t="s">
        <v>5390</v>
      </c>
      <c r="D58" s="7462"/>
    </row>
    <row r="59" spans="1:4" ht="30" customHeight="1" x14ac:dyDescent="0.2">
      <c r="A59" s="146"/>
      <c r="B59" s="574">
        <f>B58*0.07</f>
        <v>83921328.400000006</v>
      </c>
      <c r="C59" s="7461" t="s">
        <v>4399</v>
      </c>
      <c r="D59" s="7462"/>
    </row>
    <row r="60" spans="1:4" ht="30" customHeight="1" x14ac:dyDescent="0.2">
      <c r="A60" s="146"/>
      <c r="B60" s="2472">
        <f>B58+B59</f>
        <v>1282797448.4000001</v>
      </c>
      <c r="C60" s="7463" t="s">
        <v>5396</v>
      </c>
      <c r="D60" s="7464"/>
    </row>
    <row r="61" spans="1:4" ht="30" customHeight="1" x14ac:dyDescent="0.2">
      <c r="A61" s="146"/>
      <c r="B61" s="3674">
        <v>30000000</v>
      </c>
      <c r="C61" s="2462" t="s">
        <v>4874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7461" t="s">
        <v>5391</v>
      </c>
      <c r="D62" s="7462"/>
    </row>
    <row r="63" spans="1:4" ht="30" customHeight="1" x14ac:dyDescent="0.2">
      <c r="A63" s="146"/>
      <c r="B63" s="574">
        <f>30000000*0.07/2</f>
        <v>1050000</v>
      </c>
      <c r="C63" s="7461" t="s">
        <v>5746</v>
      </c>
      <c r="D63" s="7462"/>
    </row>
    <row r="64" spans="1:4" ht="30" customHeight="1" x14ac:dyDescent="0.2">
      <c r="A64" s="146"/>
      <c r="B64" s="574">
        <f>B60+B62+B63</f>
        <v>1313847448.4000001</v>
      </c>
      <c r="C64" s="7461" t="s">
        <v>5375</v>
      </c>
      <c r="D64" s="7462"/>
    </row>
    <row r="65" spans="1:4" ht="30" customHeight="1" x14ac:dyDescent="0.2">
      <c r="A65" s="146"/>
      <c r="B65" s="574">
        <f>B64*0.07</f>
        <v>91969321.388000011</v>
      </c>
      <c r="C65" s="7461" t="s">
        <v>5392</v>
      </c>
      <c r="D65" s="7462"/>
    </row>
    <row r="66" spans="1:4" ht="30" customHeight="1" x14ac:dyDescent="0.2">
      <c r="A66" s="146"/>
      <c r="B66" s="2472">
        <f>B64+B65</f>
        <v>1405816769.7880001</v>
      </c>
      <c r="C66" s="7463" t="s">
        <v>5397</v>
      </c>
      <c r="D66" s="7464"/>
    </row>
    <row r="67" spans="1:4" ht="30" customHeight="1" x14ac:dyDescent="0.2">
      <c r="A67" s="146"/>
      <c r="B67" s="4009">
        <v>50000000</v>
      </c>
      <c r="C67" s="3953" t="s">
        <v>5735</v>
      </c>
      <c r="D67" s="151" t="s">
        <v>872</v>
      </c>
    </row>
    <row r="68" spans="1:4" ht="30" customHeight="1" x14ac:dyDescent="0.2">
      <c r="A68" s="146"/>
      <c r="B68" s="4009">
        <v>9000000</v>
      </c>
      <c r="C68" s="4257" t="s">
        <v>5849</v>
      </c>
      <c r="D68" s="151" t="s">
        <v>869</v>
      </c>
    </row>
    <row r="69" spans="1:4" ht="30" customHeight="1" x14ac:dyDescent="0.2">
      <c r="A69" s="146"/>
      <c r="B69" s="4009">
        <v>10000000</v>
      </c>
      <c r="C69" s="4258" t="s">
        <v>5849</v>
      </c>
      <c r="D69" s="151" t="s">
        <v>869</v>
      </c>
    </row>
    <row r="70" spans="1:4" ht="30" customHeight="1" x14ac:dyDescent="0.2">
      <c r="A70" s="146"/>
      <c r="B70" s="4009">
        <v>4000000</v>
      </c>
      <c r="C70" s="4258" t="s">
        <v>5849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7461" t="s">
        <v>5376</v>
      </c>
      <c r="D71" s="7462"/>
    </row>
    <row r="72" spans="1:4" ht="30" customHeight="1" x14ac:dyDescent="0.2">
      <c r="A72" s="146"/>
      <c r="B72" s="149">
        <f>B66+B71</f>
        <v>1478816769.7880001</v>
      </c>
      <c r="C72" s="7461" t="s">
        <v>5736</v>
      </c>
      <c r="D72" s="7462"/>
    </row>
    <row r="73" spans="1:4" ht="30" customHeight="1" x14ac:dyDescent="0.2">
      <c r="A73" s="146"/>
      <c r="B73" s="149">
        <f>B72*0.07</f>
        <v>103517173.88516001</v>
      </c>
      <c r="C73" s="7461" t="s">
        <v>6441</v>
      </c>
      <c r="D73" s="7462"/>
    </row>
    <row r="74" spans="1:4" ht="30" customHeight="1" x14ac:dyDescent="0.2">
      <c r="A74" s="146"/>
      <c r="B74" s="2472">
        <f>B72+B73</f>
        <v>1582333943.6731601</v>
      </c>
      <c r="C74" s="7463" t="s">
        <v>6442</v>
      </c>
      <c r="D74" s="7464"/>
    </row>
    <row r="75" spans="1:4" ht="30" customHeight="1" x14ac:dyDescent="0.2">
      <c r="A75" s="146"/>
      <c r="B75" s="4722">
        <v>80000000</v>
      </c>
      <c r="C75" s="4699" t="s">
        <v>6223</v>
      </c>
      <c r="D75" s="151" t="s">
        <v>872</v>
      </c>
    </row>
    <row r="76" spans="1:4" ht="30" customHeight="1" x14ac:dyDescent="0.2">
      <c r="A76" s="146"/>
      <c r="B76" s="4722">
        <v>40000000</v>
      </c>
      <c r="C76" s="4699" t="s">
        <v>6440</v>
      </c>
      <c r="D76" s="151" t="s">
        <v>872</v>
      </c>
    </row>
    <row r="77" spans="1:4" ht="30" customHeight="1" x14ac:dyDescent="0.2">
      <c r="A77" s="146"/>
      <c r="B77" s="149">
        <f>B75+B76</f>
        <v>120000000</v>
      </c>
      <c r="C77" s="7461" t="s">
        <v>6443</v>
      </c>
      <c r="D77" s="7462"/>
    </row>
    <row r="78" spans="1:4" ht="30" customHeight="1" x14ac:dyDescent="0.2">
      <c r="A78" s="146"/>
      <c r="B78" s="149">
        <f>B75*0.07/2</f>
        <v>2800000.0000000005</v>
      </c>
      <c r="C78" s="7461" t="s">
        <v>6444</v>
      </c>
      <c r="D78" s="7462"/>
    </row>
    <row r="79" spans="1:4" ht="30" customHeight="1" x14ac:dyDescent="0.2">
      <c r="A79" s="146"/>
      <c r="B79" s="149">
        <f>B74+B77+B78</f>
        <v>1705133943.6731601</v>
      </c>
      <c r="C79" s="7461" t="s">
        <v>6445</v>
      </c>
      <c r="D79" s="7462"/>
    </row>
    <row r="80" spans="1:4" ht="30" customHeight="1" x14ac:dyDescent="0.2">
      <c r="A80" s="146"/>
      <c r="B80" s="149"/>
      <c r="C80" s="7461" t="s">
        <v>6446</v>
      </c>
      <c r="D80" s="7462"/>
    </row>
    <row r="81" spans="1:4" ht="30" customHeight="1" x14ac:dyDescent="0.2">
      <c r="A81" s="399"/>
      <c r="B81" s="4008"/>
      <c r="C81" s="7463" t="s">
        <v>6448</v>
      </c>
      <c r="D81" s="7464"/>
    </row>
    <row r="82" spans="1:4" ht="30" customHeight="1" thickBot="1" x14ac:dyDescent="0.25">
      <c r="A82" s="98" t="s">
        <v>876</v>
      </c>
      <c r="B82" s="153"/>
      <c r="C82" s="154"/>
      <c r="D82" s="155"/>
    </row>
  </sheetData>
  <mergeCells count="33"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  <mergeCell ref="C49:D49"/>
    <mergeCell ref="C51:D51"/>
    <mergeCell ref="C48:D48"/>
    <mergeCell ref="C50:D50"/>
    <mergeCell ref="C40:D40"/>
    <mergeCell ref="C57:D57"/>
    <mergeCell ref="C58:D58"/>
    <mergeCell ref="C59:D59"/>
    <mergeCell ref="C60:D60"/>
    <mergeCell ref="C62:D62"/>
    <mergeCell ref="C71:D71"/>
    <mergeCell ref="C72:D72"/>
    <mergeCell ref="C63:D63"/>
    <mergeCell ref="C64:D64"/>
    <mergeCell ref="C65:D65"/>
    <mergeCell ref="C66:D66"/>
    <mergeCell ref="C80:D80"/>
    <mergeCell ref="C81:D81"/>
    <mergeCell ref="C73:D73"/>
    <mergeCell ref="C74:D74"/>
    <mergeCell ref="C77:D77"/>
    <mergeCell ref="C78:D78"/>
    <mergeCell ref="C79:D7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rightToLeft="1" zoomScale="80" zoomScaleNormal="80" workbookViewId="0">
      <pane ySplit="1" topLeftCell="A117" activePane="bottomLeft" state="frozen"/>
      <selection pane="bottomLeft" activeCell="C127" sqref="C127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46" t="s">
        <v>0</v>
      </c>
      <c r="B1" s="3847" t="s">
        <v>879</v>
      </c>
      <c r="C1" s="3848" t="s">
        <v>4</v>
      </c>
      <c r="D1" s="3849" t="s">
        <v>727</v>
      </c>
      <c r="E1" s="3849" t="s">
        <v>5377</v>
      </c>
      <c r="F1" s="3849" t="s">
        <v>5378</v>
      </c>
      <c r="G1" s="3851" t="s">
        <v>5379</v>
      </c>
      <c r="H1" s="3850" t="s">
        <v>5380</v>
      </c>
    </row>
    <row r="2" spans="1:8" ht="30" customHeight="1" thickBot="1" x14ac:dyDescent="0.25">
      <c r="A2" s="440">
        <v>1</v>
      </c>
      <c r="B2" s="400">
        <v>282750000</v>
      </c>
      <c r="C2" s="7487" t="s">
        <v>877</v>
      </c>
      <c r="D2" s="7488"/>
      <c r="E2" s="7488"/>
      <c r="F2" s="7488"/>
      <c r="G2" s="7488"/>
      <c r="H2" s="7489"/>
    </row>
    <row r="3" spans="1:8" ht="30" customHeight="1" x14ac:dyDescent="0.2">
      <c r="A3" s="193">
        <v>2</v>
      </c>
      <c r="B3" s="149">
        <v>20000000</v>
      </c>
      <c r="C3" s="3841"/>
      <c r="D3" s="3841" t="s">
        <v>5601</v>
      </c>
      <c r="E3" s="3842">
        <v>0.06</v>
      </c>
      <c r="F3" s="3841">
        <f>B3*E3</f>
        <v>1200000</v>
      </c>
      <c r="G3" s="3841"/>
      <c r="H3" s="2043"/>
    </row>
    <row r="4" spans="1:8" ht="30" customHeight="1" x14ac:dyDescent="0.2">
      <c r="A4" s="193">
        <v>3</v>
      </c>
      <c r="B4" s="149">
        <v>5000000</v>
      </c>
      <c r="C4" s="3841" t="s">
        <v>865</v>
      </c>
      <c r="D4" s="18" t="s">
        <v>5602</v>
      </c>
      <c r="E4" s="3842">
        <v>0.06</v>
      </c>
      <c r="F4" s="3841">
        <f>B4*E4</f>
        <v>300000</v>
      </c>
      <c r="G4" s="3841"/>
      <c r="H4" s="2043"/>
    </row>
    <row r="5" spans="1:8" ht="30" customHeight="1" x14ac:dyDescent="0.2">
      <c r="A5" s="193">
        <v>4</v>
      </c>
      <c r="B5" s="149">
        <v>10000000</v>
      </c>
      <c r="C5" s="3841" t="s">
        <v>867</v>
      </c>
      <c r="D5" s="18" t="s">
        <v>5622</v>
      </c>
      <c r="E5" s="3842">
        <v>0.06</v>
      </c>
      <c r="F5" s="3841">
        <f>B5*E5</f>
        <v>600000</v>
      </c>
      <c r="G5" s="3841"/>
      <c r="H5" s="2043"/>
    </row>
    <row r="6" spans="1:8" ht="30" customHeight="1" x14ac:dyDescent="0.2">
      <c r="A6" s="193">
        <v>5</v>
      </c>
      <c r="B6" s="149">
        <v>10000000</v>
      </c>
      <c r="C6" s="3841" t="s">
        <v>868</v>
      </c>
      <c r="D6" s="3841" t="s">
        <v>5601</v>
      </c>
      <c r="E6" s="3842">
        <v>0.06</v>
      </c>
      <c r="F6" s="3841">
        <f>B6*E6</f>
        <v>600000</v>
      </c>
      <c r="G6" s="3841"/>
      <c r="H6" s="2043"/>
    </row>
    <row r="7" spans="1:8" ht="30" customHeight="1" x14ac:dyDescent="0.2">
      <c r="A7" s="193">
        <v>6</v>
      </c>
      <c r="B7" s="3841">
        <f>SUM(B3:B6)</f>
        <v>45000000</v>
      </c>
      <c r="C7" s="7482" t="s">
        <v>5619</v>
      </c>
      <c r="D7" s="7482"/>
      <c r="E7" s="7482"/>
      <c r="F7" s="7482"/>
      <c r="G7" s="7482"/>
      <c r="H7" s="7483"/>
    </row>
    <row r="8" spans="1:8" ht="30" customHeight="1" x14ac:dyDescent="0.2">
      <c r="A8" s="193">
        <v>7</v>
      </c>
      <c r="B8" s="3841">
        <f>B2+B7</f>
        <v>327750000</v>
      </c>
      <c r="C8" s="7482" t="s">
        <v>5618</v>
      </c>
      <c r="D8" s="7482"/>
      <c r="E8" s="7482"/>
      <c r="F8" s="7482"/>
      <c r="G8" s="7482"/>
      <c r="H8" s="7483"/>
    </row>
    <row r="9" spans="1:8" ht="30" customHeight="1" x14ac:dyDescent="0.2">
      <c r="A9" s="3852">
        <v>8</v>
      </c>
      <c r="B9" s="3841">
        <f>B8*0.06</f>
        <v>19665000</v>
      </c>
      <c r="C9" s="7470" t="s">
        <v>5620</v>
      </c>
      <c r="D9" s="7493"/>
      <c r="E9" s="7493"/>
      <c r="F9" s="7493"/>
      <c r="G9" s="7493"/>
      <c r="H9" s="7471"/>
    </row>
    <row r="10" spans="1:8" ht="30" customHeight="1" thickBot="1" x14ac:dyDescent="0.25">
      <c r="A10" s="3852">
        <v>9</v>
      </c>
      <c r="B10" s="3843">
        <f>B8+B9</f>
        <v>347415000</v>
      </c>
      <c r="C10" s="7494" t="s">
        <v>5621</v>
      </c>
      <c r="D10" s="7495"/>
      <c r="E10" s="7495"/>
      <c r="F10" s="7495"/>
      <c r="G10" s="7495"/>
      <c r="H10" s="7496"/>
    </row>
    <row r="11" spans="1:8" ht="30" customHeight="1" x14ac:dyDescent="0.2">
      <c r="A11" s="7490" t="s">
        <v>5603</v>
      </c>
      <c r="B11" s="7491"/>
      <c r="C11" s="7491"/>
      <c r="D11" s="7491"/>
      <c r="E11" s="7491"/>
      <c r="F11" s="7491"/>
      <c r="G11" s="7491"/>
      <c r="H11" s="7492"/>
    </row>
    <row r="12" spans="1:8" ht="30" customHeight="1" x14ac:dyDescent="0.2">
      <c r="A12" s="3857">
        <v>10</v>
      </c>
      <c r="B12" s="3845">
        <f>B10</f>
        <v>347415000</v>
      </c>
      <c r="C12" s="7475" t="s">
        <v>877</v>
      </c>
      <c r="D12" s="7475"/>
      <c r="E12" s="7475"/>
      <c r="F12" s="7475"/>
      <c r="G12" s="7475"/>
      <c r="H12" s="7476"/>
    </row>
    <row r="13" spans="1:8" ht="30" customHeight="1" x14ac:dyDescent="0.2">
      <c r="A13" s="3869">
        <v>11</v>
      </c>
      <c r="B13" s="3820">
        <f>B12*0.06</f>
        <v>20844900</v>
      </c>
      <c r="C13" s="7477" t="s">
        <v>5623</v>
      </c>
      <c r="D13" s="7478"/>
      <c r="E13" s="7478"/>
      <c r="F13" s="7478"/>
      <c r="G13" s="7478"/>
      <c r="H13" s="7479"/>
    </row>
    <row r="14" spans="1:8" ht="30" customHeight="1" x14ac:dyDescent="0.2">
      <c r="A14" s="3869">
        <v>12</v>
      </c>
      <c r="B14" s="3856">
        <f>B12+B13</f>
        <v>368259900</v>
      </c>
      <c r="C14" s="7477" t="s">
        <v>5626</v>
      </c>
      <c r="D14" s="7478"/>
      <c r="E14" s="7478"/>
      <c r="F14" s="7478"/>
      <c r="G14" s="7478"/>
      <c r="H14" s="7480"/>
    </row>
    <row r="15" spans="1:8" ht="30" customHeight="1" x14ac:dyDescent="0.2">
      <c r="A15" s="440">
        <v>13</v>
      </c>
      <c r="B15" s="149">
        <v>90000000</v>
      </c>
      <c r="C15" s="3839" t="s">
        <v>871</v>
      </c>
      <c r="D15" s="151" t="s">
        <v>872</v>
      </c>
      <c r="E15" s="3839">
        <v>0.06</v>
      </c>
      <c r="F15" s="3838">
        <f>B15*E15</f>
        <v>5400000</v>
      </c>
      <c r="G15" s="3838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39" t="s">
        <v>873</v>
      </c>
      <c r="D16" s="18" t="s">
        <v>5608</v>
      </c>
      <c r="E16" s="3842">
        <v>0.06</v>
      </c>
      <c r="F16" s="3841">
        <f>B16*E16</f>
        <v>600000</v>
      </c>
      <c r="G16" s="3841">
        <v>5</v>
      </c>
      <c r="H16" s="2043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39" t="s">
        <v>874</v>
      </c>
      <c r="D17" s="18" t="s">
        <v>872</v>
      </c>
      <c r="E17" s="3842">
        <v>0.06</v>
      </c>
      <c r="F17" s="3841">
        <f>B17*E17</f>
        <v>4200000</v>
      </c>
      <c r="G17" s="3841">
        <v>1</v>
      </c>
      <c r="H17" s="2043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39" t="s">
        <v>875</v>
      </c>
      <c r="D18" s="18"/>
      <c r="E18" s="3842">
        <v>0.06</v>
      </c>
      <c r="F18" s="3841">
        <f>B18*E18</f>
        <v>135000</v>
      </c>
      <c r="G18" s="3841">
        <v>0</v>
      </c>
      <c r="H18" s="2043">
        <f t="shared" si="0"/>
        <v>0</v>
      </c>
    </row>
    <row r="19" spans="1:8" ht="30" customHeight="1" x14ac:dyDescent="0.2">
      <c r="A19" s="193"/>
      <c r="B19" s="3950">
        <f>B15+B16+B17+B18</f>
        <v>172250000</v>
      </c>
      <c r="C19" s="7461" t="s">
        <v>5619</v>
      </c>
      <c r="D19" s="7481"/>
      <c r="E19" s="7481"/>
      <c r="F19" s="7481"/>
      <c r="G19" s="7481"/>
      <c r="H19" s="7462"/>
    </row>
    <row r="20" spans="1:8" ht="30" customHeight="1" x14ac:dyDescent="0.2">
      <c r="A20" s="193">
        <v>17</v>
      </c>
      <c r="B20" s="3853">
        <f>SUM(H15:H18)</f>
        <v>6000000</v>
      </c>
      <c r="C20" s="7461" t="s">
        <v>5624</v>
      </c>
      <c r="D20" s="7481"/>
      <c r="E20" s="7481"/>
      <c r="F20" s="7481"/>
      <c r="G20" s="7481"/>
      <c r="H20" s="7462"/>
    </row>
    <row r="21" spans="1:8" ht="30" customHeight="1" thickBot="1" x14ac:dyDescent="0.25">
      <c r="A21" s="193">
        <v>18</v>
      </c>
      <c r="B21" s="3855">
        <f>B14+B20</f>
        <v>374259900</v>
      </c>
      <c r="C21" s="7482" t="s">
        <v>5625</v>
      </c>
      <c r="D21" s="7482"/>
      <c r="E21" s="7482"/>
      <c r="F21" s="7482"/>
      <c r="G21" s="7482"/>
      <c r="H21" s="7483"/>
    </row>
    <row r="22" spans="1:8" ht="30" customHeight="1" thickBot="1" x14ac:dyDescent="0.25">
      <c r="A22" s="7484" t="s">
        <v>5609</v>
      </c>
      <c r="B22" s="7485"/>
      <c r="C22" s="7485"/>
      <c r="D22" s="7485"/>
      <c r="E22" s="7485"/>
      <c r="F22" s="7485"/>
      <c r="G22" s="7485"/>
      <c r="H22" s="7486"/>
    </row>
    <row r="23" spans="1:8" ht="30" customHeight="1" x14ac:dyDescent="0.2">
      <c r="A23" s="3857">
        <v>19</v>
      </c>
      <c r="B23" s="3856">
        <f>B21+B19</f>
        <v>546509900</v>
      </c>
      <c r="C23" s="7475" t="s">
        <v>877</v>
      </c>
      <c r="D23" s="7475"/>
      <c r="E23" s="7475"/>
      <c r="F23" s="7475"/>
      <c r="G23" s="7475"/>
      <c r="H23" s="7476"/>
    </row>
    <row r="24" spans="1:8" ht="30" customHeight="1" x14ac:dyDescent="0.2">
      <c r="A24" s="3869">
        <v>20</v>
      </c>
      <c r="B24" s="3820">
        <f>B23*0.06</f>
        <v>32790594</v>
      </c>
      <c r="C24" s="7477" t="s">
        <v>5623</v>
      </c>
      <c r="D24" s="7478"/>
      <c r="E24" s="7478"/>
      <c r="F24" s="7478"/>
      <c r="G24" s="7478"/>
      <c r="H24" s="7479"/>
    </row>
    <row r="25" spans="1:8" ht="30" customHeight="1" x14ac:dyDescent="0.2">
      <c r="A25" s="3869">
        <v>21</v>
      </c>
      <c r="B25" s="3856">
        <f>B23+B24</f>
        <v>579300494</v>
      </c>
      <c r="C25" s="7477" t="s">
        <v>5626</v>
      </c>
      <c r="D25" s="7478"/>
      <c r="E25" s="7478"/>
      <c r="F25" s="7478"/>
      <c r="G25" s="7478"/>
      <c r="H25" s="7480"/>
    </row>
    <row r="26" spans="1:8" ht="30" customHeight="1" x14ac:dyDescent="0.2">
      <c r="A26" s="193">
        <v>22</v>
      </c>
      <c r="B26" s="149">
        <v>10000000</v>
      </c>
      <c r="C26" s="3839" t="s">
        <v>443</v>
      </c>
      <c r="D26" s="18" t="s">
        <v>5608</v>
      </c>
      <c r="E26" s="3842">
        <v>0.06</v>
      </c>
      <c r="F26" s="3841">
        <f>B26*E26</f>
        <v>600000</v>
      </c>
      <c r="G26" s="3841">
        <v>5</v>
      </c>
      <c r="H26" s="2043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40"/>
      <c r="D27" s="18" t="s">
        <v>872</v>
      </c>
      <c r="E27" s="3842">
        <v>0.06</v>
      </c>
      <c r="F27" s="3841">
        <f>B27*E27</f>
        <v>1200000</v>
      </c>
      <c r="G27" s="3841">
        <v>5</v>
      </c>
      <c r="H27" s="2043">
        <f>(F27*G27)/30</f>
        <v>200000</v>
      </c>
    </row>
    <row r="28" spans="1:8" ht="30" customHeight="1" x14ac:dyDescent="0.2">
      <c r="A28" s="3965"/>
      <c r="B28" s="3950">
        <f>B26+B27</f>
        <v>30000000</v>
      </c>
      <c r="C28" s="7461" t="s">
        <v>5619</v>
      </c>
      <c r="D28" s="7481"/>
      <c r="E28" s="7481"/>
      <c r="F28" s="7481"/>
      <c r="G28" s="7481"/>
      <c r="H28" s="7462"/>
    </row>
    <row r="29" spans="1:8" ht="30" customHeight="1" x14ac:dyDescent="0.2">
      <c r="A29" s="193">
        <v>24</v>
      </c>
      <c r="B29" s="3853">
        <f>SUM(H26:H27)</f>
        <v>300000</v>
      </c>
      <c r="C29" s="7461" t="s">
        <v>5624</v>
      </c>
      <c r="D29" s="7481"/>
      <c r="E29" s="7481"/>
      <c r="F29" s="7481"/>
      <c r="G29" s="7481"/>
      <c r="H29" s="7462"/>
    </row>
    <row r="30" spans="1:8" ht="30" customHeight="1" thickBot="1" x14ac:dyDescent="0.25">
      <c r="A30" s="193">
        <v>25</v>
      </c>
      <c r="B30" s="3855">
        <f>B25+B29</f>
        <v>579600494</v>
      </c>
      <c r="C30" s="7482" t="s">
        <v>5625</v>
      </c>
      <c r="D30" s="7482"/>
      <c r="E30" s="7482"/>
      <c r="F30" s="7482"/>
      <c r="G30" s="7482"/>
      <c r="H30" s="7483"/>
    </row>
    <row r="31" spans="1:8" ht="30" customHeight="1" thickBot="1" x14ac:dyDescent="0.25">
      <c r="A31" s="7484" t="s">
        <v>5610</v>
      </c>
      <c r="B31" s="7485"/>
      <c r="C31" s="7485"/>
      <c r="D31" s="7485"/>
      <c r="E31" s="7485"/>
      <c r="F31" s="7485"/>
      <c r="G31" s="7485"/>
      <c r="H31" s="7486"/>
    </row>
    <row r="32" spans="1:8" ht="30" customHeight="1" x14ac:dyDescent="0.2">
      <c r="A32" s="3857">
        <v>26</v>
      </c>
      <c r="B32" s="3856">
        <f>B30+B28</f>
        <v>609600494</v>
      </c>
      <c r="C32" s="7475" t="s">
        <v>877</v>
      </c>
      <c r="D32" s="7475"/>
      <c r="E32" s="7475"/>
      <c r="F32" s="7475"/>
      <c r="G32" s="7475"/>
      <c r="H32" s="7476"/>
    </row>
    <row r="33" spans="1:8" ht="30" customHeight="1" x14ac:dyDescent="0.2">
      <c r="A33" s="3869">
        <v>27</v>
      </c>
      <c r="B33" s="3820">
        <f>B32*0.06</f>
        <v>36576029.640000001</v>
      </c>
      <c r="C33" s="7477" t="s">
        <v>5623</v>
      </c>
      <c r="D33" s="7478"/>
      <c r="E33" s="7478"/>
      <c r="F33" s="7478"/>
      <c r="G33" s="7478"/>
      <c r="H33" s="7479"/>
    </row>
    <row r="34" spans="1:8" ht="30" customHeight="1" x14ac:dyDescent="0.2">
      <c r="A34" s="3869">
        <v>28</v>
      </c>
      <c r="B34" s="3856">
        <f>B32+B33</f>
        <v>646176523.63999999</v>
      </c>
      <c r="C34" s="7477" t="s">
        <v>5626</v>
      </c>
      <c r="D34" s="7478"/>
      <c r="E34" s="7478"/>
      <c r="F34" s="7478"/>
      <c r="G34" s="7478"/>
      <c r="H34" s="7480"/>
    </row>
    <row r="35" spans="1:8" ht="30" customHeight="1" x14ac:dyDescent="0.2">
      <c r="A35" s="193">
        <v>29</v>
      </c>
      <c r="B35" s="149">
        <v>10000000</v>
      </c>
      <c r="C35" s="3839" t="s">
        <v>2072</v>
      </c>
      <c r="D35" s="18" t="s">
        <v>5608</v>
      </c>
      <c r="E35" s="3842">
        <v>0.06</v>
      </c>
      <c r="F35" s="3841">
        <f>B35*E35</f>
        <v>600000</v>
      </c>
      <c r="G35" s="3841">
        <v>2</v>
      </c>
      <c r="H35" s="2043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39" t="s">
        <v>2072</v>
      </c>
      <c r="D36" s="18" t="s">
        <v>5608</v>
      </c>
      <c r="E36" s="3842">
        <v>0.06</v>
      </c>
      <c r="F36" s="3841">
        <f>B36*E36</f>
        <v>600000</v>
      </c>
      <c r="G36" s="3841">
        <v>2</v>
      </c>
      <c r="H36" s="2043">
        <f>(F36*G36)/30</f>
        <v>40000</v>
      </c>
    </row>
    <row r="37" spans="1:8" ht="30" customHeight="1" x14ac:dyDescent="0.2">
      <c r="A37" s="3965"/>
      <c r="B37" s="3950">
        <f>B35+B36</f>
        <v>20000000</v>
      </c>
      <c r="C37" s="7461" t="s">
        <v>5619</v>
      </c>
      <c r="D37" s="7481"/>
      <c r="E37" s="7481"/>
      <c r="F37" s="7481"/>
      <c r="G37" s="7481"/>
      <c r="H37" s="7462"/>
    </row>
    <row r="38" spans="1:8" ht="30" customHeight="1" x14ac:dyDescent="0.2">
      <c r="A38" s="193">
        <v>31</v>
      </c>
      <c r="B38" s="3853">
        <f>SUM(H35:H36)</f>
        <v>80000</v>
      </c>
      <c r="C38" s="7461" t="s">
        <v>5624</v>
      </c>
      <c r="D38" s="7481"/>
      <c r="E38" s="7481"/>
      <c r="F38" s="7481"/>
      <c r="G38" s="7481"/>
      <c r="H38" s="7462"/>
    </row>
    <row r="39" spans="1:8" ht="30" customHeight="1" thickBot="1" x14ac:dyDescent="0.25">
      <c r="A39" s="193">
        <v>32</v>
      </c>
      <c r="B39" s="3855">
        <f>B34+B38</f>
        <v>646256523.63999999</v>
      </c>
      <c r="C39" s="7482" t="s">
        <v>5625</v>
      </c>
      <c r="D39" s="7482"/>
      <c r="E39" s="7482"/>
      <c r="F39" s="7482"/>
      <c r="G39" s="7482"/>
      <c r="H39" s="7483"/>
    </row>
    <row r="40" spans="1:8" ht="30" customHeight="1" thickBot="1" x14ac:dyDescent="0.25">
      <c r="A40" s="7484" t="s">
        <v>5611</v>
      </c>
      <c r="B40" s="7485"/>
      <c r="C40" s="7485"/>
      <c r="D40" s="7485"/>
      <c r="E40" s="7485"/>
      <c r="F40" s="7485"/>
      <c r="G40" s="7485"/>
      <c r="H40" s="7486"/>
    </row>
    <row r="41" spans="1:8" ht="30" customHeight="1" x14ac:dyDescent="0.2">
      <c r="A41" s="3857">
        <v>33</v>
      </c>
      <c r="B41" s="3856">
        <f>B39+B37</f>
        <v>666256523.63999999</v>
      </c>
      <c r="C41" s="7475" t="s">
        <v>877</v>
      </c>
      <c r="D41" s="7475"/>
      <c r="E41" s="7475"/>
      <c r="F41" s="7475"/>
      <c r="G41" s="7475"/>
      <c r="H41" s="7476"/>
    </row>
    <row r="42" spans="1:8" ht="30" customHeight="1" x14ac:dyDescent="0.2">
      <c r="A42" s="3869">
        <v>34</v>
      </c>
      <c r="B42" s="3820">
        <f>B41*0.06</f>
        <v>39975391.418399997</v>
      </c>
      <c r="C42" s="7477" t="s">
        <v>5623</v>
      </c>
      <c r="D42" s="7478"/>
      <c r="E42" s="7478"/>
      <c r="F42" s="7478"/>
      <c r="G42" s="7478"/>
      <c r="H42" s="7479"/>
    </row>
    <row r="43" spans="1:8" ht="30" customHeight="1" x14ac:dyDescent="0.2">
      <c r="A43" s="3869">
        <v>35</v>
      </c>
      <c r="B43" s="3856">
        <f>B41+B42</f>
        <v>706231915.05840003</v>
      </c>
      <c r="C43" s="7477" t="s">
        <v>5626</v>
      </c>
      <c r="D43" s="7478"/>
      <c r="E43" s="7478"/>
      <c r="F43" s="7478"/>
      <c r="G43" s="7478"/>
      <c r="H43" s="7480"/>
    </row>
    <row r="44" spans="1:8" ht="30" customHeight="1" x14ac:dyDescent="0.2">
      <c r="A44" s="193">
        <v>36</v>
      </c>
      <c r="B44" s="3841">
        <v>850000</v>
      </c>
      <c r="C44" s="3842" t="s">
        <v>2262</v>
      </c>
      <c r="D44" s="18" t="s">
        <v>5608</v>
      </c>
      <c r="E44" s="3842">
        <v>0.06</v>
      </c>
      <c r="F44" s="3841">
        <f t="shared" ref="F44" si="1">B44*E44</f>
        <v>51000</v>
      </c>
      <c r="G44" s="3841">
        <v>28</v>
      </c>
      <c r="H44" s="2043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39" t="s">
        <v>5612</v>
      </c>
      <c r="D45" s="18"/>
      <c r="E45" s="3842">
        <v>0.06</v>
      </c>
      <c r="F45" s="3841">
        <f>B45*E45</f>
        <v>300000</v>
      </c>
      <c r="G45" s="3841">
        <v>17</v>
      </c>
      <c r="H45" s="2043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39" t="s">
        <v>1916</v>
      </c>
      <c r="D46" s="18" t="s">
        <v>872</v>
      </c>
      <c r="E46" s="3842">
        <v>0.06</v>
      </c>
      <c r="F46" s="3841">
        <f t="shared" ref="F46:F54" si="3">B46*E46</f>
        <v>3000000</v>
      </c>
      <c r="G46" s="3841">
        <v>7</v>
      </c>
      <c r="H46" s="2043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39" t="s">
        <v>2875</v>
      </c>
      <c r="D47" s="18" t="s">
        <v>5608</v>
      </c>
      <c r="E47" s="3842">
        <v>0.06</v>
      </c>
      <c r="F47" s="3841">
        <f t="shared" si="3"/>
        <v>600000</v>
      </c>
      <c r="G47" s="3841">
        <v>5</v>
      </c>
      <c r="H47" s="2043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39" t="s">
        <v>2875</v>
      </c>
      <c r="D48" s="18" t="s">
        <v>5608</v>
      </c>
      <c r="E48" s="3842">
        <v>0.06</v>
      </c>
      <c r="F48" s="3841">
        <f t="shared" si="3"/>
        <v>168000</v>
      </c>
      <c r="G48" s="3841">
        <v>5</v>
      </c>
      <c r="H48" s="2043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39" t="s">
        <v>2877</v>
      </c>
      <c r="D49" s="18" t="s">
        <v>5608</v>
      </c>
      <c r="E49" s="3842">
        <v>0.06</v>
      </c>
      <c r="F49" s="3841">
        <f t="shared" si="3"/>
        <v>600000</v>
      </c>
      <c r="G49" s="3841">
        <v>4</v>
      </c>
      <c r="H49" s="2043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39" t="s">
        <v>2897</v>
      </c>
      <c r="D50" s="18" t="s">
        <v>5608</v>
      </c>
      <c r="E50" s="3842">
        <v>0.06</v>
      </c>
      <c r="F50" s="3841">
        <f t="shared" si="3"/>
        <v>540000</v>
      </c>
      <c r="G50" s="3841">
        <v>2</v>
      </c>
      <c r="H50" s="2043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39" t="s">
        <v>2897</v>
      </c>
      <c r="D51" s="18" t="s">
        <v>5608</v>
      </c>
      <c r="E51" s="3842">
        <v>0.06</v>
      </c>
      <c r="F51" s="3841">
        <f t="shared" si="3"/>
        <v>600000</v>
      </c>
      <c r="G51" s="3841">
        <v>2</v>
      </c>
      <c r="H51" s="2043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39" t="s">
        <v>2897</v>
      </c>
      <c r="D52" s="18" t="s">
        <v>5608</v>
      </c>
      <c r="E52" s="3842">
        <v>0.06</v>
      </c>
      <c r="F52" s="3841">
        <f>B52*E52</f>
        <v>600000</v>
      </c>
      <c r="G52" s="3841">
        <v>2</v>
      </c>
      <c r="H52" s="2043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39" t="s">
        <v>2897</v>
      </c>
      <c r="D53" s="18" t="s">
        <v>5608</v>
      </c>
      <c r="E53" s="3842">
        <v>0.06</v>
      </c>
      <c r="F53" s="3841">
        <f t="shared" si="3"/>
        <v>138000</v>
      </c>
      <c r="G53" s="3841">
        <v>2</v>
      </c>
      <c r="H53" s="2043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39" t="s">
        <v>3004</v>
      </c>
      <c r="D54" s="18" t="s">
        <v>5608</v>
      </c>
      <c r="E54" s="3842">
        <v>0.06</v>
      </c>
      <c r="F54" s="3841">
        <f t="shared" si="3"/>
        <v>540000</v>
      </c>
      <c r="G54" s="3841">
        <v>0</v>
      </c>
      <c r="H54" s="2043">
        <f t="shared" si="2"/>
        <v>0</v>
      </c>
    </row>
    <row r="55" spans="1:8" ht="30" customHeight="1" x14ac:dyDescent="0.2">
      <c r="A55" s="3965"/>
      <c r="B55" s="3950">
        <f>SUM(B44:B54)</f>
        <v>118950000</v>
      </c>
      <c r="C55" s="7461" t="s">
        <v>5619</v>
      </c>
      <c r="D55" s="7481"/>
      <c r="E55" s="7481"/>
      <c r="F55" s="7481"/>
      <c r="G55" s="7481"/>
      <c r="H55" s="7462"/>
    </row>
    <row r="56" spans="1:8" ht="30" customHeight="1" x14ac:dyDescent="0.2">
      <c r="A56" s="193">
        <v>47</v>
      </c>
      <c r="B56" s="3853">
        <f>SUM(H44:H54)</f>
        <v>1250800</v>
      </c>
      <c r="C56" s="7461" t="s">
        <v>5624</v>
      </c>
      <c r="D56" s="7481"/>
      <c r="E56" s="7481"/>
      <c r="F56" s="7481"/>
      <c r="G56" s="7481"/>
      <c r="H56" s="7462"/>
    </row>
    <row r="57" spans="1:8" ht="30" customHeight="1" thickBot="1" x14ac:dyDescent="0.25">
      <c r="A57" s="193">
        <v>48</v>
      </c>
      <c r="B57" s="3855">
        <f>B43+B56</f>
        <v>707482715.05840003</v>
      </c>
      <c r="C57" s="7482" t="s">
        <v>5625</v>
      </c>
      <c r="D57" s="7482"/>
      <c r="E57" s="7482"/>
      <c r="F57" s="7482"/>
      <c r="G57" s="7482"/>
      <c r="H57" s="7483"/>
    </row>
    <row r="58" spans="1:8" ht="30" customHeight="1" thickBot="1" x14ac:dyDescent="0.25">
      <c r="A58" s="7484" t="s">
        <v>5613</v>
      </c>
      <c r="B58" s="7485"/>
      <c r="C58" s="7485"/>
      <c r="D58" s="7485"/>
      <c r="E58" s="7485"/>
      <c r="F58" s="7485"/>
      <c r="G58" s="7485"/>
      <c r="H58" s="7486"/>
    </row>
    <row r="59" spans="1:8" ht="30" customHeight="1" x14ac:dyDescent="0.2">
      <c r="A59" s="3857"/>
      <c r="B59" s="3969">
        <f>B57+B55</f>
        <v>826432715.05840003</v>
      </c>
      <c r="C59" s="7475" t="s">
        <v>877</v>
      </c>
      <c r="D59" s="7475"/>
      <c r="E59" s="7475"/>
      <c r="F59" s="7475"/>
      <c r="G59" s="7475"/>
      <c r="H59" s="7476"/>
    </row>
    <row r="60" spans="1:8" ht="30" customHeight="1" x14ac:dyDescent="0.2">
      <c r="A60" s="3869"/>
      <c r="B60" s="3820">
        <f>B59*0.07</f>
        <v>57850290.054088011</v>
      </c>
      <c r="C60" s="7477" t="s">
        <v>5623</v>
      </c>
      <c r="D60" s="7478"/>
      <c r="E60" s="7478"/>
      <c r="F60" s="7478"/>
      <c r="G60" s="7478"/>
      <c r="H60" s="7479"/>
    </row>
    <row r="61" spans="1:8" ht="30" customHeight="1" x14ac:dyDescent="0.2">
      <c r="A61" s="3869"/>
      <c r="B61" s="3969">
        <f>B59+B60</f>
        <v>884283005.11248803</v>
      </c>
      <c r="C61" s="7477" t="s">
        <v>5626</v>
      </c>
      <c r="D61" s="7478"/>
      <c r="E61" s="7478"/>
      <c r="F61" s="7478"/>
      <c r="G61" s="7478"/>
      <c r="H61" s="7480"/>
    </row>
    <row r="62" spans="1:8" ht="30" customHeight="1" thickBot="1" x14ac:dyDescent="0.25">
      <c r="A62" s="1085"/>
      <c r="B62" s="3841"/>
      <c r="C62" s="3842"/>
      <c r="D62" s="18"/>
      <c r="E62" s="3842"/>
      <c r="F62" s="3841"/>
      <c r="G62" s="3841"/>
      <c r="H62" s="2043"/>
    </row>
    <row r="63" spans="1:8" ht="30" customHeight="1" thickBot="1" x14ac:dyDescent="0.25">
      <c r="A63" s="7484" t="s">
        <v>5614</v>
      </c>
      <c r="B63" s="7485"/>
      <c r="C63" s="7485"/>
      <c r="D63" s="7485"/>
      <c r="E63" s="7485"/>
      <c r="F63" s="7485"/>
      <c r="G63" s="7485"/>
      <c r="H63" s="7486"/>
    </row>
    <row r="64" spans="1:8" ht="30" customHeight="1" x14ac:dyDescent="0.2">
      <c r="A64" s="3857">
        <v>49</v>
      </c>
      <c r="B64" s="3856">
        <f>B61</f>
        <v>884283005.11248803</v>
      </c>
      <c r="C64" s="7475" t="s">
        <v>877</v>
      </c>
      <c r="D64" s="7475"/>
      <c r="E64" s="7475"/>
      <c r="F64" s="7475"/>
      <c r="G64" s="7475"/>
      <c r="H64" s="7476"/>
    </row>
    <row r="65" spans="1:8" ht="30" customHeight="1" x14ac:dyDescent="0.2">
      <c r="A65" s="3869">
        <v>50</v>
      </c>
      <c r="B65" s="3820">
        <f>B64*0.07</f>
        <v>61899810.35787417</v>
      </c>
      <c r="C65" s="7477" t="s">
        <v>5623</v>
      </c>
      <c r="D65" s="7478"/>
      <c r="E65" s="7478"/>
      <c r="F65" s="7478"/>
      <c r="G65" s="7478"/>
      <c r="H65" s="7479"/>
    </row>
    <row r="66" spans="1:8" ht="30" customHeight="1" x14ac:dyDescent="0.2">
      <c r="A66" s="3869">
        <v>51</v>
      </c>
      <c r="B66" s="3856">
        <f>B64+B65</f>
        <v>946182815.47036219</v>
      </c>
      <c r="C66" s="7477" t="s">
        <v>5626</v>
      </c>
      <c r="D66" s="7478"/>
      <c r="E66" s="7478"/>
      <c r="F66" s="7478"/>
      <c r="G66" s="7478"/>
      <c r="H66" s="7480"/>
    </row>
    <row r="67" spans="1:8" ht="30" customHeight="1" x14ac:dyDescent="0.2">
      <c r="A67" s="193">
        <v>52</v>
      </c>
      <c r="B67" s="149">
        <v>140000000</v>
      </c>
      <c r="C67" s="3839" t="s">
        <v>2599</v>
      </c>
      <c r="D67" s="18"/>
      <c r="E67" s="3842">
        <v>7.0000000000000007E-2</v>
      </c>
      <c r="F67" s="3841">
        <f>B67*E67</f>
        <v>9800000.0000000019</v>
      </c>
      <c r="G67" s="3841">
        <v>29</v>
      </c>
      <c r="H67" s="2043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39" t="s">
        <v>1189</v>
      </c>
      <c r="D68" s="18" t="s">
        <v>5608</v>
      </c>
      <c r="E68" s="3842">
        <v>7.0000000000000007E-2</v>
      </c>
      <c r="F68" s="3841">
        <f t="shared" ref="F68:F76" si="4">B68*E68</f>
        <v>700000.00000000012</v>
      </c>
      <c r="G68" s="3841">
        <v>27</v>
      </c>
      <c r="H68" s="2043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39" t="s">
        <v>3770</v>
      </c>
      <c r="D69" s="18"/>
      <c r="E69" s="3842">
        <v>7.0000000000000007E-2</v>
      </c>
      <c r="F69" s="3841">
        <f t="shared" si="4"/>
        <v>700000.00000000012</v>
      </c>
      <c r="G69" s="3841">
        <v>25</v>
      </c>
      <c r="H69" s="2043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39" t="s">
        <v>3770</v>
      </c>
      <c r="D70" s="18"/>
      <c r="E70" s="3842">
        <v>7.0000000000000007E-2</v>
      </c>
      <c r="F70" s="3841">
        <f t="shared" si="4"/>
        <v>700000.00000000012</v>
      </c>
      <c r="G70" s="3841">
        <v>25</v>
      </c>
      <c r="H70" s="2043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39" t="s">
        <v>3770</v>
      </c>
      <c r="D71" s="18" t="s">
        <v>5608</v>
      </c>
      <c r="E71" s="3842">
        <v>7.0000000000000007E-2</v>
      </c>
      <c r="F71" s="3841">
        <f t="shared" si="4"/>
        <v>350000.00000000006</v>
      </c>
      <c r="G71" s="3841">
        <v>25</v>
      </c>
      <c r="H71" s="2043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42" t="s">
        <v>4043</v>
      </c>
      <c r="D72" s="3844"/>
      <c r="E72" s="3844">
        <v>7.0000000000000007E-2</v>
      </c>
      <c r="F72" s="3841">
        <f t="shared" si="4"/>
        <v>700000.00000000012</v>
      </c>
      <c r="G72" s="3841">
        <v>6</v>
      </c>
      <c r="H72" s="2043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42" t="s">
        <v>4043</v>
      </c>
      <c r="D73" s="18" t="s">
        <v>5608</v>
      </c>
      <c r="E73" s="3844">
        <v>7.0000000000000007E-2</v>
      </c>
      <c r="F73" s="3841">
        <f t="shared" si="4"/>
        <v>350000.00000000006</v>
      </c>
      <c r="G73" s="3841">
        <v>6</v>
      </c>
      <c r="H73" s="2043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42" t="s">
        <v>4043</v>
      </c>
      <c r="D74" s="3844"/>
      <c r="E74" s="3844">
        <v>7.0000000000000007E-2</v>
      </c>
      <c r="F74" s="3841">
        <f t="shared" si="4"/>
        <v>700000.00000000012</v>
      </c>
      <c r="G74" s="3841">
        <v>6</v>
      </c>
      <c r="H74" s="2043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39" t="s">
        <v>3078</v>
      </c>
      <c r="D75" s="3844" t="s">
        <v>5608</v>
      </c>
      <c r="E75" s="3844">
        <v>7.0000000000000007E-2</v>
      </c>
      <c r="F75" s="3841">
        <f t="shared" si="4"/>
        <v>700000.00000000012</v>
      </c>
      <c r="G75" s="3841">
        <v>5</v>
      </c>
      <c r="H75" s="2043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39" t="s">
        <v>4117</v>
      </c>
      <c r="D76" s="18" t="s">
        <v>872</v>
      </c>
      <c r="E76" s="3844">
        <v>7.0000000000000007E-2</v>
      </c>
      <c r="F76" s="3841">
        <f t="shared" si="4"/>
        <v>245000.00000000003</v>
      </c>
      <c r="G76" s="3844">
        <v>1</v>
      </c>
      <c r="H76" s="2043">
        <f t="shared" si="5"/>
        <v>8166.6666666666679</v>
      </c>
    </row>
    <row r="77" spans="1:8" ht="30" customHeight="1" x14ac:dyDescent="0.2">
      <c r="A77" s="3965"/>
      <c r="B77" s="3950">
        <f>SUM(B67:B76)</f>
        <v>213500000</v>
      </c>
      <c r="C77" s="7461" t="s">
        <v>5619</v>
      </c>
      <c r="D77" s="7481"/>
      <c r="E77" s="7481"/>
      <c r="F77" s="7481"/>
      <c r="G77" s="7481"/>
      <c r="H77" s="7462"/>
    </row>
    <row r="78" spans="1:8" ht="30" customHeight="1" x14ac:dyDescent="0.2">
      <c r="A78" s="193">
        <v>62</v>
      </c>
      <c r="B78" s="3853">
        <f>SUM(H67:H76)</f>
        <v>12036500.000000002</v>
      </c>
      <c r="C78" s="7461" t="s">
        <v>5624</v>
      </c>
      <c r="D78" s="7481"/>
      <c r="E78" s="7481"/>
      <c r="F78" s="7481"/>
      <c r="G78" s="7481"/>
      <c r="H78" s="7462"/>
    </row>
    <row r="79" spans="1:8" ht="30" customHeight="1" thickBot="1" x14ac:dyDescent="0.25">
      <c r="A79" s="193">
        <v>63</v>
      </c>
      <c r="B79" s="3855">
        <f>B66+B78</f>
        <v>958219315.47036219</v>
      </c>
      <c r="C79" s="7482" t="s">
        <v>5625</v>
      </c>
      <c r="D79" s="7482"/>
      <c r="E79" s="7482"/>
      <c r="F79" s="7482"/>
      <c r="G79" s="7482"/>
      <c r="H79" s="7483"/>
    </row>
    <row r="80" spans="1:8" ht="30" customHeight="1" thickBot="1" x14ac:dyDescent="0.25">
      <c r="A80" s="7484" t="s">
        <v>5615</v>
      </c>
      <c r="B80" s="7485"/>
      <c r="C80" s="7485"/>
      <c r="D80" s="7485"/>
      <c r="E80" s="7485"/>
      <c r="F80" s="7485"/>
      <c r="G80" s="7485"/>
      <c r="H80" s="7486"/>
    </row>
    <row r="81" spans="1:8" ht="30" customHeight="1" x14ac:dyDescent="0.2">
      <c r="A81" s="3857">
        <v>64</v>
      </c>
      <c r="B81" s="3856">
        <f>B79+B77</f>
        <v>1171719315.4703622</v>
      </c>
      <c r="C81" s="7475" t="s">
        <v>877</v>
      </c>
      <c r="D81" s="7475"/>
      <c r="E81" s="7475"/>
      <c r="F81" s="7475"/>
      <c r="G81" s="7475"/>
      <c r="H81" s="7476"/>
    </row>
    <row r="82" spans="1:8" ht="30" customHeight="1" x14ac:dyDescent="0.2">
      <c r="A82" s="3869">
        <v>65</v>
      </c>
      <c r="B82" s="3820">
        <f>B81*0.07</f>
        <v>82020352.082925364</v>
      </c>
      <c r="C82" s="7477" t="s">
        <v>5623</v>
      </c>
      <c r="D82" s="7478"/>
      <c r="E82" s="7478"/>
      <c r="F82" s="7478"/>
      <c r="G82" s="7478"/>
      <c r="H82" s="7479"/>
    </row>
    <row r="83" spans="1:8" ht="30" customHeight="1" x14ac:dyDescent="0.2">
      <c r="A83" s="3869">
        <v>66</v>
      </c>
      <c r="B83" s="3856">
        <f>B81+B82</f>
        <v>1253739667.5532875</v>
      </c>
      <c r="C83" s="7477" t="s">
        <v>5626</v>
      </c>
      <c r="D83" s="7478"/>
      <c r="E83" s="7478"/>
      <c r="F83" s="7478"/>
      <c r="G83" s="7478"/>
      <c r="H83" s="7480"/>
    </row>
    <row r="84" spans="1:8" ht="30" customHeight="1" x14ac:dyDescent="0.2">
      <c r="A84" s="193">
        <v>67</v>
      </c>
      <c r="B84" s="149">
        <v>10000000</v>
      </c>
      <c r="C84" s="3839" t="s">
        <v>4128</v>
      </c>
      <c r="D84" s="3844" t="s">
        <v>5608</v>
      </c>
      <c r="E84" s="3844">
        <v>7.0000000000000007E-2</v>
      </c>
      <c r="F84" s="149">
        <f>B84*E84</f>
        <v>700000.00000000012</v>
      </c>
      <c r="G84" s="3844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39" t="s">
        <v>4144</v>
      </c>
      <c r="D85" s="3844" t="s">
        <v>5608</v>
      </c>
      <c r="E85" s="3844">
        <v>7.0000000000000007E-2</v>
      </c>
      <c r="F85" s="149">
        <f t="shared" ref="F85:F89" si="6">B85*E85</f>
        <v>700000.00000000012</v>
      </c>
      <c r="G85" s="3844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39" t="s">
        <v>3003</v>
      </c>
      <c r="D86" s="3844"/>
      <c r="E86" s="3844">
        <v>7.0000000000000007E-2</v>
      </c>
      <c r="F86" s="149">
        <f t="shared" si="6"/>
        <v>700000.00000000012</v>
      </c>
      <c r="G86" s="3844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39" t="s">
        <v>3003</v>
      </c>
      <c r="D87" s="3844"/>
      <c r="E87" s="3844">
        <v>7.0000000000000007E-2</v>
      </c>
      <c r="F87" s="149">
        <f t="shared" si="6"/>
        <v>700000.00000000012</v>
      </c>
      <c r="G87" s="3844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39" t="s">
        <v>4540</v>
      </c>
      <c r="D88" s="3844"/>
      <c r="E88" s="3844">
        <v>7.0000000000000007E-2</v>
      </c>
      <c r="F88" s="149">
        <f t="shared" si="6"/>
        <v>700000.00000000012</v>
      </c>
      <c r="G88" s="3844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39" t="s">
        <v>4540</v>
      </c>
      <c r="D89" s="3844"/>
      <c r="E89" s="3844">
        <v>7.0000000000000007E-2</v>
      </c>
      <c r="F89" s="149">
        <f t="shared" si="6"/>
        <v>700000.00000000012</v>
      </c>
      <c r="G89" s="3844">
        <v>0</v>
      </c>
      <c r="H89" s="151">
        <f t="shared" si="7"/>
        <v>0</v>
      </c>
    </row>
    <row r="90" spans="1:8" ht="30" customHeight="1" x14ac:dyDescent="0.2">
      <c r="A90" s="4007"/>
      <c r="B90" s="3950">
        <f>SUM(B84:B89)</f>
        <v>60000000</v>
      </c>
      <c r="C90" s="7461" t="s">
        <v>5619</v>
      </c>
      <c r="D90" s="7481"/>
      <c r="E90" s="7481"/>
      <c r="F90" s="7481"/>
      <c r="G90" s="7481"/>
      <c r="H90" s="7462"/>
    </row>
    <row r="91" spans="1:8" ht="30" customHeight="1" x14ac:dyDescent="0.2">
      <c r="A91" s="3854">
        <v>73</v>
      </c>
      <c r="B91" s="3853">
        <f>SUM(H84:H89)</f>
        <v>1213333.3333333335</v>
      </c>
      <c r="C91" s="7461" t="s">
        <v>5624</v>
      </c>
      <c r="D91" s="7481"/>
      <c r="E91" s="7481"/>
      <c r="F91" s="7481"/>
      <c r="G91" s="7481"/>
      <c r="H91" s="7462"/>
    </row>
    <row r="92" spans="1:8" ht="30" customHeight="1" x14ac:dyDescent="0.2">
      <c r="A92" s="3854">
        <v>74</v>
      </c>
      <c r="B92" s="3853">
        <f>B83+B91</f>
        <v>1254953000.8866208</v>
      </c>
      <c r="C92" s="7482" t="s">
        <v>5625</v>
      </c>
      <c r="D92" s="7482"/>
      <c r="E92" s="7482"/>
      <c r="F92" s="7482"/>
      <c r="G92" s="7482"/>
      <c r="H92" s="7483"/>
    </row>
    <row r="93" spans="1:8" ht="30" customHeight="1" thickBot="1" x14ac:dyDescent="0.25">
      <c r="A93" s="7472" t="s">
        <v>5616</v>
      </c>
      <c r="B93" s="7473"/>
      <c r="C93" s="7473"/>
      <c r="D93" s="7473"/>
      <c r="E93" s="7473"/>
      <c r="F93" s="7473"/>
      <c r="G93" s="7473"/>
      <c r="H93" s="7474"/>
    </row>
    <row r="94" spans="1:8" ht="30" customHeight="1" x14ac:dyDescent="0.2">
      <c r="A94" s="3857">
        <v>75</v>
      </c>
      <c r="B94" s="3856">
        <f>B92+B90</f>
        <v>1314953000.8866208</v>
      </c>
      <c r="C94" s="7475" t="s">
        <v>877</v>
      </c>
      <c r="D94" s="7475"/>
      <c r="E94" s="7475"/>
      <c r="F94" s="7475"/>
      <c r="G94" s="7475"/>
      <c r="H94" s="7476"/>
    </row>
    <row r="95" spans="1:8" ht="30" customHeight="1" x14ac:dyDescent="0.2">
      <c r="A95" s="3869">
        <v>76</v>
      </c>
      <c r="B95" s="3820">
        <f>B94*0.07</f>
        <v>92046710.062063456</v>
      </c>
      <c r="C95" s="7477" t="s">
        <v>5623</v>
      </c>
      <c r="D95" s="7478"/>
      <c r="E95" s="7478"/>
      <c r="F95" s="7478"/>
      <c r="G95" s="7478"/>
      <c r="H95" s="7479"/>
    </row>
    <row r="96" spans="1:8" ht="30" customHeight="1" x14ac:dyDescent="0.2">
      <c r="A96" s="3869">
        <v>77</v>
      </c>
      <c r="B96" s="3856">
        <f>B94+B95</f>
        <v>1406999710.9486842</v>
      </c>
      <c r="C96" s="7477" t="s">
        <v>5626</v>
      </c>
      <c r="D96" s="7478"/>
      <c r="E96" s="7478"/>
      <c r="F96" s="7478"/>
      <c r="G96" s="7478"/>
      <c r="H96" s="7480"/>
    </row>
    <row r="97" spans="1:8" ht="30" customHeight="1" x14ac:dyDescent="0.2">
      <c r="A97" s="193">
        <v>78</v>
      </c>
      <c r="B97" s="149">
        <v>10000000</v>
      </c>
      <c r="C97" s="3839" t="s">
        <v>2125</v>
      </c>
      <c r="D97" s="3844"/>
      <c r="E97" s="3844">
        <v>7.0000000000000007E-2</v>
      </c>
      <c r="F97" s="149">
        <f>B97*E97</f>
        <v>700000.00000000012</v>
      </c>
      <c r="G97" s="3844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39" t="s">
        <v>4874</v>
      </c>
      <c r="D98" s="3844" t="s">
        <v>5608</v>
      </c>
      <c r="E98" s="3844">
        <v>7.0000000000000007E-2</v>
      </c>
      <c r="F98" s="149">
        <f>B98*E98</f>
        <v>2100000</v>
      </c>
      <c r="G98" s="3844">
        <v>15</v>
      </c>
      <c r="H98" s="151">
        <f>(F98*G98)/30</f>
        <v>1050000</v>
      </c>
    </row>
    <row r="99" spans="1:8" ht="30" customHeight="1" x14ac:dyDescent="0.2">
      <c r="A99" s="4007"/>
      <c r="B99" s="3950">
        <f>B97+B98</f>
        <v>40000000</v>
      </c>
      <c r="C99" s="7461" t="s">
        <v>5619</v>
      </c>
      <c r="D99" s="7481"/>
      <c r="E99" s="7481"/>
      <c r="F99" s="7481"/>
      <c r="G99" s="7481"/>
      <c r="H99" s="7462"/>
    </row>
    <row r="100" spans="1:8" ht="30" customHeight="1" x14ac:dyDescent="0.2">
      <c r="A100" s="3854">
        <v>80</v>
      </c>
      <c r="B100" s="3853">
        <f>SUM(H97:H98)</f>
        <v>1726666.6666666667</v>
      </c>
      <c r="C100" s="7461" t="s">
        <v>5624</v>
      </c>
      <c r="D100" s="7481"/>
      <c r="E100" s="7481"/>
      <c r="F100" s="7481"/>
      <c r="G100" s="7481"/>
      <c r="H100" s="7462"/>
    </row>
    <row r="101" spans="1:8" ht="30" customHeight="1" x14ac:dyDescent="0.2">
      <c r="A101" s="3854">
        <v>81</v>
      </c>
      <c r="B101" s="3853">
        <f>B96+B100</f>
        <v>1408726377.615351</v>
      </c>
      <c r="C101" s="7482" t="s">
        <v>5625</v>
      </c>
      <c r="D101" s="7482"/>
      <c r="E101" s="7482"/>
      <c r="F101" s="7482"/>
      <c r="G101" s="7482"/>
      <c r="H101" s="7483"/>
    </row>
    <row r="102" spans="1:8" ht="30" customHeight="1" thickBot="1" x14ac:dyDescent="0.25">
      <c r="A102" s="7472" t="s">
        <v>5617</v>
      </c>
      <c r="B102" s="7473"/>
      <c r="C102" s="7473"/>
      <c r="D102" s="7473"/>
      <c r="E102" s="7473"/>
      <c r="F102" s="7473"/>
      <c r="G102" s="7473"/>
      <c r="H102" s="7474"/>
    </row>
    <row r="103" spans="1:8" ht="30" customHeight="1" x14ac:dyDescent="0.2">
      <c r="A103" s="3857"/>
      <c r="B103" s="3868">
        <f>B101+B99</f>
        <v>1448726377.615351</v>
      </c>
      <c r="C103" s="7475" t="s">
        <v>877</v>
      </c>
      <c r="D103" s="7475"/>
      <c r="E103" s="7475"/>
      <c r="F103" s="7475"/>
      <c r="G103" s="7475"/>
      <c r="H103" s="7476"/>
    </row>
    <row r="104" spans="1:8" ht="30" customHeight="1" x14ac:dyDescent="0.2">
      <c r="A104" s="3869"/>
      <c r="B104" s="3820">
        <f>B103*0.07</f>
        <v>101410846.43307458</v>
      </c>
      <c r="C104" s="7477" t="s">
        <v>5623</v>
      </c>
      <c r="D104" s="7478"/>
      <c r="E104" s="7478"/>
      <c r="F104" s="7478"/>
      <c r="G104" s="7478"/>
      <c r="H104" s="7479"/>
    </row>
    <row r="105" spans="1:8" ht="30" customHeight="1" x14ac:dyDescent="0.2">
      <c r="A105" s="3869"/>
      <c r="B105" s="3868">
        <f>B103+B104</f>
        <v>1550137224.0484254</v>
      </c>
      <c r="C105" s="7477" t="s">
        <v>5626</v>
      </c>
      <c r="D105" s="7478"/>
      <c r="E105" s="7478"/>
      <c r="F105" s="7478"/>
      <c r="G105" s="7478"/>
      <c r="H105" s="7480"/>
    </row>
    <row r="106" spans="1:8" ht="30" customHeight="1" x14ac:dyDescent="0.2">
      <c r="A106" s="4697"/>
      <c r="B106" s="4693">
        <v>50000000</v>
      </c>
      <c r="C106" s="4695" t="s">
        <v>5735</v>
      </c>
      <c r="D106" s="18" t="s">
        <v>872</v>
      </c>
      <c r="E106" s="4699">
        <v>7.0000000000000007E-2</v>
      </c>
      <c r="F106" s="149">
        <f>B106*E106</f>
        <v>3500000.0000000005</v>
      </c>
      <c r="G106" s="4699">
        <v>1</v>
      </c>
      <c r="H106" s="151">
        <f>(F106*G106)/30</f>
        <v>116666.66666666669</v>
      </c>
    </row>
    <row r="107" spans="1:8" ht="30" customHeight="1" x14ac:dyDescent="0.2">
      <c r="A107" s="4697"/>
      <c r="B107" s="4693">
        <f>B106</f>
        <v>50000000</v>
      </c>
      <c r="C107" s="7461" t="s">
        <v>5619</v>
      </c>
      <c r="D107" s="7481"/>
      <c r="E107" s="7481"/>
      <c r="F107" s="7481"/>
      <c r="G107" s="7481"/>
      <c r="H107" s="7462"/>
    </row>
    <row r="108" spans="1:8" ht="30" customHeight="1" x14ac:dyDescent="0.2">
      <c r="A108" s="4697"/>
      <c r="B108" s="4693">
        <f>H106</f>
        <v>116666.66666666669</v>
      </c>
      <c r="C108" s="7461" t="s">
        <v>5624</v>
      </c>
      <c r="D108" s="7481"/>
      <c r="E108" s="7481"/>
      <c r="F108" s="7481"/>
      <c r="G108" s="7481"/>
      <c r="H108" s="7462"/>
    </row>
    <row r="109" spans="1:8" ht="30" customHeight="1" x14ac:dyDescent="0.2">
      <c r="A109" s="4697"/>
      <c r="B109" s="4693">
        <f>B105+B108</f>
        <v>1550253890.7150922</v>
      </c>
      <c r="C109" s="7482" t="s">
        <v>5625</v>
      </c>
      <c r="D109" s="7482"/>
      <c r="E109" s="7482"/>
      <c r="F109" s="7482"/>
      <c r="G109" s="7482"/>
      <c r="H109" s="7483"/>
    </row>
    <row r="110" spans="1:8" ht="30" customHeight="1" thickBot="1" x14ac:dyDescent="0.25">
      <c r="A110" s="7472" t="s">
        <v>6447</v>
      </c>
      <c r="B110" s="7473"/>
      <c r="C110" s="7473"/>
      <c r="D110" s="7473"/>
      <c r="E110" s="7473"/>
      <c r="F110" s="7473"/>
      <c r="G110" s="7473"/>
      <c r="H110" s="7474"/>
    </row>
    <row r="111" spans="1:8" ht="30" customHeight="1" x14ac:dyDescent="0.2">
      <c r="A111" s="4697"/>
      <c r="B111" s="4698">
        <f>B109+B107</f>
        <v>1600253890.7150922</v>
      </c>
      <c r="C111" s="7475" t="s">
        <v>877</v>
      </c>
      <c r="D111" s="7475"/>
      <c r="E111" s="7475"/>
      <c r="F111" s="7475"/>
      <c r="G111" s="7475"/>
      <c r="H111" s="7476"/>
    </row>
    <row r="112" spans="1:8" ht="30" customHeight="1" x14ac:dyDescent="0.2">
      <c r="A112" s="4697"/>
      <c r="B112" s="3820">
        <f>B111*0.07</f>
        <v>112017772.35005647</v>
      </c>
      <c r="C112" s="7477" t="s">
        <v>5623</v>
      </c>
      <c r="D112" s="7478"/>
      <c r="E112" s="7478"/>
      <c r="F112" s="7478"/>
      <c r="G112" s="7478"/>
      <c r="H112" s="7479"/>
    </row>
    <row r="113" spans="1:8" ht="30" customHeight="1" x14ac:dyDescent="0.2">
      <c r="A113" s="4697"/>
      <c r="B113" s="4698">
        <f>B111+B112</f>
        <v>1712271663.0651486</v>
      </c>
      <c r="C113" s="7477" t="s">
        <v>5626</v>
      </c>
      <c r="D113" s="7478"/>
      <c r="E113" s="7478"/>
      <c r="F113" s="7478"/>
      <c r="G113" s="7478"/>
      <c r="H113" s="7480"/>
    </row>
    <row r="114" spans="1:8" ht="30" customHeight="1" x14ac:dyDescent="0.2">
      <c r="A114" s="4697"/>
      <c r="B114" s="4693">
        <v>9000000</v>
      </c>
      <c r="C114" s="4699" t="s">
        <v>5849</v>
      </c>
      <c r="D114" s="4699" t="s">
        <v>5608</v>
      </c>
      <c r="E114" s="4699">
        <v>7.0000000000000007E-2</v>
      </c>
      <c r="F114" s="149">
        <f>B114*E114</f>
        <v>630000.00000000012</v>
      </c>
      <c r="G114" s="4699">
        <v>28</v>
      </c>
      <c r="H114" s="151">
        <f>(F114*G114)/30</f>
        <v>588000.00000000012</v>
      </c>
    </row>
    <row r="115" spans="1:8" ht="30" customHeight="1" x14ac:dyDescent="0.2">
      <c r="A115" s="4697"/>
      <c r="B115" s="4693">
        <v>10000000</v>
      </c>
      <c r="C115" s="4699" t="s">
        <v>5849</v>
      </c>
      <c r="D115" s="4699" t="s">
        <v>5608</v>
      </c>
      <c r="E115" s="4699">
        <v>7.0000000000000007E-2</v>
      </c>
      <c r="F115" s="149">
        <f t="shared" ref="F115:F118" si="8">B115*E115</f>
        <v>700000.00000000012</v>
      </c>
      <c r="G115" s="4699">
        <v>28</v>
      </c>
      <c r="H115" s="151">
        <f t="shared" ref="H115:H118" si="9">(F115*G115)/30</f>
        <v>653333.33333333349</v>
      </c>
    </row>
    <row r="116" spans="1:8" ht="30" customHeight="1" x14ac:dyDescent="0.2">
      <c r="A116" s="4697"/>
      <c r="B116" s="4693">
        <v>4000000</v>
      </c>
      <c r="C116" s="4699" t="s">
        <v>5849</v>
      </c>
      <c r="D116" s="4699" t="s">
        <v>5608</v>
      </c>
      <c r="E116" s="4699">
        <v>7.0000000000000007E-2</v>
      </c>
      <c r="F116" s="149">
        <f t="shared" si="8"/>
        <v>280000</v>
      </c>
      <c r="G116" s="4699">
        <v>28</v>
      </c>
      <c r="H116" s="151">
        <f t="shared" si="9"/>
        <v>261333.33333333334</v>
      </c>
    </row>
    <row r="117" spans="1:8" ht="30" customHeight="1" x14ac:dyDescent="0.2">
      <c r="A117" s="4697"/>
      <c r="B117" s="4693">
        <v>80000000</v>
      </c>
      <c r="C117" s="4699" t="s">
        <v>6223</v>
      </c>
      <c r="D117" s="4393"/>
      <c r="E117" s="4699">
        <v>7.0000000000000007E-2</v>
      </c>
      <c r="F117" s="149">
        <f t="shared" si="8"/>
        <v>5600000.0000000009</v>
      </c>
      <c r="G117" s="4699">
        <v>15</v>
      </c>
      <c r="H117" s="151">
        <f t="shared" si="9"/>
        <v>2800000.0000000005</v>
      </c>
    </row>
    <row r="118" spans="1:8" ht="30" customHeight="1" x14ac:dyDescent="0.2">
      <c r="A118" s="4697"/>
      <c r="B118" s="4693">
        <v>40000000</v>
      </c>
      <c r="C118" s="4699" t="s">
        <v>6440</v>
      </c>
      <c r="D118" s="18" t="s">
        <v>872</v>
      </c>
      <c r="E118" s="4699">
        <v>7.0000000000000007E-2</v>
      </c>
      <c r="F118" s="149">
        <f t="shared" si="8"/>
        <v>2800000.0000000005</v>
      </c>
      <c r="G118" s="4699">
        <v>1</v>
      </c>
      <c r="H118" s="151">
        <f t="shared" si="9"/>
        <v>93333.333333333343</v>
      </c>
    </row>
    <row r="119" spans="1:8" ht="30" customHeight="1" x14ac:dyDescent="0.2">
      <c r="A119" s="4697"/>
      <c r="B119" s="4693">
        <f>SUM(B114:B118)</f>
        <v>143000000</v>
      </c>
      <c r="C119" s="7461" t="s">
        <v>5619</v>
      </c>
      <c r="D119" s="7481"/>
      <c r="E119" s="7481"/>
      <c r="F119" s="7481"/>
      <c r="G119" s="7481"/>
      <c r="H119" s="7462"/>
    </row>
    <row r="120" spans="1:8" ht="30" customHeight="1" x14ac:dyDescent="0.2">
      <c r="A120" s="4697"/>
      <c r="B120" s="4693">
        <f>SUM(H114:H118)</f>
        <v>4396000</v>
      </c>
      <c r="C120" s="7461" t="s">
        <v>5624</v>
      </c>
      <c r="D120" s="7481"/>
      <c r="E120" s="7481"/>
      <c r="F120" s="7481"/>
      <c r="G120" s="7481"/>
      <c r="H120" s="7462"/>
    </row>
    <row r="121" spans="1:8" ht="30" customHeight="1" x14ac:dyDescent="0.2">
      <c r="A121" s="193"/>
      <c r="B121" s="149">
        <f>B120+B113</f>
        <v>1716667663.0651486</v>
      </c>
      <c r="C121" s="7482" t="s">
        <v>5625</v>
      </c>
      <c r="D121" s="7482"/>
      <c r="E121" s="7482"/>
      <c r="F121" s="7482"/>
      <c r="G121" s="7482"/>
      <c r="H121" s="7483"/>
    </row>
    <row r="122" spans="1:8" ht="30" customHeight="1" thickBot="1" x14ac:dyDescent="0.25">
      <c r="A122" s="7472" t="s">
        <v>6449</v>
      </c>
      <c r="B122" s="7473"/>
      <c r="C122" s="7473"/>
      <c r="D122" s="7473"/>
      <c r="E122" s="7473"/>
      <c r="F122" s="7473"/>
      <c r="G122" s="7473"/>
      <c r="H122" s="7474"/>
    </row>
    <row r="123" spans="1:8" ht="30" customHeight="1" x14ac:dyDescent="0.2">
      <c r="A123" s="4696"/>
      <c r="B123" s="4698">
        <f>B121+B119</f>
        <v>1859667663.0651486</v>
      </c>
      <c r="C123" s="7475" t="s">
        <v>877</v>
      </c>
      <c r="D123" s="7475"/>
      <c r="E123" s="7475"/>
      <c r="F123" s="7475"/>
      <c r="G123" s="7475"/>
      <c r="H123" s="7476"/>
    </row>
    <row r="124" spans="1:8" ht="30" customHeight="1" x14ac:dyDescent="0.2">
      <c r="A124" s="4696"/>
      <c r="B124" s="3820"/>
      <c r="C124" s="7477" t="s">
        <v>5623</v>
      </c>
      <c r="D124" s="7478"/>
      <c r="E124" s="7478"/>
      <c r="F124" s="7478"/>
      <c r="G124" s="7478"/>
      <c r="H124" s="7479"/>
    </row>
    <row r="125" spans="1:8" ht="30" customHeight="1" x14ac:dyDescent="0.2">
      <c r="A125" s="4696"/>
      <c r="B125" s="4698"/>
      <c r="C125" s="7477" t="s">
        <v>5626</v>
      </c>
      <c r="D125" s="7478"/>
      <c r="E125" s="7478"/>
      <c r="F125" s="7478"/>
      <c r="G125" s="7478"/>
      <c r="H125" s="7480"/>
    </row>
    <row r="126" spans="1:8" ht="30" customHeight="1" x14ac:dyDescent="0.2">
      <c r="A126" s="4696"/>
      <c r="B126" s="4693"/>
      <c r="C126" s="4693"/>
      <c r="D126" s="4693"/>
      <c r="E126" s="4693"/>
      <c r="F126" s="4693"/>
      <c r="G126" s="4693"/>
      <c r="H126" s="4693"/>
    </row>
    <row r="127" spans="1:8" ht="30" customHeight="1" x14ac:dyDescent="0.2">
      <c r="A127" s="4696"/>
      <c r="B127" s="4693"/>
      <c r="C127" s="4693"/>
      <c r="D127" s="4693"/>
      <c r="E127" s="4693"/>
      <c r="F127" s="4693"/>
      <c r="G127" s="4693"/>
      <c r="H127" s="4693"/>
    </row>
    <row r="128" spans="1:8" ht="30" customHeight="1" x14ac:dyDescent="0.2">
      <c r="A128" s="4696"/>
      <c r="B128" s="4693"/>
      <c r="C128" s="4693"/>
      <c r="D128" s="4693"/>
      <c r="E128" s="4693"/>
      <c r="F128" s="4693"/>
      <c r="G128" s="4693"/>
      <c r="H128" s="4693"/>
    </row>
    <row r="129" spans="1:8" ht="30" customHeight="1" thickBot="1" x14ac:dyDescent="0.25">
      <c r="A129" s="3837" t="s">
        <v>876</v>
      </c>
      <c r="B129" s="196"/>
      <c r="C129" s="4723"/>
      <c r="D129" s="4724"/>
      <c r="E129" s="4724"/>
      <c r="F129" s="4724"/>
      <c r="G129" s="4724"/>
      <c r="H129" s="4694"/>
    </row>
  </sheetData>
  <mergeCells count="76"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4:H14"/>
    <mergeCell ref="C23:H23"/>
    <mergeCell ref="C24:H24"/>
    <mergeCell ref="C25:H25"/>
    <mergeCell ref="C29:H29"/>
    <mergeCell ref="C19:H19"/>
    <mergeCell ref="C28:H28"/>
    <mergeCell ref="C30:H30"/>
    <mergeCell ref="C32:H32"/>
    <mergeCell ref="C33:H33"/>
    <mergeCell ref="C34:H34"/>
    <mergeCell ref="C38:H38"/>
    <mergeCell ref="C37:H37"/>
    <mergeCell ref="C39:H39"/>
    <mergeCell ref="C41:H41"/>
    <mergeCell ref="C42:H42"/>
    <mergeCell ref="C43:H43"/>
    <mergeCell ref="C56:H56"/>
    <mergeCell ref="C55:H55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  <mergeCell ref="A110:H110"/>
    <mergeCell ref="C107:H107"/>
    <mergeCell ref="C108:H108"/>
    <mergeCell ref="C109:H109"/>
    <mergeCell ref="C111:H111"/>
    <mergeCell ref="A122:H122"/>
    <mergeCell ref="C123:H123"/>
    <mergeCell ref="C124:H124"/>
    <mergeCell ref="C125:H125"/>
    <mergeCell ref="C112:H112"/>
    <mergeCell ref="C113:H113"/>
    <mergeCell ref="C119:H119"/>
    <mergeCell ref="C120:H120"/>
    <mergeCell ref="C121:H12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rightToLeft="1" topLeftCell="A16" zoomScale="70" zoomScaleNormal="70" workbookViewId="0">
      <selection activeCell="H27" sqref="H2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465" t="s">
        <v>878</v>
      </c>
      <c r="C1" s="7466"/>
      <c r="D1" s="746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4" t="s">
        <v>3676</v>
      </c>
      <c r="D10" s="151" t="s">
        <v>4373</v>
      </c>
    </row>
    <row r="11" spans="1:4" ht="30" customHeight="1" x14ac:dyDescent="0.2">
      <c r="A11" s="218"/>
      <c r="B11" s="149">
        <v>4000000</v>
      </c>
      <c r="C11" s="503" t="s">
        <v>4119</v>
      </c>
      <c r="D11" s="151" t="s">
        <v>4680</v>
      </c>
    </row>
    <row r="12" spans="1:4" ht="30" customHeight="1" x14ac:dyDescent="0.2">
      <c r="A12" s="218"/>
      <c r="B12" s="149">
        <v>3000000</v>
      </c>
      <c r="C12" s="3382" t="s">
        <v>4540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>
        <v>10000000</v>
      </c>
      <c r="C14" s="503" t="s">
        <v>6440</v>
      </c>
      <c r="D14" s="151" t="s">
        <v>6832</v>
      </c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7465" t="s">
        <v>1754</v>
      </c>
      <c r="C17" s="7466"/>
      <c r="D17" s="7467"/>
    </row>
    <row r="18" spans="1:4" ht="30" customHeight="1" x14ac:dyDescent="0.2">
      <c r="A18" s="136">
        <v>1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2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3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4</v>
      </c>
      <c r="B21" s="149">
        <v>1175000</v>
      </c>
      <c r="C21" s="132" t="s">
        <v>4060</v>
      </c>
      <c r="D21" s="151" t="s">
        <v>2744</v>
      </c>
    </row>
    <row r="22" spans="1:4" ht="30" customHeight="1" x14ac:dyDescent="0.2">
      <c r="A22" s="136">
        <v>5</v>
      </c>
      <c r="B22" s="149">
        <v>1400000</v>
      </c>
      <c r="C22" s="132" t="s">
        <v>4361</v>
      </c>
      <c r="D22" s="151" t="s">
        <v>2744</v>
      </c>
    </row>
    <row r="23" spans="1:4" ht="30" customHeight="1" x14ac:dyDescent="0.2">
      <c r="A23" s="136">
        <v>6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7</v>
      </c>
      <c r="B24" s="149">
        <v>1650000</v>
      </c>
      <c r="C24" s="132" t="s">
        <v>1649</v>
      </c>
      <c r="D24" s="151" t="s">
        <v>2744</v>
      </c>
    </row>
    <row r="25" spans="1:4" ht="30" customHeight="1" x14ac:dyDescent="0.2">
      <c r="A25" s="218">
        <v>8</v>
      </c>
      <c r="B25" s="5184">
        <v>1650000</v>
      </c>
      <c r="C25" s="5192" t="s">
        <v>6251</v>
      </c>
      <c r="D25" s="151" t="s">
        <v>2744</v>
      </c>
    </row>
    <row r="26" spans="1:4" ht="30" customHeight="1" x14ac:dyDescent="0.2">
      <c r="A26" s="218">
        <v>9</v>
      </c>
      <c r="B26" s="5184">
        <v>1916000</v>
      </c>
      <c r="C26" s="5192" t="s">
        <v>6828</v>
      </c>
      <c r="D26" s="151" t="s">
        <v>2744</v>
      </c>
    </row>
    <row r="27" spans="1:4" ht="30" customHeight="1" thickBot="1" x14ac:dyDescent="0.25">
      <c r="A27" s="98" t="s">
        <v>876</v>
      </c>
      <c r="B27" s="153">
        <f>SUM(B3:B24)</f>
        <v>85228000</v>
      </c>
      <c r="C27" s="154"/>
      <c r="D27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465" t="s">
        <v>882</v>
      </c>
      <c r="C1" s="7466"/>
      <c r="D1" s="746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100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7511" t="s">
        <v>1909</v>
      </c>
      <c r="B1" s="7512"/>
      <c r="C1" s="7512"/>
      <c r="D1" s="7512"/>
      <c r="E1" s="7513"/>
    </row>
    <row r="2" spans="1:5" ht="50.1" customHeight="1" thickBot="1" x14ac:dyDescent="0.25">
      <c r="A2" s="583" t="s">
        <v>0</v>
      </c>
      <c r="B2" s="584" t="s">
        <v>879</v>
      </c>
      <c r="C2" s="7518" t="s">
        <v>1911</v>
      </c>
      <c r="D2" s="7519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7514" t="s">
        <v>1760</v>
      </c>
      <c r="D3" s="7515"/>
      <c r="E3" s="582"/>
    </row>
    <row r="4" spans="1:5" ht="50.1" customHeight="1" x14ac:dyDescent="0.2">
      <c r="A4" s="192">
        <v>2</v>
      </c>
      <c r="B4" s="149">
        <v>650000000</v>
      </c>
      <c r="C4" s="7516" t="s">
        <v>1759</v>
      </c>
      <c r="D4" s="7517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7516" t="s">
        <v>1898</v>
      </c>
      <c r="D5" s="7517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7501" t="s">
        <v>1767</v>
      </c>
      <c r="D6" s="7502"/>
      <c r="E6" s="7503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7504" t="s">
        <v>1754</v>
      </c>
      <c r="B9" s="7505"/>
      <c r="C9" s="7505"/>
      <c r="D9" s="7505"/>
      <c r="E9" s="7506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7470">
        <f>SUM(B11:B29)</f>
        <v>296900000</v>
      </c>
      <c r="C30" s="7493"/>
      <c r="D30" s="7510"/>
      <c r="E30" s="586" t="s">
        <v>1906</v>
      </c>
    </row>
    <row r="31" spans="1:8" ht="39.950000000000003" customHeight="1" thickBot="1" x14ac:dyDescent="0.25">
      <c r="A31" s="186" t="s">
        <v>1907</v>
      </c>
      <c r="B31" s="7507">
        <f>B30-B13-B14-B15</f>
        <v>261900000</v>
      </c>
      <c r="C31" s="7508"/>
      <c r="D31" s="7509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7511" t="s">
        <v>1900</v>
      </c>
      <c r="B34" s="7512"/>
      <c r="C34" s="7512"/>
      <c r="D34" s="7512"/>
      <c r="E34" s="7513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7499">
        <f>D35+D36+D37+D38</f>
        <v>262330000</v>
      </c>
      <c r="C39" s="7499"/>
      <c r="D39" s="7499"/>
      <c r="E39" s="7500"/>
    </row>
    <row r="40" spans="1:5" ht="50.1" customHeight="1" x14ac:dyDescent="0.2">
      <c r="A40" s="572" t="s">
        <v>1904</v>
      </c>
      <c r="B40" s="7499">
        <f>B31</f>
        <v>261900000</v>
      </c>
      <c r="C40" s="7499"/>
      <c r="D40" s="7499"/>
      <c r="E40" s="7500"/>
    </row>
    <row r="41" spans="1:5" ht="50.1" customHeight="1" thickBot="1" x14ac:dyDescent="0.25">
      <c r="A41" s="573" t="s">
        <v>1905</v>
      </c>
      <c r="B41" s="7497">
        <f>B39-B40</f>
        <v>430000</v>
      </c>
      <c r="C41" s="7497"/>
      <c r="D41" s="7497"/>
      <c r="E41" s="7498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7504" t="s">
        <v>2603</v>
      </c>
      <c r="B44" s="7505"/>
      <c r="C44" s="7505"/>
      <c r="D44" s="7505"/>
      <c r="E44" s="7506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7461" t="s">
        <v>3019</v>
      </c>
      <c r="D47" s="7520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7507">
        <f>SUM(B46:B64)</f>
        <v>160000000</v>
      </c>
      <c r="C65" s="7508"/>
      <c r="D65" s="7509"/>
      <c r="E65" s="590"/>
    </row>
    <row r="68" spans="1:5" ht="15" thickBot="1" x14ac:dyDescent="0.25"/>
    <row r="69" spans="1:5" ht="50.1" customHeight="1" x14ac:dyDescent="0.2">
      <c r="A69" s="7511" t="s">
        <v>1900</v>
      </c>
      <c r="B69" s="7512"/>
      <c r="C69" s="7512"/>
      <c r="D69" s="7512"/>
      <c r="E69" s="7513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7499">
        <f>D70</f>
        <v>160000000</v>
      </c>
      <c r="C74" s="7499"/>
      <c r="D74" s="7499"/>
      <c r="E74" s="7500"/>
    </row>
    <row r="75" spans="1:5" ht="50.1" customHeight="1" x14ac:dyDescent="0.2">
      <c r="A75" s="572" t="s">
        <v>1904</v>
      </c>
      <c r="B75" s="7499">
        <f>B65</f>
        <v>160000000</v>
      </c>
      <c r="C75" s="7499"/>
      <c r="D75" s="7499"/>
      <c r="E75" s="7500"/>
    </row>
    <row r="76" spans="1:5" ht="50.1" customHeight="1" thickBot="1" x14ac:dyDescent="0.25">
      <c r="A76" s="573" t="s">
        <v>4620</v>
      </c>
      <c r="B76" s="7497">
        <f>B74-B75</f>
        <v>0</v>
      </c>
      <c r="C76" s="7497"/>
      <c r="D76" s="7497"/>
      <c r="E76" s="7498"/>
    </row>
    <row r="80" spans="1:5" ht="15" thickBot="1" x14ac:dyDescent="0.25"/>
    <row r="81" spans="1:8" ht="50.1" customHeight="1" thickBot="1" x14ac:dyDescent="0.25">
      <c r="A81" s="7504" t="s">
        <v>3734</v>
      </c>
      <c r="B81" s="7505"/>
      <c r="C81" s="7505"/>
      <c r="D81" s="7505"/>
      <c r="E81" s="7506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4"/>
      <c r="C83" s="1810"/>
      <c r="D83" s="1810"/>
      <c r="E83" s="582"/>
    </row>
    <row r="84" spans="1:8" ht="39.950000000000003" customHeight="1" x14ac:dyDescent="0.2">
      <c r="A84" s="1085">
        <v>2</v>
      </c>
      <c r="B84" s="1803"/>
      <c r="C84" s="1388"/>
      <c r="D84" s="1810"/>
      <c r="E84" s="581"/>
    </row>
    <row r="85" spans="1:8" ht="39.950000000000003" customHeight="1" x14ac:dyDescent="0.2">
      <c r="A85" s="596">
        <v>3</v>
      </c>
      <c r="B85" s="1803"/>
      <c r="C85" s="1800"/>
      <c r="D85" s="1802"/>
      <c r="E85" s="586"/>
    </row>
    <row r="86" spans="1:8" ht="39.950000000000003" customHeight="1" x14ac:dyDescent="0.2">
      <c r="A86" s="596">
        <v>4</v>
      </c>
      <c r="B86" s="1803"/>
      <c r="C86" s="1800"/>
      <c r="D86" s="1802"/>
      <c r="E86" s="581"/>
    </row>
    <row r="87" spans="1:8" ht="39.950000000000003" customHeight="1" x14ac:dyDescent="0.2">
      <c r="A87" s="596">
        <v>5</v>
      </c>
      <c r="B87" s="1803"/>
      <c r="C87" s="1800"/>
      <c r="D87" s="1802"/>
      <c r="E87" s="581"/>
    </row>
    <row r="88" spans="1:8" ht="39.950000000000003" customHeight="1" x14ac:dyDescent="0.2">
      <c r="A88" s="596">
        <v>6</v>
      </c>
      <c r="B88" s="1803"/>
      <c r="C88" s="1800"/>
      <c r="D88" s="1802"/>
      <c r="E88" s="581"/>
    </row>
    <row r="89" spans="1:8" ht="39.950000000000003" customHeight="1" x14ac:dyDescent="0.2">
      <c r="A89" s="596">
        <v>7</v>
      </c>
      <c r="B89" s="1804">
        <v>23000000</v>
      </c>
      <c r="C89" s="1810" t="s">
        <v>3676</v>
      </c>
      <c r="D89" s="1810" t="s">
        <v>1937</v>
      </c>
      <c r="E89" s="581"/>
    </row>
    <row r="90" spans="1:8" ht="39.950000000000003" customHeight="1" x14ac:dyDescent="0.2">
      <c r="A90" s="596">
        <v>8</v>
      </c>
      <c r="B90" s="1803">
        <v>10000000</v>
      </c>
      <c r="C90" s="1810" t="s">
        <v>3676</v>
      </c>
      <c r="D90" s="1810" t="s">
        <v>1937</v>
      </c>
      <c r="E90" s="581"/>
    </row>
    <row r="91" spans="1:8" ht="39.950000000000003" customHeight="1" x14ac:dyDescent="0.2">
      <c r="A91" s="596">
        <v>9</v>
      </c>
      <c r="B91" s="1803">
        <v>17000000</v>
      </c>
      <c r="C91" s="1800" t="s">
        <v>3676</v>
      </c>
      <c r="D91" s="1802" t="s">
        <v>537</v>
      </c>
      <c r="E91" s="581"/>
    </row>
    <row r="92" spans="1:8" ht="39.950000000000003" customHeight="1" x14ac:dyDescent="0.2">
      <c r="A92" s="596">
        <v>10</v>
      </c>
      <c r="B92" s="1803">
        <v>10000000</v>
      </c>
      <c r="C92" s="1800" t="s">
        <v>3731</v>
      </c>
      <c r="D92" s="1802" t="s">
        <v>537</v>
      </c>
      <c r="E92" s="581"/>
    </row>
    <row r="93" spans="1:8" ht="39.950000000000003" customHeight="1" x14ac:dyDescent="0.2">
      <c r="A93" s="440">
        <v>11</v>
      </c>
      <c r="B93" s="1804">
        <v>12000000</v>
      </c>
      <c r="C93" s="1810" t="s">
        <v>3731</v>
      </c>
      <c r="D93" s="1793" t="s">
        <v>1937</v>
      </c>
      <c r="E93" s="581"/>
    </row>
    <row r="94" spans="1:8" ht="39.950000000000003" customHeight="1" x14ac:dyDescent="0.2">
      <c r="A94" s="1083"/>
      <c r="B94" s="1804"/>
      <c r="C94" s="1810"/>
      <c r="D94" s="1804"/>
      <c r="E94" s="581"/>
    </row>
    <row r="95" spans="1:8" ht="39.950000000000003" customHeight="1" x14ac:dyDescent="0.2">
      <c r="A95" s="1083"/>
      <c r="B95" s="1804"/>
      <c r="C95" s="1810"/>
      <c r="D95" s="1804"/>
      <c r="E95" s="581"/>
      <c r="H95" s="402"/>
    </row>
    <row r="96" spans="1:8" ht="39.950000000000003" customHeight="1" x14ac:dyDescent="0.2">
      <c r="A96" s="1083"/>
      <c r="B96" s="1804"/>
      <c r="C96" s="1810"/>
      <c r="D96" s="1804"/>
      <c r="E96" s="581"/>
      <c r="H96" s="402"/>
    </row>
    <row r="97" spans="1:5" ht="39.950000000000003" customHeight="1" x14ac:dyDescent="0.2">
      <c r="A97" s="1083"/>
      <c r="B97" s="1804"/>
      <c r="C97" s="1810"/>
      <c r="D97" s="1804"/>
      <c r="E97" s="581"/>
    </row>
    <row r="98" spans="1:5" ht="39.950000000000003" customHeight="1" x14ac:dyDescent="0.2">
      <c r="A98" s="1083"/>
      <c r="B98" s="1804"/>
      <c r="C98" s="1810"/>
      <c r="D98" s="1804"/>
      <c r="E98" s="581"/>
    </row>
    <row r="99" spans="1:5" ht="39.950000000000003" customHeight="1" x14ac:dyDescent="0.2">
      <c r="A99" s="1083"/>
      <c r="B99" s="1804"/>
      <c r="C99" s="1810"/>
      <c r="D99" s="1804"/>
      <c r="E99" s="581"/>
    </row>
    <row r="100" spans="1:5" ht="39.950000000000003" customHeight="1" x14ac:dyDescent="0.2">
      <c r="A100" s="1083"/>
      <c r="B100" s="1804"/>
      <c r="C100" s="1810"/>
      <c r="D100" s="1804"/>
      <c r="E100" s="581"/>
    </row>
    <row r="101" spans="1:5" ht="39.950000000000003" customHeight="1" x14ac:dyDescent="0.2">
      <c r="A101" s="1083"/>
      <c r="B101" s="1804"/>
      <c r="C101" s="1810"/>
      <c r="D101" s="1804"/>
      <c r="E101" s="581"/>
    </row>
    <row r="102" spans="1:5" ht="39.950000000000003" customHeight="1" thickBot="1" x14ac:dyDescent="0.25">
      <c r="A102" s="186" t="s">
        <v>1907</v>
      </c>
      <c r="B102" s="7507">
        <f>SUM(B83:B101)</f>
        <v>72000000</v>
      </c>
      <c r="C102" s="7508"/>
      <c r="D102" s="7509"/>
      <c r="E102" s="590"/>
    </row>
    <row r="105" spans="1:5" ht="15" thickBot="1" x14ac:dyDescent="0.25"/>
    <row r="106" spans="1:5" ht="50.1" customHeight="1" x14ac:dyDescent="0.2">
      <c r="A106" s="7511" t="s">
        <v>1900</v>
      </c>
      <c r="B106" s="7512"/>
      <c r="C106" s="7512"/>
      <c r="D106" s="7512"/>
      <c r="E106" s="7513"/>
    </row>
    <row r="107" spans="1:5" ht="50.1" customHeight="1" x14ac:dyDescent="0.2">
      <c r="A107" s="575">
        <v>1</v>
      </c>
      <c r="B107" s="1804">
        <v>2000000000</v>
      </c>
      <c r="C107" s="567">
        <v>0.08</v>
      </c>
      <c r="D107" s="1804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3"/>
      <c r="C108" s="1086"/>
      <c r="D108" s="1803"/>
      <c r="E108" s="570"/>
    </row>
    <row r="109" spans="1:5" ht="50.1" customHeight="1" x14ac:dyDescent="0.2">
      <c r="A109" s="577">
        <v>3</v>
      </c>
      <c r="B109" s="1803"/>
      <c r="C109" s="567"/>
      <c r="D109" s="1803"/>
      <c r="E109" s="570"/>
    </row>
    <row r="110" spans="1:5" ht="50.1" customHeight="1" x14ac:dyDescent="0.2">
      <c r="A110" s="576">
        <v>4</v>
      </c>
      <c r="B110" s="1807"/>
      <c r="C110" s="568"/>
      <c r="D110" s="1807"/>
      <c r="E110" s="571"/>
    </row>
    <row r="111" spans="1:5" ht="50.1" customHeight="1" x14ac:dyDescent="0.2">
      <c r="A111" s="442" t="s">
        <v>3735</v>
      </c>
      <c r="B111" s="7499">
        <f>D107</f>
        <v>160000000</v>
      </c>
      <c r="C111" s="7499"/>
      <c r="D111" s="7499"/>
      <c r="E111" s="7500"/>
    </row>
    <row r="112" spans="1:5" ht="50.1" customHeight="1" x14ac:dyDescent="0.2">
      <c r="A112" s="572" t="s">
        <v>1904</v>
      </c>
      <c r="B112" s="7499">
        <f>B102</f>
        <v>72000000</v>
      </c>
      <c r="C112" s="7499"/>
      <c r="D112" s="7499"/>
      <c r="E112" s="7500"/>
    </row>
    <row r="113" spans="1:5" ht="50.1" customHeight="1" thickBot="1" x14ac:dyDescent="0.25">
      <c r="A113" s="573" t="s">
        <v>3736</v>
      </c>
      <c r="B113" s="7497">
        <f>B111-B112</f>
        <v>88000000</v>
      </c>
      <c r="C113" s="7497"/>
      <c r="D113" s="7497"/>
      <c r="E113" s="7498"/>
    </row>
  </sheetData>
  <mergeCells count="26">
    <mergeCell ref="B112:E112"/>
    <mergeCell ref="B113:E113"/>
    <mergeCell ref="A81:E81"/>
    <mergeCell ref="B102:D102"/>
    <mergeCell ref="A106:E106"/>
    <mergeCell ref="B111:E111"/>
    <mergeCell ref="B75:E75"/>
    <mergeCell ref="B76:E76"/>
    <mergeCell ref="A44:E44"/>
    <mergeCell ref="B65:D65"/>
    <mergeCell ref="A69:E69"/>
    <mergeCell ref="B74:E74"/>
    <mergeCell ref="C47:D47"/>
    <mergeCell ref="C3:D3"/>
    <mergeCell ref="C4:D4"/>
    <mergeCell ref="C5:D5"/>
    <mergeCell ref="A1:E1"/>
    <mergeCell ref="C2:D2"/>
    <mergeCell ref="B41:E41"/>
    <mergeCell ref="B39:E39"/>
    <mergeCell ref="B40:E40"/>
    <mergeCell ref="C6:E6"/>
    <mergeCell ref="A9:E9"/>
    <mergeCell ref="B31:D31"/>
    <mergeCell ref="B30:D30"/>
    <mergeCell ref="A34:E3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7465" t="s">
        <v>1135</v>
      </c>
      <c r="C1" s="7466"/>
      <c r="D1" s="7467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7511" t="s">
        <v>1177</v>
      </c>
      <c r="B1" s="7512"/>
      <c r="C1" s="7512"/>
      <c r="D1" s="7512"/>
      <c r="E1" s="7512"/>
      <c r="F1" s="7513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7521" t="s">
        <v>1181</v>
      </c>
      <c r="B6" s="7522"/>
      <c r="C6" s="7522"/>
      <c r="D6" s="7522"/>
      <c r="E6" s="7522"/>
      <c r="F6" s="7523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7524"/>
      <c r="B8" s="7524"/>
      <c r="C8" s="7524"/>
      <c r="D8" s="7524"/>
    </row>
    <row r="9" spans="1:6" s="184" customFormat="1" ht="30" customHeight="1" thickBot="1" x14ac:dyDescent="0.25">
      <c r="A9" s="7521" t="s">
        <v>1182</v>
      </c>
      <c r="B9" s="7522"/>
      <c r="C9" s="7522"/>
      <c r="D9" s="7522"/>
      <c r="E9" s="7522"/>
      <c r="F9" s="7523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7521" t="s">
        <v>1183</v>
      </c>
      <c r="B12" s="7522"/>
      <c r="C12" s="7522"/>
      <c r="D12" s="7522"/>
      <c r="E12" s="7522"/>
      <c r="F12" s="7523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7465" t="s">
        <v>1458</v>
      </c>
      <c r="B1" s="7466"/>
      <c r="C1" s="7466"/>
      <c r="D1" s="7467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7525" t="s">
        <v>1459</v>
      </c>
      <c r="D3" s="7526"/>
      <c r="F3" s="366"/>
      <c r="G3" s="366"/>
    </row>
    <row r="4" spans="1:7" ht="50.1" customHeight="1" thickBot="1" x14ac:dyDescent="0.25">
      <c r="A4" s="407"/>
      <c r="B4" s="7465" t="s">
        <v>1462</v>
      </c>
      <c r="C4" s="7466"/>
      <c r="D4" s="7467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7538"/>
      <c r="D8" s="7539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7540" t="s">
        <v>1463</v>
      </c>
      <c r="B10" s="7541"/>
      <c r="C10" s="7541"/>
      <c r="D10" s="7542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7540" t="s">
        <v>1464</v>
      </c>
      <c r="B12" s="7541"/>
      <c r="C12" s="7541"/>
      <c r="D12" s="7542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7540" t="s">
        <v>1470</v>
      </c>
      <c r="B14" s="7541"/>
      <c r="C14" s="7541"/>
      <c r="D14" s="7542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7529" t="s">
        <v>1465</v>
      </c>
      <c r="B16" s="7530"/>
      <c r="C16" s="7530"/>
      <c r="D16" s="7531"/>
      <c r="F16" s="405"/>
      <c r="G16" s="406"/>
    </row>
    <row r="17" spans="1:7" ht="30" customHeight="1" thickBot="1" x14ac:dyDescent="0.25">
      <c r="A17" s="7532"/>
      <c r="B17" s="7533"/>
      <c r="C17" s="7533"/>
      <c r="D17" s="7534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7535" t="s">
        <v>1466</v>
      </c>
      <c r="B19" s="7536"/>
      <c r="C19" s="7536"/>
      <c r="D19" s="7537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7535" t="s">
        <v>1467</v>
      </c>
      <c r="B21" s="7536"/>
      <c r="C21" s="7536"/>
      <c r="D21" s="7537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7535" t="s">
        <v>1468</v>
      </c>
      <c r="B23" s="7536"/>
      <c r="C23" s="7536"/>
      <c r="D23" s="7537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7487" t="s">
        <v>1458</v>
      </c>
      <c r="B25" s="7488"/>
      <c r="C25" s="7488"/>
      <c r="D25" s="7489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7527" t="s">
        <v>1469</v>
      </c>
      <c r="D26" s="7528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7465" t="s">
        <v>1414</v>
      </c>
      <c r="C1" s="7466"/>
      <c r="D1" s="7467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7516" t="s">
        <v>1450</v>
      </c>
      <c r="D3" s="7544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7538" t="s">
        <v>1451</v>
      </c>
      <c r="D24" s="7539"/>
    </row>
    <row r="26" spans="1:4" ht="15" thickBot="1" x14ac:dyDescent="0.25"/>
    <row r="27" spans="1:4" ht="50.1" customHeight="1" thickBot="1" x14ac:dyDescent="0.25">
      <c r="A27" s="404"/>
      <c r="B27" s="7466" t="s">
        <v>1414</v>
      </c>
      <c r="C27" s="7466"/>
      <c r="D27" s="7467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7516" t="s">
        <v>1452</v>
      </c>
      <c r="D29" s="7544"/>
    </row>
    <row r="30" spans="1:4" ht="30" customHeight="1" x14ac:dyDescent="0.2">
      <c r="A30" s="399"/>
      <c r="B30" s="7543" t="s">
        <v>1453</v>
      </c>
      <c r="C30" s="7493"/>
      <c r="D30" s="7471"/>
    </row>
    <row r="31" spans="1:4" ht="27" thickBot="1" x14ac:dyDescent="0.25">
      <c r="A31" s="374" t="s">
        <v>876</v>
      </c>
      <c r="B31" s="191"/>
      <c r="C31" s="7538"/>
      <c r="D31" s="7539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10" sqref="B10:E10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7504" t="s">
        <v>2603</v>
      </c>
      <c r="B2" s="7505"/>
      <c r="C2" s="7505"/>
      <c r="D2" s="7505"/>
      <c r="E2" s="7506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7545" t="s">
        <v>2712</v>
      </c>
      <c r="C8" s="7546"/>
      <c r="D8" s="7546"/>
      <c r="E8" s="7547"/>
    </row>
    <row r="9" spans="1:5" ht="50.1" customHeight="1" x14ac:dyDescent="0.2">
      <c r="A9" s="596">
        <v>5</v>
      </c>
      <c r="B9" s="7470" t="s">
        <v>4720</v>
      </c>
      <c r="C9" s="7493"/>
      <c r="D9" s="7493"/>
      <c r="E9" s="7471"/>
    </row>
    <row r="10" spans="1:5" ht="50.1" customHeight="1" x14ac:dyDescent="0.2">
      <c r="A10" s="596">
        <v>6</v>
      </c>
      <c r="B10" s="5196">
        <v>40000000</v>
      </c>
      <c r="C10" s="5197" t="s">
        <v>6800</v>
      </c>
      <c r="D10" s="5198" t="s">
        <v>1937</v>
      </c>
      <c r="E10" s="5199" t="s">
        <v>6805</v>
      </c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7507">
        <f>SUM(B4:B23)</f>
        <v>83000000</v>
      </c>
      <c r="C24" s="7508"/>
      <c r="D24" s="7509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7548" t="s">
        <v>3784</v>
      </c>
      <c r="B1" s="7549"/>
      <c r="C1" s="7549"/>
      <c r="D1" s="7549"/>
      <c r="E1" s="7549"/>
      <c r="F1" s="7549"/>
      <c r="G1" s="7549"/>
      <c r="H1" s="7549"/>
      <c r="I1" s="7550"/>
    </row>
    <row r="2" spans="1:9" ht="30" customHeight="1" x14ac:dyDescent="0.2">
      <c r="A2" s="596">
        <v>1</v>
      </c>
      <c r="B2" s="1847" t="s">
        <v>1476</v>
      </c>
      <c r="C2" s="1848" t="s">
        <v>1480</v>
      </c>
      <c r="D2" s="1848"/>
      <c r="E2" s="1848" t="s">
        <v>852</v>
      </c>
      <c r="F2" s="1382">
        <v>100000000</v>
      </c>
      <c r="G2" s="1829">
        <v>5.5E-2</v>
      </c>
      <c r="H2" s="1828">
        <v>167000000</v>
      </c>
      <c r="I2" s="1849"/>
    </row>
    <row r="3" spans="1:9" ht="30" customHeight="1" x14ac:dyDescent="0.2">
      <c r="A3" s="596">
        <v>2</v>
      </c>
      <c r="B3" s="1847" t="s">
        <v>1486</v>
      </c>
      <c r="C3" s="1848" t="s">
        <v>1481</v>
      </c>
      <c r="D3" s="1848"/>
      <c r="E3" s="1848" t="s">
        <v>852</v>
      </c>
      <c r="F3" s="1382">
        <v>20000000</v>
      </c>
      <c r="G3" s="1829">
        <v>0.05</v>
      </c>
      <c r="H3" s="1828"/>
      <c r="I3" s="1849"/>
    </row>
    <row r="4" spans="1:9" ht="30" customHeight="1" x14ac:dyDescent="0.2">
      <c r="A4" s="596">
        <v>3</v>
      </c>
      <c r="B4" s="1847" t="s">
        <v>1477</v>
      </c>
      <c r="C4" s="1848" t="s">
        <v>1482</v>
      </c>
      <c r="D4" s="1848"/>
      <c r="E4" s="1848" t="s">
        <v>852</v>
      </c>
      <c r="F4" s="1382">
        <v>50000000</v>
      </c>
      <c r="G4" s="1829">
        <v>0.05</v>
      </c>
      <c r="H4" s="1828"/>
      <c r="I4" s="1849"/>
    </row>
    <row r="5" spans="1:9" ht="30" customHeight="1" x14ac:dyDescent="0.2">
      <c r="A5" s="596">
        <v>4</v>
      </c>
      <c r="B5" s="1847" t="s">
        <v>1477</v>
      </c>
      <c r="C5" s="1848" t="s">
        <v>1483</v>
      </c>
      <c r="D5" s="1848"/>
      <c r="E5" s="1848" t="s">
        <v>852</v>
      </c>
      <c r="F5" s="1382">
        <v>60000000</v>
      </c>
      <c r="G5" s="1829">
        <v>0.05</v>
      </c>
      <c r="H5" s="1828"/>
      <c r="I5" s="1849"/>
    </row>
    <row r="6" spans="1:9" ht="30" customHeight="1" x14ac:dyDescent="0.2">
      <c r="A6" s="596">
        <v>5</v>
      </c>
      <c r="B6" s="1847" t="s">
        <v>1478</v>
      </c>
      <c r="C6" s="1848" t="s">
        <v>1484</v>
      </c>
      <c r="D6" s="1848"/>
      <c r="E6" s="1848" t="s">
        <v>852</v>
      </c>
      <c r="F6" s="1382">
        <v>100000000</v>
      </c>
      <c r="G6" s="1829">
        <v>7.0000000000000007E-2</v>
      </c>
      <c r="H6" s="1828"/>
      <c r="I6" s="1849"/>
    </row>
    <row r="7" spans="1:9" ht="30" customHeight="1" x14ac:dyDescent="0.2">
      <c r="A7" s="596">
        <v>6</v>
      </c>
      <c r="B7" s="1847" t="s">
        <v>1479</v>
      </c>
      <c r="C7" s="1848" t="s">
        <v>813</v>
      </c>
      <c r="D7" s="1848"/>
      <c r="E7" s="1848" t="s">
        <v>852</v>
      </c>
      <c r="F7" s="1382">
        <v>100000000</v>
      </c>
      <c r="G7" s="1829">
        <v>7.0000000000000007E-2</v>
      </c>
      <c r="H7" s="1828"/>
      <c r="I7" s="1849"/>
    </row>
    <row r="8" spans="1:9" ht="30" customHeight="1" x14ac:dyDescent="0.2">
      <c r="A8" s="596">
        <v>7</v>
      </c>
      <c r="B8" s="1847" t="s">
        <v>1305</v>
      </c>
      <c r="C8" s="1848" t="s">
        <v>3313</v>
      </c>
      <c r="D8" s="1848" t="s">
        <v>3004</v>
      </c>
      <c r="E8" s="1848" t="s">
        <v>852</v>
      </c>
      <c r="F8" s="1382">
        <v>50000000</v>
      </c>
      <c r="G8" s="1829"/>
      <c r="H8" s="1828">
        <v>80000000</v>
      </c>
      <c r="I8" s="1849" t="s">
        <v>3314</v>
      </c>
    </row>
    <row r="9" spans="1:9" ht="50.1" customHeight="1" thickBot="1" x14ac:dyDescent="0.25">
      <c r="A9" s="1850"/>
      <c r="B9" s="1851"/>
      <c r="C9" s="1851"/>
      <c r="D9" s="1851"/>
      <c r="E9" s="1852"/>
      <c r="F9" s="1852"/>
      <c r="G9" s="1852"/>
      <c r="H9" s="1852"/>
      <c r="I9" s="1853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7551" t="s">
        <v>3785</v>
      </c>
      <c r="B11" s="7551"/>
      <c r="C11" s="7551"/>
      <c r="D11" s="7551"/>
      <c r="E11" s="7551"/>
      <c r="F11" s="7551"/>
      <c r="G11" s="7551"/>
      <c r="H11" s="7551"/>
      <c r="I11" s="7551"/>
    </row>
    <row r="12" spans="1:9" ht="50.1" customHeight="1" x14ac:dyDescent="0.2">
      <c r="A12" s="7551" t="s">
        <v>3789</v>
      </c>
      <c r="B12" s="7551"/>
      <c r="C12" s="7551"/>
      <c r="D12" s="7551"/>
      <c r="E12" s="7551"/>
      <c r="F12" s="7551"/>
      <c r="G12" s="7551"/>
      <c r="H12" s="7551"/>
      <c r="I12" s="7551"/>
    </row>
    <row r="13" spans="1:9" ht="50.1" customHeight="1" x14ac:dyDescent="0.2">
      <c r="A13" s="7554" t="s">
        <v>3790</v>
      </c>
      <c r="B13" s="7554"/>
      <c r="C13" s="7554"/>
      <c r="D13" s="7554"/>
      <c r="E13" s="7554"/>
      <c r="F13" s="7554"/>
      <c r="G13" s="7554"/>
      <c r="H13" s="7554"/>
      <c r="I13" s="7554"/>
    </row>
    <row r="14" spans="1:9" ht="50.1" customHeight="1" x14ac:dyDescent="0.2">
      <c r="A14" s="7551" t="s">
        <v>3786</v>
      </c>
      <c r="B14" s="7551"/>
      <c r="C14" s="7551"/>
      <c r="D14" s="7551"/>
      <c r="E14" s="7551"/>
      <c r="F14" s="7551"/>
      <c r="G14" s="7551"/>
      <c r="H14" s="7551"/>
      <c r="I14" s="7551"/>
    </row>
    <row r="15" spans="1:9" ht="50.1" customHeight="1" x14ac:dyDescent="0.2">
      <c r="A15" s="7551" t="s">
        <v>3787</v>
      </c>
      <c r="B15" s="7551"/>
      <c r="C15" s="7551"/>
      <c r="D15" s="7551"/>
      <c r="E15" s="7551"/>
      <c r="F15" s="7551"/>
      <c r="G15" s="7551"/>
      <c r="H15" s="7551"/>
      <c r="I15" s="7551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7548" t="s">
        <v>3883</v>
      </c>
      <c r="B17" s="7549"/>
      <c r="C17" s="7549"/>
      <c r="D17" s="7549"/>
      <c r="E17" s="7549"/>
      <c r="F17" s="7549"/>
      <c r="G17" s="7549"/>
      <c r="H17" s="7549"/>
      <c r="I17" s="7550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19">
        <v>100000000</v>
      </c>
      <c r="G18" s="435">
        <v>7.0000000000000007E-2</v>
      </c>
      <c r="H18" s="1987">
        <v>184000000</v>
      </c>
      <c r="I18" s="1849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19">
        <v>20000000</v>
      </c>
      <c r="G19" s="435">
        <v>0.05</v>
      </c>
      <c r="H19" s="1987">
        <v>32000000</v>
      </c>
      <c r="I19" s="1849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19">
        <v>225000000</v>
      </c>
      <c r="G20" s="435">
        <v>7.0000000000000007E-2</v>
      </c>
      <c r="H20" s="1987">
        <v>319500000</v>
      </c>
      <c r="I20" s="1849"/>
    </row>
    <row r="21" spans="1:9" ht="30" customHeight="1" x14ac:dyDescent="0.2">
      <c r="A21" s="596">
        <v>4</v>
      </c>
      <c r="B21" s="110" t="s">
        <v>1477</v>
      </c>
      <c r="C21" s="1706" t="s">
        <v>1482</v>
      </c>
      <c r="D21" s="1706"/>
      <c r="E21" s="1706" t="s">
        <v>852</v>
      </c>
      <c r="F21" s="1827">
        <v>50000000</v>
      </c>
      <c r="G21" s="40">
        <v>0.05</v>
      </c>
      <c r="H21" s="7552" t="s">
        <v>3794</v>
      </c>
      <c r="I21" s="7553"/>
    </row>
    <row r="22" spans="1:9" ht="30" customHeight="1" x14ac:dyDescent="0.2">
      <c r="A22" s="596">
        <v>5</v>
      </c>
      <c r="B22" s="110" t="s">
        <v>1477</v>
      </c>
      <c r="C22" s="1706" t="s">
        <v>1483</v>
      </c>
      <c r="D22" s="1706"/>
      <c r="E22" s="1706" t="s">
        <v>852</v>
      </c>
      <c r="F22" s="1827">
        <v>60000000</v>
      </c>
      <c r="G22" s="40">
        <v>0.05</v>
      </c>
      <c r="H22" s="7552" t="s">
        <v>3794</v>
      </c>
      <c r="I22" s="7553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19">
        <v>100000000</v>
      </c>
      <c r="G23" s="435">
        <v>7.0000000000000007E-2</v>
      </c>
      <c r="H23" s="1987">
        <v>184000000</v>
      </c>
      <c r="I23" s="1849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19">
        <v>100000000</v>
      </c>
      <c r="G24" s="435">
        <v>7.0000000000000007E-2</v>
      </c>
      <c r="H24" s="1987">
        <v>184000000</v>
      </c>
      <c r="I24" s="1849"/>
    </row>
    <row r="25" spans="1:9" ht="30" customHeight="1" x14ac:dyDescent="0.2">
      <c r="A25" s="596">
        <v>8</v>
      </c>
      <c r="B25" s="110" t="s">
        <v>1305</v>
      </c>
      <c r="C25" s="1706" t="s">
        <v>3313</v>
      </c>
      <c r="D25" s="1706" t="s">
        <v>3004</v>
      </c>
      <c r="E25" s="1706" t="s">
        <v>852</v>
      </c>
      <c r="F25" s="1902">
        <v>50000000</v>
      </c>
      <c r="G25" s="40"/>
      <c r="H25" s="1902">
        <v>80000000</v>
      </c>
      <c r="I25" s="1922" t="s">
        <v>3877</v>
      </c>
    </row>
    <row r="26" spans="1:9" ht="50.1" customHeight="1" thickBot="1" x14ac:dyDescent="0.25">
      <c r="A26" s="1850"/>
      <c r="B26" s="1851"/>
      <c r="C26" s="1851"/>
      <c r="D26" s="1851"/>
      <c r="E26" s="1852"/>
      <c r="F26" s="1923">
        <f>1036000000-H26</f>
        <v>132500000</v>
      </c>
      <c r="G26" s="1924"/>
      <c r="H26" s="1992">
        <f>H18+H19+H20+H23+H24</f>
        <v>903500000</v>
      </c>
      <c r="I26" s="1925">
        <f>1027500000-F26</f>
        <v>895000000</v>
      </c>
    </row>
    <row r="30" spans="1:9" ht="15" thickBot="1" x14ac:dyDescent="0.25"/>
    <row r="31" spans="1:9" ht="50.1" customHeight="1" x14ac:dyDescent="0.2">
      <c r="A31" s="7548" t="s">
        <v>5496</v>
      </c>
      <c r="B31" s="7549"/>
      <c r="C31" s="7549"/>
      <c r="D31" s="7549"/>
      <c r="E31" s="7549"/>
      <c r="F31" s="7549"/>
      <c r="G31" s="7549"/>
      <c r="H31" s="7549"/>
      <c r="I31" s="7550"/>
    </row>
    <row r="32" spans="1:9" ht="30" customHeight="1" x14ac:dyDescent="0.2">
      <c r="A32" s="596">
        <v>1</v>
      </c>
      <c r="B32" s="3731" t="s">
        <v>1476</v>
      </c>
      <c r="C32" s="919" t="s">
        <v>3362</v>
      </c>
      <c r="D32" s="919" t="s">
        <v>3081</v>
      </c>
      <c r="E32" s="919" t="s">
        <v>852</v>
      </c>
      <c r="F32" s="3718">
        <v>100000000</v>
      </c>
      <c r="G32" s="435">
        <v>7.0000000000000007E-2</v>
      </c>
      <c r="H32" s="3728">
        <v>184000000</v>
      </c>
      <c r="I32" s="1849"/>
    </row>
    <row r="33" spans="1:9" ht="30" customHeight="1" x14ac:dyDescent="0.2">
      <c r="A33" s="596">
        <v>2</v>
      </c>
      <c r="B33" s="2373" t="s">
        <v>1486</v>
      </c>
      <c r="C33" s="1706" t="s">
        <v>1481</v>
      </c>
      <c r="D33" s="1706" t="s">
        <v>3878</v>
      </c>
      <c r="E33" s="1706" t="s">
        <v>5494</v>
      </c>
      <c r="F33" s="3721">
        <v>20000000</v>
      </c>
      <c r="G33" s="2519">
        <v>0.05</v>
      </c>
      <c r="H33" s="3721">
        <v>34000000</v>
      </c>
      <c r="I33" s="3741" t="s">
        <v>5495</v>
      </c>
    </row>
    <row r="34" spans="1:9" ht="30" customHeight="1" x14ac:dyDescent="0.2">
      <c r="A34" s="596">
        <v>3</v>
      </c>
      <c r="B34" s="3731" t="s">
        <v>1486</v>
      </c>
      <c r="C34" s="919" t="s">
        <v>3362</v>
      </c>
      <c r="D34" s="919" t="s">
        <v>3788</v>
      </c>
      <c r="E34" s="919" t="s">
        <v>1525</v>
      </c>
      <c r="F34" s="3718">
        <v>225000000</v>
      </c>
      <c r="G34" s="435">
        <v>7.0000000000000007E-2</v>
      </c>
      <c r="H34" s="3728">
        <v>319500000</v>
      </c>
      <c r="I34" s="1849"/>
    </row>
    <row r="35" spans="1:9" ht="30" customHeight="1" x14ac:dyDescent="0.2">
      <c r="A35" s="596">
        <v>4</v>
      </c>
      <c r="B35" s="2373" t="s">
        <v>1477</v>
      </c>
      <c r="C35" s="1706" t="s">
        <v>1482</v>
      </c>
      <c r="D35" s="1706"/>
      <c r="E35" s="1706" t="s">
        <v>852</v>
      </c>
      <c r="F35" s="3721">
        <v>50000000</v>
      </c>
      <c r="G35" s="2519">
        <v>0.05</v>
      </c>
      <c r="H35" s="7552" t="s">
        <v>3794</v>
      </c>
      <c r="I35" s="7553"/>
    </row>
    <row r="36" spans="1:9" ht="30" customHeight="1" x14ac:dyDescent="0.2">
      <c r="A36" s="596">
        <v>5</v>
      </c>
      <c r="B36" s="2373" t="s">
        <v>1477</v>
      </c>
      <c r="C36" s="1706" t="s">
        <v>1483</v>
      </c>
      <c r="D36" s="1706"/>
      <c r="E36" s="1706" t="s">
        <v>852</v>
      </c>
      <c r="F36" s="3721">
        <v>60000000</v>
      </c>
      <c r="G36" s="2519">
        <v>0.05</v>
      </c>
      <c r="H36" s="7552" t="s">
        <v>3794</v>
      </c>
      <c r="I36" s="7553"/>
    </row>
    <row r="37" spans="1:9" ht="30" customHeight="1" x14ac:dyDescent="0.2">
      <c r="A37" s="596">
        <v>6</v>
      </c>
      <c r="B37" s="3731" t="s">
        <v>1478</v>
      </c>
      <c r="C37" s="919" t="s">
        <v>1484</v>
      </c>
      <c r="D37" s="919" t="s">
        <v>3879</v>
      </c>
      <c r="E37" s="919" t="s">
        <v>852</v>
      </c>
      <c r="F37" s="3718">
        <v>100000000</v>
      </c>
      <c r="G37" s="435">
        <v>7.0000000000000007E-2</v>
      </c>
      <c r="H37" s="3728">
        <v>184000000</v>
      </c>
      <c r="I37" s="1849"/>
    </row>
    <row r="38" spans="1:9" ht="30" customHeight="1" x14ac:dyDescent="0.2">
      <c r="A38" s="596">
        <v>7</v>
      </c>
      <c r="B38" s="3731" t="s">
        <v>1479</v>
      </c>
      <c r="C38" s="919" t="s">
        <v>813</v>
      </c>
      <c r="D38" s="919" t="s">
        <v>3880</v>
      </c>
      <c r="E38" s="919" t="s">
        <v>852</v>
      </c>
      <c r="F38" s="3718">
        <v>100000000</v>
      </c>
      <c r="G38" s="435">
        <v>7.0000000000000007E-2</v>
      </c>
      <c r="H38" s="3728">
        <v>184000000</v>
      </c>
      <c r="I38" s="1849"/>
    </row>
    <row r="39" spans="1:9" ht="30" customHeight="1" x14ac:dyDescent="0.2">
      <c r="A39" s="596">
        <v>8</v>
      </c>
      <c r="B39" s="2373" t="s">
        <v>1305</v>
      </c>
      <c r="C39" s="1706" t="s">
        <v>3313</v>
      </c>
      <c r="D39" s="1706" t="s">
        <v>3004</v>
      </c>
      <c r="E39" s="1706" t="s">
        <v>852</v>
      </c>
      <c r="F39" s="3721">
        <v>50000000</v>
      </c>
      <c r="G39" s="2519"/>
      <c r="H39" s="3721">
        <v>80000000</v>
      </c>
      <c r="I39" s="1922" t="s">
        <v>3877</v>
      </c>
    </row>
    <row r="40" spans="1:9" ht="50.1" customHeight="1" thickBot="1" x14ac:dyDescent="0.25">
      <c r="A40" s="1850"/>
      <c r="B40" s="1851"/>
      <c r="C40" s="1851"/>
      <c r="D40" s="1851"/>
      <c r="E40" s="1852"/>
      <c r="F40" s="1923">
        <f>1036000000-H40</f>
        <v>130500000</v>
      </c>
      <c r="G40" s="1924"/>
      <c r="H40" s="1992">
        <f>H32+H33+H34+H37+H38</f>
        <v>905500000</v>
      </c>
      <c r="I40" s="1925">
        <f>1027500000-F40</f>
        <v>897000000</v>
      </c>
    </row>
  </sheetData>
  <mergeCells count="12">
    <mergeCell ref="A31:I31"/>
    <mergeCell ref="H35:I35"/>
    <mergeCell ref="H36:I36"/>
    <mergeCell ref="A17:I17"/>
    <mergeCell ref="A13:I13"/>
    <mergeCell ref="H21:I21"/>
    <mergeCell ref="H22:I22"/>
    <mergeCell ref="A1:I1"/>
    <mergeCell ref="A11:I11"/>
    <mergeCell ref="A14:I14"/>
    <mergeCell ref="A12:I12"/>
    <mergeCell ref="A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rightToLeft="1" topLeftCell="A31" zoomScale="70" zoomScaleNormal="70" workbookViewId="0">
      <selection activeCell="G45" sqref="G45:G46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7565" t="s">
        <v>1505</v>
      </c>
      <c r="B1" s="7566"/>
      <c r="C1" s="7566"/>
      <c r="D1" s="7566"/>
      <c r="E1" s="7566"/>
      <c r="F1" s="7567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7543" t="s">
        <v>1504</v>
      </c>
      <c r="C7" s="7493"/>
      <c r="D7" s="7493"/>
      <c r="E7" s="7510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7565" t="s">
        <v>1506</v>
      </c>
      <c r="B18" s="7566"/>
      <c r="C18" s="7566"/>
      <c r="D18" s="7566"/>
      <c r="E18" s="7566"/>
      <c r="F18" s="7567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29">
        <v>0.05</v>
      </c>
      <c r="D20" s="2027">
        <f>B20*C20</f>
        <v>8971978</v>
      </c>
      <c r="E20" s="2027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29">
        <v>0.05</v>
      </c>
      <c r="D21" s="2027">
        <f t="shared" ref="D21:D23" si="4">B21*C21</f>
        <v>9270576.9000000004</v>
      </c>
      <c r="E21" s="2027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29">
        <v>0.05</v>
      </c>
      <c r="D22" s="2027">
        <f t="shared" si="4"/>
        <v>9434105.745000001</v>
      </c>
      <c r="E22" s="2027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29">
        <v>0.05</v>
      </c>
      <c r="D23" s="2027">
        <f t="shared" si="4"/>
        <v>9605811.0322500002</v>
      </c>
      <c r="E23" s="2027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7543" t="s">
        <v>1504</v>
      </c>
      <c r="C24" s="7493"/>
      <c r="D24" s="7493"/>
      <c r="E24" s="7510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29">
        <v>0.05</v>
      </c>
      <c r="D25" s="2027">
        <f>B25*C25</f>
        <v>9286101.5838625003</v>
      </c>
      <c r="E25" s="2027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29">
        <v>0.05</v>
      </c>
      <c r="D26" s="2027">
        <f t="shared" ref="D26:D31" si="7">B26*C26</f>
        <v>9450406.6630556267</v>
      </c>
      <c r="E26" s="2027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29">
        <v>0.05</v>
      </c>
      <c r="D27" s="2027">
        <f t="shared" si="7"/>
        <v>9422926.996208407</v>
      </c>
      <c r="E27" s="2027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29">
        <v>0.05</v>
      </c>
      <c r="D28" s="2027">
        <f t="shared" si="7"/>
        <v>9394073.3460188266</v>
      </c>
      <c r="E28" s="2027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29">
        <v>0.05</v>
      </c>
      <c r="D29" s="2027">
        <f t="shared" si="7"/>
        <v>9363777.013319768</v>
      </c>
      <c r="E29" s="2027">
        <f>B29+D29+60000000</f>
        <v>256639317.27971512</v>
      </c>
      <c r="F29" s="450">
        <v>0</v>
      </c>
      <c r="G29" s="7558" t="s">
        <v>3322</v>
      </c>
      <c r="H29" s="7558"/>
      <c r="I29" s="7558"/>
    </row>
    <row r="30" spans="1:9" ht="30" customHeight="1" x14ac:dyDescent="0.2">
      <c r="A30" s="442" t="s">
        <v>1512</v>
      </c>
      <c r="B30" s="448">
        <f t="shared" si="9"/>
        <v>256639317.27971512</v>
      </c>
      <c r="C30" s="2029">
        <v>0.05</v>
      </c>
      <c r="D30" s="2027">
        <f t="shared" si="7"/>
        <v>12831965.863985756</v>
      </c>
      <c r="E30" s="2027">
        <f>B30+D30</f>
        <v>269471283.1437009</v>
      </c>
      <c r="F30" s="450">
        <v>10000000</v>
      </c>
      <c r="G30" s="7558" t="s">
        <v>4239</v>
      </c>
      <c r="H30" s="7558"/>
      <c r="I30" s="7558"/>
    </row>
    <row r="31" spans="1:9" ht="30" customHeight="1" x14ac:dyDescent="0.2">
      <c r="A31" s="2042" t="s">
        <v>1513</v>
      </c>
      <c r="B31" s="2026">
        <f t="shared" si="9"/>
        <v>259471283.1437009</v>
      </c>
      <c r="C31" s="2030">
        <v>0.05</v>
      </c>
      <c r="D31" s="2028">
        <f t="shared" si="7"/>
        <v>12973564.157185046</v>
      </c>
      <c r="E31" s="2028">
        <f t="shared" si="8"/>
        <v>272444847.30088592</v>
      </c>
      <c r="F31" s="2043">
        <v>10000000</v>
      </c>
      <c r="G31" s="7558" t="s">
        <v>4240</v>
      </c>
      <c r="H31" s="7558"/>
      <c r="I31" s="7558"/>
    </row>
    <row r="32" spans="1:9" ht="30" customHeight="1" x14ac:dyDescent="0.2">
      <c r="A32" s="442" t="s">
        <v>4233</v>
      </c>
      <c r="B32" s="2041">
        <f>E31-F31</f>
        <v>262444847.30088592</v>
      </c>
      <c r="C32" s="2031">
        <v>0.05</v>
      </c>
      <c r="D32" s="2028">
        <f t="shared" ref="D32:D39" si="10">B32*C32</f>
        <v>13122242.365044296</v>
      </c>
      <c r="E32" s="2028">
        <f t="shared" ref="E32:E39" si="11">B32+D32</f>
        <v>275567089.66593021</v>
      </c>
      <c r="F32" s="766">
        <v>10000000</v>
      </c>
      <c r="G32" s="7557" t="s">
        <v>4312</v>
      </c>
      <c r="H32" s="7558"/>
      <c r="I32" s="7558"/>
    </row>
    <row r="33" spans="1:9" ht="30" customHeight="1" x14ac:dyDescent="0.2">
      <c r="A33" s="2048" t="s">
        <v>4234</v>
      </c>
      <c r="B33" s="2033">
        <f>E32-F32</f>
        <v>265567089.66593021</v>
      </c>
      <c r="C33" s="2031">
        <v>0.05</v>
      </c>
      <c r="D33" s="2027">
        <f t="shared" si="10"/>
        <v>13278354.483296512</v>
      </c>
      <c r="E33" s="2027">
        <f t="shared" si="11"/>
        <v>278845444.14922673</v>
      </c>
      <c r="F33" s="2043">
        <v>10000000</v>
      </c>
      <c r="G33" s="7557" t="s">
        <v>5627</v>
      </c>
      <c r="H33" s="7558"/>
      <c r="I33" s="7558"/>
    </row>
    <row r="34" spans="1:9" ht="30" customHeight="1" x14ac:dyDescent="0.2">
      <c r="A34" s="442" t="s">
        <v>4235</v>
      </c>
      <c r="B34" s="3858">
        <f t="shared" ref="B34:B35" si="12">E33-F33</f>
        <v>268845444.14922673</v>
      </c>
      <c r="C34" s="2031">
        <v>0.05</v>
      </c>
      <c r="D34" s="2027">
        <f t="shared" si="10"/>
        <v>13442272.207461337</v>
      </c>
      <c r="E34" s="2027">
        <f t="shared" si="11"/>
        <v>282287716.35668808</v>
      </c>
      <c r="F34" s="2043">
        <v>10000000</v>
      </c>
      <c r="G34" s="7557" t="s">
        <v>5628</v>
      </c>
      <c r="H34" s="7558"/>
      <c r="I34" s="7558"/>
    </row>
    <row r="35" spans="1:9" ht="30" customHeight="1" x14ac:dyDescent="0.2">
      <c r="A35" s="442" t="s">
        <v>4236</v>
      </c>
      <c r="B35" s="3858">
        <f t="shared" si="12"/>
        <v>272287716.35668808</v>
      </c>
      <c r="C35" s="2031">
        <v>0.05</v>
      </c>
      <c r="D35" s="2027">
        <f t="shared" si="10"/>
        <v>13614385.817834405</v>
      </c>
      <c r="E35" s="2027">
        <f t="shared" si="11"/>
        <v>285902102.17452246</v>
      </c>
      <c r="F35" s="2043">
        <v>10000000</v>
      </c>
      <c r="G35" s="7557" t="s">
        <v>6770</v>
      </c>
      <c r="H35" s="7558"/>
      <c r="I35" s="7558"/>
    </row>
    <row r="36" spans="1:9" ht="30" customHeight="1" x14ac:dyDescent="0.2">
      <c r="A36" s="442" t="s">
        <v>4237</v>
      </c>
      <c r="B36" s="2026">
        <f>E35-F35</f>
        <v>275902102.17452246</v>
      </c>
      <c r="C36" s="2031">
        <v>0.05</v>
      </c>
      <c r="D36" s="2027">
        <f t="shared" si="10"/>
        <v>13795105.108726123</v>
      </c>
      <c r="E36" s="2027">
        <f t="shared" si="11"/>
        <v>289697207.2832486</v>
      </c>
      <c r="F36" s="2043">
        <v>10000000</v>
      </c>
      <c r="G36" s="7557" t="s">
        <v>6771</v>
      </c>
      <c r="H36" s="7558"/>
      <c r="I36" s="7558"/>
    </row>
    <row r="37" spans="1:9" ht="30" customHeight="1" thickBot="1" x14ac:dyDescent="0.25">
      <c r="A37" s="449" t="s">
        <v>4238</v>
      </c>
      <c r="B37" s="2044">
        <f>E36-F36</f>
        <v>279697207.2832486</v>
      </c>
      <c r="C37" s="5834">
        <v>0.05</v>
      </c>
      <c r="D37" s="5825">
        <f t="shared" si="10"/>
        <v>13984860.36416243</v>
      </c>
      <c r="E37" s="5825">
        <f t="shared" si="11"/>
        <v>293682067.64741105</v>
      </c>
      <c r="F37" s="5828">
        <v>10000000</v>
      </c>
      <c r="G37" s="7557" t="s">
        <v>7308</v>
      </c>
      <c r="H37" s="7558"/>
      <c r="I37" s="7558"/>
    </row>
    <row r="38" spans="1:9" ht="30" customHeight="1" x14ac:dyDescent="0.2">
      <c r="A38" s="1993" t="s">
        <v>8374</v>
      </c>
      <c r="B38" s="5836">
        <f>E37-F37</f>
        <v>283682067.64741105</v>
      </c>
      <c r="C38" s="5834">
        <v>0.05</v>
      </c>
      <c r="D38" s="5825">
        <f t="shared" si="10"/>
        <v>14184103.382370554</v>
      </c>
      <c r="E38" s="5825">
        <f t="shared" si="11"/>
        <v>297866171.02978158</v>
      </c>
      <c r="F38" s="5828">
        <v>10000000</v>
      </c>
      <c r="G38" s="7557" t="s">
        <v>8373</v>
      </c>
      <c r="H38" s="7558"/>
      <c r="I38" s="7558"/>
    </row>
    <row r="39" spans="1:9" ht="30" customHeight="1" x14ac:dyDescent="0.2">
      <c r="A39" s="7555" t="s">
        <v>8375</v>
      </c>
      <c r="B39" s="7559">
        <f>E38-F38</f>
        <v>287866171.02978158</v>
      </c>
      <c r="C39" s="7561">
        <v>0.05</v>
      </c>
      <c r="D39" s="7563">
        <f t="shared" si="10"/>
        <v>14393308.551489079</v>
      </c>
      <c r="E39" s="7563">
        <f t="shared" si="11"/>
        <v>302259479.58127064</v>
      </c>
      <c r="F39" s="5828">
        <v>10000000</v>
      </c>
      <c r="G39" s="7557" t="s">
        <v>8376</v>
      </c>
      <c r="H39" s="7558"/>
      <c r="I39" s="7558"/>
    </row>
    <row r="40" spans="1:9" ht="30" customHeight="1" x14ac:dyDescent="0.2">
      <c r="A40" s="7556"/>
      <c r="B40" s="7560"/>
      <c r="C40" s="7562"/>
      <c r="D40" s="7564"/>
      <c r="E40" s="7564"/>
      <c r="F40" s="7239">
        <v>3000000</v>
      </c>
      <c r="G40" s="7557" t="s">
        <v>8377</v>
      </c>
      <c r="H40" s="7558"/>
      <c r="I40" s="7558"/>
    </row>
    <row r="41" spans="1:9" ht="30" customHeight="1" x14ac:dyDescent="0.2">
      <c r="A41" s="7355"/>
      <c r="B41" s="7279"/>
      <c r="C41" s="7247"/>
      <c r="D41" s="7237"/>
      <c r="E41" s="7237"/>
      <c r="F41" s="7239"/>
      <c r="G41" s="7235"/>
      <c r="H41" s="7235"/>
      <c r="I41" s="7235"/>
    </row>
    <row r="42" spans="1:9" ht="30" customHeight="1" thickBot="1" x14ac:dyDescent="0.25">
      <c r="A42" s="449"/>
      <c r="B42" s="2044"/>
      <c r="C42" s="187"/>
      <c r="D42" s="215"/>
      <c r="E42" s="215"/>
      <c r="F42" s="155"/>
      <c r="G42" s="2040"/>
      <c r="H42" s="2025"/>
    </row>
  </sheetData>
  <mergeCells count="21">
    <mergeCell ref="G37:I37"/>
    <mergeCell ref="G35:I35"/>
    <mergeCell ref="G36:I36"/>
    <mergeCell ref="A1:F1"/>
    <mergeCell ref="A18:F18"/>
    <mergeCell ref="B24:E24"/>
    <mergeCell ref="G30:I30"/>
    <mergeCell ref="G29:I29"/>
    <mergeCell ref="G33:I33"/>
    <mergeCell ref="G34:I34"/>
    <mergeCell ref="G31:I31"/>
    <mergeCell ref="B7:E7"/>
    <mergeCell ref="G32:I32"/>
    <mergeCell ref="A39:A40"/>
    <mergeCell ref="G39:I39"/>
    <mergeCell ref="G40:I40"/>
    <mergeCell ref="G38:I38"/>
    <mergeCell ref="B39:B40"/>
    <mergeCell ref="C39:C40"/>
    <mergeCell ref="D39:D40"/>
    <mergeCell ref="E39:E40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"/>
  <sheetViews>
    <sheetView rightToLeft="1" topLeftCell="A149" zoomScale="80" zoomScaleNormal="80" workbookViewId="0">
      <selection activeCell="F178" sqref="F178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7565" t="s">
        <v>2229</v>
      </c>
      <c r="B1" s="7566"/>
      <c r="C1" s="7566"/>
      <c r="D1" s="7566"/>
      <c r="E1" s="7566"/>
      <c r="F1" s="7566"/>
      <c r="G1" s="7566"/>
      <c r="H1" s="7567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7577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7579"/>
      <c r="H3" s="7581" t="s">
        <v>2254</v>
      </c>
    </row>
    <row r="4" spans="1:8" ht="50.1" customHeight="1" x14ac:dyDescent="0.2">
      <c r="A4" s="7578"/>
      <c r="B4" s="149">
        <v>130000000</v>
      </c>
      <c r="C4" s="738" t="s">
        <v>2256</v>
      </c>
      <c r="D4" s="149">
        <v>208000000</v>
      </c>
      <c r="E4" s="753"/>
      <c r="F4" s="752"/>
      <c r="G4" s="7580"/>
      <c r="H4" s="7582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7470">
        <f>F18+D5</f>
        <v>88000000</v>
      </c>
      <c r="C19" s="7493"/>
      <c r="D19" s="7493"/>
      <c r="E19" s="7493"/>
      <c r="F19" s="7493"/>
      <c r="G19" s="7510"/>
      <c r="H19" s="381"/>
    </row>
    <row r="20" spans="1:8" ht="30" customHeight="1" x14ac:dyDescent="0.2">
      <c r="A20" s="745" t="s">
        <v>2252</v>
      </c>
      <c r="B20" s="7470">
        <v>15600000</v>
      </c>
      <c r="C20" s="7493"/>
      <c r="D20" s="7493"/>
      <c r="E20" s="7493"/>
      <c r="F20" s="7493"/>
      <c r="G20" s="7510"/>
      <c r="H20" s="732"/>
    </row>
    <row r="21" spans="1:8" ht="30" customHeight="1" x14ac:dyDescent="0.2">
      <c r="A21" s="745" t="s">
        <v>2253</v>
      </c>
      <c r="B21" s="7570">
        <f>B19+B20</f>
        <v>103600000</v>
      </c>
      <c r="C21" s="7570"/>
      <c r="D21" s="7570"/>
      <c r="E21" s="7570"/>
      <c r="F21" s="7570"/>
      <c r="G21" s="7570"/>
      <c r="H21" s="18" t="s">
        <v>2254</v>
      </c>
    </row>
    <row r="22" spans="1:8" ht="30" customHeight="1" x14ac:dyDescent="0.2">
      <c r="A22" s="7571" t="s">
        <v>2255</v>
      </c>
      <c r="B22" s="7572"/>
      <c r="C22" s="7572"/>
      <c r="D22" s="7572"/>
      <c r="E22" s="7572"/>
      <c r="F22" s="7572"/>
      <c r="G22" s="7572"/>
      <c r="H22" s="7573"/>
    </row>
    <row r="23" spans="1:8" ht="30" customHeight="1" x14ac:dyDescent="0.2">
      <c r="A23" s="7574"/>
      <c r="B23" s="7575"/>
      <c r="C23" s="7575"/>
      <c r="D23" s="7575"/>
      <c r="E23" s="7575"/>
      <c r="F23" s="7575"/>
      <c r="G23" s="7575"/>
      <c r="H23" s="7576"/>
    </row>
    <row r="26" spans="1:8" ht="15" thickBot="1" x14ac:dyDescent="0.25"/>
    <row r="27" spans="1:8" ht="50.1" customHeight="1" thickBot="1" x14ac:dyDescent="0.25">
      <c r="A27" s="7565"/>
      <c r="B27" s="7566"/>
      <c r="C27" s="7566"/>
      <c r="D27" s="7566"/>
      <c r="E27" s="7566"/>
      <c r="F27" s="7566"/>
      <c r="G27" s="7566"/>
      <c r="H27" s="7567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7543" t="s">
        <v>4177</v>
      </c>
      <c r="C29" s="7493"/>
      <c r="D29" s="7493"/>
      <c r="E29" s="7493"/>
      <c r="F29" s="7493"/>
      <c r="G29" s="7510"/>
      <c r="H29" s="450"/>
    </row>
    <row r="30" spans="1:8" ht="30" customHeight="1" x14ac:dyDescent="0.2">
      <c r="A30" s="7568" t="s">
        <v>487</v>
      </c>
      <c r="B30" s="3303">
        <v>130000000</v>
      </c>
      <c r="C30" s="1854" t="s">
        <v>2244</v>
      </c>
      <c r="D30" s="3304">
        <v>208000000</v>
      </c>
      <c r="E30" s="1854">
        <f t="shared" ref="E30:E31" si="2">B30*0.06</f>
        <v>7800000</v>
      </c>
      <c r="F30" s="1854" t="s">
        <v>3547</v>
      </c>
      <c r="G30" s="1854" t="s">
        <v>3976</v>
      </c>
      <c r="H30" s="7581" t="s">
        <v>2254</v>
      </c>
    </row>
    <row r="31" spans="1:8" ht="30" customHeight="1" x14ac:dyDescent="0.2">
      <c r="A31" s="7569"/>
      <c r="B31" s="212">
        <v>130000000</v>
      </c>
      <c r="C31" s="1960" t="s">
        <v>2244</v>
      </c>
      <c r="D31" s="1961">
        <v>208000000</v>
      </c>
      <c r="E31" s="1960">
        <f t="shared" si="2"/>
        <v>7800000</v>
      </c>
      <c r="F31" s="1960" t="s">
        <v>3977</v>
      </c>
      <c r="G31" s="727"/>
      <c r="H31" s="7582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7565" t="s">
        <v>4176</v>
      </c>
      <c r="B36" s="7566"/>
      <c r="C36" s="7566"/>
      <c r="D36" s="7566"/>
      <c r="E36" s="7566"/>
      <c r="F36" s="7566"/>
      <c r="G36" s="7566"/>
      <c r="H36" s="7567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7577" t="s">
        <v>487</v>
      </c>
      <c r="B38" s="149">
        <v>130000000</v>
      </c>
      <c r="C38" s="1996" t="s">
        <v>2256</v>
      </c>
      <c r="D38" s="149">
        <v>208000000</v>
      </c>
      <c r="E38" s="753"/>
      <c r="F38" s="752"/>
      <c r="G38" s="7579"/>
      <c r="H38" s="7581" t="s">
        <v>2254</v>
      </c>
    </row>
    <row r="39" spans="1:8" ht="50.1" customHeight="1" x14ac:dyDescent="0.2">
      <c r="A39" s="7578"/>
      <c r="B39" s="149">
        <v>130000000</v>
      </c>
      <c r="C39" s="1996" t="s">
        <v>2256</v>
      </c>
      <c r="D39" s="149">
        <v>208000000</v>
      </c>
      <c r="E39" s="753"/>
      <c r="F39" s="752"/>
      <c r="G39" s="7580"/>
      <c r="H39" s="7582"/>
    </row>
    <row r="40" spans="1:8" ht="50.1" customHeight="1" x14ac:dyDescent="0.2">
      <c r="A40" s="164" t="s">
        <v>1612</v>
      </c>
      <c r="B40" s="149">
        <v>785000000</v>
      </c>
      <c r="C40" s="2001" t="s">
        <v>2239</v>
      </c>
      <c r="D40" s="2003">
        <f>B40*0.06</f>
        <v>47100000</v>
      </c>
      <c r="E40" s="2003">
        <v>47100000</v>
      </c>
      <c r="F40" s="2003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1" t="s">
        <v>2239</v>
      </c>
      <c r="D41" s="2003">
        <v>11550000</v>
      </c>
      <c r="E41" s="2001">
        <f>B41*0.06</f>
        <v>16500000</v>
      </c>
      <c r="F41" s="1997">
        <f>E41-D41</f>
        <v>4950000</v>
      </c>
      <c r="G41" s="2006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7" t="s">
        <v>2239</v>
      </c>
      <c r="D42" s="2012">
        <f>B42*0.05</f>
        <v>12500000</v>
      </c>
      <c r="E42" s="1995">
        <f>B42*0.065</f>
        <v>16250000</v>
      </c>
      <c r="F42" s="1995">
        <f t="shared" ref="F42:F50" si="3">E42-D42</f>
        <v>3750000</v>
      </c>
      <c r="G42" s="2001"/>
      <c r="H42" s="450"/>
    </row>
    <row r="43" spans="1:8" ht="30" customHeight="1" x14ac:dyDescent="0.2">
      <c r="A43" s="442" t="s">
        <v>2232</v>
      </c>
      <c r="B43" s="212">
        <v>400000000</v>
      </c>
      <c r="C43" s="1997" t="s">
        <v>2239</v>
      </c>
      <c r="D43" s="2003">
        <v>18000000</v>
      </c>
      <c r="E43" s="1997">
        <f t="shared" ref="E43:E49" si="4">B43*0.06</f>
        <v>24000000</v>
      </c>
      <c r="F43" s="1997">
        <f t="shared" si="3"/>
        <v>6000000</v>
      </c>
      <c r="G43" s="2006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7" t="s">
        <v>2239</v>
      </c>
      <c r="D44" s="2003">
        <v>24500000</v>
      </c>
      <c r="E44" s="1997">
        <f t="shared" si="4"/>
        <v>29400000</v>
      </c>
      <c r="F44" s="1997">
        <f t="shared" si="3"/>
        <v>4900000</v>
      </c>
      <c r="G44" s="2006"/>
      <c r="H44" s="737"/>
    </row>
    <row r="45" spans="1:8" ht="30" customHeight="1" x14ac:dyDescent="0.2">
      <c r="A45" s="442" t="s">
        <v>2234</v>
      </c>
      <c r="B45" s="212">
        <v>95000000</v>
      </c>
      <c r="C45" s="1997" t="s">
        <v>2239</v>
      </c>
      <c r="D45" s="2003">
        <v>1800000</v>
      </c>
      <c r="E45" s="1997">
        <f t="shared" si="4"/>
        <v>5700000</v>
      </c>
      <c r="F45" s="1997">
        <f t="shared" si="3"/>
        <v>3900000</v>
      </c>
      <c r="G45" s="2006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7" t="s">
        <v>2239</v>
      </c>
      <c r="D46" s="2003">
        <v>10000000</v>
      </c>
      <c r="E46" s="1997">
        <f t="shared" si="4"/>
        <v>12000000</v>
      </c>
      <c r="F46" s="1997">
        <f t="shared" si="3"/>
        <v>2000000</v>
      </c>
      <c r="G46" s="2006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7" t="s">
        <v>2239</v>
      </c>
      <c r="D47" s="2003">
        <v>4000000</v>
      </c>
      <c r="E47" s="1997">
        <f t="shared" si="4"/>
        <v>6000000</v>
      </c>
      <c r="F47" s="1997">
        <f t="shared" si="3"/>
        <v>2000000</v>
      </c>
      <c r="G47" s="2006"/>
      <c r="H47" s="737"/>
    </row>
    <row r="48" spans="1:8" ht="30" customHeight="1" x14ac:dyDescent="0.2">
      <c r="A48" s="442" t="s">
        <v>2235</v>
      </c>
      <c r="B48" s="212">
        <v>160000000</v>
      </c>
      <c r="C48" s="1997" t="s">
        <v>2239</v>
      </c>
      <c r="D48" s="2003">
        <v>6400000</v>
      </c>
      <c r="E48" s="1997">
        <f t="shared" si="4"/>
        <v>9600000</v>
      </c>
      <c r="F48" s="1997">
        <f t="shared" si="3"/>
        <v>3200000</v>
      </c>
      <c r="G48" s="2006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7" t="s">
        <v>2239</v>
      </c>
      <c r="D49" s="2003">
        <v>6000000</v>
      </c>
      <c r="E49" s="1997">
        <f t="shared" si="4"/>
        <v>9000000</v>
      </c>
      <c r="F49" s="1997">
        <f t="shared" si="3"/>
        <v>3000000</v>
      </c>
      <c r="G49" s="2006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0" t="s">
        <v>2239</v>
      </c>
      <c r="D50" s="2009">
        <v>3200000</v>
      </c>
      <c r="E50" s="2000">
        <f>B50*0.06</f>
        <v>4800000</v>
      </c>
      <c r="F50" s="2000">
        <f t="shared" si="3"/>
        <v>1600000</v>
      </c>
      <c r="G50" s="2005">
        <v>9154435809</v>
      </c>
      <c r="H50" s="741" t="s">
        <v>2245</v>
      </c>
    </row>
    <row r="51" spans="1:8" ht="30" customHeight="1" x14ac:dyDescent="0.2">
      <c r="A51" s="247" t="s">
        <v>2249</v>
      </c>
      <c r="B51" s="1997">
        <v>0</v>
      </c>
      <c r="C51" s="1997"/>
      <c r="D51" s="1997">
        <v>3000000</v>
      </c>
      <c r="E51" s="1997">
        <v>0</v>
      </c>
      <c r="F51" s="1997">
        <v>0</v>
      </c>
      <c r="G51" s="2011"/>
      <c r="H51" s="2011"/>
    </row>
    <row r="52" spans="1:8" ht="30" customHeight="1" x14ac:dyDescent="0.2">
      <c r="A52" s="247" t="s">
        <v>2250</v>
      </c>
      <c r="B52" s="1997">
        <v>0</v>
      </c>
      <c r="C52" s="1997"/>
      <c r="D52" s="1997">
        <v>0</v>
      </c>
      <c r="E52" s="1997">
        <v>0</v>
      </c>
      <c r="F52" s="1997">
        <v>5000000</v>
      </c>
      <c r="G52" s="2011"/>
      <c r="H52" s="2011"/>
    </row>
    <row r="53" spans="1:8" ht="30" customHeight="1" x14ac:dyDescent="0.2">
      <c r="A53" s="247" t="s">
        <v>876</v>
      </c>
      <c r="B53" s="1995">
        <f>SUM(B40:B52)</f>
        <v>2985000000</v>
      </c>
      <c r="C53" s="1997"/>
      <c r="D53" s="1995">
        <f>SUM(D40:D52)</f>
        <v>148050000</v>
      </c>
      <c r="E53" s="1997">
        <f>SUM(E40:E52)</f>
        <v>180350000</v>
      </c>
      <c r="F53" s="744">
        <f>SUM(F40:F52)</f>
        <v>40300000</v>
      </c>
      <c r="G53" s="2011"/>
      <c r="H53" s="2011"/>
    </row>
    <row r="54" spans="1:8" ht="30" customHeight="1" x14ac:dyDescent="0.2">
      <c r="A54" s="247" t="s">
        <v>2251</v>
      </c>
      <c r="B54" s="7470">
        <f>F53+D40</f>
        <v>87400000</v>
      </c>
      <c r="C54" s="7493"/>
      <c r="D54" s="7493"/>
      <c r="E54" s="7493"/>
      <c r="F54" s="7493"/>
      <c r="G54" s="7510"/>
      <c r="H54" s="2011"/>
    </row>
    <row r="55" spans="1:8" ht="30" customHeight="1" x14ac:dyDescent="0.2">
      <c r="A55" s="745" t="s">
        <v>2252</v>
      </c>
      <c r="B55" s="7470">
        <f>15600000-7800000</f>
        <v>7800000</v>
      </c>
      <c r="C55" s="7493"/>
      <c r="D55" s="7493"/>
      <c r="E55" s="7493"/>
      <c r="F55" s="7493"/>
      <c r="G55" s="7510"/>
      <c r="H55" s="1997"/>
    </row>
    <row r="56" spans="1:8" ht="30" customHeight="1" x14ac:dyDescent="0.2">
      <c r="A56" s="745" t="s">
        <v>2253</v>
      </c>
      <c r="B56" s="7570">
        <f>B54+B55</f>
        <v>95200000</v>
      </c>
      <c r="C56" s="7570"/>
      <c r="D56" s="7570"/>
      <c r="E56" s="7570"/>
      <c r="F56" s="7570"/>
      <c r="G56" s="7570"/>
      <c r="H56" s="18" t="s">
        <v>2254</v>
      </c>
    </row>
    <row r="57" spans="1:8" ht="30" customHeight="1" x14ac:dyDescent="0.2">
      <c r="A57" s="7571" t="s">
        <v>2255</v>
      </c>
      <c r="B57" s="7572"/>
      <c r="C57" s="7572"/>
      <c r="D57" s="7572"/>
      <c r="E57" s="7572"/>
      <c r="F57" s="7572"/>
      <c r="G57" s="7572"/>
      <c r="H57" s="7573"/>
    </row>
    <row r="58" spans="1:8" ht="30" customHeight="1" x14ac:dyDescent="0.2">
      <c r="A58" s="7574"/>
      <c r="B58" s="7575"/>
      <c r="C58" s="7575"/>
      <c r="D58" s="7575"/>
      <c r="E58" s="7575"/>
      <c r="F58" s="7575"/>
      <c r="G58" s="7575"/>
      <c r="H58" s="7576"/>
    </row>
    <row r="63" spans="1:8" ht="15" thickBot="1" x14ac:dyDescent="0.25"/>
    <row r="64" spans="1:8" ht="50.1" customHeight="1" thickBot="1" x14ac:dyDescent="0.25">
      <c r="A64" s="7565" t="s">
        <v>5158</v>
      </c>
      <c r="B64" s="7566"/>
      <c r="C64" s="7566"/>
      <c r="D64" s="7566"/>
      <c r="E64" s="7566"/>
      <c r="F64" s="7566"/>
      <c r="G64" s="7566"/>
      <c r="H64" s="7567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7577" t="s">
        <v>487</v>
      </c>
      <c r="B66" s="400">
        <v>130000000</v>
      </c>
      <c r="C66" s="401" t="s">
        <v>2256</v>
      </c>
      <c r="D66" s="400">
        <v>208000000</v>
      </c>
      <c r="E66" s="3305"/>
      <c r="F66" s="3306"/>
      <c r="G66" s="7579"/>
      <c r="H66" s="7581" t="s">
        <v>2254</v>
      </c>
    </row>
    <row r="67" spans="1:8" ht="50.1" customHeight="1" x14ac:dyDescent="0.2">
      <c r="A67" s="7578"/>
      <c r="B67" s="149">
        <v>130000000</v>
      </c>
      <c r="C67" s="3258" t="s">
        <v>2256</v>
      </c>
      <c r="D67" s="149">
        <v>208000000</v>
      </c>
      <c r="E67" s="753"/>
      <c r="F67" s="752"/>
      <c r="G67" s="7580"/>
      <c r="H67" s="7582"/>
    </row>
    <row r="68" spans="1:8" ht="50.1" customHeight="1" x14ac:dyDescent="0.2">
      <c r="A68" s="7583" t="s">
        <v>1612</v>
      </c>
      <c r="B68" s="156">
        <v>785000000</v>
      </c>
      <c r="C68" s="7563" t="s">
        <v>2239</v>
      </c>
      <c r="D68" s="597">
        <f>B68*0.06</f>
        <v>47100000</v>
      </c>
      <c r="E68" s="597">
        <v>47100000</v>
      </c>
      <c r="F68" s="3265">
        <v>0</v>
      </c>
      <c r="G68" s="164"/>
      <c r="H68" s="739" t="s">
        <v>877</v>
      </c>
    </row>
    <row r="69" spans="1:8" ht="30" customHeight="1" x14ac:dyDescent="0.2">
      <c r="A69" s="7584"/>
      <c r="B69" s="156">
        <v>77200000</v>
      </c>
      <c r="C69" s="7586"/>
      <c r="D69" s="597">
        <f>B69*0.065</f>
        <v>5018000</v>
      </c>
      <c r="E69" s="597">
        <v>5018000</v>
      </c>
      <c r="F69" s="3265">
        <v>0</v>
      </c>
      <c r="G69" s="3258"/>
      <c r="H69" s="739" t="s">
        <v>5159</v>
      </c>
    </row>
    <row r="70" spans="1:8" ht="30" customHeight="1" x14ac:dyDescent="0.2">
      <c r="A70" s="7584"/>
      <c r="B70" s="156">
        <v>97800000</v>
      </c>
      <c r="C70" s="7586"/>
      <c r="D70" s="597">
        <f t="shared" ref="D70" si="5">B70*0.065</f>
        <v>6357000</v>
      </c>
      <c r="E70" s="597">
        <v>6357000</v>
      </c>
      <c r="F70" s="3265">
        <v>0</v>
      </c>
      <c r="G70" s="3258"/>
      <c r="H70" s="739" t="s">
        <v>5160</v>
      </c>
    </row>
    <row r="71" spans="1:8" ht="30" customHeight="1" x14ac:dyDescent="0.2">
      <c r="A71" s="7585"/>
      <c r="B71" s="400">
        <f>SUM(B68:B70)</f>
        <v>960000000</v>
      </c>
      <c r="C71" s="7564"/>
      <c r="D71" s="3304">
        <f>D68+D69+D70</f>
        <v>58475000</v>
      </c>
      <c r="E71" s="3304">
        <f>E68+E69+E70</f>
        <v>58475000</v>
      </c>
      <c r="F71" s="3265">
        <v>0</v>
      </c>
      <c r="G71" s="3258"/>
      <c r="H71" s="739"/>
    </row>
    <row r="72" spans="1:8" ht="30" customHeight="1" x14ac:dyDescent="0.2">
      <c r="A72" s="443" t="s">
        <v>2231</v>
      </c>
      <c r="B72" s="149">
        <v>275000000</v>
      </c>
      <c r="C72" s="3260" t="s">
        <v>2239</v>
      </c>
      <c r="D72" s="3265">
        <v>11550000</v>
      </c>
      <c r="E72" s="3260">
        <f>B72*0.06</f>
        <v>16500000</v>
      </c>
      <c r="F72" s="3266">
        <f>E72-D72</f>
        <v>4950000</v>
      </c>
      <c r="G72" s="3268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66" t="s">
        <v>2239</v>
      </c>
      <c r="D73" s="3265">
        <f>B73*0.05</f>
        <v>12500000</v>
      </c>
      <c r="E73" s="3266">
        <f>B73*0.065</f>
        <v>16250000</v>
      </c>
      <c r="F73" s="3266">
        <f t="shared" ref="F73:F81" si="6">E73-D73</f>
        <v>3750000</v>
      </c>
      <c r="G73" s="3260"/>
      <c r="H73" s="450"/>
    </row>
    <row r="74" spans="1:8" ht="30" customHeight="1" x14ac:dyDescent="0.2">
      <c r="A74" s="442" t="s">
        <v>2232</v>
      </c>
      <c r="B74" s="212">
        <v>400000000</v>
      </c>
      <c r="C74" s="3266" t="s">
        <v>2239</v>
      </c>
      <c r="D74" s="3265">
        <v>18000000</v>
      </c>
      <c r="E74" s="3266">
        <f t="shared" ref="E74:E80" si="7">B74*0.06</f>
        <v>24000000</v>
      </c>
      <c r="F74" s="3266">
        <f t="shared" si="6"/>
        <v>6000000</v>
      </c>
      <c r="G74" s="3268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66" t="s">
        <v>2239</v>
      </c>
      <c r="D75" s="3265">
        <v>24500000</v>
      </c>
      <c r="E75" s="3266">
        <f t="shared" si="7"/>
        <v>29400000</v>
      </c>
      <c r="F75" s="3266">
        <f t="shared" si="6"/>
        <v>4900000</v>
      </c>
      <c r="G75" s="3268"/>
      <c r="H75" s="737"/>
    </row>
    <row r="76" spans="1:8" ht="30" customHeight="1" x14ac:dyDescent="0.2">
      <c r="A76" s="442" t="s">
        <v>2234</v>
      </c>
      <c r="B76" s="212">
        <v>95000000</v>
      </c>
      <c r="C76" s="3266" t="s">
        <v>2239</v>
      </c>
      <c r="D76" s="3265">
        <v>1800000</v>
      </c>
      <c r="E76" s="3266">
        <f t="shared" si="7"/>
        <v>5700000</v>
      </c>
      <c r="F76" s="3266">
        <f t="shared" si="6"/>
        <v>3900000</v>
      </c>
      <c r="G76" s="3268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66" t="s">
        <v>2239</v>
      </c>
      <c r="D77" s="3265">
        <v>10000000</v>
      </c>
      <c r="E77" s="3266">
        <f t="shared" si="7"/>
        <v>12000000</v>
      </c>
      <c r="F77" s="3266">
        <f t="shared" si="6"/>
        <v>2000000</v>
      </c>
      <c r="G77" s="3268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66" t="s">
        <v>2239</v>
      </c>
      <c r="D78" s="3265">
        <v>4000000</v>
      </c>
      <c r="E78" s="3266">
        <f t="shared" si="7"/>
        <v>6000000</v>
      </c>
      <c r="F78" s="3266">
        <f t="shared" si="6"/>
        <v>2000000</v>
      </c>
      <c r="G78" s="3268"/>
      <c r="H78" s="737"/>
    </row>
    <row r="79" spans="1:8" ht="30" customHeight="1" x14ac:dyDescent="0.2">
      <c r="A79" s="442" t="s">
        <v>2235</v>
      </c>
      <c r="B79" s="212">
        <v>160000000</v>
      </c>
      <c r="C79" s="3266" t="s">
        <v>2239</v>
      </c>
      <c r="D79" s="3265">
        <v>6400000</v>
      </c>
      <c r="E79" s="3266">
        <f t="shared" si="7"/>
        <v>9600000</v>
      </c>
      <c r="F79" s="3266">
        <f t="shared" si="6"/>
        <v>3200000</v>
      </c>
      <c r="G79" s="3268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66" t="s">
        <v>2239</v>
      </c>
      <c r="D80" s="3265">
        <v>6000000</v>
      </c>
      <c r="E80" s="3266">
        <f t="shared" si="7"/>
        <v>9000000</v>
      </c>
      <c r="F80" s="3266">
        <f t="shared" si="6"/>
        <v>3000000</v>
      </c>
      <c r="G80" s="3268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59" t="s">
        <v>2239</v>
      </c>
      <c r="D81" s="3271">
        <v>3200000</v>
      </c>
      <c r="E81" s="3259">
        <f>B81*0.06</f>
        <v>4800000</v>
      </c>
      <c r="F81" s="3259">
        <f t="shared" si="6"/>
        <v>1600000</v>
      </c>
      <c r="G81" s="3267">
        <v>9154435809</v>
      </c>
      <c r="H81" s="741" t="s">
        <v>2245</v>
      </c>
    </row>
    <row r="82" spans="1:8" ht="30" customHeight="1" x14ac:dyDescent="0.2">
      <c r="A82" s="247" t="s">
        <v>2249</v>
      </c>
      <c r="B82" s="3266">
        <v>0</v>
      </c>
      <c r="C82" s="3266"/>
      <c r="D82" s="3266">
        <v>3000000</v>
      </c>
      <c r="E82" s="3266">
        <v>0</v>
      </c>
      <c r="F82" s="3266">
        <v>0</v>
      </c>
      <c r="G82" s="3274"/>
      <c r="H82" s="3274"/>
    </row>
    <row r="83" spans="1:8" ht="30" customHeight="1" x14ac:dyDescent="0.2">
      <c r="A83" s="247" t="s">
        <v>2250</v>
      </c>
      <c r="B83" s="3266">
        <v>0</v>
      </c>
      <c r="C83" s="3266"/>
      <c r="D83" s="3266">
        <v>0</v>
      </c>
      <c r="E83" s="3266">
        <v>0</v>
      </c>
      <c r="F83" s="3266">
        <v>5000000</v>
      </c>
      <c r="G83" s="3274"/>
      <c r="H83" s="3274"/>
    </row>
    <row r="84" spans="1:8" ht="30" customHeight="1" x14ac:dyDescent="0.2">
      <c r="A84" s="247" t="s">
        <v>876</v>
      </c>
      <c r="B84" s="3257">
        <f>SUM(B71:B83)</f>
        <v>3160000000</v>
      </c>
      <c r="C84" s="3266"/>
      <c r="D84" s="3257">
        <f>SUM(D71:D83)</f>
        <v>159425000</v>
      </c>
      <c r="E84" s="3257">
        <f>SUM(E71:E83)</f>
        <v>191725000</v>
      </c>
      <c r="F84" s="744">
        <f>SUM(F68:F83)</f>
        <v>40300000</v>
      </c>
      <c r="G84" s="3274"/>
      <c r="H84" s="3274"/>
    </row>
    <row r="85" spans="1:8" ht="30" customHeight="1" x14ac:dyDescent="0.2">
      <c r="A85" s="247" t="s">
        <v>2251</v>
      </c>
      <c r="B85" s="7470">
        <f>F84+D71</f>
        <v>98775000</v>
      </c>
      <c r="C85" s="7493"/>
      <c r="D85" s="7493"/>
      <c r="E85" s="7493"/>
      <c r="F85" s="7493"/>
      <c r="G85" s="7510"/>
      <c r="H85" s="3274"/>
    </row>
    <row r="86" spans="1:8" ht="30" customHeight="1" x14ac:dyDescent="0.2">
      <c r="A86" s="745" t="s">
        <v>2252</v>
      </c>
      <c r="B86" s="7470">
        <f>15600000-7800000</f>
        <v>7800000</v>
      </c>
      <c r="C86" s="7493"/>
      <c r="D86" s="7493"/>
      <c r="E86" s="7493"/>
      <c r="F86" s="7493"/>
      <c r="G86" s="7510"/>
      <c r="H86" s="3266"/>
    </row>
    <row r="87" spans="1:8" ht="30" customHeight="1" x14ac:dyDescent="0.2">
      <c r="A87" s="745" t="s">
        <v>2253</v>
      </c>
      <c r="B87" s="7570">
        <f>B85+B86</f>
        <v>106575000</v>
      </c>
      <c r="C87" s="7570"/>
      <c r="D87" s="7570"/>
      <c r="E87" s="7570"/>
      <c r="F87" s="7570"/>
      <c r="G87" s="7570"/>
      <c r="H87" s="18" t="s">
        <v>2254</v>
      </c>
    </row>
    <row r="88" spans="1:8" ht="30" customHeight="1" x14ac:dyDescent="0.2">
      <c r="A88" s="7571" t="s">
        <v>2255</v>
      </c>
      <c r="B88" s="7572"/>
      <c r="C88" s="7572"/>
      <c r="D88" s="7572"/>
      <c r="E88" s="7572"/>
      <c r="F88" s="7572"/>
      <c r="G88" s="7572"/>
      <c r="H88" s="7573"/>
    </row>
    <row r="89" spans="1:8" ht="30" customHeight="1" x14ac:dyDescent="0.2">
      <c r="A89" s="7574"/>
      <c r="B89" s="7575"/>
      <c r="C89" s="7575"/>
      <c r="D89" s="7575"/>
      <c r="E89" s="7575"/>
      <c r="F89" s="7575"/>
      <c r="G89" s="7575"/>
      <c r="H89" s="7576"/>
    </row>
    <row r="94" spans="1:8" ht="15" thickBot="1" x14ac:dyDescent="0.25"/>
    <row r="95" spans="1:8" ht="50.1" customHeight="1" thickBot="1" x14ac:dyDescent="0.25">
      <c r="A95" s="7565" t="s">
        <v>5368</v>
      </c>
      <c r="B95" s="7566"/>
      <c r="C95" s="7566"/>
      <c r="D95" s="7566"/>
      <c r="E95" s="7566"/>
      <c r="F95" s="7566"/>
      <c r="G95" s="7566"/>
      <c r="H95" s="7567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7577" t="s">
        <v>487</v>
      </c>
      <c r="B97" s="400">
        <v>130000000</v>
      </c>
      <c r="C97" s="401" t="s">
        <v>2256</v>
      </c>
      <c r="D97" s="400">
        <v>208000000</v>
      </c>
      <c r="E97" s="3305"/>
      <c r="F97" s="3306"/>
      <c r="G97" s="7579"/>
      <c r="H97" s="7581" t="s">
        <v>2254</v>
      </c>
    </row>
    <row r="98" spans="1:8" ht="50.1" customHeight="1" x14ac:dyDescent="0.2">
      <c r="A98" s="7578"/>
      <c r="B98" s="149">
        <v>130000000</v>
      </c>
      <c r="C98" s="3614" t="s">
        <v>2256</v>
      </c>
      <c r="D98" s="149">
        <v>208000000</v>
      </c>
      <c r="E98" s="753"/>
      <c r="F98" s="752"/>
      <c r="G98" s="7580"/>
      <c r="H98" s="7582"/>
    </row>
    <row r="99" spans="1:8" ht="50.1" customHeight="1" x14ac:dyDescent="0.2">
      <c r="A99" s="7583" t="s">
        <v>1612</v>
      </c>
      <c r="B99" s="156">
        <v>785000000</v>
      </c>
      <c r="C99" s="7563" t="s">
        <v>2239</v>
      </c>
      <c r="D99" s="597">
        <f>B99*0.06</f>
        <v>47100000</v>
      </c>
      <c r="E99" s="597">
        <v>47100000</v>
      </c>
      <c r="F99" s="3617">
        <v>0</v>
      </c>
      <c r="G99" s="164"/>
      <c r="H99" s="3611" t="s">
        <v>877</v>
      </c>
    </row>
    <row r="100" spans="1:8" ht="30" customHeight="1" x14ac:dyDescent="0.2">
      <c r="A100" s="7584"/>
      <c r="B100" s="156">
        <v>77200000</v>
      </c>
      <c r="C100" s="7586"/>
      <c r="D100" s="597">
        <f>B100*0.065</f>
        <v>5018000</v>
      </c>
      <c r="E100" s="597">
        <v>5018000</v>
      </c>
      <c r="F100" s="3617">
        <v>0</v>
      </c>
      <c r="G100" s="3614"/>
      <c r="H100" s="3611" t="s">
        <v>5159</v>
      </c>
    </row>
    <row r="101" spans="1:8" ht="30" customHeight="1" x14ac:dyDescent="0.2">
      <c r="A101" s="7584"/>
      <c r="B101" s="156">
        <v>97800000</v>
      </c>
      <c r="C101" s="7586"/>
      <c r="D101" s="597">
        <f t="shared" ref="D101" si="8">B101*0.065</f>
        <v>6357000</v>
      </c>
      <c r="E101" s="597">
        <v>6357000</v>
      </c>
      <c r="F101" s="3617">
        <v>0</v>
      </c>
      <c r="G101" s="3614"/>
      <c r="H101" s="3611" t="s">
        <v>5160</v>
      </c>
    </row>
    <row r="102" spans="1:8" ht="30" customHeight="1" x14ac:dyDescent="0.2">
      <c r="A102" s="7585"/>
      <c r="B102" s="400">
        <f>SUM(B99:B101)</f>
        <v>960000000</v>
      </c>
      <c r="C102" s="7564"/>
      <c r="D102" s="3304">
        <f>D99+D100+D101</f>
        <v>58475000</v>
      </c>
      <c r="E102" s="3304">
        <f>E99+E100+E101</f>
        <v>58475000</v>
      </c>
      <c r="F102" s="3617">
        <v>0</v>
      </c>
      <c r="G102" s="3614"/>
      <c r="H102" s="3611"/>
    </row>
    <row r="103" spans="1:8" ht="30" customHeight="1" x14ac:dyDescent="0.2">
      <c r="A103" s="443" t="s">
        <v>2231</v>
      </c>
      <c r="B103" s="149">
        <v>275000000</v>
      </c>
      <c r="C103" s="3613" t="s">
        <v>2239</v>
      </c>
      <c r="D103" s="3617">
        <v>11550000</v>
      </c>
      <c r="E103" s="3613">
        <f>B103*0.06</f>
        <v>16500000</v>
      </c>
      <c r="F103" s="3618">
        <f>E103-D103</f>
        <v>4950000</v>
      </c>
      <c r="G103" s="3620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18" t="s">
        <v>2239</v>
      </c>
      <c r="D104" s="3617">
        <f>B104*0.05</f>
        <v>12500000</v>
      </c>
      <c r="E104" s="3618">
        <f>B104*0.065</f>
        <v>16250000</v>
      </c>
      <c r="F104" s="3618">
        <f t="shared" ref="F104:F113" si="9">E104-D104</f>
        <v>3750000</v>
      </c>
      <c r="G104" s="3613"/>
      <c r="H104" s="450"/>
    </row>
    <row r="105" spans="1:8" ht="30" customHeight="1" x14ac:dyDescent="0.2">
      <c r="A105" s="442"/>
      <c r="B105" s="212"/>
      <c r="C105" s="3618"/>
      <c r="D105" s="3617"/>
      <c r="E105" s="3618"/>
      <c r="F105" s="3618"/>
      <c r="G105" s="3620"/>
      <c r="H105" s="737"/>
    </row>
    <row r="106" spans="1:8" ht="30" customHeight="1" x14ac:dyDescent="0.2">
      <c r="A106" s="442" t="s">
        <v>2233</v>
      </c>
      <c r="B106" s="212">
        <v>490000000</v>
      </c>
      <c r="C106" s="3618" t="s">
        <v>2239</v>
      </c>
      <c r="D106" s="3617">
        <v>29500000</v>
      </c>
      <c r="E106" s="3618">
        <f>B106*0.065</f>
        <v>31850000</v>
      </c>
      <c r="F106" s="3618">
        <f t="shared" si="9"/>
        <v>2350000</v>
      </c>
      <c r="G106" s="3620"/>
      <c r="H106" s="737"/>
    </row>
    <row r="107" spans="1:8" ht="30" customHeight="1" x14ac:dyDescent="0.2">
      <c r="A107" s="7568" t="s">
        <v>2234</v>
      </c>
      <c r="B107" s="212">
        <v>95000000</v>
      </c>
      <c r="C107" s="3618" t="s">
        <v>2239</v>
      </c>
      <c r="D107" s="3617">
        <v>3800000</v>
      </c>
      <c r="E107" s="3618">
        <f t="shared" ref="E107:E112" si="10">B107*0.06</f>
        <v>5700000</v>
      </c>
      <c r="F107" s="3618">
        <f t="shared" si="9"/>
        <v>1900000</v>
      </c>
      <c r="G107" s="3620" t="s">
        <v>2240</v>
      </c>
      <c r="H107" s="737"/>
    </row>
    <row r="108" spans="1:8" ht="30" customHeight="1" x14ac:dyDescent="0.2">
      <c r="A108" s="7569"/>
      <c r="B108" s="212">
        <v>55000000</v>
      </c>
      <c r="C108" s="3618" t="s">
        <v>2239</v>
      </c>
      <c r="D108" s="3617">
        <v>2200000</v>
      </c>
      <c r="E108" s="3618">
        <f>B108*0.065</f>
        <v>3575000</v>
      </c>
      <c r="F108" s="3618">
        <f t="shared" si="9"/>
        <v>1375000</v>
      </c>
      <c r="G108" s="3620"/>
      <c r="H108" s="737"/>
    </row>
    <row r="109" spans="1:8" ht="30" customHeight="1" x14ac:dyDescent="0.2">
      <c r="A109" s="442" t="s">
        <v>154</v>
      </c>
      <c r="B109" s="212">
        <v>200000000</v>
      </c>
      <c r="C109" s="3618" t="s">
        <v>2239</v>
      </c>
      <c r="D109" s="3617">
        <v>10000000</v>
      </c>
      <c r="E109" s="3618">
        <f t="shared" si="10"/>
        <v>12000000</v>
      </c>
      <c r="F109" s="3618">
        <f t="shared" si="9"/>
        <v>2000000</v>
      </c>
      <c r="G109" s="3620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18" t="s">
        <v>2239</v>
      </c>
      <c r="D110" s="3617">
        <v>4000000</v>
      </c>
      <c r="E110" s="3618">
        <f t="shared" si="10"/>
        <v>6000000</v>
      </c>
      <c r="F110" s="3618">
        <f t="shared" si="9"/>
        <v>2000000</v>
      </c>
      <c r="G110" s="3620"/>
      <c r="H110" s="737"/>
    </row>
    <row r="111" spans="1:8" ht="30" customHeight="1" x14ac:dyDescent="0.2">
      <c r="A111" s="442" t="s">
        <v>2235</v>
      </c>
      <c r="B111" s="212">
        <v>160000000</v>
      </c>
      <c r="C111" s="3618" t="s">
        <v>2239</v>
      </c>
      <c r="D111" s="3617">
        <v>6400000</v>
      </c>
      <c r="E111" s="3618">
        <f t="shared" si="10"/>
        <v>9600000</v>
      </c>
      <c r="F111" s="3618">
        <f t="shared" si="9"/>
        <v>3200000</v>
      </c>
      <c r="G111" s="3620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18" t="s">
        <v>2239</v>
      </c>
      <c r="D112" s="3617">
        <v>6000000</v>
      </c>
      <c r="E112" s="3618">
        <f t="shared" si="10"/>
        <v>9000000</v>
      </c>
      <c r="F112" s="3618">
        <f t="shared" si="9"/>
        <v>3000000</v>
      </c>
      <c r="G112" s="3620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12" t="s">
        <v>2239</v>
      </c>
      <c r="D113" s="3621">
        <v>3200000</v>
      </c>
      <c r="E113" s="3612">
        <f>B113*0.06</f>
        <v>4800000</v>
      </c>
      <c r="F113" s="3612">
        <f t="shared" si="9"/>
        <v>1600000</v>
      </c>
      <c r="G113" s="3619">
        <v>9154435809</v>
      </c>
      <c r="H113" s="741" t="s">
        <v>2245</v>
      </c>
    </row>
    <row r="114" spans="1:8" ht="30" customHeight="1" x14ac:dyDescent="0.2">
      <c r="A114" s="247" t="s">
        <v>2249</v>
      </c>
      <c r="B114" s="3618">
        <v>0</v>
      </c>
      <c r="C114" s="3618"/>
      <c r="D114" s="3618">
        <v>3000000</v>
      </c>
      <c r="E114" s="3618">
        <v>0</v>
      </c>
      <c r="F114" s="3618">
        <v>0</v>
      </c>
      <c r="G114" s="3623"/>
      <c r="H114" s="3623"/>
    </row>
    <row r="115" spans="1:8" ht="30" customHeight="1" x14ac:dyDescent="0.2">
      <c r="A115" s="247" t="s">
        <v>2250</v>
      </c>
      <c r="B115" s="3618">
        <v>0</v>
      </c>
      <c r="C115" s="3618"/>
      <c r="D115" s="3618">
        <v>0</v>
      </c>
      <c r="E115" s="3618">
        <v>0</v>
      </c>
      <c r="F115" s="3618">
        <v>5000000</v>
      </c>
      <c r="G115" s="3623"/>
      <c r="H115" s="3623"/>
    </row>
    <row r="116" spans="1:8" ht="30" customHeight="1" x14ac:dyDescent="0.2">
      <c r="A116" s="247" t="s">
        <v>876</v>
      </c>
      <c r="B116" s="3610">
        <f>SUM(B102:B115)</f>
        <v>2815000000</v>
      </c>
      <c r="C116" s="3618"/>
      <c r="D116" s="3610">
        <f>SUM(D102:D115)</f>
        <v>150625000</v>
      </c>
      <c r="E116" s="3610">
        <f>SUM(E102:E115)</f>
        <v>173750000</v>
      </c>
      <c r="F116" s="744">
        <f>SUM(F99:F115)</f>
        <v>31125000</v>
      </c>
      <c r="G116" s="3623"/>
      <c r="H116" s="3623"/>
    </row>
    <row r="117" spans="1:8" ht="30" customHeight="1" x14ac:dyDescent="0.2">
      <c r="A117" s="247" t="s">
        <v>2251</v>
      </c>
      <c r="B117" s="7470">
        <f>F116+D102</f>
        <v>89600000</v>
      </c>
      <c r="C117" s="7493"/>
      <c r="D117" s="7493"/>
      <c r="E117" s="7493"/>
      <c r="F117" s="7493"/>
      <c r="G117" s="7510"/>
      <c r="H117" s="3623"/>
    </row>
    <row r="118" spans="1:8" ht="30" customHeight="1" x14ac:dyDescent="0.2">
      <c r="A118" s="745" t="s">
        <v>2252</v>
      </c>
      <c r="B118" s="7470">
        <f>15600000-7800000</f>
        <v>7800000</v>
      </c>
      <c r="C118" s="7493"/>
      <c r="D118" s="7493"/>
      <c r="E118" s="7493"/>
      <c r="F118" s="7493"/>
      <c r="G118" s="7510"/>
      <c r="H118" s="3618"/>
    </row>
    <row r="119" spans="1:8" ht="30" customHeight="1" x14ac:dyDescent="0.2">
      <c r="A119" s="745" t="s">
        <v>2253</v>
      </c>
      <c r="B119" s="7570">
        <f>B117+B118</f>
        <v>97400000</v>
      </c>
      <c r="C119" s="7570"/>
      <c r="D119" s="7570"/>
      <c r="E119" s="7570"/>
      <c r="F119" s="7570"/>
      <c r="G119" s="7570"/>
      <c r="H119" s="18" t="s">
        <v>2254</v>
      </c>
    </row>
    <row r="120" spans="1:8" ht="30" customHeight="1" x14ac:dyDescent="0.2">
      <c r="A120" s="7571" t="s">
        <v>2255</v>
      </c>
      <c r="B120" s="7572"/>
      <c r="C120" s="7572"/>
      <c r="D120" s="7572"/>
      <c r="E120" s="7572"/>
      <c r="F120" s="7572"/>
      <c r="G120" s="7572"/>
      <c r="H120" s="7573"/>
    </row>
    <row r="121" spans="1:8" ht="30" customHeight="1" x14ac:dyDescent="0.2">
      <c r="A121" s="7574"/>
      <c r="B121" s="7575"/>
      <c r="C121" s="7575"/>
      <c r="D121" s="7575"/>
      <c r="E121" s="7575"/>
      <c r="F121" s="7575"/>
      <c r="G121" s="7575"/>
      <c r="H121" s="7576"/>
    </row>
    <row r="125" spans="1:8" ht="15" thickBot="1" x14ac:dyDescent="0.25"/>
    <row r="126" spans="1:8" ht="50.1" customHeight="1" thickBot="1" x14ac:dyDescent="0.25">
      <c r="A126" s="7565" t="s">
        <v>5540</v>
      </c>
      <c r="B126" s="7566"/>
      <c r="C126" s="7566"/>
      <c r="D126" s="7566"/>
      <c r="E126" s="7566"/>
      <c r="F126" s="7566"/>
      <c r="G126" s="7566"/>
      <c r="H126" s="7567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7577" t="s">
        <v>487</v>
      </c>
      <c r="B128" s="400">
        <v>130000000</v>
      </c>
      <c r="C128" s="401" t="s">
        <v>2256</v>
      </c>
      <c r="D128" s="400">
        <v>208000000</v>
      </c>
      <c r="E128" s="3305"/>
      <c r="F128" s="3306"/>
      <c r="G128" s="7579"/>
      <c r="H128" s="7581" t="s">
        <v>2254</v>
      </c>
    </row>
    <row r="129" spans="1:8" ht="50.1" customHeight="1" x14ac:dyDescent="0.2">
      <c r="A129" s="7578"/>
      <c r="B129" s="149">
        <v>130000000</v>
      </c>
      <c r="C129" s="3753" t="s">
        <v>2256</v>
      </c>
      <c r="D129" s="149">
        <v>208000000</v>
      </c>
      <c r="E129" s="753"/>
      <c r="F129" s="752"/>
      <c r="G129" s="7580"/>
      <c r="H129" s="7582"/>
    </row>
    <row r="130" spans="1:8" ht="50.1" customHeight="1" x14ac:dyDescent="0.2">
      <c r="A130" s="7583" t="s">
        <v>1612</v>
      </c>
      <c r="B130" s="156">
        <v>785000000</v>
      </c>
      <c r="C130" s="7563" t="s">
        <v>2239</v>
      </c>
      <c r="D130" s="597">
        <f>B130*0.06</f>
        <v>47100000</v>
      </c>
      <c r="E130" s="597">
        <v>47100000</v>
      </c>
      <c r="F130" s="3775">
        <v>0</v>
      </c>
      <c r="G130" s="164"/>
      <c r="H130" s="3754" t="s">
        <v>877</v>
      </c>
    </row>
    <row r="131" spans="1:8" ht="30" customHeight="1" x14ac:dyDescent="0.2">
      <c r="A131" s="7584"/>
      <c r="B131" s="156">
        <v>77200000</v>
      </c>
      <c r="C131" s="7586"/>
      <c r="D131" s="597">
        <f>B131*0.065</f>
        <v>5018000</v>
      </c>
      <c r="E131" s="597">
        <v>5018000</v>
      </c>
      <c r="F131" s="3775">
        <v>0</v>
      </c>
      <c r="G131" s="3753"/>
      <c r="H131" s="3754" t="s">
        <v>5159</v>
      </c>
    </row>
    <row r="132" spans="1:8" ht="30" customHeight="1" x14ac:dyDescent="0.2">
      <c r="A132" s="7584"/>
      <c r="B132" s="156">
        <v>97800000</v>
      </c>
      <c r="C132" s="7586"/>
      <c r="D132" s="597">
        <f t="shared" ref="D132" si="11">B132*0.065</f>
        <v>6357000</v>
      </c>
      <c r="E132" s="597">
        <v>6357000</v>
      </c>
      <c r="F132" s="3775">
        <v>0</v>
      </c>
      <c r="G132" s="3753"/>
      <c r="H132" s="3754" t="s">
        <v>5160</v>
      </c>
    </row>
    <row r="133" spans="1:8" ht="30" customHeight="1" x14ac:dyDescent="0.2">
      <c r="A133" s="7584"/>
      <c r="B133" s="156">
        <v>50000000</v>
      </c>
      <c r="C133" s="7586"/>
      <c r="D133" s="597">
        <f>B133*0.065</f>
        <v>3250000</v>
      </c>
      <c r="E133" s="597">
        <v>3250000</v>
      </c>
      <c r="F133" s="3775">
        <v>0</v>
      </c>
      <c r="G133" s="3753"/>
      <c r="H133" s="3754" t="s">
        <v>5541</v>
      </c>
    </row>
    <row r="134" spans="1:8" ht="30" customHeight="1" x14ac:dyDescent="0.2">
      <c r="A134" s="7585"/>
      <c r="B134" s="400">
        <f>SUM(B130:B133)</f>
        <v>1010000000</v>
      </c>
      <c r="C134" s="7564"/>
      <c r="D134" s="3820">
        <f>D130+D131+D132+D133</f>
        <v>61725000</v>
      </c>
      <c r="E134" s="3820">
        <f>E130+E131+E132+E133</f>
        <v>61725000</v>
      </c>
      <c r="F134" s="3775">
        <v>0</v>
      </c>
      <c r="G134" s="3753"/>
      <c r="H134" s="3754"/>
    </row>
    <row r="135" spans="1:8" ht="30" customHeight="1" x14ac:dyDescent="0.2">
      <c r="A135" s="443" t="s">
        <v>2231</v>
      </c>
      <c r="B135" s="149">
        <v>275000000</v>
      </c>
      <c r="C135" s="3757" t="s">
        <v>2239</v>
      </c>
      <c r="D135" s="3775">
        <v>11550000</v>
      </c>
      <c r="E135" s="3757">
        <f>B135*0.06</f>
        <v>16500000</v>
      </c>
      <c r="F135" s="3779">
        <f>E135-D135</f>
        <v>4950000</v>
      </c>
      <c r="G135" s="3782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79" t="s">
        <v>2239</v>
      </c>
      <c r="D136" s="3775">
        <f>B136*0.05</f>
        <v>12500000</v>
      </c>
      <c r="E136" s="3779">
        <f>B136*0.065</f>
        <v>16250000</v>
      </c>
      <c r="F136" s="3779">
        <f t="shared" ref="F136" si="12">E136-D136</f>
        <v>3750000</v>
      </c>
      <c r="G136" s="3757"/>
      <c r="H136" s="450"/>
    </row>
    <row r="137" spans="1:8" ht="30" customHeight="1" x14ac:dyDescent="0.2">
      <c r="A137" s="442"/>
      <c r="B137" s="212"/>
      <c r="C137" s="3779"/>
      <c r="D137" s="3775"/>
      <c r="E137" s="3779"/>
      <c r="F137" s="3779"/>
      <c r="G137" s="3782"/>
      <c r="H137" s="737"/>
    </row>
    <row r="138" spans="1:8" ht="30" customHeight="1" x14ac:dyDescent="0.2">
      <c r="A138" s="442" t="s">
        <v>2233</v>
      </c>
      <c r="B138" s="212">
        <v>490000000</v>
      </c>
      <c r="C138" s="3779" t="s">
        <v>2239</v>
      </c>
      <c r="D138" s="3775">
        <v>29500000</v>
      </c>
      <c r="E138" s="3779">
        <f>B138*0.065</f>
        <v>31850000</v>
      </c>
      <c r="F138" s="3779">
        <f t="shared" ref="F138:F145" si="13">E138-D138</f>
        <v>2350000</v>
      </c>
      <c r="G138" s="3782"/>
      <c r="H138" s="737"/>
    </row>
    <row r="139" spans="1:8" ht="30" customHeight="1" x14ac:dyDescent="0.2">
      <c r="A139" s="7568" t="s">
        <v>2234</v>
      </c>
      <c r="B139" s="212">
        <v>95000000</v>
      </c>
      <c r="C139" s="3779" t="s">
        <v>2239</v>
      </c>
      <c r="D139" s="3775">
        <v>3800000</v>
      </c>
      <c r="E139" s="3779">
        <f t="shared" ref="E139" si="14">B139*0.06</f>
        <v>5700000</v>
      </c>
      <c r="F139" s="3779">
        <f t="shared" si="13"/>
        <v>1900000</v>
      </c>
      <c r="G139" s="3782" t="s">
        <v>2240</v>
      </c>
      <c r="H139" s="737"/>
    </row>
    <row r="140" spans="1:8" ht="30" customHeight="1" x14ac:dyDescent="0.2">
      <c r="A140" s="7569"/>
      <c r="B140" s="212">
        <v>55000000</v>
      </c>
      <c r="C140" s="3779" t="s">
        <v>2239</v>
      </c>
      <c r="D140" s="3775">
        <v>2200000</v>
      </c>
      <c r="E140" s="3779">
        <f>B140*0.065</f>
        <v>3575000</v>
      </c>
      <c r="F140" s="3779">
        <f t="shared" si="13"/>
        <v>1375000</v>
      </c>
      <c r="G140" s="3782"/>
      <c r="H140" s="737"/>
    </row>
    <row r="141" spans="1:8" ht="30" customHeight="1" x14ac:dyDescent="0.2">
      <c r="A141" s="442" t="s">
        <v>154</v>
      </c>
      <c r="B141" s="212">
        <v>300000000</v>
      </c>
      <c r="C141" s="3779" t="s">
        <v>2239</v>
      </c>
      <c r="D141" s="3775">
        <v>10000000</v>
      </c>
      <c r="E141" s="3779">
        <f t="shared" ref="E141:E144" si="15">B141*0.06</f>
        <v>18000000</v>
      </c>
      <c r="F141" s="3779">
        <f t="shared" si="13"/>
        <v>8000000</v>
      </c>
      <c r="G141" s="3782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79" t="s">
        <v>2239</v>
      </c>
      <c r="D142" s="3775">
        <v>4000000</v>
      </c>
      <c r="E142" s="3779">
        <f t="shared" si="15"/>
        <v>6000000</v>
      </c>
      <c r="F142" s="3779">
        <f t="shared" si="13"/>
        <v>2000000</v>
      </c>
      <c r="G142" s="3782"/>
      <c r="H142" s="737"/>
    </row>
    <row r="143" spans="1:8" ht="30" customHeight="1" x14ac:dyDescent="0.2">
      <c r="A143" s="442" t="s">
        <v>2235</v>
      </c>
      <c r="B143" s="212">
        <v>160000000</v>
      </c>
      <c r="C143" s="3779" t="s">
        <v>2239</v>
      </c>
      <c r="D143" s="3775">
        <v>6400000</v>
      </c>
      <c r="E143" s="3779">
        <f t="shared" si="15"/>
        <v>9600000</v>
      </c>
      <c r="F143" s="3779">
        <f t="shared" si="13"/>
        <v>3200000</v>
      </c>
      <c r="G143" s="3782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79" t="s">
        <v>2239</v>
      </c>
      <c r="D144" s="3775">
        <v>6000000</v>
      </c>
      <c r="E144" s="3779">
        <f t="shared" si="15"/>
        <v>9000000</v>
      </c>
      <c r="F144" s="3779">
        <f t="shared" si="13"/>
        <v>3000000</v>
      </c>
      <c r="G144" s="3782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55" t="s">
        <v>2239</v>
      </c>
      <c r="D145" s="3796">
        <v>3200000</v>
      </c>
      <c r="E145" s="3755">
        <f>B145*0.06</f>
        <v>4800000</v>
      </c>
      <c r="F145" s="3755">
        <f t="shared" si="13"/>
        <v>1600000</v>
      </c>
      <c r="G145" s="3781">
        <v>9154435809</v>
      </c>
      <c r="H145" s="741" t="s">
        <v>2245</v>
      </c>
    </row>
    <row r="146" spans="1:8" ht="30" customHeight="1" x14ac:dyDescent="0.2">
      <c r="A146" s="247" t="s">
        <v>2249</v>
      </c>
      <c r="B146" s="3779">
        <v>0</v>
      </c>
      <c r="C146" s="3779"/>
      <c r="D146" s="3779">
        <v>3000000</v>
      </c>
      <c r="E146" s="3779">
        <v>0</v>
      </c>
      <c r="F146" s="3779">
        <v>0</v>
      </c>
      <c r="G146" s="3801"/>
      <c r="H146" s="3801"/>
    </row>
    <row r="147" spans="1:8" ht="30" customHeight="1" x14ac:dyDescent="0.2">
      <c r="A147" s="247" t="s">
        <v>2250</v>
      </c>
      <c r="B147" s="3779">
        <v>0</v>
      </c>
      <c r="C147" s="3779"/>
      <c r="D147" s="3779">
        <v>0</v>
      </c>
      <c r="E147" s="3779">
        <v>0</v>
      </c>
      <c r="F147" s="3779">
        <v>5000000</v>
      </c>
      <c r="G147" s="3801"/>
      <c r="H147" s="3801"/>
    </row>
    <row r="148" spans="1:8" ht="30" customHeight="1" x14ac:dyDescent="0.2">
      <c r="A148" s="247" t="s">
        <v>876</v>
      </c>
      <c r="B148" s="3752">
        <f>SUM(B134:B147)</f>
        <v>2965000000</v>
      </c>
      <c r="C148" s="3779"/>
      <c r="D148" s="3752">
        <f>SUM(D134:D147)</f>
        <v>153875000</v>
      </c>
      <c r="E148" s="3752">
        <f>SUM(E134:E147)</f>
        <v>183000000</v>
      </c>
      <c r="F148" s="744">
        <f>SUM(F130:F147)</f>
        <v>37125000</v>
      </c>
      <c r="G148" s="3801"/>
      <c r="H148" s="3801"/>
    </row>
    <row r="149" spans="1:8" ht="30" customHeight="1" x14ac:dyDescent="0.2">
      <c r="A149" s="247" t="s">
        <v>2251</v>
      </c>
      <c r="B149" s="7470">
        <f>F148+D134</f>
        <v>98850000</v>
      </c>
      <c r="C149" s="7493"/>
      <c r="D149" s="7493"/>
      <c r="E149" s="7493"/>
      <c r="F149" s="7493"/>
      <c r="G149" s="7510"/>
      <c r="H149" s="3801"/>
    </row>
    <row r="150" spans="1:8" ht="30" customHeight="1" x14ac:dyDescent="0.2">
      <c r="A150" s="745" t="s">
        <v>2252</v>
      </c>
      <c r="B150" s="7470">
        <f>15600000-7800000</f>
        <v>7800000</v>
      </c>
      <c r="C150" s="7493"/>
      <c r="D150" s="7493"/>
      <c r="E150" s="7493"/>
      <c r="F150" s="7493"/>
      <c r="G150" s="7510"/>
      <c r="H150" s="3779"/>
    </row>
    <row r="151" spans="1:8" ht="30" customHeight="1" x14ac:dyDescent="0.2">
      <c r="A151" s="745" t="s">
        <v>2253</v>
      </c>
      <c r="B151" s="7570">
        <f>B149+B150</f>
        <v>106650000</v>
      </c>
      <c r="C151" s="7570"/>
      <c r="D151" s="7570"/>
      <c r="E151" s="7570"/>
      <c r="F151" s="7570"/>
      <c r="G151" s="7570"/>
      <c r="H151" s="18" t="s">
        <v>2254</v>
      </c>
    </row>
    <row r="152" spans="1:8" ht="30" customHeight="1" x14ac:dyDescent="0.2">
      <c r="A152" s="7571" t="s">
        <v>2255</v>
      </c>
      <c r="B152" s="7572"/>
      <c r="C152" s="7572"/>
      <c r="D152" s="7572"/>
      <c r="E152" s="7572"/>
      <c r="F152" s="7572"/>
      <c r="G152" s="7572"/>
      <c r="H152" s="7573"/>
    </row>
    <row r="153" spans="1:8" ht="30" customHeight="1" x14ac:dyDescent="0.2">
      <c r="A153" s="7574"/>
      <c r="B153" s="7575"/>
      <c r="C153" s="7575"/>
      <c r="D153" s="7575"/>
      <c r="E153" s="7575"/>
      <c r="F153" s="7575"/>
      <c r="G153" s="7575"/>
      <c r="H153" s="7576"/>
    </row>
    <row r="156" spans="1:8" ht="15" thickBot="1" x14ac:dyDescent="0.25"/>
    <row r="157" spans="1:8" ht="50.1" customHeight="1" thickBot="1" x14ac:dyDescent="0.25">
      <c r="A157" s="7565" t="s">
        <v>6600</v>
      </c>
      <c r="B157" s="7566"/>
      <c r="C157" s="7566"/>
      <c r="D157" s="7566"/>
      <c r="E157" s="7566"/>
      <c r="F157" s="7566"/>
      <c r="G157" s="7566"/>
      <c r="H157" s="7567"/>
    </row>
    <row r="158" spans="1:8" ht="50.1" customHeight="1" x14ac:dyDescent="0.2">
      <c r="A158" s="445" t="s">
        <v>2230</v>
      </c>
      <c r="B158" s="446" t="s">
        <v>2237</v>
      </c>
      <c r="C158" s="446" t="s">
        <v>2238</v>
      </c>
      <c r="D158" s="446" t="s">
        <v>2246</v>
      </c>
      <c r="E158" s="740" t="s">
        <v>2247</v>
      </c>
      <c r="F158" s="446" t="s">
        <v>2248</v>
      </c>
      <c r="G158" s="446" t="s">
        <v>332</v>
      </c>
      <c r="H158" s="447" t="s">
        <v>268</v>
      </c>
    </row>
    <row r="159" spans="1:8" ht="50.1" customHeight="1" x14ac:dyDescent="0.2">
      <c r="A159" s="7577" t="s">
        <v>487</v>
      </c>
      <c r="B159" s="400">
        <v>130000000</v>
      </c>
      <c r="C159" s="401" t="s">
        <v>2256</v>
      </c>
      <c r="D159" s="400">
        <v>208000000</v>
      </c>
      <c r="E159" s="3305"/>
      <c r="F159" s="3306"/>
      <c r="G159" s="7579"/>
      <c r="H159" s="7581" t="s">
        <v>2254</v>
      </c>
    </row>
    <row r="160" spans="1:8" ht="50.1" customHeight="1" x14ac:dyDescent="0.2">
      <c r="A160" s="7578"/>
      <c r="B160" s="149">
        <v>130000000</v>
      </c>
      <c r="C160" s="4770" t="s">
        <v>2256</v>
      </c>
      <c r="D160" s="149">
        <v>208000000</v>
      </c>
      <c r="E160" s="753"/>
      <c r="F160" s="752"/>
      <c r="G160" s="7580"/>
      <c r="H160" s="7582"/>
    </row>
    <row r="161" spans="1:8" ht="50.1" customHeight="1" x14ac:dyDescent="0.2">
      <c r="A161" s="7583" t="s">
        <v>1612</v>
      </c>
      <c r="B161" s="156">
        <v>785000000</v>
      </c>
      <c r="C161" s="7563" t="s">
        <v>2239</v>
      </c>
      <c r="D161" s="597">
        <f>B161*0.06</f>
        <v>47100000</v>
      </c>
      <c r="E161" s="597">
        <v>47100000</v>
      </c>
      <c r="F161" s="4792">
        <v>0</v>
      </c>
      <c r="G161" s="164"/>
      <c r="H161" s="4771" t="s">
        <v>877</v>
      </c>
    </row>
    <row r="162" spans="1:8" ht="30" customHeight="1" x14ac:dyDescent="0.2">
      <c r="A162" s="7584"/>
      <c r="B162" s="156">
        <v>77200000</v>
      </c>
      <c r="C162" s="7586"/>
      <c r="D162" s="597">
        <f>B162*0.065</f>
        <v>5018000</v>
      </c>
      <c r="E162" s="597">
        <v>5018000</v>
      </c>
      <c r="F162" s="4792">
        <v>0</v>
      </c>
      <c r="G162" s="4770"/>
      <c r="H162" s="4771" t="s">
        <v>5159</v>
      </c>
    </row>
    <row r="163" spans="1:8" ht="30" customHeight="1" x14ac:dyDescent="0.2">
      <c r="A163" s="7584"/>
      <c r="B163" s="156">
        <v>97800000</v>
      </c>
      <c r="C163" s="7586"/>
      <c r="D163" s="597">
        <f t="shared" ref="D163" si="16">B163*0.065</f>
        <v>6357000</v>
      </c>
      <c r="E163" s="597">
        <v>6357000</v>
      </c>
      <c r="F163" s="4792">
        <v>0</v>
      </c>
      <c r="G163" s="4770"/>
      <c r="H163" s="4771" t="s">
        <v>5160</v>
      </c>
    </row>
    <row r="164" spans="1:8" ht="30" customHeight="1" x14ac:dyDescent="0.2">
      <c r="A164" s="7584"/>
      <c r="B164" s="156">
        <v>50000000</v>
      </c>
      <c r="C164" s="7586"/>
      <c r="D164" s="597">
        <f>B164*0.065</f>
        <v>3250000</v>
      </c>
      <c r="E164" s="597">
        <v>3250000</v>
      </c>
      <c r="F164" s="4792">
        <v>0</v>
      </c>
      <c r="G164" s="4770"/>
      <c r="H164" s="4771" t="s">
        <v>5541</v>
      </c>
    </row>
    <row r="165" spans="1:8" ht="30" customHeight="1" x14ac:dyDescent="0.2">
      <c r="A165" s="7585"/>
      <c r="B165" s="400">
        <f>SUM(B161:B164)</f>
        <v>1010000000</v>
      </c>
      <c r="C165" s="7564"/>
      <c r="D165" s="3820">
        <f>D161+D162+D163+D164</f>
        <v>61725000</v>
      </c>
      <c r="E165" s="3820">
        <f>E161+E162+E163+E164</f>
        <v>61725000</v>
      </c>
      <c r="F165" s="4792">
        <v>0</v>
      </c>
      <c r="G165" s="4770"/>
      <c r="H165" s="4771"/>
    </row>
    <row r="166" spans="1:8" ht="30" customHeight="1" x14ac:dyDescent="0.2">
      <c r="A166" s="443" t="s">
        <v>2231</v>
      </c>
      <c r="B166" s="149">
        <v>275000000</v>
      </c>
      <c r="C166" s="4774" t="s">
        <v>2239</v>
      </c>
      <c r="D166" s="4792">
        <v>11550000</v>
      </c>
      <c r="E166" s="4774">
        <f>B166*0.06</f>
        <v>16500000</v>
      </c>
      <c r="F166" s="4768">
        <f>E166-D166</f>
        <v>4950000</v>
      </c>
      <c r="G166" s="4790">
        <v>9157054132</v>
      </c>
      <c r="H166" s="737"/>
    </row>
    <row r="167" spans="1:8" ht="30" customHeight="1" x14ac:dyDescent="0.2">
      <c r="A167" s="742" t="s">
        <v>2003</v>
      </c>
      <c r="B167" s="212">
        <v>250000000</v>
      </c>
      <c r="C167" s="4768" t="s">
        <v>2239</v>
      </c>
      <c r="D167" s="4792">
        <f>B167*0.05</f>
        <v>12500000</v>
      </c>
      <c r="E167" s="4768">
        <f>B167*0.065</f>
        <v>16250000</v>
      </c>
      <c r="F167" s="4768">
        <f t="shared" ref="F167" si="17">E167-D167</f>
        <v>3750000</v>
      </c>
      <c r="G167" s="4774"/>
      <c r="H167" s="450"/>
    </row>
    <row r="168" spans="1:8" ht="30" customHeight="1" x14ac:dyDescent="0.2">
      <c r="A168" s="442"/>
      <c r="B168" s="212"/>
      <c r="C168" s="4768"/>
      <c r="D168" s="4792"/>
      <c r="E168" s="4768"/>
      <c r="F168" s="4768"/>
      <c r="G168" s="4790"/>
      <c r="H168" s="737"/>
    </row>
    <row r="169" spans="1:8" ht="30" customHeight="1" x14ac:dyDescent="0.2">
      <c r="A169" s="442" t="s">
        <v>2233</v>
      </c>
      <c r="B169" s="212">
        <v>490000000</v>
      </c>
      <c r="C169" s="4768" t="s">
        <v>2239</v>
      </c>
      <c r="D169" s="4792">
        <v>29500000</v>
      </c>
      <c r="E169" s="4768">
        <f>B169*0.065</f>
        <v>31850000</v>
      </c>
      <c r="F169" s="4768">
        <f t="shared" ref="F169:F176" si="18">E169-D169</f>
        <v>2350000</v>
      </c>
      <c r="G169" s="4790"/>
      <c r="H169" s="737"/>
    </row>
    <row r="170" spans="1:8" ht="30" customHeight="1" x14ac:dyDescent="0.2">
      <c r="A170" s="7568" t="s">
        <v>2234</v>
      </c>
      <c r="B170" s="212">
        <v>95000000</v>
      </c>
      <c r="C170" s="4768" t="s">
        <v>2239</v>
      </c>
      <c r="D170" s="4792">
        <v>3800000</v>
      </c>
      <c r="E170" s="4768">
        <f t="shared" ref="E170" si="19">B170*0.06</f>
        <v>5700000</v>
      </c>
      <c r="F170" s="4768">
        <f t="shared" si="18"/>
        <v>1900000</v>
      </c>
      <c r="G170" s="4790" t="s">
        <v>2240</v>
      </c>
      <c r="H170" s="737"/>
    </row>
    <row r="171" spans="1:8" ht="30" customHeight="1" x14ac:dyDescent="0.2">
      <c r="A171" s="7569"/>
      <c r="B171" s="212">
        <v>55000000</v>
      </c>
      <c r="C171" s="4768" t="s">
        <v>2239</v>
      </c>
      <c r="D171" s="4792">
        <v>2200000</v>
      </c>
      <c r="E171" s="4768">
        <f>B171*0.065</f>
        <v>3575000</v>
      </c>
      <c r="F171" s="4768">
        <f t="shared" si="18"/>
        <v>1375000</v>
      </c>
      <c r="G171" s="4790"/>
      <c r="H171" s="737"/>
    </row>
    <row r="172" spans="1:8" ht="30" customHeight="1" x14ac:dyDescent="0.2">
      <c r="A172" s="442" t="s">
        <v>154</v>
      </c>
      <c r="B172" s="212">
        <v>300000000</v>
      </c>
      <c r="C172" s="4768" t="s">
        <v>2239</v>
      </c>
      <c r="D172" s="4792">
        <v>10000000</v>
      </c>
      <c r="E172" s="4768">
        <f t="shared" ref="E172:E175" si="20">B172*0.06</f>
        <v>18000000</v>
      </c>
      <c r="F172" s="4768">
        <f t="shared" si="18"/>
        <v>8000000</v>
      </c>
      <c r="G172" s="4790" t="s">
        <v>2241</v>
      </c>
      <c r="H172" s="737"/>
    </row>
    <row r="173" spans="1:8" ht="30" customHeight="1" x14ac:dyDescent="0.2">
      <c r="A173" s="442" t="s">
        <v>227</v>
      </c>
      <c r="B173" s="212">
        <v>100000000</v>
      </c>
      <c r="C173" s="4768" t="s">
        <v>2239</v>
      </c>
      <c r="D173" s="4792">
        <v>4000000</v>
      </c>
      <c r="E173" s="4768">
        <f t="shared" si="20"/>
        <v>6000000</v>
      </c>
      <c r="F173" s="4768">
        <f t="shared" si="18"/>
        <v>2000000</v>
      </c>
      <c r="G173" s="4790"/>
      <c r="H173" s="737"/>
    </row>
    <row r="174" spans="1:8" ht="30" customHeight="1" x14ac:dyDescent="0.2">
      <c r="A174" s="442" t="s">
        <v>2235</v>
      </c>
      <c r="B174" s="212">
        <v>160000000</v>
      </c>
      <c r="C174" s="4768" t="s">
        <v>2239</v>
      </c>
      <c r="D174" s="4792">
        <v>6400000</v>
      </c>
      <c r="E174" s="4768">
        <f t="shared" si="20"/>
        <v>9600000</v>
      </c>
      <c r="F174" s="4768">
        <f t="shared" si="18"/>
        <v>3200000</v>
      </c>
      <c r="G174" s="4790" t="s">
        <v>2242</v>
      </c>
      <c r="H174" s="737"/>
    </row>
    <row r="175" spans="1:8" ht="30" customHeight="1" x14ac:dyDescent="0.2">
      <c r="A175" s="442" t="s">
        <v>2236</v>
      </c>
      <c r="B175" s="212">
        <v>150000000</v>
      </c>
      <c r="C175" s="4768" t="s">
        <v>2239</v>
      </c>
      <c r="D175" s="4792">
        <v>6000000</v>
      </c>
      <c r="E175" s="4768">
        <f t="shared" si="20"/>
        <v>9000000</v>
      </c>
      <c r="F175" s="4768">
        <f t="shared" si="18"/>
        <v>3000000</v>
      </c>
      <c r="G175" s="4790" t="s">
        <v>2243</v>
      </c>
      <c r="H175" s="737"/>
    </row>
    <row r="176" spans="1:8" ht="30" customHeight="1" x14ac:dyDescent="0.2">
      <c r="A176" s="743" t="s">
        <v>487</v>
      </c>
      <c r="B176" s="441">
        <v>80000000</v>
      </c>
      <c r="C176" s="4772" t="s">
        <v>2239</v>
      </c>
      <c r="D176" s="4804">
        <v>3200000</v>
      </c>
      <c r="E176" s="4772">
        <f>B176*0.06</f>
        <v>4800000</v>
      </c>
      <c r="F176" s="4772">
        <f t="shared" si="18"/>
        <v>1600000</v>
      </c>
      <c r="G176" s="4789">
        <v>9154435809</v>
      </c>
      <c r="H176" s="741" t="s">
        <v>2245</v>
      </c>
    </row>
    <row r="177" spans="1:8" ht="30" customHeight="1" x14ac:dyDescent="0.2">
      <c r="A177" s="247" t="s">
        <v>2249</v>
      </c>
      <c r="B177" s="4768">
        <v>0</v>
      </c>
      <c r="C177" s="4768"/>
      <c r="D177" s="4768">
        <v>3000000</v>
      </c>
      <c r="E177" s="4768">
        <v>0</v>
      </c>
      <c r="F177" s="4768">
        <v>0</v>
      </c>
      <c r="G177" s="4806"/>
      <c r="H177" s="4806"/>
    </row>
    <row r="178" spans="1:8" ht="30" customHeight="1" x14ac:dyDescent="0.2">
      <c r="A178" s="247" t="s">
        <v>2250</v>
      </c>
      <c r="B178" s="4768">
        <v>0</v>
      </c>
      <c r="C178" s="4768"/>
      <c r="D178" s="4768">
        <v>0</v>
      </c>
      <c r="E178" s="4768">
        <v>0</v>
      </c>
      <c r="F178" s="4768">
        <v>6000000</v>
      </c>
      <c r="G178" s="4806"/>
      <c r="H178" s="4806"/>
    </row>
    <row r="179" spans="1:8" ht="30" customHeight="1" x14ac:dyDescent="0.2">
      <c r="A179" s="247" t="s">
        <v>876</v>
      </c>
      <c r="B179" s="4769">
        <f>SUM(B165:B178)</f>
        <v>2965000000</v>
      </c>
      <c r="C179" s="4768"/>
      <c r="D179" s="4769">
        <f>SUM(D165:D178)</f>
        <v>153875000</v>
      </c>
      <c r="E179" s="4769">
        <f>SUM(E165:E178)</f>
        <v>183000000</v>
      </c>
      <c r="F179" s="744">
        <f>SUM(F161:F178)</f>
        <v>38125000</v>
      </c>
      <c r="G179" s="4806"/>
      <c r="H179" s="4806"/>
    </row>
    <row r="180" spans="1:8" ht="30" customHeight="1" x14ac:dyDescent="0.2">
      <c r="A180" s="247" t="s">
        <v>2251</v>
      </c>
      <c r="B180" s="7470">
        <f>F179+D165</f>
        <v>99850000</v>
      </c>
      <c r="C180" s="7493"/>
      <c r="D180" s="7493"/>
      <c r="E180" s="7493"/>
      <c r="F180" s="7493"/>
      <c r="G180" s="7510"/>
      <c r="H180" s="4806"/>
    </row>
    <row r="181" spans="1:8" ht="30" customHeight="1" x14ac:dyDescent="0.2">
      <c r="A181" s="745" t="s">
        <v>2252</v>
      </c>
      <c r="B181" s="7470">
        <f>15600000-7800000</f>
        <v>7800000</v>
      </c>
      <c r="C181" s="7493"/>
      <c r="D181" s="7493"/>
      <c r="E181" s="7493"/>
      <c r="F181" s="7493"/>
      <c r="G181" s="7510"/>
      <c r="H181" s="4768"/>
    </row>
    <row r="182" spans="1:8" ht="30" customHeight="1" x14ac:dyDescent="0.2">
      <c r="A182" s="745" t="s">
        <v>2253</v>
      </c>
      <c r="B182" s="7570">
        <f>B180+B181</f>
        <v>107650000</v>
      </c>
      <c r="C182" s="7570"/>
      <c r="D182" s="7570"/>
      <c r="E182" s="7570"/>
      <c r="F182" s="7570"/>
      <c r="G182" s="7570"/>
      <c r="H182" s="18" t="s">
        <v>2254</v>
      </c>
    </row>
    <row r="183" spans="1:8" ht="30" customHeight="1" x14ac:dyDescent="0.2">
      <c r="A183" s="7571" t="s">
        <v>2255</v>
      </c>
      <c r="B183" s="7572"/>
      <c r="C183" s="7572"/>
      <c r="D183" s="7572"/>
      <c r="E183" s="7572"/>
      <c r="F183" s="7572"/>
      <c r="G183" s="7572"/>
      <c r="H183" s="7573"/>
    </row>
    <row r="184" spans="1:8" ht="30" customHeight="1" x14ac:dyDescent="0.2">
      <c r="A184" s="7574"/>
      <c r="B184" s="7575"/>
      <c r="C184" s="7575"/>
      <c r="D184" s="7575"/>
      <c r="E184" s="7575"/>
      <c r="F184" s="7575"/>
      <c r="G184" s="7575"/>
      <c r="H184" s="7576"/>
    </row>
  </sheetData>
  <mergeCells count="63">
    <mergeCell ref="B117:G117"/>
    <mergeCell ref="B118:G118"/>
    <mergeCell ref="B119:G119"/>
    <mergeCell ref="A120:H121"/>
    <mergeCell ref="A107:A108"/>
    <mergeCell ref="A95:H95"/>
    <mergeCell ref="A97:A98"/>
    <mergeCell ref="G97:G98"/>
    <mergeCell ref="H97:H98"/>
    <mergeCell ref="A99:A102"/>
    <mergeCell ref="C99:C102"/>
    <mergeCell ref="B86:G86"/>
    <mergeCell ref="B87:G87"/>
    <mergeCell ref="A88:H89"/>
    <mergeCell ref="A68:A71"/>
    <mergeCell ref="C68:C71"/>
    <mergeCell ref="A64:H64"/>
    <mergeCell ref="A66:A67"/>
    <mergeCell ref="G66:G67"/>
    <mergeCell ref="H66:H67"/>
    <mergeCell ref="B85:G85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A126:H126"/>
    <mergeCell ref="A128:A129"/>
    <mergeCell ref="G128:G129"/>
    <mergeCell ref="H128:H129"/>
    <mergeCell ref="A130:A134"/>
    <mergeCell ref="C130:C134"/>
    <mergeCell ref="A139:A140"/>
    <mergeCell ref="B149:G149"/>
    <mergeCell ref="B150:G150"/>
    <mergeCell ref="B151:G151"/>
    <mergeCell ref="A152:H153"/>
    <mergeCell ref="A157:H157"/>
    <mergeCell ref="A159:A160"/>
    <mergeCell ref="G159:G160"/>
    <mergeCell ref="H159:H160"/>
    <mergeCell ref="A161:A165"/>
    <mergeCell ref="C161:C165"/>
    <mergeCell ref="A170:A171"/>
    <mergeCell ref="B180:G180"/>
    <mergeCell ref="B181:G181"/>
    <mergeCell ref="B182:G182"/>
    <mergeCell ref="A183:H184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7465" t="s">
        <v>5100</v>
      </c>
      <c r="B2" s="7466"/>
      <c r="C2" s="7466"/>
      <c r="D2" s="7466"/>
      <c r="E2" s="7466"/>
      <c r="F2" s="7466"/>
      <c r="G2" s="7467"/>
    </row>
    <row r="3" spans="1:7" ht="50.1" customHeight="1" x14ac:dyDescent="0.2">
      <c r="A3" s="1856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1">
        <v>1</v>
      </c>
      <c r="B4" s="401" t="s">
        <v>4499</v>
      </c>
      <c r="C4" s="3176">
        <v>195000000</v>
      </c>
      <c r="D4" s="401" t="s">
        <v>5101</v>
      </c>
      <c r="E4" s="3176" t="s">
        <v>5102</v>
      </c>
      <c r="F4" s="3204" t="s">
        <v>1180</v>
      </c>
      <c r="G4" s="4076" t="s">
        <v>5887</v>
      </c>
    </row>
    <row r="5" spans="1:7" ht="30" customHeight="1" x14ac:dyDescent="0.2">
      <c r="A5" s="3201">
        <v>2</v>
      </c>
      <c r="B5" s="401" t="s">
        <v>4499</v>
      </c>
      <c r="C5" s="3176">
        <v>195000000</v>
      </c>
      <c r="D5" s="401" t="s">
        <v>5103</v>
      </c>
      <c r="E5" s="3176" t="s">
        <v>5102</v>
      </c>
      <c r="F5" s="3204" t="s">
        <v>1180</v>
      </c>
      <c r="G5" s="4076" t="s">
        <v>5887</v>
      </c>
    </row>
    <row r="6" spans="1:7" ht="30" customHeight="1" x14ac:dyDescent="0.2">
      <c r="A6" s="3201">
        <v>3</v>
      </c>
      <c r="B6" s="401" t="s">
        <v>4499</v>
      </c>
      <c r="C6" s="3176">
        <v>195000000</v>
      </c>
      <c r="D6" s="401" t="s">
        <v>5104</v>
      </c>
      <c r="E6" s="3176" t="s">
        <v>5102</v>
      </c>
      <c r="F6" s="3204" t="s">
        <v>1180</v>
      </c>
      <c r="G6" s="4076" t="s">
        <v>5887</v>
      </c>
    </row>
    <row r="7" spans="1:7" ht="30" customHeight="1" x14ac:dyDescent="0.2">
      <c r="A7" s="3201">
        <v>4</v>
      </c>
      <c r="B7" s="401" t="s">
        <v>5106</v>
      </c>
      <c r="C7" s="3176">
        <v>170000000</v>
      </c>
      <c r="D7" s="401" t="s">
        <v>5107</v>
      </c>
      <c r="E7" s="3176" t="s">
        <v>5102</v>
      </c>
      <c r="F7" s="3204" t="s">
        <v>3819</v>
      </c>
      <c r="G7" s="4076" t="s">
        <v>5887</v>
      </c>
    </row>
    <row r="8" spans="1:7" ht="30" customHeight="1" x14ac:dyDescent="0.2">
      <c r="A8" s="3201">
        <v>5</v>
      </c>
      <c r="B8" s="401" t="s">
        <v>4499</v>
      </c>
      <c r="C8" s="3176">
        <v>175000000</v>
      </c>
      <c r="D8" s="401" t="s">
        <v>5108</v>
      </c>
      <c r="E8" s="3176" t="s">
        <v>5102</v>
      </c>
      <c r="F8" s="3204" t="s">
        <v>3819</v>
      </c>
      <c r="G8" s="4076" t="s">
        <v>5887</v>
      </c>
    </row>
    <row r="9" spans="1:7" ht="30" customHeight="1" x14ac:dyDescent="0.2">
      <c r="A9" s="3201">
        <v>6</v>
      </c>
      <c r="B9" s="401" t="s">
        <v>4499</v>
      </c>
      <c r="C9" s="3176">
        <v>195000000</v>
      </c>
      <c r="D9" s="401" t="s">
        <v>5109</v>
      </c>
      <c r="E9" s="3176" t="s">
        <v>5102</v>
      </c>
      <c r="F9" s="3204" t="s">
        <v>3819</v>
      </c>
      <c r="G9" s="4076" t="s">
        <v>5887</v>
      </c>
    </row>
    <row r="10" spans="1:7" ht="30" customHeight="1" x14ac:dyDescent="0.2">
      <c r="A10" s="3201">
        <v>7</v>
      </c>
      <c r="B10" s="401" t="s">
        <v>5105</v>
      </c>
      <c r="C10" s="3176">
        <v>50000000</v>
      </c>
      <c r="D10" s="401"/>
      <c r="E10" s="3176" t="s">
        <v>5102</v>
      </c>
      <c r="F10" s="3204" t="s">
        <v>5077</v>
      </c>
      <c r="G10" s="4076" t="s">
        <v>5887</v>
      </c>
    </row>
    <row r="11" spans="1:7" ht="30" customHeight="1" x14ac:dyDescent="0.2">
      <c r="A11" s="3201">
        <v>8</v>
      </c>
      <c r="B11" s="7588" t="s">
        <v>5885</v>
      </c>
      <c r="C11" s="7589"/>
      <c r="D11" s="7589"/>
      <c r="E11" s="7589"/>
      <c r="F11" s="7590"/>
      <c r="G11" s="1858"/>
    </row>
    <row r="12" spans="1:7" ht="30" customHeight="1" x14ac:dyDescent="0.2">
      <c r="A12" s="3201">
        <v>9</v>
      </c>
      <c r="B12" s="7588" t="s">
        <v>5886</v>
      </c>
      <c r="C12" s="7589"/>
      <c r="D12" s="7589"/>
      <c r="E12" s="7589"/>
      <c r="F12" s="7590"/>
      <c r="G12" s="1858"/>
    </row>
    <row r="13" spans="1:7" ht="30" customHeight="1" x14ac:dyDescent="0.2">
      <c r="A13" s="3202"/>
      <c r="B13" s="7588" t="s">
        <v>5110</v>
      </c>
      <c r="C13" s="7589"/>
      <c r="D13" s="7589"/>
      <c r="E13" s="7589"/>
      <c r="F13" s="7590"/>
      <c r="G13" s="1858"/>
    </row>
    <row r="14" spans="1:7" ht="30" customHeight="1" x14ac:dyDescent="0.2">
      <c r="A14" s="3202"/>
      <c r="B14" s="7591" t="s">
        <v>5111</v>
      </c>
      <c r="C14" s="7592"/>
      <c r="D14" s="7592"/>
      <c r="E14" s="7592"/>
      <c r="F14" s="7593"/>
      <c r="G14" s="3205"/>
    </row>
    <row r="15" spans="1:7" ht="30" customHeight="1" thickBot="1" x14ac:dyDescent="0.25">
      <c r="A15" s="3203"/>
      <c r="B15" s="3206" t="s">
        <v>5070</v>
      </c>
      <c r="C15" s="7538">
        <f>SUM(C4:C10)</f>
        <v>1175000000</v>
      </c>
      <c r="D15" s="7587"/>
      <c r="E15" s="7587"/>
      <c r="F15" s="7539"/>
      <c r="G15" s="1865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47"/>
      <c r="B1" s="7465" t="s">
        <v>5888</v>
      </c>
      <c r="C1" s="7466"/>
      <c r="D1" s="7466"/>
      <c r="E1" s="7467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5889</v>
      </c>
      <c r="E2" s="148" t="s">
        <v>863</v>
      </c>
    </row>
    <row r="3" spans="1:5" ht="30" customHeight="1" x14ac:dyDescent="0.2">
      <c r="A3" s="4046"/>
      <c r="B3" s="4077"/>
      <c r="C3" s="4078"/>
      <c r="D3" s="7461" t="s">
        <v>3852</v>
      </c>
      <c r="E3" s="7462"/>
    </row>
    <row r="4" spans="1:5" ht="30" customHeight="1" x14ac:dyDescent="0.2">
      <c r="A4" s="4046"/>
      <c r="B4" s="149">
        <v>50000000</v>
      </c>
      <c r="C4" s="4049" t="s">
        <v>4920</v>
      </c>
      <c r="D4" s="4049">
        <v>3008</v>
      </c>
      <c r="E4" s="4079">
        <v>2005</v>
      </c>
    </row>
    <row r="5" spans="1:5" ht="30" customHeight="1" x14ac:dyDescent="0.2">
      <c r="A5" s="4046">
        <v>1</v>
      </c>
      <c r="B5" s="149">
        <v>50000000</v>
      </c>
      <c r="C5" s="4049" t="s">
        <v>4939</v>
      </c>
      <c r="D5" s="4057">
        <v>3008</v>
      </c>
      <c r="E5" s="4079">
        <v>2005</v>
      </c>
    </row>
    <row r="6" spans="1:5" ht="30" customHeight="1" x14ac:dyDescent="0.2">
      <c r="A6" s="193">
        <v>2</v>
      </c>
      <c r="B6" s="149">
        <v>50000000</v>
      </c>
      <c r="C6" s="4050" t="s">
        <v>4939</v>
      </c>
      <c r="D6" s="4532">
        <v>3008</v>
      </c>
      <c r="E6" s="4079">
        <v>2005</v>
      </c>
    </row>
    <row r="7" spans="1:5" ht="30" customHeight="1" x14ac:dyDescent="0.2">
      <c r="A7" s="4046">
        <v>3</v>
      </c>
      <c r="B7" s="149">
        <v>50000000</v>
      </c>
      <c r="C7" s="4049" t="s">
        <v>5009</v>
      </c>
      <c r="D7" s="4532">
        <v>3008</v>
      </c>
      <c r="E7" s="4079">
        <v>2005</v>
      </c>
    </row>
    <row r="8" spans="1:5" ht="30" customHeight="1" x14ac:dyDescent="0.2">
      <c r="A8" s="193">
        <v>4</v>
      </c>
      <c r="B8" s="149">
        <v>50000000</v>
      </c>
      <c r="C8" s="4049" t="s">
        <v>5009</v>
      </c>
      <c r="D8" s="4532">
        <v>3008</v>
      </c>
      <c r="E8" s="4079">
        <v>2005</v>
      </c>
    </row>
    <row r="9" spans="1:5" ht="30" customHeight="1" x14ac:dyDescent="0.2">
      <c r="A9" s="4046">
        <v>5</v>
      </c>
      <c r="B9" s="149">
        <v>10000000</v>
      </c>
      <c r="C9" s="4049" t="s">
        <v>4936</v>
      </c>
      <c r="D9" s="4532">
        <v>3008</v>
      </c>
      <c r="E9" s="4079">
        <v>2005</v>
      </c>
    </row>
    <row r="10" spans="1:5" ht="30" customHeight="1" x14ac:dyDescent="0.2">
      <c r="A10" s="193">
        <v>6</v>
      </c>
      <c r="B10" s="149">
        <v>90000000</v>
      </c>
      <c r="C10" s="4049" t="s">
        <v>4936</v>
      </c>
      <c r="D10" s="4532">
        <v>3008</v>
      </c>
      <c r="E10" s="4079">
        <v>2005</v>
      </c>
    </row>
    <row r="11" spans="1:5" ht="30" customHeight="1" x14ac:dyDescent="0.2">
      <c r="A11" s="4046">
        <v>7</v>
      </c>
      <c r="B11" s="149">
        <v>100000000</v>
      </c>
      <c r="C11" s="4049" t="s">
        <v>5052</v>
      </c>
      <c r="D11" s="4532">
        <v>3008</v>
      </c>
      <c r="E11" s="4079">
        <v>2005</v>
      </c>
    </row>
    <row r="12" spans="1:5" ht="30" customHeight="1" x14ac:dyDescent="0.2">
      <c r="A12" s="193">
        <v>8</v>
      </c>
      <c r="B12" s="149">
        <v>16000000</v>
      </c>
      <c r="C12" s="4049" t="s">
        <v>4959</v>
      </c>
      <c r="D12" s="4532">
        <v>3008</v>
      </c>
      <c r="E12" s="4079">
        <v>2005</v>
      </c>
    </row>
    <row r="13" spans="1:5" ht="30" customHeight="1" x14ac:dyDescent="0.2">
      <c r="A13" s="4046">
        <v>9</v>
      </c>
      <c r="B13" s="149">
        <v>100000000</v>
      </c>
      <c r="C13" s="4049" t="s">
        <v>5016</v>
      </c>
      <c r="D13" s="4057"/>
      <c r="E13" s="4079">
        <v>2005</v>
      </c>
    </row>
    <row r="14" spans="1:5" ht="30" customHeight="1" x14ac:dyDescent="0.2">
      <c r="A14" s="193">
        <v>10</v>
      </c>
      <c r="B14" s="149">
        <v>200000000</v>
      </c>
      <c r="C14" s="4049" t="s">
        <v>3531</v>
      </c>
      <c r="D14" s="7461" t="s">
        <v>3852</v>
      </c>
      <c r="E14" s="7462"/>
    </row>
    <row r="15" spans="1:5" ht="30" customHeight="1" x14ac:dyDescent="0.2">
      <c r="A15" s="4046">
        <v>11</v>
      </c>
      <c r="B15" s="149">
        <v>200000000</v>
      </c>
      <c r="C15" s="4049" t="s">
        <v>3558</v>
      </c>
      <c r="D15" s="7461" t="s">
        <v>3852</v>
      </c>
      <c r="E15" s="7462"/>
    </row>
    <row r="16" spans="1:5" ht="30" customHeight="1" x14ac:dyDescent="0.2">
      <c r="A16" s="193">
        <v>12</v>
      </c>
      <c r="B16" s="149">
        <v>200000000</v>
      </c>
      <c r="C16" s="4049" t="s">
        <v>3463</v>
      </c>
      <c r="D16" s="7461" t="s">
        <v>3852</v>
      </c>
      <c r="E16" s="7462"/>
    </row>
    <row r="17" spans="1:9" ht="30" customHeight="1" thickBot="1" x14ac:dyDescent="0.25">
      <c r="A17" s="193"/>
      <c r="B17" s="149">
        <v>84000000</v>
      </c>
      <c r="C17" s="4526"/>
      <c r="D17" s="4521"/>
      <c r="E17" s="4522"/>
    </row>
    <row r="18" spans="1:9" ht="30" customHeight="1" x14ac:dyDescent="0.2">
      <c r="A18" s="193"/>
      <c r="B18" s="156">
        <v>250000000</v>
      </c>
      <c r="C18" s="564"/>
      <c r="D18" s="7594" t="s">
        <v>6105</v>
      </c>
      <c r="E18" s="7595"/>
      <c r="G18" s="7598" t="s">
        <v>6107</v>
      </c>
      <c r="H18" s="7599"/>
      <c r="I18" s="7600"/>
    </row>
    <row r="19" spans="1:9" ht="30" customHeight="1" x14ac:dyDescent="0.2">
      <c r="A19" s="193"/>
      <c r="B19" s="156">
        <v>200000000</v>
      </c>
      <c r="C19" s="564"/>
      <c r="D19" s="7594" t="s">
        <v>6105</v>
      </c>
      <c r="E19" s="7595"/>
      <c r="G19" s="7601"/>
      <c r="H19" s="7602"/>
      <c r="I19" s="7603"/>
    </row>
    <row r="20" spans="1:9" ht="30" customHeight="1" x14ac:dyDescent="0.2">
      <c r="A20" s="193"/>
      <c r="B20" s="156">
        <v>150000000</v>
      </c>
      <c r="C20" s="564"/>
      <c r="D20" s="7594" t="s">
        <v>6104</v>
      </c>
      <c r="E20" s="7595"/>
      <c r="G20" s="7601"/>
      <c r="H20" s="7602"/>
      <c r="I20" s="7603"/>
    </row>
    <row r="21" spans="1:9" ht="30" customHeight="1" thickBot="1" x14ac:dyDescent="0.25">
      <c r="A21" s="193"/>
      <c r="B21" s="156">
        <v>150000000</v>
      </c>
      <c r="C21" s="564"/>
      <c r="D21" s="7594" t="s">
        <v>6106</v>
      </c>
      <c r="E21" s="7595"/>
      <c r="G21" s="7604"/>
      <c r="H21" s="7605"/>
      <c r="I21" s="7606"/>
    </row>
    <row r="22" spans="1:9" ht="30" customHeight="1" thickBot="1" x14ac:dyDescent="0.25">
      <c r="A22" s="4043" t="s">
        <v>876</v>
      </c>
      <c r="B22" s="153">
        <f>SUM(B4:B21)</f>
        <v>2000000000</v>
      </c>
      <c r="C22" s="154"/>
      <c r="D22" s="7596"/>
      <c r="E22" s="7597"/>
    </row>
    <row r="25" spans="1:9" ht="15" thickBot="1" x14ac:dyDescent="0.25"/>
    <row r="26" spans="1:9" ht="50.1" customHeight="1" thickBot="1" x14ac:dyDescent="0.25">
      <c r="A26" s="7465" t="s">
        <v>5890</v>
      </c>
      <c r="B26" s="7466"/>
      <c r="C26" s="7466"/>
      <c r="D26" s="7466"/>
      <c r="E26" s="7466"/>
      <c r="F26" s="7466"/>
      <c r="G26" s="7467"/>
    </row>
    <row r="27" spans="1:9" ht="50.1" customHeight="1" x14ac:dyDescent="0.2">
      <c r="A27" s="1856" t="s">
        <v>0</v>
      </c>
      <c r="B27" s="8" t="s">
        <v>5892</v>
      </c>
      <c r="C27" s="8" t="s">
        <v>5891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1">
        <v>1</v>
      </c>
      <c r="B28" s="156">
        <v>200000000</v>
      </c>
      <c r="C28" s="564" t="s">
        <v>5893</v>
      </c>
      <c r="D28" s="4587">
        <v>252793</v>
      </c>
      <c r="E28" s="4617" t="s">
        <v>3459</v>
      </c>
      <c r="F28" s="1869" t="s">
        <v>5077</v>
      </c>
      <c r="G28" s="4618" t="s">
        <v>6329</v>
      </c>
    </row>
    <row r="29" spans="1:9" ht="30" customHeight="1" x14ac:dyDescent="0.2">
      <c r="A29" s="3201">
        <v>2</v>
      </c>
      <c r="B29" s="156">
        <v>1000000000</v>
      </c>
      <c r="C29" s="564" t="s">
        <v>5894</v>
      </c>
      <c r="D29" s="4587">
        <v>47212</v>
      </c>
      <c r="E29" s="4617" t="s">
        <v>3459</v>
      </c>
      <c r="F29" s="1869" t="s">
        <v>5077</v>
      </c>
      <c r="G29" s="4618" t="s">
        <v>6329</v>
      </c>
    </row>
    <row r="30" spans="1:9" ht="30" customHeight="1" x14ac:dyDescent="0.2">
      <c r="A30" s="3201">
        <v>3</v>
      </c>
      <c r="B30" s="156">
        <v>1000000000</v>
      </c>
      <c r="C30" s="564" t="s">
        <v>5893</v>
      </c>
      <c r="D30" s="4587">
        <v>47209</v>
      </c>
      <c r="E30" s="4617" t="s">
        <v>3459</v>
      </c>
      <c r="F30" s="1869" t="s">
        <v>5077</v>
      </c>
      <c r="G30" s="4618" t="s">
        <v>6329</v>
      </c>
    </row>
    <row r="31" spans="1:9" ht="30" customHeight="1" x14ac:dyDescent="0.2">
      <c r="A31" s="3201">
        <v>4</v>
      </c>
      <c r="B31" s="4050"/>
      <c r="C31" s="4045"/>
      <c r="D31" s="4050"/>
      <c r="E31" s="4045"/>
      <c r="F31" s="1857"/>
      <c r="G31" s="4080"/>
    </row>
    <row r="32" spans="1:9" ht="30" customHeight="1" x14ac:dyDescent="0.2">
      <c r="A32" s="3201">
        <v>5</v>
      </c>
      <c r="B32" s="4050"/>
      <c r="C32" s="4045"/>
      <c r="D32" s="4050"/>
      <c r="E32" s="4045"/>
      <c r="F32" s="1857"/>
      <c r="G32" s="4080"/>
    </row>
    <row r="33" spans="1:7" ht="30" customHeight="1" x14ac:dyDescent="0.2">
      <c r="A33" s="3201">
        <v>6</v>
      </c>
      <c r="B33" s="4050"/>
      <c r="C33" s="4045"/>
      <c r="D33" s="4050"/>
      <c r="E33" s="4045"/>
      <c r="F33" s="1857"/>
      <c r="G33" s="4080"/>
    </row>
    <row r="34" spans="1:7" ht="30" customHeight="1" x14ac:dyDescent="0.2">
      <c r="A34" s="3201">
        <v>7</v>
      </c>
      <c r="B34" s="4050"/>
      <c r="C34" s="4045"/>
      <c r="D34" s="4050"/>
      <c r="E34" s="4045"/>
      <c r="F34" s="1857"/>
      <c r="G34" s="4080"/>
    </row>
    <row r="35" spans="1:7" ht="30" customHeight="1" x14ac:dyDescent="0.2">
      <c r="A35" s="3201">
        <v>8</v>
      </c>
      <c r="B35" s="7588" t="s">
        <v>5885</v>
      </c>
      <c r="C35" s="7589"/>
      <c r="D35" s="7589"/>
      <c r="E35" s="7589"/>
      <c r="F35" s="7590"/>
      <c r="G35" s="1858"/>
    </row>
    <row r="36" spans="1:7" ht="30" customHeight="1" x14ac:dyDescent="0.2">
      <c r="A36" s="3201">
        <v>9</v>
      </c>
      <c r="B36" s="7588" t="s">
        <v>5886</v>
      </c>
      <c r="C36" s="7589"/>
      <c r="D36" s="7589"/>
      <c r="E36" s="7589"/>
      <c r="F36" s="7590"/>
      <c r="G36" s="1858"/>
    </row>
    <row r="37" spans="1:7" ht="30" customHeight="1" x14ac:dyDescent="0.2">
      <c r="A37" s="3202"/>
      <c r="B37" s="7588" t="s">
        <v>5110</v>
      </c>
      <c r="C37" s="7589"/>
      <c r="D37" s="7589"/>
      <c r="E37" s="7589"/>
      <c r="F37" s="7590"/>
      <c r="G37" s="1858"/>
    </row>
    <row r="38" spans="1:7" ht="30" customHeight="1" x14ac:dyDescent="0.2">
      <c r="A38" s="3202"/>
      <c r="B38" s="7591" t="s">
        <v>5111</v>
      </c>
      <c r="C38" s="7592"/>
      <c r="D38" s="7592"/>
      <c r="E38" s="7592"/>
      <c r="F38" s="7593"/>
      <c r="G38" s="3205"/>
    </row>
    <row r="39" spans="1:7" ht="30" customHeight="1" thickBot="1" x14ac:dyDescent="0.25">
      <c r="A39" s="3203"/>
      <c r="B39" s="3206" t="s">
        <v>5070</v>
      </c>
      <c r="C39" s="7538">
        <f>SUM(C28:C34)</f>
        <v>0</v>
      </c>
      <c r="D39" s="7587"/>
      <c r="E39" s="7587"/>
      <c r="F39" s="7539"/>
      <c r="G39" s="1865"/>
    </row>
  </sheetData>
  <mergeCells count="17">
    <mergeCell ref="G18:I21"/>
    <mergeCell ref="B38:F38"/>
    <mergeCell ref="C39:F39"/>
    <mergeCell ref="B37:F37"/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  <mergeCell ref="D22:E22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7465" t="s">
        <v>53</v>
      </c>
      <c r="C1" s="7466"/>
      <c r="D1" s="7467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7521" t="s">
        <v>1028</v>
      </c>
      <c r="B6" s="7522"/>
      <c r="C6" s="7522"/>
      <c r="D6" s="7523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7524"/>
      <c r="B8" s="7524"/>
      <c r="C8" s="7524"/>
      <c r="D8" s="7524"/>
    </row>
    <row r="9" spans="1:4" s="184" customFormat="1" ht="30" customHeight="1" thickBot="1" x14ac:dyDescent="0.25">
      <c r="A9" s="7521" t="s">
        <v>1029</v>
      </c>
      <c r="B9" s="7522"/>
      <c r="C9" s="7522"/>
      <c r="D9" s="7523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7607" t="s">
        <v>2285</v>
      </c>
      <c r="B12" s="7608"/>
      <c r="C12" s="7608"/>
      <c r="D12" s="7609"/>
    </row>
    <row r="13" spans="1:4" s="184" customFormat="1" ht="30" customHeight="1" thickBot="1" x14ac:dyDescent="0.25">
      <c r="A13" s="7610"/>
      <c r="B13" s="7611"/>
      <c r="C13" s="7611"/>
      <c r="D13" s="7612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7607" t="s">
        <v>1030</v>
      </c>
      <c r="B20" s="7608"/>
      <c r="C20" s="7608"/>
      <c r="D20" s="7609"/>
    </row>
    <row r="21" spans="1:4" ht="30" customHeight="1" thickBot="1" x14ac:dyDescent="0.25">
      <c r="A21" s="7610"/>
      <c r="B21" s="7611"/>
      <c r="C21" s="7611"/>
      <c r="D21" s="7612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7607" t="s">
        <v>1031</v>
      </c>
      <c r="B24" s="7608"/>
      <c r="C24" s="7608"/>
      <c r="D24" s="7609"/>
    </row>
    <row r="25" spans="1:4" ht="30" customHeight="1" thickBot="1" x14ac:dyDescent="0.25">
      <c r="A25" s="7610"/>
      <c r="B25" s="7611"/>
      <c r="C25" s="7611"/>
      <c r="D25" s="7612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7607" t="s">
        <v>2283</v>
      </c>
      <c r="B27" s="7608"/>
      <c r="C27" s="7608"/>
      <c r="D27" s="7609"/>
    </row>
    <row r="28" spans="1:4" ht="30" customHeight="1" thickBot="1" x14ac:dyDescent="0.25">
      <c r="A28" s="7610"/>
      <c r="B28" s="7611"/>
      <c r="C28" s="7611"/>
      <c r="D28" s="7612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7607" t="s">
        <v>2284</v>
      </c>
      <c r="B30" s="7608"/>
      <c r="C30" s="7608"/>
      <c r="D30" s="7609"/>
    </row>
    <row r="31" spans="1:4" ht="30" customHeight="1" thickBot="1" x14ac:dyDescent="0.25">
      <c r="A31" s="7610"/>
      <c r="B31" s="7611"/>
      <c r="C31" s="7611"/>
      <c r="D31" s="7612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7524" t="s">
        <v>2286</v>
      </c>
      <c r="B33" s="7524"/>
      <c r="C33" s="7524"/>
      <c r="D33" s="7524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7613" t="s">
        <v>2282</v>
      </c>
      <c r="B35" s="7614"/>
      <c r="C35" s="7614"/>
      <c r="D35" s="7614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B1:D1"/>
    <mergeCell ref="A6:D6"/>
    <mergeCell ref="A9:D9"/>
    <mergeCell ref="A12:D13"/>
    <mergeCell ref="A8:D8"/>
    <mergeCell ref="A27:D28"/>
    <mergeCell ref="A30:D31"/>
    <mergeCell ref="A35:D35"/>
    <mergeCell ref="A20:D21"/>
    <mergeCell ref="A24:D25"/>
    <mergeCell ref="A33:D3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rightToLeft="1" topLeftCell="A10" workbookViewId="0">
      <selection activeCell="C16" sqref="C16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51"/>
      <c r="B1" s="7465" t="s">
        <v>1037</v>
      </c>
      <c r="C1" s="7466"/>
      <c r="D1" s="7466"/>
      <c r="E1" s="7466"/>
      <c r="F1" s="7467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48"/>
      <c r="B3" s="448" t="s">
        <v>1032</v>
      </c>
      <c r="C3" s="4544">
        <v>150000000</v>
      </c>
      <c r="D3" s="4062">
        <v>0.05</v>
      </c>
      <c r="E3" s="4571">
        <f>C3*D3</f>
        <v>7500000</v>
      </c>
      <c r="F3" s="7626">
        <f>E3+E11+E14+E16</f>
        <v>25500000</v>
      </c>
    </row>
    <row r="4" spans="1:6" ht="30" customHeight="1" x14ac:dyDescent="0.2">
      <c r="A4" s="193"/>
      <c r="B4" s="451" t="s">
        <v>1033</v>
      </c>
      <c r="C4" s="4549">
        <v>115000000</v>
      </c>
      <c r="D4" s="452"/>
      <c r="E4" s="452">
        <v>5750000</v>
      </c>
      <c r="F4" s="7627"/>
    </row>
    <row r="5" spans="1:6" ht="30" customHeight="1" x14ac:dyDescent="0.2">
      <c r="A5" s="440"/>
      <c r="B5" s="7622" t="s">
        <v>1490</v>
      </c>
      <c r="C5" s="7623"/>
      <c r="D5" s="7623"/>
      <c r="E5" s="7624"/>
      <c r="F5" s="7627"/>
    </row>
    <row r="6" spans="1:6" ht="30" customHeight="1" thickBot="1" x14ac:dyDescent="0.25">
      <c r="A6" s="440"/>
      <c r="B6" s="451" t="s">
        <v>1033</v>
      </c>
      <c r="C6" s="4549">
        <v>120000000</v>
      </c>
      <c r="D6" s="2808">
        <v>0.05</v>
      </c>
      <c r="E6" s="452">
        <f>C6*D6</f>
        <v>6000000</v>
      </c>
      <c r="F6" s="7627"/>
    </row>
    <row r="7" spans="1:6" ht="30" customHeight="1" x14ac:dyDescent="0.2">
      <c r="A7" s="4061"/>
      <c r="B7" s="7622" t="s">
        <v>5870</v>
      </c>
      <c r="C7" s="7623"/>
      <c r="D7" s="7623"/>
      <c r="E7" s="7624"/>
      <c r="F7" s="7627"/>
    </row>
    <row r="8" spans="1:6" ht="30" customHeight="1" thickBot="1" x14ac:dyDescent="0.25">
      <c r="A8" s="4061"/>
      <c r="B8" s="451" t="s">
        <v>1033</v>
      </c>
      <c r="C8" s="4549">
        <v>150000000</v>
      </c>
      <c r="D8" s="2808">
        <v>0.05</v>
      </c>
      <c r="E8" s="452">
        <f>C8*D8</f>
        <v>7500000</v>
      </c>
      <c r="F8" s="7627"/>
    </row>
    <row r="9" spans="1:6" ht="30" customHeight="1" x14ac:dyDescent="0.2">
      <c r="A9" s="4061"/>
      <c r="B9" s="7622" t="s">
        <v>6323</v>
      </c>
      <c r="C9" s="7623"/>
      <c r="D9" s="7623"/>
      <c r="E9" s="7624"/>
      <c r="F9" s="7627"/>
    </row>
    <row r="10" spans="1:6" ht="30" customHeight="1" x14ac:dyDescent="0.2">
      <c r="A10" s="4061"/>
      <c r="B10" s="7629" t="s">
        <v>6931</v>
      </c>
      <c r="C10" s="7629"/>
      <c r="D10" s="7629"/>
      <c r="E10" s="7629"/>
      <c r="F10" s="7627"/>
    </row>
    <row r="11" spans="1:6" ht="30" customHeight="1" thickBot="1" x14ac:dyDescent="0.25">
      <c r="A11" s="4061"/>
      <c r="B11" s="4547" t="s">
        <v>1033</v>
      </c>
      <c r="C11" s="5323">
        <v>140000000</v>
      </c>
      <c r="D11" s="4062">
        <v>0.05</v>
      </c>
      <c r="E11" s="4550">
        <f>C11*D11</f>
        <v>7000000</v>
      </c>
      <c r="F11" s="7627"/>
    </row>
    <row r="12" spans="1:6" ht="30" customHeight="1" thickBot="1" x14ac:dyDescent="0.25">
      <c r="A12" s="7618"/>
      <c r="B12" s="7625" t="s">
        <v>1034</v>
      </c>
      <c r="C12" s="4549">
        <v>45000000</v>
      </c>
      <c r="D12" s="2808">
        <v>0.06</v>
      </c>
      <c r="E12" s="452">
        <f>C12*D12</f>
        <v>2700000</v>
      </c>
      <c r="F12" s="7627"/>
    </row>
    <row r="13" spans="1:6" ht="30" customHeight="1" thickBot="1" x14ac:dyDescent="0.25">
      <c r="A13" s="7619"/>
      <c r="B13" s="7625"/>
      <c r="C13" s="4556">
        <v>85000000</v>
      </c>
      <c r="D13" s="2808">
        <v>0.05</v>
      </c>
      <c r="E13" s="4549">
        <f>C13*D13</f>
        <v>4250000</v>
      </c>
      <c r="F13" s="7627"/>
    </row>
    <row r="14" spans="1:6" ht="30" customHeight="1" thickBot="1" x14ac:dyDescent="0.25">
      <c r="A14" s="214"/>
      <c r="B14" s="448" t="s">
        <v>1035</v>
      </c>
      <c r="C14" s="4544">
        <v>50000000</v>
      </c>
      <c r="D14" s="4062">
        <v>7.0000000000000007E-2</v>
      </c>
      <c r="E14" s="4571">
        <v>3500000</v>
      </c>
      <c r="F14" s="7627"/>
    </row>
    <row r="15" spans="1:6" ht="30" customHeight="1" x14ac:dyDescent="0.2">
      <c r="A15" s="4061"/>
      <c r="B15" s="7622" t="s">
        <v>6930</v>
      </c>
      <c r="C15" s="7623"/>
      <c r="D15" s="7623"/>
      <c r="E15" s="7624"/>
      <c r="F15" s="7627"/>
    </row>
    <row r="16" spans="1:6" ht="30" customHeight="1" thickBot="1" x14ac:dyDescent="0.25">
      <c r="A16" s="4552"/>
      <c r="B16" s="4547" t="s">
        <v>6324</v>
      </c>
      <c r="C16" s="2044">
        <v>150000000</v>
      </c>
      <c r="D16" s="4062">
        <v>0.05</v>
      </c>
      <c r="E16" s="2044">
        <f>C16*D16</f>
        <v>7500000</v>
      </c>
      <c r="F16" s="7628"/>
    </row>
    <row r="17" spans="1:6" ht="30" customHeight="1" x14ac:dyDescent="0.2">
      <c r="A17" s="190"/>
      <c r="C17" s="1921">
        <f>C3+C11+C14+C16</f>
        <v>490000000</v>
      </c>
      <c r="D17" s="190"/>
      <c r="E17" s="190"/>
    </row>
    <row r="18" spans="1:6" ht="30" customHeight="1" x14ac:dyDescent="0.2">
      <c r="A18" s="190"/>
      <c r="B18" s="190"/>
      <c r="C18" s="190"/>
      <c r="D18" s="190"/>
      <c r="E18" s="190"/>
      <c r="F18" s="190"/>
    </row>
    <row r="19" spans="1:6" ht="30" customHeight="1" thickBot="1" x14ac:dyDescent="0.25">
      <c r="A19" s="190"/>
      <c r="C19" s="190"/>
      <c r="D19" s="190"/>
      <c r="E19" s="190"/>
    </row>
    <row r="20" spans="1:6" ht="50.1" customHeight="1" thickBot="1" x14ac:dyDescent="0.25">
      <c r="A20" s="4821"/>
      <c r="B20" s="7465" t="s">
        <v>1038</v>
      </c>
      <c r="C20" s="7466"/>
      <c r="D20" s="7466"/>
      <c r="E20" s="7466"/>
      <c r="F20" s="7467"/>
    </row>
    <row r="21" spans="1:6" ht="50.1" customHeight="1" x14ac:dyDescent="0.2">
      <c r="A21" s="189" t="s">
        <v>0</v>
      </c>
      <c r="B21" s="147" t="s">
        <v>879</v>
      </c>
      <c r="C21" s="8" t="s">
        <v>271</v>
      </c>
      <c r="D21" s="213" t="s">
        <v>5</v>
      </c>
      <c r="E21" s="213" t="s">
        <v>277</v>
      </c>
      <c r="F21" s="148" t="s">
        <v>1036</v>
      </c>
    </row>
    <row r="22" spans="1:6" ht="30" customHeight="1" thickBot="1" x14ac:dyDescent="0.25">
      <c r="A22" s="4820">
        <v>1</v>
      </c>
      <c r="B22" s="212" t="s">
        <v>1039</v>
      </c>
      <c r="C22" s="4816">
        <v>70000000</v>
      </c>
      <c r="D22" s="197">
        <v>5.5E-2</v>
      </c>
      <c r="E22" s="4828">
        <v>3500000</v>
      </c>
      <c r="F22" s="7620">
        <f>E22+E23+E24+E26</f>
        <v>19910000</v>
      </c>
    </row>
    <row r="23" spans="1:6" ht="30" customHeight="1" thickBot="1" x14ac:dyDescent="0.25">
      <c r="A23" s="193">
        <v>2</v>
      </c>
      <c r="B23" s="212" t="s">
        <v>1040</v>
      </c>
      <c r="C23" s="4816">
        <v>140000000</v>
      </c>
      <c r="D23" s="197">
        <v>5.5E-2</v>
      </c>
      <c r="E23" s="4828">
        <v>7000000</v>
      </c>
      <c r="F23" s="7621"/>
    </row>
    <row r="24" spans="1:6" ht="30" customHeight="1" thickBot="1" x14ac:dyDescent="0.25">
      <c r="A24" s="440"/>
      <c r="B24" s="212" t="s">
        <v>1035</v>
      </c>
      <c r="C24" s="4816">
        <v>63000000</v>
      </c>
      <c r="D24" s="197">
        <v>5.5E-2</v>
      </c>
      <c r="E24" s="4828">
        <v>4410000</v>
      </c>
      <c r="F24" s="7621"/>
    </row>
    <row r="25" spans="1:6" ht="30" customHeight="1" thickBot="1" x14ac:dyDescent="0.25">
      <c r="A25" s="440"/>
      <c r="B25" s="212" t="s">
        <v>3606</v>
      </c>
      <c r="C25" s="4816">
        <v>100000000</v>
      </c>
      <c r="D25" s="197">
        <v>0.05</v>
      </c>
      <c r="E25" s="4828">
        <f>C25*D25</f>
        <v>5000000</v>
      </c>
      <c r="F25" s="7621"/>
    </row>
    <row r="26" spans="1:6" ht="30" customHeight="1" x14ac:dyDescent="0.2">
      <c r="A26" s="4859">
        <v>3</v>
      </c>
      <c r="B26" s="441" t="s">
        <v>6645</v>
      </c>
      <c r="C26" s="4817">
        <v>100000000</v>
      </c>
      <c r="D26" s="4826">
        <v>0.05</v>
      </c>
      <c r="E26" s="4831">
        <f>C26*D26</f>
        <v>5000000</v>
      </c>
      <c r="F26" s="7621"/>
    </row>
    <row r="27" spans="1:6" ht="30" customHeight="1" thickBot="1" x14ac:dyDescent="0.25">
      <c r="A27" s="1864"/>
      <c r="B27" s="7615" t="s">
        <v>6646</v>
      </c>
      <c r="C27" s="7616"/>
      <c r="D27" s="7616"/>
      <c r="E27" s="7617"/>
      <c r="F27" s="155"/>
    </row>
    <row r="28" spans="1:6" x14ac:dyDescent="0.2">
      <c r="C28" s="402"/>
    </row>
    <row r="29" spans="1:6" x14ac:dyDescent="0.2">
      <c r="C29" s="402"/>
    </row>
  </sheetData>
  <mergeCells count="12">
    <mergeCell ref="B27:E27"/>
    <mergeCell ref="A12:A13"/>
    <mergeCell ref="B1:F1"/>
    <mergeCell ref="B20:F20"/>
    <mergeCell ref="F22:F26"/>
    <mergeCell ref="B5:E5"/>
    <mergeCell ref="B12:B13"/>
    <mergeCell ref="B7:E7"/>
    <mergeCell ref="B9:E9"/>
    <mergeCell ref="B15:E15"/>
    <mergeCell ref="F3:F16"/>
    <mergeCell ref="B10:E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"/>
  <sheetViews>
    <sheetView rightToLeft="1" topLeftCell="A163" zoomScale="90" zoomScaleNormal="90" workbookViewId="0">
      <selection activeCell="D183" sqref="D182:E183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7465" t="s">
        <v>3830</v>
      </c>
      <c r="B1" s="7466"/>
      <c r="C1" s="7466"/>
      <c r="D1" s="7466"/>
      <c r="E1" s="7466"/>
      <c r="F1" s="7466"/>
      <c r="G1" s="7467"/>
    </row>
    <row r="2" spans="1:13" ht="50.1" customHeight="1" x14ac:dyDescent="0.2">
      <c r="A2" s="1856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3">
        <v>1</v>
      </c>
      <c r="B3" s="1820" t="s">
        <v>3802</v>
      </c>
      <c r="C3" s="1824">
        <v>500000000</v>
      </c>
      <c r="D3" s="1820" t="s">
        <v>3810</v>
      </c>
      <c r="E3" s="1824" t="s">
        <v>3818</v>
      </c>
      <c r="F3" s="1857" t="s">
        <v>3819</v>
      </c>
      <c r="G3" s="1858"/>
    </row>
    <row r="4" spans="1:13" ht="30" customHeight="1" x14ac:dyDescent="0.2">
      <c r="A4" s="1863">
        <v>2</v>
      </c>
      <c r="B4" s="1820" t="s">
        <v>3803</v>
      </c>
      <c r="C4" s="1824">
        <v>2000000000</v>
      </c>
      <c r="D4" s="1820" t="s">
        <v>3811</v>
      </c>
      <c r="E4" s="1824" t="s">
        <v>3818</v>
      </c>
      <c r="F4" s="1857" t="s">
        <v>3820</v>
      </c>
      <c r="G4" s="1858"/>
    </row>
    <row r="5" spans="1:13" ht="30" customHeight="1" x14ac:dyDescent="0.2">
      <c r="A5" s="1863">
        <v>3</v>
      </c>
      <c r="B5" s="1820" t="s">
        <v>3804</v>
      </c>
      <c r="C5" s="1824">
        <v>1520000000</v>
      </c>
      <c r="D5" s="1820" t="s">
        <v>3812</v>
      </c>
      <c r="E5" s="1824" t="s">
        <v>3818</v>
      </c>
      <c r="F5" s="1857" t="s">
        <v>3819</v>
      </c>
      <c r="G5" s="1858"/>
    </row>
    <row r="6" spans="1:13" ht="30" customHeight="1" x14ac:dyDescent="0.2">
      <c r="A6" s="1863">
        <v>4</v>
      </c>
      <c r="B6" s="1820" t="s">
        <v>3805</v>
      </c>
      <c r="C6" s="1824">
        <v>655000000</v>
      </c>
      <c r="D6" s="1820" t="s">
        <v>3813</v>
      </c>
      <c r="E6" s="1824" t="s">
        <v>3818</v>
      </c>
      <c r="F6" s="1857" t="s">
        <v>3819</v>
      </c>
      <c r="G6" s="1858"/>
    </row>
    <row r="7" spans="1:13" ht="30" customHeight="1" x14ac:dyDescent="0.2">
      <c r="A7" s="1863">
        <v>5</v>
      </c>
      <c r="B7" s="1820" t="s">
        <v>3806</v>
      </c>
      <c r="C7" s="1824">
        <v>490000000</v>
      </c>
      <c r="D7" s="1820" t="s">
        <v>3814</v>
      </c>
      <c r="E7" s="1824" t="s">
        <v>3818</v>
      </c>
      <c r="F7" s="1857" t="s">
        <v>3820</v>
      </c>
      <c r="G7" s="1858"/>
    </row>
    <row r="8" spans="1:13" ht="30" customHeight="1" x14ac:dyDescent="0.2">
      <c r="A8" s="1863">
        <v>6</v>
      </c>
      <c r="B8" s="1820" t="s">
        <v>3463</v>
      </c>
      <c r="C8" s="1824">
        <v>1050000000</v>
      </c>
      <c r="D8" s="1820" t="s">
        <v>3815</v>
      </c>
      <c r="E8" s="1824" t="s">
        <v>3818</v>
      </c>
      <c r="F8" s="1857" t="s">
        <v>3820</v>
      </c>
      <c r="G8" s="1858"/>
    </row>
    <row r="9" spans="1:13" ht="30" customHeight="1" x14ac:dyDescent="0.2">
      <c r="A9" s="1863">
        <v>7</v>
      </c>
      <c r="B9" s="1820" t="s">
        <v>3807</v>
      </c>
      <c r="C9" s="1824">
        <v>1370000000</v>
      </c>
      <c r="D9" s="1820" t="s">
        <v>3816</v>
      </c>
      <c r="E9" s="1824" t="s">
        <v>3818</v>
      </c>
      <c r="F9" s="1857" t="s">
        <v>3800</v>
      </c>
      <c r="G9" s="1858"/>
    </row>
    <row r="10" spans="1:13" ht="30" customHeight="1" x14ac:dyDescent="0.2">
      <c r="A10" s="1863">
        <v>8</v>
      </c>
      <c r="B10" s="1820" t="s">
        <v>3808</v>
      </c>
      <c r="C10" s="1824">
        <v>2600000000</v>
      </c>
      <c r="D10" s="1820" t="s">
        <v>3817</v>
      </c>
      <c r="E10" s="1824" t="s">
        <v>3818</v>
      </c>
      <c r="F10" s="1857" t="s">
        <v>1180</v>
      </c>
      <c r="G10" s="1858"/>
    </row>
    <row r="11" spans="1:13" ht="30" customHeight="1" x14ac:dyDescent="0.2">
      <c r="A11" s="1863">
        <v>9</v>
      </c>
      <c r="B11" s="1705" t="s">
        <v>3421</v>
      </c>
      <c r="C11" s="1826">
        <v>1000000000</v>
      </c>
      <c r="D11" s="1705">
        <v>595471</v>
      </c>
      <c r="E11" s="1826" t="s">
        <v>3818</v>
      </c>
      <c r="F11" s="1869" t="s">
        <v>3801</v>
      </c>
      <c r="G11" s="1859"/>
    </row>
    <row r="12" spans="1:13" ht="30" customHeight="1" x14ac:dyDescent="0.2">
      <c r="A12" s="1863">
        <v>10</v>
      </c>
      <c r="B12" s="1705" t="s">
        <v>3809</v>
      </c>
      <c r="C12" s="1826">
        <v>500000000</v>
      </c>
      <c r="D12" s="1705">
        <v>174155</v>
      </c>
      <c r="E12" s="1826" t="s">
        <v>3818</v>
      </c>
      <c r="F12" s="1869" t="s">
        <v>3801</v>
      </c>
      <c r="G12" s="1859"/>
    </row>
    <row r="13" spans="1:13" ht="30" customHeight="1" thickBot="1" x14ac:dyDescent="0.25">
      <c r="A13" s="1864"/>
      <c r="B13" s="1860" t="s">
        <v>3821</v>
      </c>
      <c r="C13" s="7538">
        <f>SUM(C3:C12)</f>
        <v>11685000000</v>
      </c>
      <c r="D13" s="7587"/>
      <c r="E13" s="7587"/>
      <c r="F13" s="7539"/>
      <c r="G13" s="1865"/>
    </row>
    <row r="14" spans="1:13" ht="18" x14ac:dyDescent="0.2">
      <c r="A14" s="181"/>
      <c r="B14" s="183"/>
      <c r="C14" s="183"/>
      <c r="D14" s="183"/>
      <c r="E14" s="1818"/>
      <c r="F14" s="1861"/>
      <c r="G14" s="1862"/>
    </row>
    <row r="15" spans="1:13" ht="18.75" thickBot="1" x14ac:dyDescent="0.25">
      <c r="A15" s="181"/>
      <c r="B15" s="183"/>
      <c r="C15" s="183"/>
      <c r="D15" s="183"/>
      <c r="E15" s="1818"/>
      <c r="F15" s="1861"/>
      <c r="G15" s="1862"/>
    </row>
    <row r="16" spans="1:13" ht="39.950000000000003" customHeight="1" thickBot="1" x14ac:dyDescent="0.25">
      <c r="A16" s="7642" t="s">
        <v>3823</v>
      </c>
      <c r="B16" s="7643"/>
      <c r="C16" s="7643"/>
      <c r="D16" s="7643"/>
      <c r="E16" s="7643"/>
      <c r="F16" s="7643"/>
      <c r="G16" s="7644"/>
      <c r="H16" s="1866"/>
      <c r="I16" s="1866"/>
      <c r="J16" s="1866"/>
      <c r="K16" s="1866"/>
      <c r="L16" s="1866"/>
      <c r="M16" s="1866"/>
    </row>
    <row r="17" spans="1:7" ht="18" customHeight="1" x14ac:dyDescent="0.2">
      <c r="A17" s="7645" t="s">
        <v>3822</v>
      </c>
      <c r="B17" s="7646"/>
      <c r="C17" s="7646"/>
      <c r="D17" s="7646"/>
      <c r="E17" s="7646"/>
      <c r="F17" s="7646"/>
      <c r="G17" s="7647"/>
    </row>
    <row r="18" spans="1:7" ht="18" customHeight="1" thickBot="1" x14ac:dyDescent="0.25">
      <c r="A18" s="7648"/>
      <c r="B18" s="7649"/>
      <c r="C18" s="7649"/>
      <c r="D18" s="7649"/>
      <c r="E18" s="7649"/>
      <c r="F18" s="7649"/>
      <c r="G18" s="7650"/>
    </row>
    <row r="19" spans="1:7" x14ac:dyDescent="0.2">
      <c r="A19" s="7645" t="s">
        <v>3824</v>
      </c>
      <c r="B19" s="7646"/>
      <c r="C19" s="7646"/>
      <c r="D19" s="7646"/>
      <c r="E19" s="7646"/>
      <c r="F19" s="7646"/>
      <c r="G19" s="7647"/>
    </row>
    <row r="20" spans="1:7" ht="15" thickBot="1" x14ac:dyDescent="0.25">
      <c r="A20" s="7648"/>
      <c r="B20" s="7649"/>
      <c r="C20" s="7649"/>
      <c r="D20" s="7649"/>
      <c r="E20" s="7649"/>
      <c r="F20" s="7649"/>
      <c r="G20" s="7650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8"/>
      <c r="F23" s="1861"/>
      <c r="G23" s="1862"/>
    </row>
    <row r="24" spans="1:7" ht="50.1" customHeight="1" thickBot="1" x14ac:dyDescent="0.25">
      <c r="A24" s="7465" t="s">
        <v>3831</v>
      </c>
      <c r="B24" s="7466"/>
      <c r="C24" s="7466"/>
      <c r="D24" s="7466"/>
      <c r="E24" s="7466"/>
      <c r="F24" s="7466"/>
      <c r="G24" s="7467"/>
    </row>
    <row r="25" spans="1:7" ht="50.1" customHeight="1" x14ac:dyDescent="0.2">
      <c r="A25" s="1856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3">
        <v>1</v>
      </c>
      <c r="B26" s="1820" t="s">
        <v>3802</v>
      </c>
      <c r="C26" s="1824">
        <v>500000000</v>
      </c>
      <c r="D26" s="1820" t="s">
        <v>3810</v>
      </c>
      <c r="E26" s="1824" t="s">
        <v>3818</v>
      </c>
      <c r="F26" s="1857" t="s">
        <v>3819</v>
      </c>
      <c r="G26" s="1858"/>
    </row>
    <row r="27" spans="1:7" ht="30" customHeight="1" x14ac:dyDescent="0.2">
      <c r="A27" s="1863">
        <v>2</v>
      </c>
      <c r="B27" s="1820" t="s">
        <v>3803</v>
      </c>
      <c r="C27" s="1824">
        <v>2000000000</v>
      </c>
      <c r="D27" s="1820" t="s">
        <v>3811</v>
      </c>
      <c r="E27" s="1824" t="s">
        <v>3818</v>
      </c>
      <c r="F27" s="1857" t="s">
        <v>3820</v>
      </c>
      <c r="G27" s="1858"/>
    </row>
    <row r="28" spans="1:7" ht="30" customHeight="1" x14ac:dyDescent="0.2">
      <c r="A28" s="1863">
        <v>3</v>
      </c>
      <c r="B28" s="1820" t="s">
        <v>3804</v>
      </c>
      <c r="C28" s="1824">
        <v>1520000000</v>
      </c>
      <c r="D28" s="1820" t="s">
        <v>3812</v>
      </c>
      <c r="E28" s="1824" t="s">
        <v>3818</v>
      </c>
      <c r="F28" s="1857" t="s">
        <v>3819</v>
      </c>
      <c r="G28" s="1858"/>
    </row>
    <row r="29" spans="1:7" ht="30" customHeight="1" x14ac:dyDescent="0.2">
      <c r="A29" s="1863">
        <v>4</v>
      </c>
      <c r="B29" s="1820" t="s">
        <v>3805</v>
      </c>
      <c r="C29" s="1824">
        <v>655000000</v>
      </c>
      <c r="D29" s="1820" t="s">
        <v>3813</v>
      </c>
      <c r="E29" s="1824" t="s">
        <v>3818</v>
      </c>
      <c r="F29" s="1857" t="s">
        <v>3819</v>
      </c>
      <c r="G29" s="1858"/>
    </row>
    <row r="30" spans="1:7" ht="30" customHeight="1" x14ac:dyDescent="0.2">
      <c r="A30" s="1863">
        <v>5</v>
      </c>
      <c r="B30" s="1820" t="s">
        <v>3806</v>
      </c>
      <c r="C30" s="1824">
        <v>490000000</v>
      </c>
      <c r="D30" s="1820" t="s">
        <v>3814</v>
      </c>
      <c r="E30" s="1824" t="s">
        <v>3818</v>
      </c>
      <c r="F30" s="1857" t="s">
        <v>3820</v>
      </c>
      <c r="G30" s="1858"/>
    </row>
    <row r="31" spans="1:7" ht="30" customHeight="1" x14ac:dyDescent="0.2">
      <c r="A31" s="1863">
        <v>6</v>
      </c>
      <c r="B31" s="1820" t="s">
        <v>3463</v>
      </c>
      <c r="C31" s="1824">
        <v>1050000000</v>
      </c>
      <c r="D31" s="1820" t="s">
        <v>3815</v>
      </c>
      <c r="E31" s="1824" t="s">
        <v>3818</v>
      </c>
      <c r="F31" s="1857" t="s">
        <v>3820</v>
      </c>
      <c r="G31" s="1858"/>
    </row>
    <row r="32" spans="1:7" ht="30" customHeight="1" x14ac:dyDescent="0.2">
      <c r="A32" s="1863">
        <v>7</v>
      </c>
      <c r="B32" s="1820" t="s">
        <v>3807</v>
      </c>
      <c r="C32" s="1824">
        <v>1370000000</v>
      </c>
      <c r="D32" s="1820" t="s">
        <v>3816</v>
      </c>
      <c r="E32" s="1824" t="s">
        <v>3818</v>
      </c>
      <c r="F32" s="1857" t="s">
        <v>3800</v>
      </c>
      <c r="G32" s="1858"/>
    </row>
    <row r="33" spans="1:13" ht="30" customHeight="1" x14ac:dyDescent="0.2">
      <c r="A33" s="1863">
        <v>8</v>
      </c>
      <c r="B33" s="1820" t="s">
        <v>3808</v>
      </c>
      <c r="C33" s="1824">
        <v>2600000000</v>
      </c>
      <c r="D33" s="1820" t="s">
        <v>3817</v>
      </c>
      <c r="E33" s="1824" t="s">
        <v>3818</v>
      </c>
      <c r="F33" s="1857" t="s">
        <v>1180</v>
      </c>
      <c r="G33" s="1858"/>
    </row>
    <row r="34" spans="1:13" ht="30" customHeight="1" x14ac:dyDescent="0.2">
      <c r="A34" s="1863">
        <v>9</v>
      </c>
      <c r="B34" s="1705"/>
      <c r="C34" s="1826">
        <v>1050000000</v>
      </c>
      <c r="D34" s="1705">
        <v>174155</v>
      </c>
      <c r="E34" s="1826" t="s">
        <v>3818</v>
      </c>
      <c r="F34" s="1869" t="s">
        <v>3801</v>
      </c>
      <c r="G34" s="1859"/>
    </row>
    <row r="35" spans="1:13" ht="30" customHeight="1" thickBot="1" x14ac:dyDescent="0.25">
      <c r="A35" s="1864"/>
      <c r="B35" s="1860" t="s">
        <v>3829</v>
      </c>
      <c r="C35" s="7538">
        <f>SUM(C26:C34)</f>
        <v>11235000000</v>
      </c>
      <c r="D35" s="7587"/>
      <c r="E35" s="7587"/>
      <c r="F35" s="7539"/>
      <c r="G35" s="1865"/>
    </row>
    <row r="36" spans="1:13" ht="18" x14ac:dyDescent="0.2">
      <c r="A36" s="181"/>
      <c r="B36" s="183"/>
      <c r="C36" s="183"/>
      <c r="D36" s="183"/>
      <c r="E36" s="1818"/>
      <c r="F36" s="1861"/>
      <c r="G36" s="1862"/>
    </row>
    <row r="37" spans="1:13" ht="18.75" thickBot="1" x14ac:dyDescent="0.25">
      <c r="A37" s="181"/>
      <c r="B37" s="183"/>
      <c r="C37" s="183"/>
      <c r="D37" s="183"/>
      <c r="E37" s="1818"/>
      <c r="F37" s="1861"/>
      <c r="G37" s="1862"/>
    </row>
    <row r="38" spans="1:13" ht="39.950000000000003" customHeight="1" thickBot="1" x14ac:dyDescent="0.25">
      <c r="A38" s="7642" t="s">
        <v>3825</v>
      </c>
      <c r="B38" s="7643"/>
      <c r="C38" s="7643"/>
      <c r="D38" s="7643"/>
      <c r="E38" s="7643"/>
      <c r="F38" s="7643"/>
      <c r="G38" s="7644"/>
      <c r="H38" s="1866"/>
      <c r="I38" s="1866"/>
      <c r="J38" s="1866"/>
      <c r="K38" s="1866"/>
      <c r="L38" s="1866"/>
      <c r="M38" s="1866"/>
    </row>
    <row r="39" spans="1:13" ht="39.950000000000003" customHeight="1" thickBot="1" x14ac:dyDescent="0.25">
      <c r="A39" s="7642" t="s">
        <v>3826</v>
      </c>
      <c r="B39" s="7643"/>
      <c r="C39" s="7643"/>
      <c r="D39" s="7643"/>
      <c r="E39" s="7643"/>
      <c r="F39" s="7643"/>
      <c r="G39" s="7644"/>
      <c r="H39" s="1866"/>
      <c r="I39" s="1866"/>
      <c r="J39" s="1866"/>
      <c r="K39" s="1866"/>
      <c r="L39" s="1866"/>
      <c r="M39" s="1866"/>
    </row>
    <row r="40" spans="1:13" ht="39.950000000000003" customHeight="1" thickBot="1" x14ac:dyDescent="0.25">
      <c r="A40" s="7642" t="s">
        <v>3827</v>
      </c>
      <c r="B40" s="7643"/>
      <c r="C40" s="7643"/>
      <c r="D40" s="7643"/>
      <c r="E40" s="7643"/>
      <c r="F40" s="7643"/>
      <c r="G40" s="7644"/>
      <c r="H40" s="1866"/>
      <c r="I40" s="1866"/>
      <c r="J40" s="1866"/>
      <c r="K40" s="1866"/>
      <c r="L40" s="1866"/>
      <c r="M40" s="1866"/>
    </row>
    <row r="41" spans="1:13" ht="18" x14ac:dyDescent="0.2">
      <c r="A41" s="181"/>
      <c r="B41" s="183"/>
      <c r="C41" s="183"/>
      <c r="D41" s="183"/>
      <c r="E41" s="1818"/>
      <c r="F41" s="1861"/>
      <c r="G41" s="1862"/>
    </row>
    <row r="42" spans="1:13" ht="18" x14ac:dyDescent="0.2">
      <c r="A42" s="181"/>
      <c r="B42" s="183"/>
      <c r="C42" s="183"/>
      <c r="D42" s="183"/>
      <c r="E42" s="1818"/>
      <c r="F42" s="1861"/>
      <c r="G42" s="1862"/>
    </row>
    <row r="43" spans="1:13" ht="18.75" thickBot="1" x14ac:dyDescent="0.25">
      <c r="A43" s="181"/>
      <c r="B43" s="183"/>
      <c r="C43" s="183"/>
      <c r="D43" s="183"/>
      <c r="E43" s="1818"/>
      <c r="F43" s="1861"/>
      <c r="G43" s="1862"/>
    </row>
    <row r="44" spans="1:13" ht="50.1" customHeight="1" thickBot="1" x14ac:dyDescent="0.25">
      <c r="A44" s="7465" t="s">
        <v>3832</v>
      </c>
      <c r="B44" s="7466"/>
      <c r="C44" s="7466"/>
      <c r="D44" s="7466"/>
      <c r="E44" s="7466"/>
      <c r="F44" s="7466"/>
      <c r="G44" s="7467"/>
    </row>
    <row r="45" spans="1:13" ht="50.1" customHeight="1" x14ac:dyDescent="0.2">
      <c r="A45" s="1856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3">
        <v>1</v>
      </c>
      <c r="B46" s="1820" t="s">
        <v>3802</v>
      </c>
      <c r="C46" s="1824">
        <v>500000000</v>
      </c>
      <c r="D46" s="1820" t="s">
        <v>3810</v>
      </c>
      <c r="E46" s="1824" t="s">
        <v>3818</v>
      </c>
      <c r="F46" s="1857" t="s">
        <v>3819</v>
      </c>
      <c r="G46" s="1858"/>
    </row>
    <row r="47" spans="1:13" ht="30" customHeight="1" x14ac:dyDescent="0.2">
      <c r="A47" s="1863">
        <v>2</v>
      </c>
      <c r="B47" s="1820" t="s">
        <v>3803</v>
      </c>
      <c r="C47" s="1824">
        <v>2000000000</v>
      </c>
      <c r="D47" s="1820" t="s">
        <v>3811</v>
      </c>
      <c r="E47" s="1824" t="s">
        <v>3818</v>
      </c>
      <c r="F47" s="1857" t="s">
        <v>3820</v>
      </c>
      <c r="G47" s="1858"/>
    </row>
    <row r="48" spans="1:13" ht="30" customHeight="1" x14ac:dyDescent="0.2">
      <c r="A48" s="1863">
        <v>3</v>
      </c>
      <c r="B48" s="1820" t="s">
        <v>3804</v>
      </c>
      <c r="C48" s="1824">
        <v>1520000000</v>
      </c>
      <c r="D48" s="1820" t="s">
        <v>3812</v>
      </c>
      <c r="E48" s="1824" t="s">
        <v>3818</v>
      </c>
      <c r="F48" s="1857" t="s">
        <v>3819</v>
      </c>
      <c r="G48" s="1858"/>
    </row>
    <row r="49" spans="1:7" ht="30" customHeight="1" x14ac:dyDescent="0.2">
      <c r="A49" s="1863">
        <v>4</v>
      </c>
      <c r="B49" s="1820" t="s">
        <v>3805</v>
      </c>
      <c r="C49" s="1824">
        <v>655000000</v>
      </c>
      <c r="D49" s="1820" t="s">
        <v>3813</v>
      </c>
      <c r="E49" s="1824" t="s">
        <v>3818</v>
      </c>
      <c r="F49" s="1857" t="s">
        <v>3819</v>
      </c>
      <c r="G49" s="1858"/>
    </row>
    <row r="50" spans="1:7" ht="30" customHeight="1" x14ac:dyDescent="0.2">
      <c r="A50" s="1863">
        <v>5</v>
      </c>
      <c r="B50" s="1820" t="s">
        <v>3806</v>
      </c>
      <c r="C50" s="1824">
        <v>490000000</v>
      </c>
      <c r="D50" s="1820" t="s">
        <v>3814</v>
      </c>
      <c r="E50" s="1824" t="s">
        <v>3818</v>
      </c>
      <c r="F50" s="1857" t="s">
        <v>3820</v>
      </c>
      <c r="G50" s="1858"/>
    </row>
    <row r="51" spans="1:7" ht="30" customHeight="1" x14ac:dyDescent="0.2">
      <c r="A51" s="1863">
        <v>6</v>
      </c>
      <c r="B51" s="1820" t="s">
        <v>3463</v>
      </c>
      <c r="C51" s="1824">
        <v>1050000000</v>
      </c>
      <c r="D51" s="1820" t="s">
        <v>3815</v>
      </c>
      <c r="E51" s="1824" t="s">
        <v>3818</v>
      </c>
      <c r="F51" s="1857" t="s">
        <v>3820</v>
      </c>
      <c r="G51" s="1858"/>
    </row>
    <row r="52" spans="1:7" ht="30" customHeight="1" x14ac:dyDescent="0.2">
      <c r="A52" s="1863">
        <v>7</v>
      </c>
      <c r="B52" s="1820" t="s">
        <v>3807</v>
      </c>
      <c r="C52" s="1824">
        <v>1370000000</v>
      </c>
      <c r="D52" s="1820" t="s">
        <v>3816</v>
      </c>
      <c r="E52" s="1824" t="s">
        <v>3818</v>
      </c>
      <c r="F52" s="1857" t="s">
        <v>3800</v>
      </c>
      <c r="G52" s="1858"/>
    </row>
    <row r="53" spans="1:7" ht="30" customHeight="1" x14ac:dyDescent="0.2">
      <c r="A53" s="1863">
        <v>8</v>
      </c>
      <c r="B53" s="1820" t="s">
        <v>3808</v>
      </c>
      <c r="C53" s="1824">
        <v>2600000000</v>
      </c>
      <c r="D53" s="1820" t="s">
        <v>3817</v>
      </c>
      <c r="E53" s="1824" t="s">
        <v>3818</v>
      </c>
      <c r="F53" s="1857" t="s">
        <v>1180</v>
      </c>
      <c r="G53" s="1858"/>
    </row>
    <row r="54" spans="1:7" ht="30" customHeight="1" x14ac:dyDescent="0.2">
      <c r="A54" s="1863">
        <v>9</v>
      </c>
      <c r="B54" s="1820" t="s">
        <v>3833</v>
      </c>
      <c r="C54" s="1824">
        <v>2730000000</v>
      </c>
      <c r="D54" s="1820" t="s">
        <v>3834</v>
      </c>
      <c r="E54" s="1824" t="s">
        <v>3818</v>
      </c>
      <c r="F54" s="1857"/>
      <c r="G54" s="1859"/>
    </row>
    <row r="55" spans="1:7" ht="30" customHeight="1" thickBot="1" x14ac:dyDescent="0.25">
      <c r="A55" s="1864"/>
      <c r="B55" s="1860" t="s">
        <v>3828</v>
      </c>
      <c r="C55" s="7638">
        <f>SUM(C46:C54)</f>
        <v>12915000000</v>
      </c>
      <c r="D55" s="7639"/>
      <c r="E55" s="7639"/>
      <c r="F55" s="7640"/>
      <c r="G55" s="1865"/>
    </row>
    <row r="56" spans="1:7" ht="18" x14ac:dyDescent="0.2">
      <c r="A56" s="181"/>
      <c r="B56" s="183"/>
      <c r="C56" s="183"/>
      <c r="D56" s="183"/>
      <c r="E56" s="1818"/>
      <c r="F56" s="1861"/>
      <c r="G56" s="1862"/>
    </row>
    <row r="57" spans="1:7" ht="18" x14ac:dyDescent="0.2">
      <c r="A57" s="181"/>
      <c r="B57" s="183"/>
      <c r="C57" s="183"/>
      <c r="D57" s="183"/>
      <c r="E57" s="1818"/>
      <c r="F57" s="1861"/>
      <c r="G57" s="1862"/>
    </row>
    <row r="58" spans="1:7" ht="18.75" thickBot="1" x14ac:dyDescent="0.25">
      <c r="A58" s="181"/>
      <c r="B58" s="183"/>
      <c r="C58" s="183"/>
      <c r="D58" s="183"/>
      <c r="E58" s="1818"/>
      <c r="F58" s="1861"/>
      <c r="G58" s="1862"/>
    </row>
    <row r="59" spans="1:7" ht="50.1" customHeight="1" thickBot="1" x14ac:dyDescent="0.25">
      <c r="A59" s="7465" t="s">
        <v>5069</v>
      </c>
      <c r="B59" s="7466"/>
      <c r="C59" s="7466"/>
      <c r="D59" s="7466"/>
      <c r="E59" s="7466"/>
      <c r="F59" s="7466"/>
      <c r="G59" s="7467"/>
    </row>
    <row r="60" spans="1:7" ht="50.1" customHeight="1" x14ac:dyDescent="0.2">
      <c r="A60" s="1856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0">
        <v>1</v>
      </c>
      <c r="B61" s="3124" t="s">
        <v>3802</v>
      </c>
      <c r="C61" s="3131">
        <v>500000000</v>
      </c>
      <c r="D61" s="3124" t="s">
        <v>3810</v>
      </c>
      <c r="E61" s="3131" t="s">
        <v>3818</v>
      </c>
      <c r="F61" s="3157" t="s">
        <v>3819</v>
      </c>
      <c r="G61" s="1858"/>
    </row>
    <row r="62" spans="1:7" ht="30" customHeight="1" x14ac:dyDescent="0.2">
      <c r="A62" s="3160">
        <v>2</v>
      </c>
      <c r="B62" s="3124" t="s">
        <v>3803</v>
      </c>
      <c r="C62" s="3131">
        <v>2000000000</v>
      </c>
      <c r="D62" s="3124" t="s">
        <v>3811</v>
      </c>
      <c r="E62" s="3131" t="s">
        <v>3818</v>
      </c>
      <c r="F62" s="3157" t="s">
        <v>3820</v>
      </c>
      <c r="G62" s="1858"/>
    </row>
    <row r="63" spans="1:7" ht="30" customHeight="1" x14ac:dyDescent="0.2">
      <c r="A63" s="3160">
        <v>3</v>
      </c>
      <c r="B63" s="3124" t="s">
        <v>3804</v>
      </c>
      <c r="C63" s="3131">
        <v>1520000000</v>
      </c>
      <c r="D63" s="3124" t="s">
        <v>3812</v>
      </c>
      <c r="E63" s="3131" t="s">
        <v>3818</v>
      </c>
      <c r="F63" s="3157" t="s">
        <v>3819</v>
      </c>
      <c r="G63" s="1858"/>
    </row>
    <row r="64" spans="1:7" ht="30" customHeight="1" x14ac:dyDescent="0.2">
      <c r="A64" s="3160">
        <v>4</v>
      </c>
      <c r="B64" s="3124" t="s">
        <v>3805</v>
      </c>
      <c r="C64" s="3131">
        <v>655000000</v>
      </c>
      <c r="D64" s="3124" t="s">
        <v>3813</v>
      </c>
      <c r="E64" s="3131" t="s">
        <v>3818</v>
      </c>
      <c r="F64" s="3157" t="s">
        <v>3819</v>
      </c>
      <c r="G64" s="1858"/>
    </row>
    <row r="65" spans="1:7" ht="30" customHeight="1" x14ac:dyDescent="0.2">
      <c r="A65" s="3160">
        <v>5</v>
      </c>
      <c r="B65" s="3124" t="s">
        <v>3806</v>
      </c>
      <c r="C65" s="3131">
        <v>490000000</v>
      </c>
      <c r="D65" s="3124" t="s">
        <v>3814</v>
      </c>
      <c r="E65" s="3131" t="s">
        <v>3818</v>
      </c>
      <c r="F65" s="3157" t="s">
        <v>3820</v>
      </c>
      <c r="G65" s="1858"/>
    </row>
    <row r="66" spans="1:7" ht="30" customHeight="1" x14ac:dyDescent="0.2">
      <c r="A66" s="3160">
        <v>6</v>
      </c>
      <c r="B66" s="3124" t="s">
        <v>3463</v>
      </c>
      <c r="C66" s="3131">
        <v>1050000000</v>
      </c>
      <c r="D66" s="3124" t="s">
        <v>3815</v>
      </c>
      <c r="E66" s="3131" t="s">
        <v>3818</v>
      </c>
      <c r="F66" s="3157" t="s">
        <v>3820</v>
      </c>
      <c r="G66" s="1858"/>
    </row>
    <row r="67" spans="1:7" ht="30" customHeight="1" x14ac:dyDescent="0.2">
      <c r="A67" s="1863">
        <v>7</v>
      </c>
      <c r="B67" s="1705" t="s">
        <v>3807</v>
      </c>
      <c r="C67" s="3132">
        <v>1370000000</v>
      </c>
      <c r="D67" s="1705" t="s">
        <v>3816</v>
      </c>
      <c r="E67" s="3132" t="s">
        <v>3818</v>
      </c>
      <c r="F67" s="1869" t="s">
        <v>3800</v>
      </c>
      <c r="G67" s="1858"/>
    </row>
    <row r="68" spans="1:7" ht="30" customHeight="1" x14ac:dyDescent="0.2">
      <c r="A68" s="1863">
        <v>8</v>
      </c>
      <c r="B68" s="1705" t="s">
        <v>3808</v>
      </c>
      <c r="C68" s="3132">
        <v>2600000000</v>
      </c>
      <c r="D68" s="1705" t="s">
        <v>3817</v>
      </c>
      <c r="E68" s="3132" t="s">
        <v>3818</v>
      </c>
      <c r="F68" s="1869" t="s">
        <v>1180</v>
      </c>
      <c r="G68" s="1858"/>
    </row>
    <row r="69" spans="1:7" ht="30" customHeight="1" x14ac:dyDescent="0.2">
      <c r="A69" s="1863">
        <v>9</v>
      </c>
      <c r="B69" s="1705" t="s">
        <v>3833</v>
      </c>
      <c r="C69" s="3132">
        <v>2730000000</v>
      </c>
      <c r="D69" s="1705" t="s">
        <v>3834</v>
      </c>
      <c r="E69" s="3132" t="s">
        <v>3818</v>
      </c>
      <c r="F69" s="1869"/>
      <c r="G69" s="1859"/>
    </row>
    <row r="70" spans="1:7" ht="30" customHeight="1" x14ac:dyDescent="0.2">
      <c r="A70" s="3155"/>
      <c r="B70" s="1705"/>
      <c r="C70" s="3132">
        <v>690000000</v>
      </c>
      <c r="D70" s="1705"/>
      <c r="E70" s="3132"/>
      <c r="F70" s="3158"/>
      <c r="G70" s="3156"/>
    </row>
    <row r="71" spans="1:7" ht="30" customHeight="1" x14ac:dyDescent="0.2">
      <c r="A71" s="3155"/>
      <c r="B71" s="1705"/>
      <c r="C71" s="3132">
        <v>935000000</v>
      </c>
      <c r="D71" s="1705"/>
      <c r="E71" s="3132"/>
      <c r="F71" s="3158"/>
      <c r="G71" s="3156"/>
    </row>
    <row r="72" spans="1:7" ht="30" customHeight="1" x14ac:dyDescent="0.2">
      <c r="A72" s="3161"/>
      <c r="B72" s="3124" t="s">
        <v>2830</v>
      </c>
      <c r="C72" s="3131">
        <v>3000000000</v>
      </c>
      <c r="D72" s="3124" t="s">
        <v>5073</v>
      </c>
      <c r="E72" s="3131" t="s">
        <v>5074</v>
      </c>
      <c r="F72" s="3159" t="s">
        <v>5075</v>
      </c>
      <c r="G72" s="3156"/>
    </row>
    <row r="73" spans="1:7" ht="30" customHeight="1" x14ac:dyDescent="0.2">
      <c r="A73" s="3161"/>
      <c r="B73" s="3124" t="s">
        <v>1175</v>
      </c>
      <c r="C73" s="3131">
        <v>3700000000</v>
      </c>
      <c r="D73" s="3124" t="s">
        <v>5076</v>
      </c>
      <c r="E73" s="3131" t="s">
        <v>5074</v>
      </c>
      <c r="F73" s="3159" t="s">
        <v>3801</v>
      </c>
      <c r="G73" s="3156"/>
    </row>
    <row r="74" spans="1:7" ht="30" customHeight="1" x14ac:dyDescent="0.2">
      <c r="A74" s="3161"/>
      <c r="B74" s="3124" t="s">
        <v>5071</v>
      </c>
      <c r="C74" s="3131">
        <v>690000000</v>
      </c>
      <c r="D74" s="3124" t="s">
        <v>5072</v>
      </c>
      <c r="E74" s="3131" t="s">
        <v>3818</v>
      </c>
      <c r="F74" s="3159" t="s">
        <v>3819</v>
      </c>
      <c r="G74" s="3156"/>
    </row>
    <row r="75" spans="1:7" ht="30" customHeight="1" x14ac:dyDescent="0.2">
      <c r="A75" s="3161"/>
      <c r="B75" s="3124" t="s">
        <v>4228</v>
      </c>
      <c r="C75" s="3131">
        <v>425000000</v>
      </c>
      <c r="D75" s="3124">
        <v>369207</v>
      </c>
      <c r="E75" s="3131" t="s">
        <v>3818</v>
      </c>
      <c r="F75" s="3159" t="s">
        <v>5077</v>
      </c>
      <c r="G75" s="3156"/>
    </row>
    <row r="76" spans="1:7" ht="30" customHeight="1" x14ac:dyDescent="0.2">
      <c r="A76" s="3161"/>
      <c r="B76" s="3124" t="s">
        <v>4228</v>
      </c>
      <c r="C76" s="3131">
        <v>500000000</v>
      </c>
      <c r="D76" s="3124">
        <v>369208</v>
      </c>
      <c r="E76" s="3131" t="s">
        <v>3818</v>
      </c>
      <c r="F76" s="3159" t="s">
        <v>5077</v>
      </c>
      <c r="G76" s="3156"/>
    </row>
    <row r="77" spans="1:7" ht="30" customHeight="1" x14ac:dyDescent="0.2">
      <c r="A77" s="3161"/>
      <c r="B77" s="3124" t="s">
        <v>5078</v>
      </c>
      <c r="C77" s="3131">
        <v>850000000</v>
      </c>
      <c r="D77" s="3124">
        <v>47211</v>
      </c>
      <c r="E77" s="3131" t="s">
        <v>3818</v>
      </c>
      <c r="F77" s="3159" t="s">
        <v>5077</v>
      </c>
      <c r="G77" s="3156"/>
    </row>
    <row r="78" spans="1:7" ht="30" customHeight="1" thickBot="1" x14ac:dyDescent="0.25">
      <c r="A78" s="1864"/>
      <c r="B78" s="3162" t="s">
        <v>5070</v>
      </c>
      <c r="C78" s="7638">
        <f>C61+C62+C63+C64+C65+C66+C72+C73+C74+C75+C76+C77</f>
        <v>15380000000</v>
      </c>
      <c r="D78" s="7639"/>
      <c r="E78" s="7639"/>
      <c r="F78" s="7640"/>
      <c r="G78" s="1865"/>
    </row>
    <row r="79" spans="1:7" ht="18" x14ac:dyDescent="0.2">
      <c r="A79" s="181"/>
      <c r="B79" s="183"/>
      <c r="C79" s="183"/>
      <c r="D79" s="183"/>
      <c r="E79" s="1818"/>
      <c r="F79" s="1861"/>
      <c r="G79" s="1862"/>
    </row>
    <row r="80" spans="1:7" ht="18" x14ac:dyDescent="0.2">
      <c r="A80" s="181"/>
      <c r="B80" s="183"/>
      <c r="C80" s="183"/>
      <c r="D80" s="183"/>
      <c r="E80" s="1818"/>
      <c r="F80" s="1861"/>
      <c r="G80" s="1862"/>
    </row>
    <row r="81" spans="1:7" ht="18.75" thickBot="1" x14ac:dyDescent="0.25">
      <c r="A81" s="181"/>
      <c r="B81" s="183"/>
      <c r="C81" s="183"/>
      <c r="D81" s="183"/>
      <c r="E81" s="1818"/>
      <c r="F81" s="1861"/>
      <c r="G81" s="1862"/>
    </row>
    <row r="82" spans="1:7" ht="50.1" customHeight="1" thickBot="1" x14ac:dyDescent="0.25">
      <c r="A82" s="7465" t="s">
        <v>6240</v>
      </c>
      <c r="B82" s="7466"/>
      <c r="C82" s="7466"/>
      <c r="D82" s="7466"/>
      <c r="E82" s="7466"/>
      <c r="F82" s="7466"/>
      <c r="G82" s="7467"/>
    </row>
    <row r="83" spans="1:7" ht="50.1" customHeight="1" x14ac:dyDescent="0.2">
      <c r="A83" s="1856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0">
        <v>1</v>
      </c>
      <c r="B84" s="3686" t="s">
        <v>3802</v>
      </c>
      <c r="C84" s="3689">
        <v>500000000</v>
      </c>
      <c r="D84" s="3686" t="s">
        <v>3810</v>
      </c>
      <c r="E84" s="3689" t="s">
        <v>3818</v>
      </c>
      <c r="F84" s="3157" t="s">
        <v>3819</v>
      </c>
      <c r="G84" s="1858"/>
    </row>
    <row r="85" spans="1:7" ht="30" customHeight="1" x14ac:dyDescent="0.2">
      <c r="A85" s="3160">
        <v>2</v>
      </c>
      <c r="B85" s="3686" t="s">
        <v>3803</v>
      </c>
      <c r="C85" s="3689">
        <v>2000000000</v>
      </c>
      <c r="D85" s="3686" t="s">
        <v>3811</v>
      </c>
      <c r="E85" s="3689" t="s">
        <v>3818</v>
      </c>
      <c r="F85" s="3157" t="s">
        <v>3820</v>
      </c>
      <c r="G85" s="1858"/>
    </row>
    <row r="86" spans="1:7" ht="30" customHeight="1" x14ac:dyDescent="0.2">
      <c r="A86" s="3160">
        <v>3</v>
      </c>
      <c r="B86" s="3686" t="s">
        <v>3804</v>
      </c>
      <c r="C86" s="3689">
        <v>1520000000</v>
      </c>
      <c r="D86" s="3686" t="s">
        <v>3812</v>
      </c>
      <c r="E86" s="3689" t="s">
        <v>3818</v>
      </c>
      <c r="F86" s="3157" t="s">
        <v>3819</v>
      </c>
      <c r="G86" s="1858"/>
    </row>
    <row r="87" spans="1:7" ht="30" customHeight="1" x14ac:dyDescent="0.2">
      <c r="A87" s="3160">
        <v>4</v>
      </c>
      <c r="B87" s="3686" t="s">
        <v>3805</v>
      </c>
      <c r="C87" s="3689">
        <v>655000000</v>
      </c>
      <c r="D87" s="3686" t="s">
        <v>3813</v>
      </c>
      <c r="E87" s="3689" t="s">
        <v>3818</v>
      </c>
      <c r="F87" s="3157" t="s">
        <v>3819</v>
      </c>
      <c r="G87" s="1858"/>
    </row>
    <row r="88" spans="1:7" ht="30" customHeight="1" x14ac:dyDescent="0.2">
      <c r="A88" s="3160">
        <v>5</v>
      </c>
      <c r="B88" s="3686" t="s">
        <v>3806</v>
      </c>
      <c r="C88" s="3689">
        <v>490000000</v>
      </c>
      <c r="D88" s="3686" t="s">
        <v>3814</v>
      </c>
      <c r="E88" s="3689" t="s">
        <v>3818</v>
      </c>
      <c r="F88" s="3157" t="s">
        <v>3820</v>
      </c>
      <c r="G88" s="1858"/>
    </row>
    <row r="89" spans="1:7" ht="30" customHeight="1" x14ac:dyDescent="0.2">
      <c r="A89" s="3160">
        <v>6</v>
      </c>
      <c r="B89" s="3686" t="s">
        <v>3463</v>
      </c>
      <c r="C89" s="3689">
        <v>1050000000</v>
      </c>
      <c r="D89" s="3686" t="s">
        <v>3815</v>
      </c>
      <c r="E89" s="3689" t="s">
        <v>3818</v>
      </c>
      <c r="F89" s="3157" t="s">
        <v>3820</v>
      </c>
      <c r="G89" s="1858"/>
    </row>
    <row r="90" spans="1:7" ht="30" customHeight="1" x14ac:dyDescent="0.2">
      <c r="A90" s="1863">
        <v>7</v>
      </c>
      <c r="B90" s="3716" t="s">
        <v>3807</v>
      </c>
      <c r="C90" s="3693">
        <v>1370000000</v>
      </c>
      <c r="D90" s="3716" t="s">
        <v>3816</v>
      </c>
      <c r="E90" s="3693" t="s">
        <v>3818</v>
      </c>
      <c r="F90" s="1869" t="s">
        <v>3800</v>
      </c>
      <c r="G90" s="1858"/>
    </row>
    <row r="91" spans="1:7" ht="30" customHeight="1" x14ac:dyDescent="0.2">
      <c r="A91" s="1863">
        <v>8</v>
      </c>
      <c r="B91" s="3716" t="s">
        <v>3808</v>
      </c>
      <c r="C91" s="3693">
        <v>2600000000</v>
      </c>
      <c r="D91" s="3716" t="s">
        <v>3817</v>
      </c>
      <c r="E91" s="3693" t="s">
        <v>3818</v>
      </c>
      <c r="F91" s="1869" t="s">
        <v>1180</v>
      </c>
      <c r="G91" s="1858"/>
    </row>
    <row r="92" spans="1:7" ht="30" customHeight="1" x14ac:dyDescent="0.2">
      <c r="A92" s="1863">
        <v>9</v>
      </c>
      <c r="B92" s="3716" t="s">
        <v>3833</v>
      </c>
      <c r="C92" s="3693">
        <v>2730000000</v>
      </c>
      <c r="D92" s="3716" t="s">
        <v>3834</v>
      </c>
      <c r="E92" s="3693" t="s">
        <v>3818</v>
      </c>
      <c r="F92" s="1869"/>
      <c r="G92" s="1859"/>
    </row>
    <row r="93" spans="1:7" ht="30" customHeight="1" x14ac:dyDescent="0.2">
      <c r="A93" s="3155"/>
      <c r="B93" s="3716"/>
      <c r="C93" s="3693">
        <v>690000000</v>
      </c>
      <c r="D93" s="3716"/>
      <c r="E93" s="3693"/>
      <c r="F93" s="3158"/>
      <c r="G93" s="3156"/>
    </row>
    <row r="94" spans="1:7" ht="30" customHeight="1" x14ac:dyDescent="0.2">
      <c r="A94" s="3155"/>
      <c r="B94" s="3716"/>
      <c r="C94" s="3693">
        <v>935000000</v>
      </c>
      <c r="D94" s="3716"/>
      <c r="E94" s="3693"/>
      <c r="F94" s="3158"/>
      <c r="G94" s="3156"/>
    </row>
    <row r="95" spans="1:7" ht="30" customHeight="1" x14ac:dyDescent="0.2">
      <c r="A95" s="3161"/>
      <c r="B95" s="3686" t="s">
        <v>2830</v>
      </c>
      <c r="C95" s="3689">
        <v>3000000000</v>
      </c>
      <c r="D95" s="3686" t="s">
        <v>5073</v>
      </c>
      <c r="E95" s="3689" t="s">
        <v>5074</v>
      </c>
      <c r="F95" s="3159" t="s">
        <v>5075</v>
      </c>
      <c r="G95" s="3156"/>
    </row>
    <row r="96" spans="1:7" ht="30" customHeight="1" x14ac:dyDescent="0.2">
      <c r="A96" s="3161"/>
      <c r="B96" s="3686" t="s">
        <v>1175</v>
      </c>
      <c r="C96" s="3689">
        <v>3700000000</v>
      </c>
      <c r="D96" s="3686" t="s">
        <v>5076</v>
      </c>
      <c r="E96" s="3689" t="s">
        <v>5074</v>
      </c>
      <c r="F96" s="3159" t="s">
        <v>3801</v>
      </c>
      <c r="G96" s="3156"/>
    </row>
    <row r="97" spans="1:7" ht="30" customHeight="1" x14ac:dyDescent="0.2">
      <c r="A97" s="3161"/>
      <c r="B97" s="3686" t="s">
        <v>5071</v>
      </c>
      <c r="C97" s="3689">
        <v>690000000</v>
      </c>
      <c r="D97" s="3686" t="s">
        <v>5072</v>
      </c>
      <c r="E97" s="3689" t="s">
        <v>3818</v>
      </c>
      <c r="F97" s="3159" t="s">
        <v>3819</v>
      </c>
      <c r="G97" s="3156"/>
    </row>
    <row r="98" spans="1:7" ht="30" customHeight="1" x14ac:dyDescent="0.2">
      <c r="A98" s="3161"/>
      <c r="B98" s="3686" t="s">
        <v>4228</v>
      </c>
      <c r="C98" s="3689">
        <v>425000000</v>
      </c>
      <c r="D98" s="3686">
        <v>369207</v>
      </c>
      <c r="E98" s="3689" t="s">
        <v>3818</v>
      </c>
      <c r="F98" s="3159" t="s">
        <v>5077</v>
      </c>
      <c r="G98" s="3156"/>
    </row>
    <row r="99" spans="1:7" ht="30" customHeight="1" x14ac:dyDescent="0.2">
      <c r="A99" s="3161"/>
      <c r="B99" s="3686" t="s">
        <v>4228</v>
      </c>
      <c r="C99" s="3689">
        <v>500000000</v>
      </c>
      <c r="D99" s="3686">
        <v>369208</v>
      </c>
      <c r="E99" s="3689" t="s">
        <v>3818</v>
      </c>
      <c r="F99" s="3159" t="s">
        <v>5077</v>
      </c>
      <c r="G99" s="3156"/>
    </row>
    <row r="100" spans="1:7" ht="30" customHeight="1" x14ac:dyDescent="0.2">
      <c r="A100" s="3161"/>
      <c r="B100" s="3686" t="s">
        <v>5078</v>
      </c>
      <c r="C100" s="3689">
        <v>850000000</v>
      </c>
      <c r="D100" s="3686">
        <v>47211</v>
      </c>
      <c r="E100" s="3689" t="s">
        <v>3818</v>
      </c>
      <c r="F100" s="3159" t="s">
        <v>5077</v>
      </c>
      <c r="G100" s="3156"/>
    </row>
    <row r="101" spans="1:7" ht="30" customHeight="1" x14ac:dyDescent="0.2">
      <c r="A101" s="3161"/>
      <c r="B101" s="919" t="s">
        <v>5446</v>
      </c>
      <c r="C101" s="3680">
        <v>500000000</v>
      </c>
      <c r="D101" s="919">
        <v>320968</v>
      </c>
      <c r="E101" s="3689" t="s">
        <v>3818</v>
      </c>
      <c r="F101" s="3159" t="s">
        <v>5077</v>
      </c>
      <c r="G101" s="3733"/>
    </row>
    <row r="102" spans="1:7" ht="30" customHeight="1" x14ac:dyDescent="0.2">
      <c r="A102" s="3161"/>
      <c r="B102" s="919" t="s">
        <v>5446</v>
      </c>
      <c r="C102" s="3680">
        <v>370000000</v>
      </c>
      <c r="D102" s="919">
        <v>320967</v>
      </c>
      <c r="E102" s="3689" t="s">
        <v>3818</v>
      </c>
      <c r="F102" s="3159" t="s">
        <v>5077</v>
      </c>
      <c r="G102" s="3733"/>
    </row>
    <row r="103" spans="1:7" ht="30" customHeight="1" thickBot="1" x14ac:dyDescent="0.25">
      <c r="A103" s="1864"/>
      <c r="B103" s="3162" t="s">
        <v>5070</v>
      </c>
      <c r="C103" s="7637">
        <f>C84+C85+C86+C87+C88+C89+C95+C96+C97+C98+C99+C100+C101+C102</f>
        <v>16250000000</v>
      </c>
      <c r="D103" s="7611"/>
      <c r="E103" s="7611"/>
      <c r="F103" s="7612"/>
      <c r="G103" s="1865"/>
    </row>
    <row r="104" spans="1:7" ht="18" x14ac:dyDescent="0.2">
      <c r="A104" s="181"/>
      <c r="B104" s="183"/>
      <c r="C104" s="183"/>
      <c r="D104" s="183"/>
      <c r="E104" s="1818"/>
      <c r="F104" s="1861"/>
      <c r="G104" s="1862"/>
    </row>
    <row r="105" spans="1:7" ht="18" x14ac:dyDescent="0.2">
      <c r="A105" s="181"/>
      <c r="B105" s="183"/>
      <c r="C105" s="183"/>
      <c r="D105" s="183"/>
      <c r="E105" s="1818"/>
      <c r="F105" s="1861"/>
      <c r="G105" s="1862"/>
    </row>
    <row r="106" spans="1:7" ht="18.75" thickBot="1" x14ac:dyDescent="0.25">
      <c r="A106" s="181"/>
      <c r="B106" s="183"/>
      <c r="C106" s="183"/>
      <c r="D106" s="183"/>
      <c r="E106" s="1818"/>
      <c r="F106" s="1861"/>
      <c r="G106" s="1862"/>
    </row>
    <row r="107" spans="1:7" ht="50.1" customHeight="1" thickBot="1" x14ac:dyDescent="0.25">
      <c r="A107" s="7465" t="s">
        <v>6241</v>
      </c>
      <c r="B107" s="7466"/>
      <c r="C107" s="7466"/>
      <c r="D107" s="7466"/>
      <c r="E107" s="7466"/>
      <c r="F107" s="7466"/>
      <c r="G107" s="7467"/>
    </row>
    <row r="108" spans="1:7" ht="50.1" customHeight="1" x14ac:dyDescent="0.2">
      <c r="A108" s="1856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0">
        <v>1</v>
      </c>
      <c r="B109" s="4491" t="s">
        <v>3802</v>
      </c>
      <c r="C109" s="4489">
        <v>500000000</v>
      </c>
      <c r="D109" s="4491" t="s">
        <v>3810</v>
      </c>
      <c r="E109" s="4489" t="s">
        <v>3818</v>
      </c>
      <c r="F109" s="3157" t="s">
        <v>3819</v>
      </c>
      <c r="G109" s="1858"/>
    </row>
    <row r="110" spans="1:7" ht="30" customHeight="1" x14ac:dyDescent="0.2">
      <c r="A110" s="3160">
        <v>2</v>
      </c>
      <c r="B110" s="4491" t="s">
        <v>3803</v>
      </c>
      <c r="C110" s="4489">
        <v>2000000000</v>
      </c>
      <c r="D110" s="4491" t="s">
        <v>3811</v>
      </c>
      <c r="E110" s="4489" t="s">
        <v>3818</v>
      </c>
      <c r="F110" s="3157" t="s">
        <v>3820</v>
      </c>
      <c r="G110" s="1858"/>
    </row>
    <row r="111" spans="1:7" ht="30" customHeight="1" x14ac:dyDescent="0.2">
      <c r="A111" s="3160">
        <v>3</v>
      </c>
      <c r="B111" s="4491" t="s">
        <v>3804</v>
      </c>
      <c r="C111" s="4489">
        <v>1520000000</v>
      </c>
      <c r="D111" s="4491" t="s">
        <v>3812</v>
      </c>
      <c r="E111" s="4489" t="s">
        <v>3818</v>
      </c>
      <c r="F111" s="3157" t="s">
        <v>3819</v>
      </c>
      <c r="G111" s="1858"/>
    </row>
    <row r="112" spans="1:7" ht="30" customHeight="1" x14ac:dyDescent="0.2">
      <c r="A112" s="3160">
        <v>4</v>
      </c>
      <c r="B112" s="4491" t="s">
        <v>3805</v>
      </c>
      <c r="C112" s="4489">
        <v>655000000</v>
      </c>
      <c r="D112" s="4491" t="s">
        <v>3813</v>
      </c>
      <c r="E112" s="4489" t="s">
        <v>3818</v>
      </c>
      <c r="F112" s="3157" t="s">
        <v>3819</v>
      </c>
      <c r="G112" s="1858"/>
    </row>
    <row r="113" spans="1:7" ht="30" customHeight="1" x14ac:dyDescent="0.2">
      <c r="A113" s="3160">
        <v>5</v>
      </c>
      <c r="B113" s="4491" t="s">
        <v>3806</v>
      </c>
      <c r="C113" s="4489">
        <v>490000000</v>
      </c>
      <c r="D113" s="4491" t="s">
        <v>3814</v>
      </c>
      <c r="E113" s="4489" t="s">
        <v>3818</v>
      </c>
      <c r="F113" s="3157" t="s">
        <v>3820</v>
      </c>
      <c r="G113" s="1858"/>
    </row>
    <row r="114" spans="1:7" ht="30" customHeight="1" x14ac:dyDescent="0.2">
      <c r="A114" s="3160">
        <v>6</v>
      </c>
      <c r="B114" s="4491" t="s">
        <v>3463</v>
      </c>
      <c r="C114" s="4489">
        <v>1050000000</v>
      </c>
      <c r="D114" s="4491" t="s">
        <v>3815</v>
      </c>
      <c r="E114" s="4489" t="s">
        <v>3818</v>
      </c>
      <c r="F114" s="3157" t="s">
        <v>3820</v>
      </c>
      <c r="G114" s="1858"/>
    </row>
    <row r="115" spans="1:7" ht="30" customHeight="1" x14ac:dyDescent="0.2">
      <c r="A115" s="1863">
        <v>7</v>
      </c>
      <c r="B115" s="4492" t="s">
        <v>3807</v>
      </c>
      <c r="C115" s="4487">
        <v>1370000000</v>
      </c>
      <c r="D115" s="4492" t="s">
        <v>3816</v>
      </c>
      <c r="E115" s="4487" t="s">
        <v>3818</v>
      </c>
      <c r="F115" s="1869" t="s">
        <v>3800</v>
      </c>
      <c r="G115" s="1858"/>
    </row>
    <row r="116" spans="1:7" ht="30" customHeight="1" x14ac:dyDescent="0.2">
      <c r="A116" s="1863">
        <v>8</v>
      </c>
      <c r="B116" s="4492" t="s">
        <v>3808</v>
      </c>
      <c r="C116" s="4487">
        <v>2600000000</v>
      </c>
      <c r="D116" s="4492" t="s">
        <v>3817</v>
      </c>
      <c r="E116" s="4487" t="s">
        <v>3818</v>
      </c>
      <c r="F116" s="1869" t="s">
        <v>1180</v>
      </c>
      <c r="G116" s="1858"/>
    </row>
    <row r="117" spans="1:7" ht="30" customHeight="1" x14ac:dyDescent="0.2">
      <c r="A117" s="1863">
        <v>9</v>
      </c>
      <c r="B117" s="4492" t="s">
        <v>3833</v>
      </c>
      <c r="C117" s="4487">
        <v>2730000000</v>
      </c>
      <c r="D117" s="4492" t="s">
        <v>3834</v>
      </c>
      <c r="E117" s="4487" t="s">
        <v>3818</v>
      </c>
      <c r="F117" s="1869"/>
      <c r="G117" s="1859"/>
    </row>
    <row r="118" spans="1:7" ht="30" customHeight="1" x14ac:dyDescent="0.2">
      <c r="A118" s="3155"/>
      <c r="B118" s="4492"/>
      <c r="C118" s="4487">
        <v>690000000</v>
      </c>
      <c r="D118" s="4492"/>
      <c r="E118" s="4487"/>
      <c r="F118" s="3158"/>
      <c r="G118" s="3156"/>
    </row>
    <row r="119" spans="1:7" ht="30" customHeight="1" x14ac:dyDescent="0.2">
      <c r="A119" s="3155"/>
      <c r="B119" s="4492"/>
      <c r="C119" s="4487">
        <v>935000000</v>
      </c>
      <c r="D119" s="4492"/>
      <c r="E119" s="4487"/>
      <c r="F119" s="3158"/>
      <c r="G119" s="3156"/>
    </row>
    <row r="120" spans="1:7" ht="30" customHeight="1" x14ac:dyDescent="0.2">
      <c r="A120" s="3161"/>
      <c r="B120" s="4491" t="s">
        <v>2830</v>
      </c>
      <c r="C120" s="4489">
        <v>3000000000</v>
      </c>
      <c r="D120" s="4491" t="s">
        <v>5073</v>
      </c>
      <c r="E120" s="4489" t="s">
        <v>5074</v>
      </c>
      <c r="F120" s="3159" t="s">
        <v>5075</v>
      </c>
      <c r="G120" s="3156"/>
    </row>
    <row r="121" spans="1:7" ht="30" customHeight="1" x14ac:dyDescent="0.2">
      <c r="A121" s="3161"/>
      <c r="B121" s="4491" t="s">
        <v>1175</v>
      </c>
      <c r="C121" s="4489">
        <v>3700000000</v>
      </c>
      <c r="D121" s="4491" t="s">
        <v>5076</v>
      </c>
      <c r="E121" s="4489" t="s">
        <v>5074</v>
      </c>
      <c r="F121" s="3159" t="s">
        <v>3801</v>
      </c>
      <c r="G121" s="3156"/>
    </row>
    <row r="122" spans="1:7" ht="30" customHeight="1" x14ac:dyDescent="0.2">
      <c r="A122" s="3161"/>
      <c r="B122" s="4491" t="s">
        <v>5071</v>
      </c>
      <c r="C122" s="4489">
        <v>690000000</v>
      </c>
      <c r="D122" s="4491" t="s">
        <v>5072</v>
      </c>
      <c r="E122" s="4489" t="s">
        <v>3818</v>
      </c>
      <c r="F122" s="3159" t="s">
        <v>3819</v>
      </c>
      <c r="G122" s="3156"/>
    </row>
    <row r="123" spans="1:7" ht="30" customHeight="1" x14ac:dyDescent="0.2">
      <c r="A123" s="3161"/>
      <c r="B123" s="4491" t="s">
        <v>4228</v>
      </c>
      <c r="C123" s="4489">
        <v>425000000</v>
      </c>
      <c r="D123" s="4491">
        <v>369207</v>
      </c>
      <c r="E123" s="4489" t="s">
        <v>3818</v>
      </c>
      <c r="F123" s="3159" t="s">
        <v>5077</v>
      </c>
      <c r="G123" s="3156"/>
    </row>
    <row r="124" spans="1:7" ht="30" customHeight="1" x14ac:dyDescent="0.2">
      <c r="A124" s="3161"/>
      <c r="B124" s="4491" t="s">
        <v>4228</v>
      </c>
      <c r="C124" s="4489">
        <v>500000000</v>
      </c>
      <c r="D124" s="4491">
        <v>369208</v>
      </c>
      <c r="E124" s="4489" t="s">
        <v>3818</v>
      </c>
      <c r="F124" s="3159" t="s">
        <v>5077</v>
      </c>
      <c r="G124" s="3156"/>
    </row>
    <row r="125" spans="1:7" ht="30" customHeight="1" x14ac:dyDescent="0.2">
      <c r="A125" s="3161"/>
      <c r="B125" s="4491" t="s">
        <v>5078</v>
      </c>
      <c r="C125" s="4489">
        <v>850000000</v>
      </c>
      <c r="D125" s="4491">
        <v>47211</v>
      </c>
      <c r="E125" s="4489" t="s">
        <v>3818</v>
      </c>
      <c r="F125" s="3159" t="s">
        <v>5077</v>
      </c>
      <c r="G125" s="3156"/>
    </row>
    <row r="126" spans="1:7" ht="30" customHeight="1" x14ac:dyDescent="0.2">
      <c r="A126" s="3161"/>
      <c r="B126" s="919" t="s">
        <v>5446</v>
      </c>
      <c r="C126" s="4480">
        <v>500000000</v>
      </c>
      <c r="D126" s="919">
        <v>320968</v>
      </c>
      <c r="E126" s="4489" t="s">
        <v>3818</v>
      </c>
      <c r="F126" s="3159" t="s">
        <v>5077</v>
      </c>
      <c r="G126" s="3733"/>
    </row>
    <row r="127" spans="1:7" ht="30" customHeight="1" x14ac:dyDescent="0.2">
      <c r="A127" s="3161"/>
      <c r="B127" s="4490" t="s">
        <v>5446</v>
      </c>
      <c r="C127" s="4488">
        <v>370000000</v>
      </c>
      <c r="D127" s="4490">
        <v>320967</v>
      </c>
      <c r="E127" s="4514" t="s">
        <v>3818</v>
      </c>
      <c r="F127" s="3159" t="s">
        <v>5077</v>
      </c>
      <c r="G127" s="3733"/>
    </row>
    <row r="128" spans="1:7" ht="30" customHeight="1" x14ac:dyDescent="0.2">
      <c r="A128" s="3161"/>
      <c r="B128" s="919" t="s">
        <v>6200</v>
      </c>
      <c r="C128" s="4480">
        <v>100000000</v>
      </c>
      <c r="D128" s="919">
        <v>44009</v>
      </c>
      <c r="E128" s="4480" t="s">
        <v>3818</v>
      </c>
      <c r="F128" s="3157" t="s">
        <v>5077</v>
      </c>
      <c r="G128" s="3733"/>
    </row>
    <row r="129" spans="1:7" ht="30" customHeight="1" thickBot="1" x14ac:dyDescent="0.25">
      <c r="A129" s="1864"/>
      <c r="B129" s="3162" t="s">
        <v>5070</v>
      </c>
      <c r="C129" s="7637">
        <f>C109+C110+C111+C112+C113+C114+C120+C121+C122+C123+C124+C125+C126+C127+C128</f>
        <v>16350000000</v>
      </c>
      <c r="D129" s="7611"/>
      <c r="E129" s="7611"/>
      <c r="F129" s="7612"/>
      <c r="G129" s="1865"/>
    </row>
    <row r="130" spans="1:7" ht="18" x14ac:dyDescent="0.2">
      <c r="A130" s="181"/>
      <c r="B130" s="183"/>
      <c r="C130" s="183"/>
      <c r="D130" s="183"/>
      <c r="E130" s="1818"/>
      <c r="F130" s="1861"/>
      <c r="G130" s="1862"/>
    </row>
    <row r="131" spans="1:7" ht="18" customHeight="1" x14ac:dyDescent="0.2">
      <c r="A131" s="7631" t="s">
        <v>8532</v>
      </c>
      <c r="B131" s="7632"/>
      <c r="C131" s="7632"/>
      <c r="D131" s="7632"/>
      <c r="E131" s="7632"/>
      <c r="F131" s="7632"/>
      <c r="G131" s="7633"/>
    </row>
    <row r="132" spans="1:7" ht="18" customHeight="1" x14ac:dyDescent="0.2">
      <c r="A132" s="7634"/>
      <c r="B132" s="7635"/>
      <c r="C132" s="7635"/>
      <c r="D132" s="7635"/>
      <c r="E132" s="7635"/>
      <c r="F132" s="7635"/>
      <c r="G132" s="7636"/>
    </row>
    <row r="133" spans="1:7" ht="18" x14ac:dyDescent="0.2">
      <c r="A133" s="181"/>
      <c r="B133" s="183"/>
      <c r="C133" s="183"/>
      <c r="D133" s="183"/>
      <c r="E133" s="1818"/>
      <c r="F133" s="1861"/>
      <c r="G133" s="1862"/>
    </row>
    <row r="134" spans="1:7" ht="18" customHeight="1" x14ac:dyDescent="0.2">
      <c r="A134" s="7631" t="s">
        <v>8533</v>
      </c>
      <c r="B134" s="7632"/>
      <c r="C134" s="7632"/>
      <c r="D134" s="7632"/>
      <c r="E134" s="7632"/>
      <c r="F134" s="7632"/>
      <c r="G134" s="7633"/>
    </row>
    <row r="135" spans="1:7" ht="18" customHeight="1" x14ac:dyDescent="0.2">
      <c r="A135" s="7634"/>
      <c r="B135" s="7635"/>
      <c r="C135" s="7635"/>
      <c r="D135" s="7635"/>
      <c r="E135" s="7635"/>
      <c r="F135" s="7635"/>
      <c r="G135" s="7636"/>
    </row>
    <row r="136" spans="1:7" ht="18" x14ac:dyDescent="0.2">
      <c r="A136" s="181"/>
      <c r="B136" s="183"/>
      <c r="C136" s="183"/>
      <c r="D136" s="183"/>
      <c r="E136" s="1818"/>
      <c r="F136" s="1861"/>
      <c r="G136" s="1862"/>
    </row>
    <row r="137" spans="1:7" ht="18.75" thickBot="1" x14ac:dyDescent="0.25">
      <c r="A137" s="181"/>
      <c r="B137" s="183"/>
      <c r="C137" s="183"/>
      <c r="D137" s="183"/>
      <c r="E137" s="1818"/>
      <c r="F137" s="1861"/>
      <c r="G137" s="1862"/>
    </row>
    <row r="138" spans="1:7" ht="50.1" customHeight="1" thickBot="1" x14ac:dyDescent="0.25">
      <c r="A138" s="7465" t="s">
        <v>8554</v>
      </c>
      <c r="B138" s="7466"/>
      <c r="C138" s="7466"/>
      <c r="D138" s="7466"/>
      <c r="E138" s="7466"/>
      <c r="F138" s="7466"/>
      <c r="G138" s="7467"/>
    </row>
    <row r="139" spans="1:7" ht="50.1" customHeight="1" x14ac:dyDescent="0.2">
      <c r="A139" s="1856" t="s">
        <v>0</v>
      </c>
      <c r="B139" s="8" t="s">
        <v>3795</v>
      </c>
      <c r="C139" s="8" t="s">
        <v>3796</v>
      </c>
      <c r="D139" s="8" t="s">
        <v>3797</v>
      </c>
      <c r="E139" s="1" t="s">
        <v>3798</v>
      </c>
      <c r="F139" s="2" t="s">
        <v>3799</v>
      </c>
      <c r="G139" s="2" t="s">
        <v>268</v>
      </c>
    </row>
    <row r="140" spans="1:7" ht="30" customHeight="1" x14ac:dyDescent="0.2">
      <c r="A140" s="3160">
        <v>1</v>
      </c>
      <c r="B140" s="7437" t="s">
        <v>3802</v>
      </c>
      <c r="C140" s="7430">
        <v>500000000</v>
      </c>
      <c r="D140" s="7437" t="s">
        <v>3810</v>
      </c>
      <c r="E140" s="7430" t="s">
        <v>3818</v>
      </c>
      <c r="F140" s="3157" t="s">
        <v>3819</v>
      </c>
      <c r="G140" s="1858"/>
    </row>
    <row r="141" spans="1:7" ht="30" customHeight="1" x14ac:dyDescent="0.2">
      <c r="A141" s="3160">
        <v>2</v>
      </c>
      <c r="B141" s="7437" t="s">
        <v>3803</v>
      </c>
      <c r="C141" s="7430">
        <v>2000000000</v>
      </c>
      <c r="D141" s="7437" t="s">
        <v>3811</v>
      </c>
      <c r="E141" s="7430" t="s">
        <v>3818</v>
      </c>
      <c r="F141" s="3157" t="s">
        <v>3820</v>
      </c>
      <c r="G141" s="1858"/>
    </row>
    <row r="142" spans="1:7" ht="30" customHeight="1" x14ac:dyDescent="0.2">
      <c r="A142" s="3160">
        <v>3</v>
      </c>
      <c r="B142" s="7437" t="s">
        <v>3804</v>
      </c>
      <c r="C142" s="7430">
        <v>1520000000</v>
      </c>
      <c r="D142" s="7437" t="s">
        <v>3812</v>
      </c>
      <c r="E142" s="7430" t="s">
        <v>3818</v>
      </c>
      <c r="F142" s="3157" t="s">
        <v>3819</v>
      </c>
      <c r="G142" s="1858"/>
    </row>
    <row r="143" spans="1:7" ht="30" customHeight="1" x14ac:dyDescent="0.2">
      <c r="A143" s="3160">
        <v>4</v>
      </c>
      <c r="B143" s="7437" t="s">
        <v>3805</v>
      </c>
      <c r="C143" s="7430">
        <v>655000000</v>
      </c>
      <c r="D143" s="7437" t="s">
        <v>3813</v>
      </c>
      <c r="E143" s="7430" t="s">
        <v>3818</v>
      </c>
      <c r="F143" s="3157" t="s">
        <v>3819</v>
      </c>
      <c r="G143" s="1858"/>
    </row>
    <row r="144" spans="1:7" ht="30" customHeight="1" x14ac:dyDescent="0.2">
      <c r="A144" s="3160">
        <v>5</v>
      </c>
      <c r="B144" s="7437" t="s">
        <v>3806</v>
      </c>
      <c r="C144" s="7430">
        <v>490000000</v>
      </c>
      <c r="D144" s="7437" t="s">
        <v>3814</v>
      </c>
      <c r="E144" s="7430" t="s">
        <v>3818</v>
      </c>
      <c r="F144" s="3157" t="s">
        <v>3820</v>
      </c>
      <c r="G144" s="1858"/>
    </row>
    <row r="145" spans="1:7" ht="30" customHeight="1" x14ac:dyDescent="0.2">
      <c r="A145" s="3160">
        <v>6</v>
      </c>
      <c r="B145" s="7437" t="s">
        <v>3463</v>
      </c>
      <c r="C145" s="7430">
        <v>1050000000</v>
      </c>
      <c r="D145" s="7437" t="s">
        <v>3815</v>
      </c>
      <c r="E145" s="7430" t="s">
        <v>3818</v>
      </c>
      <c r="F145" s="3157" t="s">
        <v>3820</v>
      </c>
      <c r="G145" s="1858"/>
    </row>
    <row r="146" spans="1:7" ht="30" customHeight="1" x14ac:dyDescent="0.2">
      <c r="A146" s="1863">
        <v>7</v>
      </c>
      <c r="B146" s="7438" t="s">
        <v>3807</v>
      </c>
      <c r="C146" s="7435">
        <v>1370000000</v>
      </c>
      <c r="D146" s="7438" t="s">
        <v>3816</v>
      </c>
      <c r="E146" s="7435" t="s">
        <v>3818</v>
      </c>
      <c r="F146" s="1869" t="s">
        <v>3800</v>
      </c>
      <c r="G146" s="1858"/>
    </row>
    <row r="147" spans="1:7" ht="30" customHeight="1" x14ac:dyDescent="0.2">
      <c r="A147" s="1863">
        <v>8</v>
      </c>
      <c r="B147" s="7438" t="s">
        <v>3808</v>
      </c>
      <c r="C147" s="7435">
        <v>2600000000</v>
      </c>
      <c r="D147" s="7438" t="s">
        <v>3817</v>
      </c>
      <c r="E147" s="7435" t="s">
        <v>3818</v>
      </c>
      <c r="F147" s="1869" t="s">
        <v>1180</v>
      </c>
      <c r="G147" s="1858"/>
    </row>
    <row r="148" spans="1:7" ht="30" customHeight="1" x14ac:dyDescent="0.2">
      <c r="A148" s="1863">
        <v>9</v>
      </c>
      <c r="B148" s="7438" t="s">
        <v>3833</v>
      </c>
      <c r="C148" s="7435">
        <v>2730000000</v>
      </c>
      <c r="D148" s="7438" t="s">
        <v>3834</v>
      </c>
      <c r="E148" s="7435" t="s">
        <v>3818</v>
      </c>
      <c r="F148" s="1869"/>
      <c r="G148" s="1859"/>
    </row>
    <row r="149" spans="1:7" ht="30" customHeight="1" x14ac:dyDescent="0.2">
      <c r="A149" s="3155"/>
      <c r="B149" s="7438"/>
      <c r="C149" s="7435">
        <v>690000000</v>
      </c>
      <c r="D149" s="7438"/>
      <c r="E149" s="7435"/>
      <c r="F149" s="3158"/>
      <c r="G149" s="3156"/>
    </row>
    <row r="150" spans="1:7" ht="30" customHeight="1" x14ac:dyDescent="0.2">
      <c r="A150" s="3155"/>
      <c r="B150" s="7438"/>
      <c r="C150" s="7435">
        <v>935000000</v>
      </c>
      <c r="D150" s="7438"/>
      <c r="E150" s="7435"/>
      <c r="F150" s="3158"/>
      <c r="G150" s="3156"/>
    </row>
    <row r="151" spans="1:7" ht="30" customHeight="1" x14ac:dyDescent="0.2">
      <c r="A151" s="3161"/>
      <c r="B151" s="7438" t="s">
        <v>2830</v>
      </c>
      <c r="C151" s="7435">
        <v>3000000000</v>
      </c>
      <c r="D151" s="7438" t="s">
        <v>5073</v>
      </c>
      <c r="E151" s="7435" t="s">
        <v>5074</v>
      </c>
      <c r="F151" s="3158" t="s">
        <v>5075</v>
      </c>
      <c r="G151" s="3156"/>
    </row>
    <row r="152" spans="1:7" ht="30" customHeight="1" x14ac:dyDescent="0.2">
      <c r="A152" s="3161"/>
      <c r="B152" s="7438" t="s">
        <v>1175</v>
      </c>
      <c r="C152" s="7435">
        <v>3700000000</v>
      </c>
      <c r="D152" s="7438" t="s">
        <v>5076</v>
      </c>
      <c r="E152" s="7435" t="s">
        <v>5074</v>
      </c>
      <c r="F152" s="3158" t="s">
        <v>3801</v>
      </c>
      <c r="G152" s="3156"/>
    </row>
    <row r="153" spans="1:7" ht="30" customHeight="1" x14ac:dyDescent="0.2">
      <c r="A153" s="3161"/>
      <c r="B153" s="7437" t="s">
        <v>5071</v>
      </c>
      <c r="C153" s="7430">
        <v>690000000</v>
      </c>
      <c r="D153" s="7437" t="s">
        <v>5072</v>
      </c>
      <c r="E153" s="7430" t="s">
        <v>3818</v>
      </c>
      <c r="F153" s="3159" t="s">
        <v>3819</v>
      </c>
      <c r="G153" s="3156"/>
    </row>
    <row r="154" spans="1:7" ht="30" customHeight="1" x14ac:dyDescent="0.2">
      <c r="A154" s="3161"/>
      <c r="B154" s="7437" t="s">
        <v>4228</v>
      </c>
      <c r="C154" s="7430">
        <v>425000000</v>
      </c>
      <c r="D154" s="7437">
        <v>369207</v>
      </c>
      <c r="E154" s="7430" t="s">
        <v>3818</v>
      </c>
      <c r="F154" s="3159" t="s">
        <v>5077</v>
      </c>
      <c r="G154" s="3156"/>
    </row>
    <row r="155" spans="1:7" ht="30" customHeight="1" x14ac:dyDescent="0.2">
      <c r="A155" s="3161"/>
      <c r="B155" s="7437" t="s">
        <v>4228</v>
      </c>
      <c r="C155" s="7430">
        <v>500000000</v>
      </c>
      <c r="D155" s="7437">
        <v>369208</v>
      </c>
      <c r="E155" s="7430" t="s">
        <v>3818</v>
      </c>
      <c r="F155" s="3159" t="s">
        <v>5077</v>
      </c>
      <c r="G155" s="3156"/>
    </row>
    <row r="156" spans="1:7" ht="30" customHeight="1" x14ac:dyDescent="0.2">
      <c r="A156" s="3161"/>
      <c r="B156" s="7437" t="s">
        <v>5078</v>
      </c>
      <c r="C156" s="7430">
        <v>850000000</v>
      </c>
      <c r="D156" s="7437">
        <v>47211</v>
      </c>
      <c r="E156" s="7430" t="s">
        <v>3818</v>
      </c>
      <c r="F156" s="3159" t="s">
        <v>5077</v>
      </c>
      <c r="G156" s="3156"/>
    </row>
    <row r="157" spans="1:7" ht="30" customHeight="1" x14ac:dyDescent="0.2">
      <c r="A157" s="3161"/>
      <c r="B157" s="919" t="s">
        <v>5446</v>
      </c>
      <c r="C157" s="7431">
        <v>500000000</v>
      </c>
      <c r="D157" s="919">
        <v>320968</v>
      </c>
      <c r="E157" s="7430" t="s">
        <v>3818</v>
      </c>
      <c r="F157" s="3159" t="s">
        <v>5077</v>
      </c>
      <c r="G157" s="3733"/>
    </row>
    <row r="158" spans="1:7" ht="30" customHeight="1" x14ac:dyDescent="0.2">
      <c r="A158" s="3161"/>
      <c r="B158" s="7436" t="s">
        <v>5446</v>
      </c>
      <c r="C158" s="7429">
        <v>370000000</v>
      </c>
      <c r="D158" s="7436">
        <v>320967</v>
      </c>
      <c r="E158" s="7445" t="s">
        <v>3818</v>
      </c>
      <c r="F158" s="3159" t="s">
        <v>5077</v>
      </c>
      <c r="G158" s="3733"/>
    </row>
    <row r="159" spans="1:7" ht="30" customHeight="1" x14ac:dyDescent="0.2">
      <c r="A159" s="3161"/>
      <c r="B159" s="919" t="s">
        <v>6200</v>
      </c>
      <c r="C159" s="7431">
        <v>100000000</v>
      </c>
      <c r="D159" s="919">
        <v>44009</v>
      </c>
      <c r="E159" s="7431" t="s">
        <v>3818</v>
      </c>
      <c r="F159" s="3157" t="s">
        <v>5077</v>
      </c>
      <c r="G159" s="3733"/>
    </row>
    <row r="160" spans="1:7" ht="30" customHeight="1" thickBot="1" x14ac:dyDescent="0.25">
      <c r="A160" s="1864"/>
      <c r="B160" s="3162" t="s">
        <v>5070</v>
      </c>
      <c r="C160" s="7637">
        <f>C140+C141+C142+C143+C144+C145+C153+C154+C155+C156+C157+C158+C159</f>
        <v>9650000000</v>
      </c>
      <c r="D160" s="7611"/>
      <c r="E160" s="7611"/>
      <c r="F160" s="7612"/>
      <c r="G160" s="1865"/>
    </row>
    <row r="163" spans="1:7" ht="18" customHeight="1" x14ac:dyDescent="0.2">
      <c r="A163" s="7631" t="s">
        <v>8532</v>
      </c>
      <c r="B163" s="7632"/>
      <c r="C163" s="7632"/>
      <c r="D163" s="7632"/>
      <c r="E163" s="7632"/>
      <c r="F163" s="7632"/>
      <c r="G163" s="7633"/>
    </row>
    <row r="164" spans="1:7" ht="18" customHeight="1" x14ac:dyDescent="0.2">
      <c r="A164" s="7634"/>
      <c r="B164" s="7635"/>
      <c r="C164" s="7635"/>
      <c r="D164" s="7635"/>
      <c r="E164" s="7635"/>
      <c r="F164" s="7635"/>
      <c r="G164" s="7636"/>
    </row>
    <row r="165" spans="1:7" ht="18" x14ac:dyDescent="0.2">
      <c r="A165" s="181"/>
      <c r="B165" s="183"/>
      <c r="C165" s="183"/>
      <c r="D165" s="183"/>
      <c r="E165" s="7428"/>
      <c r="F165" s="1861"/>
      <c r="G165" s="1862"/>
    </row>
    <row r="166" spans="1:7" ht="18" customHeight="1" x14ac:dyDescent="0.2">
      <c r="A166" s="7631" t="s">
        <v>8556</v>
      </c>
      <c r="B166" s="7632"/>
      <c r="C166" s="7632"/>
      <c r="D166" s="7632"/>
      <c r="E166" s="7632"/>
      <c r="F166" s="7632"/>
      <c r="G166" s="7633"/>
    </row>
    <row r="167" spans="1:7" ht="18" customHeight="1" x14ac:dyDescent="0.2">
      <c r="A167" s="7634"/>
      <c r="B167" s="7635"/>
      <c r="C167" s="7635"/>
      <c r="D167" s="7635"/>
      <c r="E167" s="7635"/>
      <c r="F167" s="7635"/>
      <c r="G167" s="7636"/>
    </row>
    <row r="168" spans="1:7" x14ac:dyDescent="0.2">
      <c r="D168" s="402"/>
    </row>
    <row r="169" spans="1:7" x14ac:dyDescent="0.2">
      <c r="A169" s="7630" t="s">
        <v>8555</v>
      </c>
      <c r="B169" s="7630"/>
      <c r="C169" s="7630"/>
      <c r="D169" s="7630"/>
      <c r="E169" s="7630"/>
      <c r="F169" s="7630"/>
      <c r="G169" s="7630"/>
    </row>
    <row r="170" spans="1:7" ht="14.25" customHeight="1" x14ac:dyDescent="0.2">
      <c r="A170" s="7630"/>
      <c r="B170" s="7630"/>
      <c r="C170" s="7630"/>
      <c r="D170" s="7630"/>
      <c r="E170" s="7630"/>
      <c r="F170" s="7630"/>
      <c r="G170" s="7630"/>
    </row>
    <row r="171" spans="1:7" ht="14.25" customHeight="1" x14ac:dyDescent="0.2">
      <c r="A171" s="7630"/>
      <c r="B171" s="7630"/>
      <c r="C171" s="7630"/>
      <c r="D171" s="7630"/>
      <c r="E171" s="7630"/>
      <c r="F171" s="7630"/>
      <c r="G171" s="7630"/>
    </row>
    <row r="173" spans="1:7" ht="14.25" customHeight="1" x14ac:dyDescent="0.2">
      <c r="A173" s="7632" t="s">
        <v>8557</v>
      </c>
      <c r="B173" s="7632"/>
      <c r="C173" s="7632"/>
      <c r="D173" s="7632"/>
      <c r="E173" s="7632"/>
      <c r="F173" s="7632"/>
      <c r="G173" s="7632"/>
    </row>
    <row r="174" spans="1:7" ht="14.25" customHeight="1" x14ac:dyDescent="0.2">
      <c r="A174" s="7641"/>
      <c r="B174" s="7641"/>
      <c r="C174" s="7641"/>
      <c r="D174" s="7641"/>
      <c r="E174" s="7641"/>
      <c r="F174" s="7641"/>
      <c r="G174" s="7641"/>
    </row>
    <row r="175" spans="1:7" x14ac:dyDescent="0.2">
      <c r="A175" s="7641"/>
      <c r="B175" s="7641"/>
      <c r="C175" s="7641"/>
      <c r="D175" s="7641"/>
      <c r="E175" s="7641"/>
      <c r="F175" s="7641"/>
      <c r="G175" s="7641"/>
    </row>
    <row r="177" spans="1:7" x14ac:dyDescent="0.2">
      <c r="A177" s="7632" t="s">
        <v>8558</v>
      </c>
      <c r="B177" s="7632"/>
      <c r="C177" s="7632"/>
      <c r="D177" s="7632"/>
      <c r="E177" s="7632"/>
      <c r="F177" s="7632"/>
      <c r="G177" s="7632"/>
    </row>
    <row r="178" spans="1:7" x14ac:dyDescent="0.2">
      <c r="A178" s="7641"/>
      <c r="B178" s="7641"/>
      <c r="C178" s="7641"/>
      <c r="D178" s="7641"/>
      <c r="E178" s="7641"/>
      <c r="F178" s="7641"/>
      <c r="G178" s="7641"/>
    </row>
    <row r="179" spans="1:7" x14ac:dyDescent="0.2">
      <c r="A179" s="7641"/>
      <c r="B179" s="7641"/>
      <c r="C179" s="7641"/>
      <c r="D179" s="7641"/>
      <c r="E179" s="7641"/>
      <c r="F179" s="7641"/>
      <c r="G179" s="7641"/>
    </row>
    <row r="182" spans="1:7" x14ac:dyDescent="0.2">
      <c r="D182" s="7458"/>
      <c r="E182" s="7459">
        <f>C160-170000000-50000000</f>
        <v>9430000000</v>
      </c>
    </row>
    <row r="183" spans="1:7" x14ac:dyDescent="0.2">
      <c r="D183" s="7460">
        <f>E183-11898800000</f>
        <v>171900000</v>
      </c>
      <c r="E183" s="7459">
        <f>E182+720000000+1079900000+838800000+2000000</f>
        <v>12070700000</v>
      </c>
    </row>
  </sheetData>
  <mergeCells count="27">
    <mergeCell ref="A173:G175"/>
    <mergeCell ref="A177:G179"/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  <mergeCell ref="A107:G107"/>
    <mergeCell ref="C129:F129"/>
    <mergeCell ref="A82:G82"/>
    <mergeCell ref="C103:F103"/>
    <mergeCell ref="A59:G59"/>
    <mergeCell ref="C78:F78"/>
    <mergeCell ref="A166:G167"/>
    <mergeCell ref="A169:G171"/>
    <mergeCell ref="A131:G132"/>
    <mergeCell ref="A134:G135"/>
    <mergeCell ref="A138:G138"/>
    <mergeCell ref="C160:F160"/>
    <mergeCell ref="A163:G16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topLeftCell="A4" zoomScale="80" zoomScaleNormal="80" workbookViewId="0">
      <selection activeCell="C12" sqref="C12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7565" t="s">
        <v>1505</v>
      </c>
      <c r="B1" s="7566"/>
      <c r="C1" s="7566"/>
      <c r="D1" s="7566"/>
      <c r="E1" s="7566"/>
      <c r="F1" s="7567"/>
    </row>
    <row r="2" spans="1:6" ht="50.1" customHeight="1" x14ac:dyDescent="0.2">
      <c r="A2" s="445" t="s">
        <v>1503</v>
      </c>
      <c r="B2" s="446" t="s">
        <v>4113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4561</v>
      </c>
      <c r="B3" s="149">
        <v>20000000</v>
      </c>
      <c r="C3" s="1991"/>
      <c r="D3" s="149"/>
      <c r="E3" s="1990"/>
      <c r="F3" s="151"/>
    </row>
    <row r="4" spans="1:6" ht="30" customHeight="1" x14ac:dyDescent="0.2">
      <c r="A4" s="443" t="s">
        <v>4562</v>
      </c>
      <c r="B4" s="400">
        <v>20000000</v>
      </c>
      <c r="C4" s="897">
        <v>7.0000000000000007E-2</v>
      </c>
      <c r="D4" s="400">
        <f>B4*C4</f>
        <v>1400000.0000000002</v>
      </c>
      <c r="E4" s="3324">
        <f>B4+D4</f>
        <v>21400000</v>
      </c>
      <c r="F4" s="450"/>
    </row>
    <row r="5" spans="1:6" ht="30" customHeight="1" x14ac:dyDescent="0.2">
      <c r="A5" s="443" t="s">
        <v>4563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24">
        <f t="shared" ref="E5:E15" si="1">B5+D5</f>
        <v>22898000</v>
      </c>
      <c r="F5" s="450"/>
    </row>
    <row r="6" spans="1:6" ht="30" customHeight="1" x14ac:dyDescent="0.2">
      <c r="A6" s="443" t="s">
        <v>4564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43">
        <f t="shared" si="1"/>
        <v>24500860</v>
      </c>
      <c r="F6" s="450"/>
    </row>
    <row r="7" spans="1:6" ht="30" customHeight="1" x14ac:dyDescent="0.2">
      <c r="A7" s="443" t="s">
        <v>4565</v>
      </c>
      <c r="B7" s="400">
        <f>E6</f>
        <v>24500860</v>
      </c>
      <c r="C7" s="897">
        <v>7.0000000000000007E-2</v>
      </c>
      <c r="D7" s="400">
        <f t="shared" si="0"/>
        <v>1715060.2000000002</v>
      </c>
      <c r="E7" s="5363">
        <f t="shared" si="1"/>
        <v>26215920.199999999</v>
      </c>
      <c r="F7" s="450"/>
    </row>
    <row r="8" spans="1:6" ht="30" customHeight="1" x14ac:dyDescent="0.2">
      <c r="A8" s="6046" t="s">
        <v>4566</v>
      </c>
      <c r="B8" s="400">
        <f>E7</f>
        <v>26215920.199999999</v>
      </c>
      <c r="C8" s="897">
        <v>7.0000000000000007E-2</v>
      </c>
      <c r="D8" s="400">
        <f t="shared" si="0"/>
        <v>1835114.4140000001</v>
      </c>
      <c r="E8" s="6024">
        <f t="shared" si="1"/>
        <v>28051034.614</v>
      </c>
      <c r="F8" s="450"/>
    </row>
    <row r="9" spans="1:6" ht="30" customHeight="1" x14ac:dyDescent="0.2">
      <c r="A9" s="6046" t="s">
        <v>4567</v>
      </c>
      <c r="B9" s="400">
        <f t="shared" ref="B9:B15" si="2">E8</f>
        <v>28051034.614</v>
      </c>
      <c r="C9" s="897">
        <v>7.0000000000000007E-2</v>
      </c>
      <c r="D9" s="400">
        <f t="shared" si="0"/>
        <v>1963572.4229800003</v>
      </c>
      <c r="E9" s="6024">
        <f t="shared" si="1"/>
        <v>30014607.036979999</v>
      </c>
      <c r="F9" s="450"/>
    </row>
    <row r="10" spans="1:6" ht="30" customHeight="1" x14ac:dyDescent="0.2">
      <c r="A10" s="443" t="s">
        <v>4568</v>
      </c>
      <c r="B10" s="400">
        <f t="shared" si="2"/>
        <v>30014607.036979999</v>
      </c>
      <c r="C10" s="897">
        <v>7.0000000000000007E-2</v>
      </c>
      <c r="D10" s="400">
        <f t="shared" si="0"/>
        <v>2101022.4925886001</v>
      </c>
      <c r="E10" s="7051">
        <f t="shared" si="1"/>
        <v>32115629.529568598</v>
      </c>
      <c r="F10" s="450"/>
    </row>
    <row r="11" spans="1:6" ht="30" customHeight="1" x14ac:dyDescent="0.2">
      <c r="A11" s="443" t="s">
        <v>4569</v>
      </c>
      <c r="B11" s="400">
        <f t="shared" si="2"/>
        <v>32115629.529568598</v>
      </c>
      <c r="C11" s="897">
        <v>7.0000000000000007E-2</v>
      </c>
      <c r="D11" s="400">
        <f t="shared" si="0"/>
        <v>2248094.067069802</v>
      </c>
      <c r="E11" s="7051">
        <f t="shared" si="1"/>
        <v>34363723.596638396</v>
      </c>
      <c r="F11" s="450"/>
    </row>
    <row r="12" spans="1:6" ht="30" customHeight="1" x14ac:dyDescent="0.2">
      <c r="A12" s="443" t="s">
        <v>4570</v>
      </c>
      <c r="B12" s="149">
        <f t="shared" si="2"/>
        <v>34363723.596638396</v>
      </c>
      <c r="C12" s="1991">
        <v>7.0000000000000007E-2</v>
      </c>
      <c r="D12" s="149">
        <f t="shared" si="0"/>
        <v>2405460.6517646881</v>
      </c>
      <c r="E12" s="1990">
        <f t="shared" si="1"/>
        <v>36769184.248403087</v>
      </c>
      <c r="F12" s="450"/>
    </row>
    <row r="13" spans="1:6" ht="30" customHeight="1" x14ac:dyDescent="0.2">
      <c r="A13" s="443" t="s">
        <v>4571</v>
      </c>
      <c r="B13" s="149">
        <f t="shared" si="2"/>
        <v>36769184.248403087</v>
      </c>
      <c r="C13" s="1991">
        <v>7.0000000000000007E-2</v>
      </c>
      <c r="D13" s="149">
        <f t="shared" si="0"/>
        <v>2573842.8973882166</v>
      </c>
      <c r="E13" s="1990">
        <f t="shared" si="1"/>
        <v>39343027.145791307</v>
      </c>
      <c r="F13" s="450"/>
    </row>
    <row r="14" spans="1:6" ht="30" customHeight="1" x14ac:dyDescent="0.2">
      <c r="A14" s="443" t="s">
        <v>4572</v>
      </c>
      <c r="B14" s="149">
        <f t="shared" si="2"/>
        <v>39343027.145791307</v>
      </c>
      <c r="C14" s="1991">
        <v>7.0000000000000007E-2</v>
      </c>
      <c r="D14" s="149">
        <f t="shared" si="0"/>
        <v>2754011.9002053919</v>
      </c>
      <c r="E14" s="1990">
        <f t="shared" si="1"/>
        <v>42097039.045996696</v>
      </c>
      <c r="F14" s="450"/>
    </row>
    <row r="15" spans="1:6" ht="30" customHeight="1" x14ac:dyDescent="0.2">
      <c r="A15" s="443" t="s">
        <v>4573</v>
      </c>
      <c r="B15" s="149">
        <f t="shared" si="2"/>
        <v>42097039.045996696</v>
      </c>
      <c r="C15" s="1991">
        <v>7.0000000000000007E-2</v>
      </c>
      <c r="D15" s="149">
        <f t="shared" si="0"/>
        <v>2946792.7332197689</v>
      </c>
      <c r="E15" s="1990">
        <f t="shared" si="1"/>
        <v>45043831.779216468</v>
      </c>
      <c r="F15" s="450"/>
    </row>
    <row r="16" spans="1:6" ht="30" customHeight="1" x14ac:dyDescent="0.2">
      <c r="A16" s="1993"/>
      <c r="B16" s="212"/>
      <c r="C16" s="1991"/>
      <c r="D16" s="1990"/>
      <c r="E16" s="1990"/>
      <c r="F16" s="450"/>
    </row>
    <row r="17" spans="1:6" ht="30" customHeight="1" x14ac:dyDescent="0.2">
      <c r="A17" s="1993"/>
      <c r="B17" s="212"/>
      <c r="C17" s="1991"/>
      <c r="D17" s="1990"/>
      <c r="E17" s="1990"/>
      <c r="F17" s="450"/>
    </row>
    <row r="18" spans="1:6" ht="30" customHeight="1" x14ac:dyDescent="0.2">
      <c r="A18" s="1993"/>
      <c r="B18" s="212"/>
      <c r="C18" s="1991"/>
      <c r="D18" s="1990"/>
      <c r="E18" s="1990"/>
      <c r="F18" s="450"/>
    </row>
    <row r="19" spans="1:6" ht="30" customHeight="1" thickBot="1" x14ac:dyDescent="0.25">
      <c r="A19" s="449"/>
      <c r="B19" s="1988"/>
      <c r="C19" s="197"/>
      <c r="D19" s="215"/>
      <c r="E19" s="215"/>
      <c r="F19" s="1989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G22" sqref="G2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7465" t="s">
        <v>5381</v>
      </c>
      <c r="C1" s="7466"/>
      <c r="D1" s="7466"/>
      <c r="E1" s="7466"/>
      <c r="F1" s="7466"/>
      <c r="G1" s="7466"/>
      <c r="H1" s="7467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5377</v>
      </c>
      <c r="F2" s="213" t="s">
        <v>5378</v>
      </c>
      <c r="G2" s="213" t="s">
        <v>5379</v>
      </c>
      <c r="H2" s="148" t="s">
        <v>5380</v>
      </c>
    </row>
    <row r="3" spans="1:8" ht="30" customHeight="1" x14ac:dyDescent="0.2">
      <c r="A3" s="146"/>
      <c r="B3" s="2472"/>
      <c r="C3" s="7463"/>
      <c r="D3" s="7651"/>
      <c r="E3" s="7651"/>
      <c r="F3" s="7651"/>
      <c r="G3" s="7651"/>
      <c r="H3" s="7464"/>
    </row>
    <row r="4" spans="1:8" ht="30" customHeight="1" x14ac:dyDescent="0.2">
      <c r="A4" s="146"/>
      <c r="B4" s="149">
        <v>7000000</v>
      </c>
      <c r="C4" s="3632" t="s">
        <v>4891</v>
      </c>
      <c r="D4" s="18" t="s">
        <v>869</v>
      </c>
      <c r="E4" s="3629">
        <v>0.06</v>
      </c>
      <c r="F4" s="149">
        <f>B4*E4</f>
        <v>420000</v>
      </c>
      <c r="G4" s="3636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32" t="s">
        <v>5289</v>
      </c>
      <c r="D5" s="18" t="s">
        <v>869</v>
      </c>
      <c r="E5" s="3629">
        <v>0.06</v>
      </c>
      <c r="F5" s="149">
        <f>B5*E5</f>
        <v>180000</v>
      </c>
      <c r="G5" s="3636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7461" t="s">
        <v>5374</v>
      </c>
      <c r="D6" s="7481"/>
      <c r="E6" s="7481"/>
      <c r="F6" s="7481"/>
      <c r="G6" s="7481"/>
      <c r="H6" s="7462"/>
    </row>
    <row r="7" spans="1:8" ht="30" customHeight="1" x14ac:dyDescent="0.2">
      <c r="A7" s="146"/>
      <c r="B7" s="149">
        <f>B3+B6</f>
        <v>10000000</v>
      </c>
      <c r="C7" s="7461" t="s">
        <v>5383</v>
      </c>
      <c r="D7" s="7481"/>
      <c r="E7" s="7481"/>
      <c r="F7" s="7481"/>
      <c r="G7" s="7481"/>
      <c r="H7" s="7462"/>
    </row>
    <row r="8" spans="1:8" ht="30" customHeight="1" x14ac:dyDescent="0.2">
      <c r="A8" s="146"/>
      <c r="B8" s="149">
        <f>H4+H5</f>
        <v>348000</v>
      </c>
      <c r="C8" s="7461" t="s">
        <v>5384</v>
      </c>
      <c r="D8" s="7481"/>
      <c r="E8" s="7481"/>
      <c r="F8" s="7481"/>
      <c r="G8" s="7481"/>
      <c r="H8" s="7462"/>
    </row>
    <row r="9" spans="1:8" ht="30" customHeight="1" x14ac:dyDescent="0.2">
      <c r="A9" s="146"/>
      <c r="B9" s="2472">
        <f>B7+B8</f>
        <v>10348000</v>
      </c>
      <c r="C9" s="7463" t="s">
        <v>5388</v>
      </c>
      <c r="D9" s="7651"/>
      <c r="E9" s="7651"/>
      <c r="F9" s="7651"/>
      <c r="G9" s="7651"/>
      <c r="H9" s="7464"/>
    </row>
    <row r="10" spans="1:8" ht="30" customHeight="1" x14ac:dyDescent="0.2">
      <c r="A10" s="146"/>
      <c r="B10" s="149">
        <v>10348000</v>
      </c>
      <c r="C10" s="7461" t="s">
        <v>5382</v>
      </c>
      <c r="D10" s="7481"/>
      <c r="E10" s="3639">
        <v>0.06</v>
      </c>
      <c r="F10" s="3635">
        <f>B10*E10</f>
        <v>620880</v>
      </c>
      <c r="G10" s="3639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32" t="s">
        <v>5347</v>
      </c>
      <c r="D11" s="18" t="s">
        <v>869</v>
      </c>
      <c r="E11" s="3629">
        <v>0.06</v>
      </c>
      <c r="F11" s="3635">
        <f>B11*E11</f>
        <v>420000</v>
      </c>
      <c r="G11" s="3635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32" t="s">
        <v>5367</v>
      </c>
      <c r="D12" s="18" t="s">
        <v>869</v>
      </c>
      <c r="E12" s="3629">
        <v>0.06</v>
      </c>
      <c r="F12" s="3635">
        <f>B12*E12</f>
        <v>180000</v>
      </c>
      <c r="G12" s="3635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36"/>
      <c r="D13" s="3643"/>
      <c r="E13" s="3645"/>
      <c r="F13" s="3627"/>
      <c r="G13" s="3627"/>
      <c r="H13" s="450"/>
    </row>
    <row r="14" spans="1:8" ht="30" customHeight="1" x14ac:dyDescent="0.2">
      <c r="A14" s="146"/>
      <c r="B14" s="574">
        <f>SUM(B11:B12)</f>
        <v>10000000</v>
      </c>
      <c r="C14" s="7461" t="s">
        <v>5376</v>
      </c>
      <c r="D14" s="7481"/>
      <c r="E14" s="7481"/>
      <c r="F14" s="7481"/>
      <c r="G14" s="7481"/>
      <c r="H14" s="7462"/>
    </row>
    <row r="15" spans="1:8" ht="30" customHeight="1" x14ac:dyDescent="0.2">
      <c r="A15" s="146"/>
      <c r="B15" s="574">
        <f>B9+B14</f>
        <v>20348000</v>
      </c>
      <c r="C15" s="7461" t="s">
        <v>5385</v>
      </c>
      <c r="D15" s="7481"/>
      <c r="E15" s="7481"/>
      <c r="F15" s="7481"/>
      <c r="G15" s="7481"/>
      <c r="H15" s="7462"/>
    </row>
    <row r="16" spans="1:8" ht="30" customHeight="1" x14ac:dyDescent="0.2">
      <c r="A16" s="146"/>
      <c r="B16" s="574">
        <f>H10+H11+H12</f>
        <v>1042880</v>
      </c>
      <c r="C16" s="7461" t="s">
        <v>5386</v>
      </c>
      <c r="D16" s="7481"/>
      <c r="E16" s="7481"/>
      <c r="F16" s="7481"/>
      <c r="G16" s="7481"/>
      <c r="H16" s="7462"/>
    </row>
    <row r="17" spans="1:8" ht="30" customHeight="1" x14ac:dyDescent="0.2">
      <c r="A17" s="146"/>
      <c r="B17" s="2472">
        <f>B15+B16</f>
        <v>21390880</v>
      </c>
      <c r="C17" s="7463" t="s">
        <v>5387</v>
      </c>
      <c r="D17" s="7651"/>
      <c r="E17" s="7651"/>
      <c r="F17" s="7651"/>
      <c r="G17" s="7651"/>
      <c r="H17" s="7464"/>
    </row>
    <row r="18" spans="1:8" ht="30" customHeight="1" x14ac:dyDescent="0.2">
      <c r="A18" s="146"/>
      <c r="B18" s="574"/>
      <c r="C18" s="3622"/>
      <c r="D18" s="3644"/>
      <c r="E18" s="3644"/>
      <c r="F18" s="3644"/>
      <c r="G18" s="3644"/>
      <c r="H18" s="151"/>
    </row>
    <row r="19" spans="1:8" ht="30" customHeight="1" x14ac:dyDescent="0.2">
      <c r="A19" s="146"/>
      <c r="B19" s="574"/>
      <c r="C19" s="3622"/>
      <c r="D19" s="3644"/>
      <c r="E19" s="3644"/>
      <c r="F19" s="3644"/>
      <c r="G19" s="3644"/>
      <c r="H19" s="151"/>
    </row>
    <row r="20" spans="1:8" ht="30" customHeight="1" x14ac:dyDescent="0.2">
      <c r="A20" s="146"/>
      <c r="B20" s="574"/>
      <c r="C20" s="3622"/>
      <c r="D20" s="3644"/>
      <c r="E20" s="3644"/>
      <c r="F20" s="3644"/>
      <c r="G20" s="3644"/>
      <c r="H20" s="151"/>
    </row>
    <row r="21" spans="1:8" ht="30" customHeight="1" x14ac:dyDescent="0.2">
      <c r="A21" s="146"/>
      <c r="B21" s="149"/>
      <c r="C21" s="3615"/>
      <c r="D21" s="3644"/>
      <c r="E21" s="3644"/>
      <c r="F21" s="3644"/>
      <c r="G21" s="3644"/>
      <c r="H21" s="151"/>
    </row>
    <row r="22" spans="1:8" ht="30" customHeight="1" x14ac:dyDescent="0.2">
      <c r="A22" s="146"/>
      <c r="B22" s="149"/>
      <c r="C22" s="3615"/>
      <c r="D22" s="3644"/>
      <c r="E22" s="3644"/>
      <c r="F22" s="3644"/>
      <c r="G22" s="3644"/>
      <c r="H22" s="151"/>
    </row>
    <row r="23" spans="1:8" ht="30" customHeight="1" x14ac:dyDescent="0.2">
      <c r="A23" s="146"/>
      <c r="B23" s="149"/>
      <c r="C23" s="3615"/>
      <c r="D23" s="3644"/>
      <c r="E23" s="3644"/>
      <c r="F23" s="3644"/>
      <c r="G23" s="3644"/>
      <c r="H23" s="151"/>
    </row>
    <row r="24" spans="1:8" ht="30" customHeight="1" x14ac:dyDescent="0.2">
      <c r="A24" s="146"/>
      <c r="B24" s="149"/>
      <c r="C24" s="3615"/>
      <c r="D24" s="3644"/>
      <c r="E24" s="3644"/>
      <c r="F24" s="3644"/>
      <c r="G24" s="3644"/>
      <c r="H24" s="151"/>
    </row>
    <row r="25" spans="1:8" ht="30" customHeight="1" x14ac:dyDescent="0.2">
      <c r="A25" s="146"/>
      <c r="B25" s="149"/>
      <c r="C25" s="3615"/>
      <c r="D25" s="3644"/>
      <c r="E25" s="3644"/>
      <c r="F25" s="3644"/>
      <c r="G25" s="3644"/>
      <c r="H25" s="151"/>
    </row>
    <row r="26" spans="1:8" ht="30" customHeight="1" x14ac:dyDescent="0.2">
      <c r="A26" s="146"/>
      <c r="B26" s="149"/>
      <c r="C26" s="3615"/>
      <c r="D26" s="3644"/>
      <c r="E26" s="3644"/>
      <c r="F26" s="3644"/>
      <c r="G26" s="3644"/>
      <c r="H26" s="151"/>
    </row>
    <row r="27" spans="1:8" ht="30" customHeight="1" x14ac:dyDescent="0.2">
      <c r="A27" s="146"/>
      <c r="B27" s="149"/>
      <c r="C27" s="3615"/>
      <c r="D27" s="3644"/>
      <c r="E27" s="3644"/>
      <c r="F27" s="3644"/>
      <c r="G27" s="3644"/>
      <c r="H27" s="151"/>
    </row>
    <row r="28" spans="1:8" ht="30" customHeight="1" x14ac:dyDescent="0.2">
      <c r="A28" s="146"/>
      <c r="B28" s="149"/>
      <c r="C28" s="3615"/>
      <c r="D28" s="3644"/>
      <c r="E28" s="3644"/>
      <c r="F28" s="3644"/>
      <c r="G28" s="3644"/>
      <c r="H28" s="151"/>
    </row>
    <row r="29" spans="1:8" ht="30" customHeight="1" x14ac:dyDescent="0.2">
      <c r="A29" s="146"/>
      <c r="B29" s="149"/>
      <c r="C29" s="3615"/>
      <c r="D29" s="3644"/>
      <c r="E29" s="3644"/>
      <c r="F29" s="3644"/>
      <c r="G29" s="3644"/>
      <c r="H29" s="151"/>
    </row>
    <row r="30" spans="1:8" ht="30" customHeight="1" thickBot="1" x14ac:dyDescent="0.25">
      <c r="A30" s="3616" t="s">
        <v>876</v>
      </c>
      <c r="B30" s="153"/>
      <c r="C30" s="154"/>
      <c r="D30" s="3671"/>
      <c r="E30" s="3671"/>
      <c r="F30" s="3671"/>
      <c r="G30" s="3671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"/>
  <sheetViews>
    <sheetView rightToLeft="1" topLeftCell="C357" zoomScale="70" zoomScaleNormal="70" workbookViewId="0">
      <selection activeCell="J369" sqref="J369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7654">
        <v>1</v>
      </c>
      <c r="B2" s="7652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7656"/>
      <c r="B3" s="7665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7655"/>
      <c r="B4" s="7653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7654">
        <v>2</v>
      </c>
      <c r="B5" s="7652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7655"/>
      <c r="B6" s="7653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7654">
        <v>3</v>
      </c>
      <c r="B7" s="7652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7656"/>
      <c r="B8" s="7665"/>
      <c r="C8" s="1999"/>
      <c r="D8" s="1999"/>
      <c r="E8" s="1999" t="s">
        <v>852</v>
      </c>
      <c r="F8" s="2001">
        <v>70000000</v>
      </c>
      <c r="G8" s="2008"/>
      <c r="H8" s="2001">
        <v>130000000</v>
      </c>
      <c r="I8" s="2002" t="s">
        <v>4221</v>
      </c>
      <c r="J8" s="2024" t="s">
        <v>4222</v>
      </c>
    </row>
    <row r="9" spans="1:10" ht="30" customHeight="1" x14ac:dyDescent="0.2">
      <c r="A9" s="7656"/>
      <c r="B9" s="7665"/>
      <c r="C9" s="7657"/>
      <c r="D9" s="7657"/>
      <c r="E9" s="7657" t="s">
        <v>852</v>
      </c>
      <c r="F9" s="7563">
        <v>200000000</v>
      </c>
      <c r="G9" s="7659"/>
      <c r="H9" s="7563">
        <v>350000000</v>
      </c>
      <c r="I9" s="3953" t="s">
        <v>5721</v>
      </c>
      <c r="J9" s="3963" t="s">
        <v>5723</v>
      </c>
    </row>
    <row r="10" spans="1:10" ht="30" customHeight="1" x14ac:dyDescent="0.2">
      <c r="A10" s="7655"/>
      <c r="B10" s="7653"/>
      <c r="C10" s="7658"/>
      <c r="D10" s="7658"/>
      <c r="E10" s="7658"/>
      <c r="F10" s="7564"/>
      <c r="G10" s="7660"/>
      <c r="H10" s="7564"/>
      <c r="I10" s="3953" t="s">
        <v>5725</v>
      </c>
      <c r="J10" s="3971" t="s">
        <v>5722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7654">
        <v>5</v>
      </c>
      <c r="B12" s="7652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7656"/>
      <c r="B13" s="7665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7656"/>
      <c r="B14" s="7665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7655"/>
      <c r="B15" s="7653"/>
      <c r="C15" s="6279" t="s">
        <v>7755</v>
      </c>
      <c r="D15" s="6279" t="s">
        <v>7752</v>
      </c>
      <c r="E15" s="6275" t="s">
        <v>1525</v>
      </c>
      <c r="F15" s="6275">
        <v>780000000</v>
      </c>
      <c r="G15" s="6292"/>
      <c r="H15" s="6275">
        <v>1061000000</v>
      </c>
      <c r="I15" s="6281" t="s">
        <v>7753</v>
      </c>
      <c r="J15" s="29" t="s">
        <v>7754</v>
      </c>
    </row>
    <row r="16" spans="1:10" ht="30" customHeight="1" x14ac:dyDescent="0.2">
      <c r="A16" s="7654">
        <v>6</v>
      </c>
      <c r="B16" s="7652" t="s">
        <v>1019</v>
      </c>
      <c r="C16" s="401" t="s">
        <v>1022</v>
      </c>
      <c r="D16" s="401" t="s">
        <v>1020</v>
      </c>
      <c r="E16" s="401" t="s">
        <v>899</v>
      </c>
      <c r="F16" s="895">
        <v>111000000</v>
      </c>
      <c r="G16" s="896"/>
      <c r="H16" s="895">
        <v>555000000</v>
      </c>
      <c r="I16" s="897" t="s">
        <v>1021</v>
      </c>
      <c r="J16" s="29" t="s">
        <v>2433</v>
      </c>
    </row>
    <row r="17" spans="1:10" ht="30" customHeight="1" x14ac:dyDescent="0.2">
      <c r="A17" s="7655"/>
      <c r="B17" s="7653"/>
      <c r="C17" s="873" t="s">
        <v>2414</v>
      </c>
      <c r="D17" s="873" t="s">
        <v>2435</v>
      </c>
      <c r="E17" s="873" t="s">
        <v>1184</v>
      </c>
      <c r="F17" s="872">
        <v>250000000</v>
      </c>
      <c r="G17" s="880"/>
      <c r="H17" s="872">
        <v>1500000000</v>
      </c>
      <c r="I17" s="21" t="s">
        <v>2434</v>
      </c>
      <c r="J17" s="29"/>
    </row>
    <row r="18" spans="1:10" ht="30" customHeight="1" x14ac:dyDescent="0.2">
      <c r="A18" s="7654">
        <v>7</v>
      </c>
      <c r="B18" s="7652" t="s">
        <v>170</v>
      </c>
      <c r="C18" s="246" t="s">
        <v>1186</v>
      </c>
      <c r="D18" s="246" t="s">
        <v>1185</v>
      </c>
      <c r="E18" s="246" t="s">
        <v>854</v>
      </c>
      <c r="F18" s="243">
        <v>30000000</v>
      </c>
      <c r="G18" s="17"/>
      <c r="H18" s="243">
        <v>730000000</v>
      </c>
      <c r="I18" s="21" t="s">
        <v>1187</v>
      </c>
      <c r="J18" s="29"/>
    </row>
    <row r="19" spans="1:10" ht="30" customHeight="1" x14ac:dyDescent="0.2">
      <c r="A19" s="7655"/>
      <c r="B19" s="7653"/>
      <c r="C19" s="246" t="s">
        <v>1190</v>
      </c>
      <c r="D19" s="246" t="s">
        <v>1189</v>
      </c>
      <c r="E19" s="246" t="s">
        <v>1184</v>
      </c>
      <c r="F19" s="243">
        <v>28000000</v>
      </c>
      <c r="G19" s="17"/>
      <c r="H19" s="243">
        <v>140000000</v>
      </c>
      <c r="I19" s="21" t="s">
        <v>1188</v>
      </c>
      <c r="J19" s="29"/>
    </row>
    <row r="20" spans="1:10" ht="30" customHeight="1" x14ac:dyDescent="0.2">
      <c r="A20" s="7654">
        <v>8</v>
      </c>
      <c r="B20" s="7703" t="s">
        <v>3783</v>
      </c>
      <c r="C20" s="2695" t="s">
        <v>1195</v>
      </c>
      <c r="D20" s="2695" t="s">
        <v>1193</v>
      </c>
      <c r="E20" s="2695" t="s">
        <v>852</v>
      </c>
      <c r="F20" s="438">
        <v>100000000</v>
      </c>
      <c r="G20" s="2696"/>
      <c r="H20" s="438">
        <v>162000000</v>
      </c>
      <c r="I20" s="2697" t="s">
        <v>1194</v>
      </c>
      <c r="J20" s="2698" t="s">
        <v>3976</v>
      </c>
    </row>
    <row r="21" spans="1:10" ht="30" customHeight="1" x14ac:dyDescent="0.2">
      <c r="A21" s="7656"/>
      <c r="B21" s="7704"/>
      <c r="C21" s="3391" t="s">
        <v>5050</v>
      </c>
      <c r="D21" s="3391" t="s">
        <v>5051</v>
      </c>
      <c r="E21" s="3391" t="s">
        <v>852</v>
      </c>
      <c r="F21" s="3393">
        <v>15000000</v>
      </c>
      <c r="G21" s="435"/>
      <c r="H21" s="3393">
        <v>24500000</v>
      </c>
      <c r="I21" s="7694" t="s">
        <v>1197</v>
      </c>
      <c r="J21" s="7713" t="s">
        <v>5055</v>
      </c>
    </row>
    <row r="22" spans="1:10" ht="30" customHeight="1" x14ac:dyDescent="0.2">
      <c r="A22" s="7656"/>
      <c r="B22" s="7704"/>
      <c r="C22" s="3391" t="s">
        <v>5051</v>
      </c>
      <c r="D22" s="3391" t="s">
        <v>5054</v>
      </c>
      <c r="E22" s="3391" t="s">
        <v>2017</v>
      </c>
      <c r="F22" s="3393">
        <v>24500000</v>
      </c>
      <c r="G22" s="435"/>
      <c r="H22" s="3393">
        <v>38500000</v>
      </c>
      <c r="I22" s="7695"/>
      <c r="J22" s="7714"/>
    </row>
    <row r="23" spans="1:10" ht="30" customHeight="1" x14ac:dyDescent="0.2">
      <c r="A23" s="7656"/>
      <c r="B23" s="7704"/>
      <c r="C23" s="3391" t="s">
        <v>5054</v>
      </c>
      <c r="D23" s="3391" t="s">
        <v>5270</v>
      </c>
      <c r="E23" s="3391" t="s">
        <v>2017</v>
      </c>
      <c r="F23" s="3393">
        <v>38500000</v>
      </c>
      <c r="G23" s="435"/>
      <c r="H23" s="3393">
        <v>62000000</v>
      </c>
      <c r="I23" s="437" t="s">
        <v>5271</v>
      </c>
      <c r="J23" s="3392"/>
    </row>
    <row r="24" spans="1:10" ht="30" customHeight="1" x14ac:dyDescent="0.2">
      <c r="A24" s="7656"/>
      <c r="B24" s="7704"/>
      <c r="C24" s="401" t="s">
        <v>1199</v>
      </c>
      <c r="D24" s="401" t="s">
        <v>1198</v>
      </c>
      <c r="E24" s="401" t="s">
        <v>854</v>
      </c>
      <c r="F24" s="2676">
        <v>15000000</v>
      </c>
      <c r="G24" s="896"/>
      <c r="H24" s="2676">
        <v>240000000</v>
      </c>
      <c r="I24" s="2678" t="s">
        <v>1200</v>
      </c>
      <c r="J24" s="29"/>
    </row>
    <row r="25" spans="1:10" ht="30" customHeight="1" x14ac:dyDescent="0.2">
      <c r="A25" s="7656"/>
      <c r="B25" s="7704"/>
      <c r="C25" s="401"/>
      <c r="D25" s="2438" t="s">
        <v>4487</v>
      </c>
      <c r="E25" s="401" t="s">
        <v>2017</v>
      </c>
      <c r="F25" s="2676">
        <v>30000000</v>
      </c>
      <c r="G25" s="2677"/>
      <c r="H25" s="2676">
        <v>52000000</v>
      </c>
      <c r="I25" s="2439" t="s">
        <v>4486</v>
      </c>
      <c r="J25" s="1825"/>
    </row>
    <row r="26" spans="1:10" ht="30" customHeight="1" x14ac:dyDescent="0.2">
      <c r="A26" s="7656"/>
      <c r="B26" s="7704"/>
      <c r="C26" s="5305" t="s">
        <v>5634</v>
      </c>
      <c r="D26" s="5307" t="s">
        <v>6939</v>
      </c>
      <c r="E26" s="5305" t="s">
        <v>854</v>
      </c>
      <c r="F26" s="5304">
        <v>20000000</v>
      </c>
      <c r="G26" s="5306"/>
      <c r="H26" s="5304">
        <v>480000000</v>
      </c>
      <c r="I26" s="453" t="s">
        <v>6938</v>
      </c>
      <c r="J26" s="3861" t="s">
        <v>6940</v>
      </c>
    </row>
    <row r="27" spans="1:10" ht="30" customHeight="1" x14ac:dyDescent="0.2">
      <c r="A27" s="7656"/>
      <c r="B27" s="7704"/>
      <c r="C27" s="5209" t="s">
        <v>6762</v>
      </c>
      <c r="D27" s="5213" t="s">
        <v>6936</v>
      </c>
      <c r="E27" s="5209" t="s">
        <v>3781</v>
      </c>
      <c r="F27" s="5207">
        <v>35000000</v>
      </c>
      <c r="G27" s="5210"/>
      <c r="H27" s="5207">
        <v>95000000</v>
      </c>
      <c r="I27" s="453" t="s">
        <v>6937</v>
      </c>
      <c r="J27" s="5212" t="s">
        <v>6935</v>
      </c>
    </row>
    <row r="28" spans="1:10" ht="30" customHeight="1" x14ac:dyDescent="0.2">
      <c r="A28" s="7655"/>
      <c r="B28" s="7705"/>
      <c r="C28" s="5305"/>
      <c r="D28" s="5307"/>
      <c r="E28" s="5305"/>
      <c r="F28" s="5304"/>
      <c r="G28" s="5306"/>
      <c r="H28" s="5304"/>
      <c r="I28" s="453"/>
      <c r="J28" s="5308"/>
    </row>
    <row r="29" spans="1:10" ht="30" customHeight="1" x14ac:dyDescent="0.2">
      <c r="A29" s="2664"/>
      <c r="B29" s="2699" t="s">
        <v>2130</v>
      </c>
      <c r="C29" s="401"/>
      <c r="D29" s="2438" t="s">
        <v>4482</v>
      </c>
      <c r="E29" s="401" t="s">
        <v>852</v>
      </c>
      <c r="F29" s="2676">
        <v>10000000</v>
      </c>
      <c r="G29" s="2677"/>
      <c r="H29" s="2676">
        <v>17000000</v>
      </c>
      <c r="I29" s="2439" t="s">
        <v>4481</v>
      </c>
      <c r="J29" s="2392" t="s">
        <v>4483</v>
      </c>
    </row>
    <row r="30" spans="1:10" ht="30" customHeight="1" x14ac:dyDescent="0.2">
      <c r="A30" s="2381"/>
      <c r="B30" s="3895" t="s">
        <v>4484</v>
      </c>
      <c r="C30" s="401" t="s">
        <v>3676</v>
      </c>
      <c r="D30" s="2438" t="s">
        <v>2012</v>
      </c>
      <c r="E30" s="401" t="s">
        <v>3781</v>
      </c>
      <c r="F30" s="2676">
        <v>20000000</v>
      </c>
      <c r="G30" s="2677"/>
      <c r="H30" s="2676">
        <v>52000000</v>
      </c>
      <c r="I30" s="2439" t="s">
        <v>4485</v>
      </c>
      <c r="J30" s="2384"/>
    </row>
    <row r="31" spans="1:10" ht="30" customHeight="1" x14ac:dyDescent="0.2">
      <c r="A31" s="4">
        <v>9</v>
      </c>
      <c r="B31" s="266" t="s">
        <v>1238</v>
      </c>
      <c r="C31" s="269" t="s">
        <v>1195</v>
      </c>
      <c r="D31" s="269" t="s">
        <v>1193</v>
      </c>
      <c r="E31" s="269" t="s">
        <v>852</v>
      </c>
      <c r="F31" s="268">
        <v>11000000</v>
      </c>
      <c r="G31" s="17"/>
      <c r="H31" s="268">
        <v>17600000</v>
      </c>
      <c r="I31" s="21" t="s">
        <v>1239</v>
      </c>
      <c r="J31" s="29"/>
    </row>
    <row r="32" spans="1:10" ht="30" customHeight="1" x14ac:dyDescent="0.2">
      <c r="A32" s="4">
        <v>10</v>
      </c>
      <c r="B32" s="267" t="s">
        <v>1240</v>
      </c>
      <c r="C32" s="269" t="s">
        <v>1242</v>
      </c>
      <c r="D32" s="269" t="s">
        <v>1241</v>
      </c>
      <c r="E32" s="269" t="s">
        <v>854</v>
      </c>
      <c r="F32" s="268">
        <v>10000000</v>
      </c>
      <c r="G32" s="17"/>
      <c r="H32" s="268">
        <v>240000000</v>
      </c>
      <c r="I32" s="21" t="s">
        <v>1243</v>
      </c>
      <c r="J32" s="29"/>
    </row>
    <row r="33" spans="1:10" ht="30" customHeight="1" x14ac:dyDescent="0.2">
      <c r="A33" s="7654">
        <v>11</v>
      </c>
      <c r="B33" s="7652" t="s">
        <v>1213</v>
      </c>
      <c r="C33" s="9"/>
      <c r="D33" s="3365" t="s">
        <v>1215</v>
      </c>
      <c r="E33" s="3359" t="s">
        <v>1212</v>
      </c>
      <c r="F33" s="3359">
        <v>130000000</v>
      </c>
      <c r="G33" s="3368"/>
      <c r="H33" s="3359">
        <v>154000000</v>
      </c>
      <c r="I33" s="3376" t="s">
        <v>1214</v>
      </c>
      <c r="J33" s="29"/>
    </row>
    <row r="34" spans="1:10" ht="30" customHeight="1" x14ac:dyDescent="0.2">
      <c r="A34" s="7656"/>
      <c r="B34" s="7665"/>
      <c r="C34" s="7706"/>
      <c r="D34" s="7677" t="s">
        <v>5244</v>
      </c>
      <c r="E34" s="7677" t="s">
        <v>1525</v>
      </c>
      <c r="F34" s="7677">
        <v>100000000</v>
      </c>
      <c r="G34" s="7691"/>
      <c r="H34" s="7677">
        <v>136000000</v>
      </c>
      <c r="I34" s="7698" t="s">
        <v>5245</v>
      </c>
      <c r="J34" s="3735" t="s">
        <v>5246</v>
      </c>
    </row>
    <row r="35" spans="1:10" ht="30" customHeight="1" x14ac:dyDescent="0.2">
      <c r="A35" s="7655"/>
      <c r="B35" s="7653"/>
      <c r="C35" s="7707"/>
      <c r="D35" s="7678"/>
      <c r="E35" s="7678"/>
      <c r="F35" s="7678"/>
      <c r="G35" s="7693"/>
      <c r="H35" s="7678"/>
      <c r="I35" s="7700"/>
      <c r="J35" s="3735" t="s">
        <v>6431</v>
      </c>
    </row>
    <row r="36" spans="1:10" ht="30" customHeight="1" x14ac:dyDescent="0.2">
      <c r="A36" s="7654">
        <v>12</v>
      </c>
      <c r="B36" s="7717" t="s">
        <v>1471</v>
      </c>
      <c r="C36" s="372"/>
      <c r="D36" s="372"/>
      <c r="E36" s="372" t="s">
        <v>899</v>
      </c>
      <c r="F36" s="370">
        <v>20000000</v>
      </c>
      <c r="G36" s="17"/>
      <c r="H36" s="370">
        <v>100000000</v>
      </c>
      <c r="I36" s="411" t="s">
        <v>1472</v>
      </c>
      <c r="J36" s="29"/>
    </row>
    <row r="37" spans="1:10" ht="30" customHeight="1" x14ac:dyDescent="0.2">
      <c r="A37" s="7656"/>
      <c r="B37" s="7717"/>
      <c r="C37" s="372"/>
      <c r="D37" s="401" t="s">
        <v>6793</v>
      </c>
      <c r="E37" s="401" t="s">
        <v>852</v>
      </c>
      <c r="F37" s="5395">
        <v>30000000</v>
      </c>
      <c r="G37" s="896"/>
      <c r="H37" s="5395">
        <v>50000000</v>
      </c>
      <c r="I37" s="2678" t="s">
        <v>7037</v>
      </c>
      <c r="J37" s="5397" t="s">
        <v>7047</v>
      </c>
    </row>
    <row r="38" spans="1:10" ht="30" customHeight="1" x14ac:dyDescent="0.2">
      <c r="A38" s="7654"/>
      <c r="B38" s="7652" t="s">
        <v>6514</v>
      </c>
      <c r="C38" s="1999"/>
      <c r="D38" s="1999" t="s">
        <v>6516</v>
      </c>
      <c r="E38" s="1999" t="s">
        <v>854</v>
      </c>
      <c r="F38" s="2001">
        <v>15000000</v>
      </c>
      <c r="G38" s="2008"/>
      <c r="H38" s="2001">
        <v>360000000</v>
      </c>
      <c r="I38" s="21" t="s">
        <v>6515</v>
      </c>
      <c r="J38" s="29" t="s">
        <v>5912</v>
      </c>
    </row>
    <row r="39" spans="1:10" ht="30" customHeight="1" x14ac:dyDescent="0.2">
      <c r="A39" s="7655"/>
      <c r="B39" s="7653"/>
      <c r="C39" s="5209"/>
      <c r="D39" s="5209"/>
      <c r="E39" s="5209" t="s">
        <v>899</v>
      </c>
      <c r="F39" s="5207">
        <v>15000000</v>
      </c>
      <c r="G39" s="5219"/>
      <c r="H39" s="5211"/>
      <c r="I39" s="56" t="s">
        <v>6856</v>
      </c>
      <c r="J39" s="29" t="s">
        <v>6857</v>
      </c>
    </row>
    <row r="40" spans="1:10" ht="30" customHeight="1" x14ac:dyDescent="0.2">
      <c r="A40" s="1028"/>
      <c r="B40" s="19" t="s">
        <v>6518</v>
      </c>
      <c r="C40" s="1999"/>
      <c r="D40" s="1999" t="s">
        <v>6516</v>
      </c>
      <c r="E40" s="1999" t="s">
        <v>854</v>
      </c>
      <c r="F40" s="2001">
        <v>3000000</v>
      </c>
      <c r="G40" s="2008"/>
      <c r="H40" s="2001">
        <v>72000000</v>
      </c>
      <c r="I40" s="21" t="s">
        <v>6517</v>
      </c>
      <c r="J40" s="29" t="s">
        <v>5913</v>
      </c>
    </row>
    <row r="41" spans="1:10" ht="30" customHeight="1" x14ac:dyDescent="0.2">
      <c r="A41" s="4">
        <v>13</v>
      </c>
      <c r="B41" s="393" t="s">
        <v>1473</v>
      </c>
      <c r="C41" s="372" t="s">
        <v>1474</v>
      </c>
      <c r="D41" s="372"/>
      <c r="E41" s="372" t="s">
        <v>852</v>
      </c>
      <c r="F41" s="370">
        <v>350000000</v>
      </c>
      <c r="G41" s="17"/>
      <c r="H41" s="370">
        <v>650000000</v>
      </c>
      <c r="I41" s="21"/>
      <c r="J41" s="29"/>
    </row>
    <row r="42" spans="1:10" ht="30" customHeight="1" x14ac:dyDescent="0.2">
      <c r="A42" s="4">
        <v>14</v>
      </c>
      <c r="B42" s="1452" t="s">
        <v>1476</v>
      </c>
      <c r="C42" s="1453" t="s">
        <v>1480</v>
      </c>
      <c r="D42" s="1453"/>
      <c r="E42" s="1453" t="s">
        <v>852</v>
      </c>
      <c r="F42" s="1424">
        <v>100000000</v>
      </c>
      <c r="G42" s="17">
        <v>5.5E-2</v>
      </c>
      <c r="H42" s="417">
        <v>167000000</v>
      </c>
      <c r="I42" s="21"/>
      <c r="J42" s="29"/>
    </row>
    <row r="43" spans="1:10" ht="30" customHeight="1" x14ac:dyDescent="0.2">
      <c r="A43" s="644">
        <v>15</v>
      </c>
      <c r="B43" s="1452" t="s">
        <v>1486</v>
      </c>
      <c r="C43" s="1453" t="s">
        <v>1481</v>
      </c>
      <c r="D43" s="1453"/>
      <c r="E43" s="1453" t="s">
        <v>852</v>
      </c>
      <c r="F43" s="1424">
        <v>20000000</v>
      </c>
      <c r="G43" s="17">
        <v>0.05</v>
      </c>
      <c r="H43" s="417"/>
      <c r="I43" s="21"/>
      <c r="J43" s="29"/>
    </row>
    <row r="44" spans="1:10" ht="30" customHeight="1" x14ac:dyDescent="0.2">
      <c r="A44" s="644">
        <v>16</v>
      </c>
      <c r="B44" s="1452" t="s">
        <v>1477</v>
      </c>
      <c r="C44" s="1453" t="s">
        <v>1482</v>
      </c>
      <c r="D44" s="1453"/>
      <c r="E44" s="1453" t="s">
        <v>852</v>
      </c>
      <c r="F44" s="1424">
        <v>50000000</v>
      </c>
      <c r="G44" s="17">
        <v>0.05</v>
      </c>
      <c r="H44" s="417"/>
      <c r="I44" s="21"/>
      <c r="J44" s="29"/>
    </row>
    <row r="45" spans="1:10" ht="30" customHeight="1" x14ac:dyDescent="0.2">
      <c r="A45" s="644">
        <v>17</v>
      </c>
      <c r="B45" s="1452" t="s">
        <v>1477</v>
      </c>
      <c r="C45" s="1453" t="s">
        <v>1483</v>
      </c>
      <c r="D45" s="1453"/>
      <c r="E45" s="1453" t="s">
        <v>852</v>
      </c>
      <c r="F45" s="1424">
        <v>60000000</v>
      </c>
      <c r="G45" s="17">
        <v>0.05</v>
      </c>
      <c r="H45" s="417"/>
      <c r="I45" s="21"/>
      <c r="J45" s="29"/>
    </row>
    <row r="46" spans="1:10" ht="30" customHeight="1" x14ac:dyDescent="0.2">
      <c r="A46" s="644">
        <v>18</v>
      </c>
      <c r="B46" s="1452" t="s">
        <v>1478</v>
      </c>
      <c r="C46" s="1453" t="s">
        <v>1484</v>
      </c>
      <c r="D46" s="1453"/>
      <c r="E46" s="1453" t="s">
        <v>852</v>
      </c>
      <c r="F46" s="1424">
        <v>100000000</v>
      </c>
      <c r="G46" s="17">
        <v>7.0000000000000007E-2</v>
      </c>
      <c r="H46" s="417"/>
      <c r="I46" s="21"/>
      <c r="J46" s="29"/>
    </row>
    <row r="47" spans="1:10" ht="30" customHeight="1" x14ac:dyDescent="0.2">
      <c r="A47" s="644">
        <v>19</v>
      </c>
      <c r="B47" s="1452" t="s">
        <v>1479</v>
      </c>
      <c r="C47" s="1453" t="s">
        <v>813</v>
      </c>
      <c r="D47" s="1453"/>
      <c r="E47" s="1453" t="s">
        <v>852</v>
      </c>
      <c r="F47" s="1424">
        <v>100000000</v>
      </c>
      <c r="G47" s="17">
        <v>7.0000000000000007E-2</v>
      </c>
      <c r="H47" s="417"/>
      <c r="I47" s="21"/>
      <c r="J47" s="29"/>
    </row>
    <row r="48" spans="1:10" ht="30" customHeight="1" x14ac:dyDescent="0.2">
      <c r="A48" s="1434"/>
      <c r="B48" s="1452" t="s">
        <v>1305</v>
      </c>
      <c r="C48" s="1453" t="s">
        <v>3313</v>
      </c>
      <c r="D48" s="1453" t="s">
        <v>3004</v>
      </c>
      <c r="E48" s="1453" t="s">
        <v>852</v>
      </c>
      <c r="F48" s="1424">
        <v>50000000</v>
      </c>
      <c r="G48" s="1432"/>
      <c r="H48" s="1406">
        <v>80000000</v>
      </c>
      <c r="I48" s="21" t="s">
        <v>3314</v>
      </c>
      <c r="J48" s="29"/>
    </row>
    <row r="49" spans="1:10" ht="30" customHeight="1" x14ac:dyDescent="0.2">
      <c r="A49" s="7654">
        <v>20</v>
      </c>
      <c r="B49" s="7652" t="s">
        <v>219</v>
      </c>
      <c r="C49" s="5280" t="s">
        <v>1492</v>
      </c>
      <c r="D49" s="5280" t="s">
        <v>1491</v>
      </c>
      <c r="E49" s="5280" t="s">
        <v>852</v>
      </c>
      <c r="F49" s="5279">
        <v>57000000</v>
      </c>
      <c r="G49" s="2519"/>
      <c r="H49" s="5279">
        <v>128000000</v>
      </c>
      <c r="I49" s="56" t="s">
        <v>1493</v>
      </c>
      <c r="J49" s="3735" t="s">
        <v>6920</v>
      </c>
    </row>
    <row r="50" spans="1:10" ht="30" customHeight="1" x14ac:dyDescent="0.2">
      <c r="A50" s="7655"/>
      <c r="B50" s="7653"/>
      <c r="C50" s="5274" t="s">
        <v>1491</v>
      </c>
      <c r="D50" s="5274" t="s">
        <v>6921</v>
      </c>
      <c r="E50" s="5274" t="s">
        <v>6922</v>
      </c>
      <c r="F50" s="5271">
        <v>128000000</v>
      </c>
      <c r="G50" s="5290"/>
      <c r="H50" s="5271">
        <v>461250000</v>
      </c>
      <c r="I50" s="5300" t="s">
        <v>6923</v>
      </c>
      <c r="J50" s="29" t="s">
        <v>6924</v>
      </c>
    </row>
    <row r="51" spans="1:10" ht="30" customHeight="1" x14ac:dyDescent="0.2">
      <c r="A51" s="1998">
        <v>21</v>
      </c>
      <c r="B51" s="2010" t="s">
        <v>1526</v>
      </c>
      <c r="C51" s="234" t="s">
        <v>1405</v>
      </c>
      <c r="D51" s="234" t="s">
        <v>1527</v>
      </c>
      <c r="E51" s="234" t="s">
        <v>1525</v>
      </c>
      <c r="F51" s="1997">
        <v>100000000</v>
      </c>
      <c r="G51" s="2008"/>
      <c r="H51" s="1997">
        <v>130000000</v>
      </c>
      <c r="I51" s="48" t="s">
        <v>4192</v>
      </c>
      <c r="J51" s="29"/>
    </row>
    <row r="52" spans="1:10" ht="30" customHeight="1" x14ac:dyDescent="0.2">
      <c r="A52" s="4">
        <v>22</v>
      </c>
      <c r="B52" s="415" t="s">
        <v>1528</v>
      </c>
      <c r="C52" s="424" t="s">
        <v>1405</v>
      </c>
      <c r="D52" s="424" t="s">
        <v>1529</v>
      </c>
      <c r="E52" s="424" t="s">
        <v>1530</v>
      </c>
      <c r="F52" s="417">
        <v>60000000</v>
      </c>
      <c r="G52" s="419"/>
      <c r="H52" s="417">
        <v>100000000</v>
      </c>
      <c r="I52" s="453" t="s">
        <v>1531</v>
      </c>
      <c r="J52" s="29"/>
    </row>
    <row r="53" spans="1:10" ht="30" customHeight="1" x14ac:dyDescent="0.2">
      <c r="A53" s="7654">
        <v>23</v>
      </c>
      <c r="B53" s="7708" t="s">
        <v>1631</v>
      </c>
      <c r="C53" s="7685" t="s">
        <v>1645</v>
      </c>
      <c r="D53" s="7685" t="s">
        <v>1594</v>
      </c>
      <c r="E53" s="7685" t="s">
        <v>1525</v>
      </c>
      <c r="F53" s="7559">
        <v>85000000</v>
      </c>
      <c r="G53" s="7683"/>
      <c r="H53" s="7559" t="s">
        <v>1642</v>
      </c>
      <c r="I53" s="482" t="s">
        <v>1643</v>
      </c>
      <c r="J53" s="7715" t="s">
        <v>1632</v>
      </c>
    </row>
    <row r="54" spans="1:10" ht="30" customHeight="1" x14ac:dyDescent="0.2">
      <c r="A54" s="7655"/>
      <c r="B54" s="7709"/>
      <c r="C54" s="7686"/>
      <c r="D54" s="7686"/>
      <c r="E54" s="7686"/>
      <c r="F54" s="7560"/>
      <c r="G54" s="7684"/>
      <c r="H54" s="7560"/>
      <c r="I54" s="482" t="s">
        <v>1644</v>
      </c>
      <c r="J54" s="7716"/>
    </row>
    <row r="55" spans="1:10" ht="30" customHeight="1" x14ac:dyDescent="0.2">
      <c r="A55" s="7654">
        <v>24</v>
      </c>
      <c r="B55" s="7710" t="s">
        <v>182</v>
      </c>
      <c r="C55" s="7687" t="s">
        <v>1594</v>
      </c>
      <c r="D55" s="7687" t="s">
        <v>1649</v>
      </c>
      <c r="E55" s="7687" t="s">
        <v>1525</v>
      </c>
      <c r="F55" s="7677">
        <v>85000000</v>
      </c>
      <c r="G55" s="7691"/>
      <c r="H55" s="7677" t="s">
        <v>1646</v>
      </c>
      <c r="I55" s="1707" t="s">
        <v>5447</v>
      </c>
      <c r="J55" s="3715" t="s">
        <v>5448</v>
      </c>
    </row>
    <row r="56" spans="1:10" ht="30" customHeight="1" x14ac:dyDescent="0.2">
      <c r="A56" s="7656"/>
      <c r="B56" s="7711"/>
      <c r="C56" s="7688"/>
      <c r="D56" s="7688"/>
      <c r="E56" s="7688"/>
      <c r="F56" s="7690"/>
      <c r="G56" s="7692"/>
      <c r="H56" s="7690"/>
      <c r="I56" s="1707" t="s">
        <v>1648</v>
      </c>
      <c r="J56" s="3734" t="s">
        <v>5451</v>
      </c>
    </row>
    <row r="57" spans="1:10" ht="30" customHeight="1" x14ac:dyDescent="0.2">
      <c r="A57" s="7655"/>
      <c r="B57" s="7712"/>
      <c r="C57" s="7689"/>
      <c r="D57" s="7689"/>
      <c r="E57" s="7689"/>
      <c r="F57" s="7678"/>
      <c r="G57" s="7693"/>
      <c r="H57" s="7678"/>
      <c r="I57" s="1707" t="s">
        <v>1647</v>
      </c>
      <c r="J57" s="3735"/>
    </row>
    <row r="58" spans="1:10" ht="30" customHeight="1" x14ac:dyDescent="0.2">
      <c r="A58" s="462">
        <v>25</v>
      </c>
      <c r="B58" s="461" t="s">
        <v>1657</v>
      </c>
      <c r="C58" s="465"/>
      <c r="D58" s="465"/>
      <c r="E58" s="465"/>
      <c r="F58" s="464"/>
      <c r="G58" s="463"/>
      <c r="H58" s="464"/>
      <c r="I58" s="453"/>
      <c r="J58" s="467"/>
    </row>
    <row r="59" spans="1:10" ht="30" customHeight="1" x14ac:dyDescent="0.2">
      <c r="A59" s="462">
        <v>26</v>
      </c>
      <c r="B59" s="461" t="s">
        <v>1678</v>
      </c>
      <c r="C59" s="465" t="s">
        <v>1680</v>
      </c>
      <c r="D59" s="465"/>
      <c r="E59" s="465"/>
      <c r="F59" s="464">
        <v>20000000</v>
      </c>
      <c r="G59" s="463"/>
      <c r="H59" s="464"/>
      <c r="I59" s="453" t="s">
        <v>1681</v>
      </c>
      <c r="J59" s="467"/>
    </row>
    <row r="60" spans="1:10" ht="30" customHeight="1" x14ac:dyDescent="0.2">
      <c r="A60" s="643">
        <v>27</v>
      </c>
      <c r="B60" s="461" t="s">
        <v>1679</v>
      </c>
      <c r="C60" s="465"/>
      <c r="D60" s="465"/>
      <c r="E60" s="465"/>
      <c r="F60" s="464">
        <v>16000000</v>
      </c>
      <c r="G60" s="463"/>
      <c r="H60" s="464"/>
      <c r="I60" s="453" t="s">
        <v>1681</v>
      </c>
      <c r="J60" s="467"/>
    </row>
    <row r="61" spans="1:10" ht="30" customHeight="1" x14ac:dyDescent="0.2">
      <c r="A61" s="643">
        <v>28</v>
      </c>
      <c r="B61" s="461" t="s">
        <v>1841</v>
      </c>
      <c r="C61" s="465" t="s">
        <v>1864</v>
      </c>
      <c r="D61" s="465" t="s">
        <v>1863</v>
      </c>
      <c r="E61" s="465" t="s">
        <v>854</v>
      </c>
      <c r="F61" s="464">
        <v>200000000</v>
      </c>
      <c r="G61" s="463"/>
      <c r="H61" s="464">
        <v>4800000000</v>
      </c>
      <c r="I61" s="453" t="s">
        <v>1862</v>
      </c>
      <c r="J61" s="467"/>
    </row>
    <row r="62" spans="1:10" ht="30" customHeight="1" x14ac:dyDescent="0.2">
      <c r="A62" s="7654">
        <v>27</v>
      </c>
      <c r="B62" s="7652" t="s">
        <v>1843</v>
      </c>
      <c r="C62" s="465" t="s">
        <v>1844</v>
      </c>
      <c r="D62" s="465" t="s">
        <v>1846</v>
      </c>
      <c r="E62" s="465" t="s">
        <v>1184</v>
      </c>
      <c r="F62" s="464">
        <v>5000000</v>
      </c>
      <c r="G62" s="463"/>
      <c r="H62" s="464">
        <v>25000000</v>
      </c>
      <c r="I62" s="453" t="s">
        <v>1845</v>
      </c>
      <c r="J62" s="467"/>
    </row>
    <row r="63" spans="1:10" ht="30" customHeight="1" x14ac:dyDescent="0.2">
      <c r="A63" s="7656"/>
      <c r="B63" s="7665"/>
      <c r="C63" s="465" t="s">
        <v>1847</v>
      </c>
      <c r="D63" s="465"/>
      <c r="E63" s="465" t="s">
        <v>852</v>
      </c>
      <c r="F63" s="464"/>
      <c r="G63" s="463"/>
      <c r="H63" s="464"/>
      <c r="I63" s="453"/>
      <c r="J63" s="467"/>
    </row>
    <row r="64" spans="1:10" ht="30" customHeight="1" x14ac:dyDescent="0.2">
      <c r="A64" s="7656"/>
      <c r="B64" s="7665"/>
      <c r="C64" s="465" t="s">
        <v>1848</v>
      </c>
      <c r="D64" s="465" t="s">
        <v>1849</v>
      </c>
      <c r="E64" s="465" t="s">
        <v>1184</v>
      </c>
      <c r="F64" s="464">
        <v>5000000</v>
      </c>
      <c r="G64" s="463"/>
      <c r="H64" s="464"/>
      <c r="I64" s="453"/>
      <c r="J64" s="467"/>
    </row>
    <row r="65" spans="1:10" ht="30" customHeight="1" x14ac:dyDescent="0.2">
      <c r="A65" s="7656"/>
      <c r="B65" s="7665"/>
      <c r="C65" s="529"/>
      <c r="D65" s="529" t="s">
        <v>1850</v>
      </c>
      <c r="E65" s="529" t="s">
        <v>1184</v>
      </c>
      <c r="F65" s="528">
        <v>5000000</v>
      </c>
      <c r="G65" s="526"/>
      <c r="H65" s="528"/>
      <c r="I65" s="453"/>
      <c r="J65" s="530"/>
    </row>
    <row r="66" spans="1:10" ht="30" customHeight="1" x14ac:dyDescent="0.2">
      <c r="A66" s="7656"/>
      <c r="B66" s="7665"/>
      <c r="C66" s="529" t="s">
        <v>323</v>
      </c>
      <c r="D66" s="529"/>
      <c r="E66" s="529" t="s">
        <v>852</v>
      </c>
      <c r="F66" s="528">
        <v>2000000</v>
      </c>
      <c r="G66" s="526"/>
      <c r="H66" s="528"/>
      <c r="I66" s="453" t="s">
        <v>1851</v>
      </c>
      <c r="J66" s="530"/>
    </row>
    <row r="67" spans="1:10" ht="30" customHeight="1" x14ac:dyDescent="0.2">
      <c r="A67" s="7655"/>
      <c r="B67" s="7653"/>
      <c r="C67" s="529"/>
      <c r="D67" s="529"/>
      <c r="E67" s="529" t="s">
        <v>852</v>
      </c>
      <c r="F67" s="528">
        <v>3000000</v>
      </c>
      <c r="G67" s="526"/>
      <c r="H67" s="528"/>
      <c r="I67" s="453" t="s">
        <v>1851</v>
      </c>
      <c r="J67" s="530"/>
    </row>
    <row r="68" spans="1:10" ht="30" customHeight="1" x14ac:dyDescent="0.2">
      <c r="A68" s="7654">
        <v>28</v>
      </c>
      <c r="B68" s="7652" t="s">
        <v>250</v>
      </c>
      <c r="C68" s="529" t="s">
        <v>1782</v>
      </c>
      <c r="D68" s="529" t="s">
        <v>1879</v>
      </c>
      <c r="E68" s="529" t="s">
        <v>1525</v>
      </c>
      <c r="F68" s="528">
        <v>18000000</v>
      </c>
      <c r="G68" s="526"/>
      <c r="H68" s="528">
        <v>24000000</v>
      </c>
      <c r="I68" s="453" t="s">
        <v>1880</v>
      </c>
      <c r="J68" s="530"/>
    </row>
    <row r="69" spans="1:10" ht="30" customHeight="1" x14ac:dyDescent="0.2">
      <c r="A69" s="7656"/>
      <c r="B69" s="7665"/>
      <c r="C69" s="7657" t="s">
        <v>1944</v>
      </c>
      <c r="D69" s="7657"/>
      <c r="E69" s="797" t="s">
        <v>852</v>
      </c>
      <c r="F69" s="7563">
        <v>20000000</v>
      </c>
      <c r="G69" s="795"/>
      <c r="H69" s="796">
        <v>34000000</v>
      </c>
      <c r="I69" s="7679" t="s">
        <v>2339</v>
      </c>
      <c r="J69" s="7713" t="s">
        <v>2338</v>
      </c>
    </row>
    <row r="70" spans="1:10" ht="30" customHeight="1" x14ac:dyDescent="0.2">
      <c r="A70" s="7655"/>
      <c r="B70" s="7653"/>
      <c r="C70" s="7658"/>
      <c r="D70" s="7658"/>
      <c r="E70" s="797" t="s">
        <v>1525</v>
      </c>
      <c r="F70" s="7564"/>
      <c r="G70" s="795"/>
      <c r="H70" s="796">
        <v>27000000</v>
      </c>
      <c r="I70" s="7680"/>
      <c r="J70" s="7714"/>
    </row>
    <row r="71" spans="1:10" ht="30" customHeight="1" x14ac:dyDescent="0.2">
      <c r="A71" s="546">
        <v>29</v>
      </c>
      <c r="B71" s="545" t="s">
        <v>259</v>
      </c>
      <c r="C71" s="547"/>
      <c r="D71" s="547"/>
      <c r="E71" s="547"/>
      <c r="F71" s="548"/>
      <c r="G71" s="549"/>
      <c r="H71" s="548"/>
      <c r="I71" s="453"/>
      <c r="J71" s="550"/>
    </row>
    <row r="72" spans="1:10" ht="30" customHeight="1" x14ac:dyDescent="0.2">
      <c r="A72" s="7654">
        <v>30</v>
      </c>
      <c r="B72" s="7652" t="s">
        <v>186</v>
      </c>
      <c r="C72" s="7657" t="s">
        <v>1881</v>
      </c>
      <c r="D72" s="234" t="s">
        <v>1916</v>
      </c>
      <c r="E72" s="7657" t="s">
        <v>1914</v>
      </c>
      <c r="F72" s="598">
        <v>200000000</v>
      </c>
      <c r="G72" s="599">
        <v>6.5000000000000002E-2</v>
      </c>
      <c r="H72" s="598">
        <v>328500000</v>
      </c>
      <c r="I72" s="453" t="s">
        <v>1940</v>
      </c>
      <c r="J72" s="600" t="s">
        <v>1915</v>
      </c>
    </row>
    <row r="73" spans="1:10" ht="30" customHeight="1" x14ac:dyDescent="0.2">
      <c r="A73" s="7655"/>
      <c r="B73" s="7653"/>
      <c r="C73" s="7658"/>
      <c r="D73" s="234" t="s">
        <v>1939</v>
      </c>
      <c r="E73" s="7658"/>
      <c r="F73" s="598">
        <v>100000000</v>
      </c>
      <c r="G73" s="599">
        <v>6.5000000000000002E-2</v>
      </c>
      <c r="H73" s="598">
        <v>100000000</v>
      </c>
      <c r="I73" s="453" t="s">
        <v>1938</v>
      </c>
      <c r="J73" s="600" t="s">
        <v>1180</v>
      </c>
    </row>
    <row r="74" spans="1:10" ht="30" customHeight="1" x14ac:dyDescent="0.2">
      <c r="A74" s="605">
        <v>31</v>
      </c>
      <c r="B74" s="604" t="s">
        <v>1913</v>
      </c>
      <c r="C74" s="610"/>
      <c r="D74" s="1706" t="s">
        <v>1942</v>
      </c>
      <c r="E74" s="610"/>
      <c r="F74" s="609">
        <v>700000000</v>
      </c>
      <c r="G74" s="607"/>
      <c r="H74" s="609">
        <v>2000000000</v>
      </c>
      <c r="I74" s="453" t="s">
        <v>1941</v>
      </c>
      <c r="J74" s="613"/>
    </row>
    <row r="75" spans="1:10" ht="30" customHeight="1" x14ac:dyDescent="0.2">
      <c r="A75" s="643">
        <v>32</v>
      </c>
      <c r="B75" s="19" t="s">
        <v>259</v>
      </c>
      <c r="C75" s="610"/>
      <c r="D75" s="234"/>
      <c r="E75" s="610" t="s">
        <v>1966</v>
      </c>
      <c r="F75" s="609">
        <v>30000000</v>
      </c>
      <c r="G75" s="607"/>
      <c r="H75" s="609">
        <v>50000000</v>
      </c>
      <c r="I75" s="453" t="s">
        <v>1968</v>
      </c>
      <c r="J75" s="614" t="s">
        <v>1967</v>
      </c>
    </row>
    <row r="76" spans="1:10" ht="30" customHeight="1" x14ac:dyDescent="0.2">
      <c r="A76" s="643">
        <v>33</v>
      </c>
      <c r="B76" s="19" t="s">
        <v>1970</v>
      </c>
      <c r="C76" s="610" t="s">
        <v>1973</v>
      </c>
      <c r="D76" s="234" t="s">
        <v>1972</v>
      </c>
      <c r="E76" s="610" t="s">
        <v>1966</v>
      </c>
      <c r="F76" s="609">
        <v>160000000</v>
      </c>
      <c r="G76" s="607"/>
      <c r="H76" s="609">
        <v>266000000</v>
      </c>
      <c r="I76" s="453" t="s">
        <v>1971</v>
      </c>
      <c r="J76" s="613"/>
    </row>
    <row r="77" spans="1:10" ht="30" customHeight="1" x14ac:dyDescent="0.2">
      <c r="A77" s="643">
        <v>34</v>
      </c>
      <c r="B77" s="19" t="s">
        <v>1974</v>
      </c>
      <c r="C77" s="610" t="s">
        <v>1976</v>
      </c>
      <c r="D77" s="234" t="s">
        <v>1975</v>
      </c>
      <c r="E77" s="610" t="s">
        <v>1966</v>
      </c>
      <c r="F77" s="609">
        <v>50000000</v>
      </c>
      <c r="G77" s="607"/>
      <c r="H77" s="609">
        <v>92000000</v>
      </c>
      <c r="I77" s="453" t="s">
        <v>1977</v>
      </c>
      <c r="J77" s="613"/>
    </row>
    <row r="78" spans="1:10" ht="30" customHeight="1" x14ac:dyDescent="0.2">
      <c r="A78" s="7654">
        <v>35</v>
      </c>
      <c r="B78" s="7652" t="s">
        <v>1843</v>
      </c>
      <c r="C78" s="625"/>
      <c r="D78" s="234" t="s">
        <v>1846</v>
      </c>
      <c r="E78" s="625" t="s">
        <v>1184</v>
      </c>
      <c r="F78" s="628">
        <v>5000000</v>
      </c>
      <c r="G78" s="629"/>
      <c r="H78" s="628">
        <v>25000000</v>
      </c>
      <c r="I78" s="453" t="s">
        <v>1987</v>
      </c>
      <c r="J78" s="632"/>
    </row>
    <row r="79" spans="1:10" ht="30" customHeight="1" x14ac:dyDescent="0.2">
      <c r="A79" s="7656"/>
      <c r="B79" s="7665"/>
      <c r="C79" s="625"/>
      <c r="D79" s="234" t="s">
        <v>1849</v>
      </c>
      <c r="E79" s="625" t="s">
        <v>1184</v>
      </c>
      <c r="F79" s="628">
        <v>5000000</v>
      </c>
      <c r="G79" s="629"/>
      <c r="H79" s="628">
        <v>25000000</v>
      </c>
      <c r="I79" s="453" t="s">
        <v>1988</v>
      </c>
      <c r="J79" s="632"/>
    </row>
    <row r="80" spans="1:10" ht="30" customHeight="1" x14ac:dyDescent="0.2">
      <c r="A80" s="7656"/>
      <c r="B80" s="7665"/>
      <c r="C80" s="625"/>
      <c r="D80" s="234" t="s">
        <v>1990</v>
      </c>
      <c r="E80" s="625" t="s">
        <v>1184</v>
      </c>
      <c r="F80" s="628">
        <v>5000000</v>
      </c>
      <c r="G80" s="629"/>
      <c r="H80" s="628">
        <v>25000000</v>
      </c>
      <c r="I80" s="453" t="s">
        <v>1989</v>
      </c>
      <c r="J80" s="632"/>
    </row>
    <row r="81" spans="1:10" ht="30" customHeight="1" x14ac:dyDescent="0.2">
      <c r="A81" s="7655"/>
      <c r="B81" s="7653"/>
      <c r="C81" s="625"/>
      <c r="D81" s="234" t="s">
        <v>1999</v>
      </c>
      <c r="E81" s="625" t="s">
        <v>854</v>
      </c>
      <c r="F81" s="628">
        <v>20000000</v>
      </c>
      <c r="G81" s="629"/>
      <c r="H81" s="628">
        <v>50000000</v>
      </c>
      <c r="I81" s="453" t="s">
        <v>2000</v>
      </c>
      <c r="J81" s="632"/>
    </row>
    <row r="82" spans="1:10" ht="30" customHeight="1" x14ac:dyDescent="0.2">
      <c r="A82" s="644">
        <v>36</v>
      </c>
      <c r="B82" s="19" t="s">
        <v>1996</v>
      </c>
      <c r="C82" s="625"/>
      <c r="D82" s="234" t="s">
        <v>1998</v>
      </c>
      <c r="E82" s="625" t="s">
        <v>854</v>
      </c>
      <c r="F82" s="628">
        <v>2000000</v>
      </c>
      <c r="G82" s="629"/>
      <c r="H82" s="628">
        <v>50000000</v>
      </c>
      <c r="I82" s="453" t="s">
        <v>1997</v>
      </c>
      <c r="J82" s="632"/>
    </row>
    <row r="83" spans="1:10" ht="30" customHeight="1" x14ac:dyDescent="0.2">
      <c r="A83" s="7654">
        <v>37</v>
      </c>
      <c r="B83" s="7652" t="s">
        <v>2011</v>
      </c>
      <c r="C83" s="625"/>
      <c r="D83" s="234" t="s">
        <v>2012</v>
      </c>
      <c r="E83" s="625" t="s">
        <v>854</v>
      </c>
      <c r="F83" s="628">
        <v>15000000</v>
      </c>
      <c r="G83" s="629"/>
      <c r="H83" s="628">
        <v>360000000</v>
      </c>
      <c r="I83" s="453" t="s">
        <v>2013</v>
      </c>
      <c r="J83" s="632"/>
    </row>
    <row r="84" spans="1:10" ht="30" customHeight="1" x14ac:dyDescent="0.2">
      <c r="A84" s="7655"/>
      <c r="B84" s="7653"/>
      <c r="C84" s="625"/>
      <c r="D84" s="234" t="s">
        <v>2015</v>
      </c>
      <c r="E84" s="625" t="s">
        <v>852</v>
      </c>
      <c r="F84" s="628">
        <v>16000000</v>
      </c>
      <c r="G84" s="629"/>
      <c r="H84" s="628">
        <v>27000000</v>
      </c>
      <c r="I84" s="453" t="s">
        <v>2014</v>
      </c>
      <c r="J84" s="632"/>
    </row>
    <row r="85" spans="1:10" ht="30" customHeight="1" x14ac:dyDescent="0.2">
      <c r="A85" s="644"/>
      <c r="B85" s="19" t="s">
        <v>2016</v>
      </c>
      <c r="C85" s="625"/>
      <c r="D85" s="234" t="s">
        <v>2019</v>
      </c>
      <c r="E85" s="625" t="s">
        <v>2017</v>
      </c>
      <c r="F85" s="628">
        <v>25000000</v>
      </c>
      <c r="G85" s="629"/>
      <c r="H85" s="628">
        <v>43000000</v>
      </c>
      <c r="I85" s="453" t="s">
        <v>2018</v>
      </c>
      <c r="J85" s="632"/>
    </row>
    <row r="86" spans="1:10" ht="30" customHeight="1" x14ac:dyDescent="0.2">
      <c r="A86" s="7654"/>
      <c r="B86" s="7652" t="s">
        <v>2093</v>
      </c>
      <c r="C86" s="919" t="s">
        <v>1196</v>
      </c>
      <c r="D86" s="919"/>
      <c r="E86" s="912"/>
      <c r="F86" s="913">
        <v>3000000</v>
      </c>
      <c r="G86" s="911"/>
      <c r="H86" s="913">
        <v>7000000</v>
      </c>
      <c r="I86" s="482"/>
      <c r="J86" s="914" t="s">
        <v>2478</v>
      </c>
    </row>
    <row r="87" spans="1:10" ht="30" customHeight="1" x14ac:dyDescent="0.2">
      <c r="A87" s="7655"/>
      <c r="B87" s="7653"/>
      <c r="C87" s="682"/>
      <c r="D87" s="234" t="s">
        <v>2094</v>
      </c>
      <c r="E87" s="682" t="s">
        <v>1184</v>
      </c>
      <c r="F87" s="681">
        <v>10000000</v>
      </c>
      <c r="G87" s="680"/>
      <c r="H87" s="681">
        <v>50000000</v>
      </c>
      <c r="I87" s="453" t="s">
        <v>2096</v>
      </c>
      <c r="J87" s="683" t="s">
        <v>2095</v>
      </c>
    </row>
    <row r="88" spans="1:10" ht="30" customHeight="1" x14ac:dyDescent="0.2">
      <c r="A88" s="684"/>
      <c r="B88" s="19" t="s">
        <v>2097</v>
      </c>
      <c r="C88" s="682" t="s">
        <v>2100</v>
      </c>
      <c r="D88" s="234" t="s">
        <v>2099</v>
      </c>
      <c r="E88" s="682" t="s">
        <v>854</v>
      </c>
      <c r="F88" s="681">
        <v>25000000</v>
      </c>
      <c r="G88" s="680"/>
      <c r="H88" s="681">
        <v>600000000</v>
      </c>
      <c r="I88" s="453" t="s">
        <v>2098</v>
      </c>
      <c r="J88" s="695" t="s">
        <v>2104</v>
      </c>
    </row>
    <row r="89" spans="1:10" ht="30" customHeight="1" x14ac:dyDescent="0.2">
      <c r="A89" s="684"/>
      <c r="B89" s="19" t="s">
        <v>2101</v>
      </c>
      <c r="C89" s="682" t="s">
        <v>2099</v>
      </c>
      <c r="D89" s="234" t="s">
        <v>2103</v>
      </c>
      <c r="E89" s="682" t="s">
        <v>854</v>
      </c>
      <c r="F89" s="681">
        <v>7000000</v>
      </c>
      <c r="G89" s="680"/>
      <c r="H89" s="681">
        <v>170000000</v>
      </c>
      <c r="I89" s="453" t="s">
        <v>2102</v>
      </c>
      <c r="J89" s="683" t="s">
        <v>2104</v>
      </c>
    </row>
    <row r="90" spans="1:10" ht="30" customHeight="1" x14ac:dyDescent="0.2">
      <c r="A90" s="7654"/>
      <c r="B90" s="7652" t="s">
        <v>2105</v>
      </c>
      <c r="C90" s="1688"/>
      <c r="D90" s="234"/>
      <c r="E90" s="682" t="s">
        <v>852</v>
      </c>
      <c r="F90" s="681">
        <v>5000000</v>
      </c>
      <c r="G90" s="680"/>
      <c r="H90" s="681">
        <v>8000000</v>
      </c>
      <c r="I90" s="453" t="s">
        <v>2107</v>
      </c>
      <c r="J90" s="683" t="s">
        <v>2106</v>
      </c>
    </row>
    <row r="91" spans="1:10" ht="30" customHeight="1" x14ac:dyDescent="0.2">
      <c r="A91" s="7655"/>
      <c r="B91" s="7653"/>
      <c r="C91" s="1688"/>
      <c r="D91" s="234" t="s">
        <v>3616</v>
      </c>
      <c r="E91" s="1688" t="s">
        <v>852</v>
      </c>
      <c r="F91" s="1687">
        <v>4000000</v>
      </c>
      <c r="G91" s="1686"/>
      <c r="H91" s="1687">
        <v>7000000</v>
      </c>
      <c r="I91" s="453" t="s">
        <v>3617</v>
      </c>
      <c r="J91" s="1691"/>
    </row>
    <row r="92" spans="1:10" ht="30" customHeight="1" x14ac:dyDescent="0.2">
      <c r="A92" s="1685"/>
      <c r="B92" s="1684" t="s">
        <v>3630</v>
      </c>
      <c r="C92" s="1688"/>
      <c r="D92" s="234" t="s">
        <v>3631</v>
      </c>
      <c r="E92" s="1688" t="s">
        <v>3633</v>
      </c>
      <c r="F92" s="1687">
        <v>20000000</v>
      </c>
      <c r="G92" s="1686"/>
      <c r="H92" s="1687">
        <v>100000000</v>
      </c>
      <c r="I92" s="453" t="s">
        <v>3632</v>
      </c>
      <c r="J92" s="1691"/>
    </row>
    <row r="93" spans="1:10" ht="30" customHeight="1" x14ac:dyDescent="0.2">
      <c r="A93" s="7654"/>
      <c r="B93" s="7652" t="s">
        <v>2108</v>
      </c>
      <c r="C93" s="682"/>
      <c r="D93" s="234" t="s">
        <v>2109</v>
      </c>
      <c r="E93" s="682" t="s">
        <v>852</v>
      </c>
      <c r="F93" s="681">
        <v>20000000</v>
      </c>
      <c r="G93" s="680"/>
      <c r="H93" s="681">
        <v>32000000</v>
      </c>
      <c r="I93" s="453" t="s">
        <v>2110</v>
      </c>
      <c r="J93" s="683" t="s">
        <v>2111</v>
      </c>
    </row>
    <row r="94" spans="1:10" ht="30" customHeight="1" x14ac:dyDescent="0.2">
      <c r="A94" s="7656"/>
      <c r="B94" s="7665"/>
      <c r="C94" s="1688"/>
      <c r="D94" s="234" t="s">
        <v>3621</v>
      </c>
      <c r="E94" s="1688" t="s">
        <v>852</v>
      </c>
      <c r="F94" s="1687">
        <v>100000000</v>
      </c>
      <c r="G94" s="1686"/>
      <c r="H94" s="1687">
        <v>165000000</v>
      </c>
      <c r="I94" s="453" t="s">
        <v>3620</v>
      </c>
      <c r="J94" s="1691"/>
    </row>
    <row r="95" spans="1:10" ht="30" customHeight="1" x14ac:dyDescent="0.2">
      <c r="A95" s="7655"/>
      <c r="B95" s="7653"/>
      <c r="C95" s="1688"/>
      <c r="D95" s="234" t="s">
        <v>3610</v>
      </c>
      <c r="E95" s="1688" t="s">
        <v>852</v>
      </c>
      <c r="F95" s="1687">
        <v>8000000</v>
      </c>
      <c r="G95" s="1686"/>
      <c r="H95" s="1687">
        <v>13000000</v>
      </c>
      <c r="I95" s="453" t="s">
        <v>3611</v>
      </c>
      <c r="J95" s="1691"/>
    </row>
    <row r="96" spans="1:10" ht="30" customHeight="1" x14ac:dyDescent="0.2">
      <c r="A96" s="1683"/>
      <c r="B96" s="1682" t="s">
        <v>2878</v>
      </c>
      <c r="C96" s="1688"/>
      <c r="D96" s="234" t="s">
        <v>3629</v>
      </c>
      <c r="E96" s="1688" t="s">
        <v>854</v>
      </c>
      <c r="F96" s="1687">
        <v>10000000</v>
      </c>
      <c r="G96" s="1686"/>
      <c r="H96" s="1687">
        <v>240000000</v>
      </c>
      <c r="I96" s="453" t="s">
        <v>3628</v>
      </c>
      <c r="J96" s="1691"/>
    </row>
    <row r="97" spans="1:10" ht="30" customHeight="1" x14ac:dyDescent="0.2">
      <c r="A97" s="1683"/>
      <c r="B97" s="1682" t="s">
        <v>3622</v>
      </c>
      <c r="C97" s="1688"/>
      <c r="D97" s="234" t="s">
        <v>3624</v>
      </c>
      <c r="E97" s="1688" t="s">
        <v>1184</v>
      </c>
      <c r="F97" s="1687">
        <v>30000000</v>
      </c>
      <c r="G97" s="1686"/>
      <c r="H97" s="1687">
        <v>150000000</v>
      </c>
      <c r="I97" s="453" t="s">
        <v>3623</v>
      </c>
      <c r="J97" s="1691"/>
    </row>
    <row r="98" spans="1:10" ht="30" customHeight="1" x14ac:dyDescent="0.2">
      <c r="A98" s="684"/>
      <c r="B98" s="19" t="s">
        <v>2112</v>
      </c>
      <c r="C98" s="682" t="s">
        <v>660</v>
      </c>
      <c r="D98" s="234" t="s">
        <v>2113</v>
      </c>
      <c r="E98" s="682" t="s">
        <v>1184</v>
      </c>
      <c r="F98" s="681">
        <v>12000000</v>
      </c>
      <c r="G98" s="680"/>
      <c r="H98" s="681">
        <v>60000000</v>
      </c>
      <c r="I98" s="453" t="s">
        <v>2114</v>
      </c>
      <c r="J98" s="683" t="s">
        <v>2115</v>
      </c>
    </row>
    <row r="99" spans="1:10" ht="30" customHeight="1" x14ac:dyDescent="0.2">
      <c r="A99" s="703"/>
      <c r="B99" s="7652" t="s">
        <v>2116</v>
      </c>
      <c r="C99" s="685" t="s">
        <v>1002</v>
      </c>
      <c r="D99" s="234" t="s">
        <v>2119</v>
      </c>
      <c r="E99" s="685" t="s">
        <v>854</v>
      </c>
      <c r="F99" s="689">
        <v>10000000</v>
      </c>
      <c r="G99" s="690"/>
      <c r="H99" s="689">
        <v>240000000</v>
      </c>
      <c r="I99" s="453" t="s">
        <v>2118</v>
      </c>
      <c r="J99" s="695" t="s">
        <v>2117</v>
      </c>
    </row>
    <row r="100" spans="1:10" ht="30" customHeight="1" x14ac:dyDescent="0.2">
      <c r="A100" s="703"/>
      <c r="B100" s="7665"/>
      <c r="C100" s="685" t="s">
        <v>1002</v>
      </c>
      <c r="D100" s="234" t="s">
        <v>2123</v>
      </c>
      <c r="E100" s="685" t="s">
        <v>2124</v>
      </c>
      <c r="F100" s="689">
        <v>30000000</v>
      </c>
      <c r="G100" s="690"/>
      <c r="H100" s="689">
        <v>50000000</v>
      </c>
      <c r="I100" s="453" t="s">
        <v>2122</v>
      </c>
      <c r="J100" s="695" t="s">
        <v>2111</v>
      </c>
    </row>
    <row r="101" spans="1:10" ht="30" customHeight="1" x14ac:dyDescent="0.2">
      <c r="A101" s="703"/>
      <c r="B101" s="7653"/>
      <c r="C101" s="685" t="s">
        <v>1002</v>
      </c>
      <c r="D101" s="234" t="s">
        <v>2125</v>
      </c>
      <c r="E101" s="685" t="s">
        <v>2126</v>
      </c>
      <c r="F101" s="689">
        <v>5000000</v>
      </c>
      <c r="G101" s="690"/>
      <c r="H101" s="689">
        <v>6000000</v>
      </c>
      <c r="I101" s="453" t="s">
        <v>2127</v>
      </c>
      <c r="J101" s="695" t="s">
        <v>2111</v>
      </c>
    </row>
    <row r="102" spans="1:10" ht="30" customHeight="1" x14ac:dyDescent="0.2">
      <c r="A102" s="703"/>
      <c r="B102" s="19" t="s">
        <v>2130</v>
      </c>
      <c r="C102" s="685" t="s">
        <v>1474</v>
      </c>
      <c r="D102" s="234" t="s">
        <v>2131</v>
      </c>
      <c r="E102" s="685" t="s">
        <v>854</v>
      </c>
      <c r="F102" s="689">
        <v>10000000</v>
      </c>
      <c r="G102" s="690"/>
      <c r="H102" s="689">
        <v>240000000</v>
      </c>
      <c r="I102" s="453" t="s">
        <v>2132</v>
      </c>
      <c r="J102" s="695" t="s">
        <v>2111</v>
      </c>
    </row>
    <row r="103" spans="1:10" ht="30" customHeight="1" x14ac:dyDescent="0.2">
      <c r="A103" s="684"/>
      <c r="B103" s="7652" t="s">
        <v>2133</v>
      </c>
      <c r="C103" s="682" t="s">
        <v>1944</v>
      </c>
      <c r="D103" s="234" t="s">
        <v>2135</v>
      </c>
      <c r="E103" s="682" t="s">
        <v>852</v>
      </c>
      <c r="F103" s="681">
        <v>50000000</v>
      </c>
      <c r="G103" s="680"/>
      <c r="H103" s="681">
        <v>80000000</v>
      </c>
      <c r="I103" s="453" t="s">
        <v>2134</v>
      </c>
      <c r="J103" s="695" t="s">
        <v>2111</v>
      </c>
    </row>
    <row r="104" spans="1:10" ht="30" customHeight="1" x14ac:dyDescent="0.2">
      <c r="A104" s="703"/>
      <c r="B104" s="7653"/>
      <c r="C104" s="685"/>
      <c r="D104" s="234"/>
      <c r="E104" s="685" t="s">
        <v>854</v>
      </c>
      <c r="F104" s="689">
        <v>10000000</v>
      </c>
      <c r="G104" s="690"/>
      <c r="H104" s="689">
        <v>240000000</v>
      </c>
      <c r="I104" s="453"/>
      <c r="J104" s="695"/>
    </row>
    <row r="105" spans="1:10" ht="30" customHeight="1" x14ac:dyDescent="0.2">
      <c r="A105" s="703"/>
      <c r="B105" s="686" t="s">
        <v>2136</v>
      </c>
      <c r="C105" s="685"/>
      <c r="D105" s="234" t="s">
        <v>2137</v>
      </c>
      <c r="E105" s="685" t="s">
        <v>1184</v>
      </c>
      <c r="F105" s="689">
        <v>8750000</v>
      </c>
      <c r="G105" s="690"/>
      <c r="H105" s="689">
        <v>44000000</v>
      </c>
      <c r="I105" s="453" t="s">
        <v>2138</v>
      </c>
      <c r="J105" s="695"/>
    </row>
    <row r="106" spans="1:10" ht="30" customHeight="1" x14ac:dyDescent="0.2">
      <c r="A106" s="703"/>
      <c r="B106" s="686" t="s">
        <v>2139</v>
      </c>
      <c r="C106" s="685"/>
      <c r="D106" s="234" t="s">
        <v>2137</v>
      </c>
      <c r="E106" s="685" t="s">
        <v>1184</v>
      </c>
      <c r="F106" s="689">
        <v>6250000</v>
      </c>
      <c r="G106" s="690"/>
      <c r="H106" s="689">
        <v>31500000</v>
      </c>
      <c r="I106" s="453" t="s">
        <v>2140</v>
      </c>
      <c r="J106" s="695"/>
    </row>
    <row r="107" spans="1:10" ht="30" customHeight="1" x14ac:dyDescent="0.2">
      <c r="A107" s="703"/>
      <c r="B107" s="686" t="s">
        <v>2142</v>
      </c>
      <c r="C107" s="685"/>
      <c r="D107" s="234" t="s">
        <v>2137</v>
      </c>
      <c r="E107" s="685" t="s">
        <v>1184</v>
      </c>
      <c r="F107" s="689">
        <v>15000000</v>
      </c>
      <c r="G107" s="690"/>
      <c r="H107" s="689">
        <v>75000000</v>
      </c>
      <c r="I107" s="453" t="s">
        <v>2141</v>
      </c>
      <c r="J107" s="695"/>
    </row>
    <row r="108" spans="1:10" ht="30" customHeight="1" x14ac:dyDescent="0.2">
      <c r="A108" s="703"/>
      <c r="B108" s="686" t="s">
        <v>142</v>
      </c>
      <c r="C108" s="685"/>
      <c r="D108" s="234" t="s">
        <v>2211</v>
      </c>
      <c r="E108" s="685" t="s">
        <v>852</v>
      </c>
      <c r="F108" s="689">
        <v>180000000</v>
      </c>
      <c r="G108" s="690"/>
      <c r="H108" s="689">
        <v>300000000</v>
      </c>
      <c r="I108" s="453" t="s">
        <v>2212</v>
      </c>
      <c r="J108" s="695" t="s">
        <v>2872</v>
      </c>
    </row>
    <row r="109" spans="1:10" ht="30" customHeight="1" x14ac:dyDescent="0.2">
      <c r="A109" s="703"/>
      <c r="B109" s="7652" t="s">
        <v>487</v>
      </c>
      <c r="C109" s="685"/>
      <c r="D109" s="234"/>
      <c r="E109" s="685"/>
      <c r="F109" s="689">
        <v>130000000</v>
      </c>
      <c r="G109" s="690"/>
      <c r="H109" s="689">
        <v>208000000</v>
      </c>
      <c r="I109" s="453"/>
      <c r="J109" s="695"/>
    </row>
    <row r="110" spans="1:10" ht="30" customHeight="1" x14ac:dyDescent="0.2">
      <c r="A110" s="703"/>
      <c r="B110" s="7653"/>
      <c r="C110" s="685"/>
      <c r="D110" s="234"/>
      <c r="E110" s="685"/>
      <c r="F110" s="689">
        <v>130000000</v>
      </c>
      <c r="G110" s="690"/>
      <c r="H110" s="689">
        <v>208000000</v>
      </c>
      <c r="I110" s="453"/>
      <c r="J110" s="695"/>
    </row>
    <row r="111" spans="1:10" ht="30" customHeight="1" x14ac:dyDescent="0.2">
      <c r="A111" s="703"/>
      <c r="B111" s="686" t="s">
        <v>2305</v>
      </c>
      <c r="C111" s="685"/>
      <c r="D111" s="234" t="s">
        <v>2307</v>
      </c>
      <c r="E111" s="685" t="s">
        <v>2308</v>
      </c>
      <c r="F111" s="689">
        <v>50000000</v>
      </c>
      <c r="G111" s="690"/>
      <c r="H111" s="689">
        <v>100000000</v>
      </c>
      <c r="I111" s="453" t="s">
        <v>2306</v>
      </c>
      <c r="J111" s="695" t="s">
        <v>2309</v>
      </c>
    </row>
    <row r="112" spans="1:10" ht="30" customHeight="1" x14ac:dyDescent="0.2">
      <c r="A112" s="783"/>
      <c r="B112" s="768" t="s">
        <v>2311</v>
      </c>
      <c r="C112" s="769"/>
      <c r="D112" s="234" t="s">
        <v>2313</v>
      </c>
      <c r="E112" s="769" t="s">
        <v>852</v>
      </c>
      <c r="F112" s="772">
        <v>20000000</v>
      </c>
      <c r="G112" s="771"/>
      <c r="H112" s="772">
        <v>35000000</v>
      </c>
      <c r="I112" s="453" t="s">
        <v>2312</v>
      </c>
      <c r="J112" s="777"/>
    </row>
    <row r="113" spans="1:10" ht="30" customHeight="1" x14ac:dyDescent="0.2">
      <c r="A113" s="783"/>
      <c r="B113" s="768" t="s">
        <v>2314</v>
      </c>
      <c r="C113" s="769"/>
      <c r="D113" s="234" t="s">
        <v>2315</v>
      </c>
      <c r="E113" s="769" t="s">
        <v>2317</v>
      </c>
      <c r="F113" s="772">
        <v>190000000</v>
      </c>
      <c r="G113" s="771"/>
      <c r="H113" s="772">
        <v>1000000000</v>
      </c>
      <c r="I113" s="453" t="s">
        <v>2316</v>
      </c>
      <c r="J113" s="777"/>
    </row>
    <row r="114" spans="1:10" ht="30" customHeight="1" x14ac:dyDescent="0.2">
      <c r="A114" s="783"/>
      <c r="B114" s="768" t="s">
        <v>2342</v>
      </c>
      <c r="C114" s="769"/>
      <c r="D114" s="234" t="s">
        <v>2341</v>
      </c>
      <c r="E114" s="769" t="s">
        <v>1525</v>
      </c>
      <c r="F114" s="772">
        <v>22000000</v>
      </c>
      <c r="G114" s="771"/>
      <c r="H114" s="772">
        <v>30000000</v>
      </c>
      <c r="I114" s="453" t="s">
        <v>2340</v>
      </c>
      <c r="J114" s="777"/>
    </row>
    <row r="115" spans="1:10" ht="30" customHeight="1" x14ac:dyDescent="0.2">
      <c r="A115" s="7654"/>
      <c r="B115" s="7652" t="s">
        <v>71</v>
      </c>
      <c r="C115" s="807"/>
      <c r="D115" s="234" t="s">
        <v>2362</v>
      </c>
      <c r="E115" s="807" t="s">
        <v>852</v>
      </c>
      <c r="F115" s="810">
        <v>130000000</v>
      </c>
      <c r="G115" s="808"/>
      <c r="H115" s="810">
        <v>224000000</v>
      </c>
      <c r="I115" s="453" t="s">
        <v>2361</v>
      </c>
      <c r="J115" s="814"/>
    </row>
    <row r="116" spans="1:10" ht="30" customHeight="1" x14ac:dyDescent="0.2">
      <c r="A116" s="7655"/>
      <c r="B116" s="7653"/>
      <c r="C116" s="820"/>
      <c r="D116" s="234" t="s">
        <v>1069</v>
      </c>
      <c r="E116" s="820"/>
      <c r="F116" s="819"/>
      <c r="G116" s="824"/>
      <c r="H116" s="819">
        <v>125000000</v>
      </c>
      <c r="I116" s="453"/>
      <c r="J116" s="821" t="s">
        <v>2399</v>
      </c>
    </row>
    <row r="117" spans="1:10" ht="30" customHeight="1" x14ac:dyDescent="0.2">
      <c r="A117" s="829"/>
      <c r="B117" s="822" t="s">
        <v>2396</v>
      </c>
      <c r="C117" s="820"/>
      <c r="D117" s="234" t="s">
        <v>356</v>
      </c>
      <c r="E117" s="820" t="s">
        <v>2397</v>
      </c>
      <c r="F117" s="819">
        <v>70000000</v>
      </c>
      <c r="G117" s="824"/>
      <c r="H117" s="1579">
        <v>90000000</v>
      </c>
      <c r="I117" s="453" t="s">
        <v>3461</v>
      </c>
      <c r="J117" s="821" t="s">
        <v>2398</v>
      </c>
    </row>
    <row r="118" spans="1:10" ht="30" customHeight="1" x14ac:dyDescent="0.2">
      <c r="A118" s="894"/>
      <c r="B118" s="886" t="s">
        <v>702</v>
      </c>
      <c r="C118" s="889"/>
      <c r="D118" s="234" t="s">
        <v>2462</v>
      </c>
      <c r="E118" s="889" t="s">
        <v>2017</v>
      </c>
      <c r="F118" s="888">
        <v>60000000</v>
      </c>
      <c r="G118" s="887"/>
      <c r="H118" s="888">
        <v>105000000</v>
      </c>
      <c r="I118" s="453" t="s">
        <v>2463</v>
      </c>
      <c r="J118" s="890" t="s">
        <v>2464</v>
      </c>
    </row>
    <row r="119" spans="1:10" ht="30" customHeight="1" x14ac:dyDescent="0.2">
      <c r="A119" s="7654"/>
      <c r="B119" s="7652" t="s">
        <v>2388</v>
      </c>
      <c r="C119" s="401"/>
      <c r="D119" s="2438" t="s">
        <v>2472</v>
      </c>
      <c r="E119" s="401" t="s">
        <v>4740</v>
      </c>
      <c r="F119" s="2744" t="s">
        <v>4739</v>
      </c>
      <c r="G119" s="2745"/>
      <c r="H119" s="2744">
        <v>100000000</v>
      </c>
      <c r="I119" s="2439" t="s">
        <v>2476</v>
      </c>
      <c r="J119" s="2760" t="s">
        <v>4741</v>
      </c>
    </row>
    <row r="120" spans="1:10" ht="30" customHeight="1" x14ac:dyDescent="0.2">
      <c r="A120" s="7656"/>
      <c r="B120" s="7665"/>
      <c r="C120" s="7657"/>
      <c r="D120" s="7657" t="s">
        <v>2474</v>
      </c>
      <c r="E120" s="7657" t="s">
        <v>852</v>
      </c>
      <c r="F120" s="7563">
        <v>260000000</v>
      </c>
      <c r="G120" s="7659"/>
      <c r="H120" s="7563">
        <v>350000000</v>
      </c>
      <c r="I120" s="7679" t="s">
        <v>2475</v>
      </c>
      <c r="J120" s="180" t="s">
        <v>4742</v>
      </c>
    </row>
    <row r="121" spans="1:10" ht="30" customHeight="1" x14ac:dyDescent="0.2">
      <c r="A121" s="7656"/>
      <c r="B121" s="7665"/>
      <c r="C121" s="7658"/>
      <c r="D121" s="7658"/>
      <c r="E121" s="7658"/>
      <c r="F121" s="7564"/>
      <c r="G121" s="7660"/>
      <c r="H121" s="7564"/>
      <c r="I121" s="7680"/>
      <c r="J121" s="180" t="s">
        <v>4743</v>
      </c>
    </row>
    <row r="122" spans="1:10" ht="30" customHeight="1" x14ac:dyDescent="0.2">
      <c r="A122" s="7655"/>
      <c r="B122" s="7653"/>
      <c r="C122" s="401"/>
      <c r="D122" s="2438" t="s">
        <v>2473</v>
      </c>
      <c r="E122" s="401" t="s">
        <v>1525</v>
      </c>
      <c r="F122" s="2744">
        <v>330000000</v>
      </c>
      <c r="G122" s="2745"/>
      <c r="H122" s="2744">
        <v>430000000</v>
      </c>
      <c r="I122" s="2439" t="s">
        <v>2477</v>
      </c>
      <c r="J122" s="2759" t="s">
        <v>4738</v>
      </c>
    </row>
    <row r="123" spans="1:10" ht="30" customHeight="1" x14ac:dyDescent="0.2">
      <c r="A123" s="7654"/>
      <c r="B123" s="7652" t="s">
        <v>1155</v>
      </c>
      <c r="C123" s="902"/>
      <c r="D123" s="234" t="s">
        <v>2530</v>
      </c>
      <c r="E123" s="902" t="s">
        <v>854</v>
      </c>
      <c r="F123" s="901">
        <v>8000000</v>
      </c>
      <c r="G123" s="904"/>
      <c r="H123" s="901">
        <v>192000000</v>
      </c>
      <c r="I123" s="453" t="s">
        <v>2529</v>
      </c>
      <c r="J123" s="903"/>
    </row>
    <row r="124" spans="1:10" ht="30" customHeight="1" x14ac:dyDescent="0.2">
      <c r="A124" s="7655"/>
      <c r="B124" s="7653"/>
      <c r="C124" s="4775" t="s">
        <v>5995</v>
      </c>
      <c r="D124" s="4785" t="s">
        <v>6016</v>
      </c>
      <c r="E124" s="4775" t="s">
        <v>854</v>
      </c>
      <c r="F124" s="4774">
        <v>10000000</v>
      </c>
      <c r="G124" s="4776"/>
      <c r="H124" s="4774">
        <v>240000000</v>
      </c>
      <c r="I124" s="453" t="s">
        <v>6613</v>
      </c>
      <c r="J124" s="4784" t="s">
        <v>6084</v>
      </c>
    </row>
    <row r="125" spans="1:10" ht="30" customHeight="1" x14ac:dyDescent="0.2">
      <c r="A125" s="7654"/>
      <c r="B125" s="7652" t="s">
        <v>140</v>
      </c>
      <c r="C125" s="902"/>
      <c r="D125" s="234" t="s">
        <v>1990</v>
      </c>
      <c r="E125" s="902" t="s">
        <v>854</v>
      </c>
      <c r="F125" s="901"/>
      <c r="G125" s="904"/>
      <c r="H125" s="901">
        <v>600000000</v>
      </c>
      <c r="I125" s="453" t="s">
        <v>2531</v>
      </c>
      <c r="J125" s="903"/>
    </row>
    <row r="126" spans="1:10" ht="30" customHeight="1" x14ac:dyDescent="0.2">
      <c r="A126" s="7655"/>
      <c r="B126" s="7653"/>
      <c r="C126" s="6901" t="s">
        <v>8025</v>
      </c>
      <c r="D126" s="6905" t="s">
        <v>8024</v>
      </c>
      <c r="E126" s="6901" t="s">
        <v>852</v>
      </c>
      <c r="F126" s="6899">
        <v>100000000</v>
      </c>
      <c r="G126" s="6903"/>
      <c r="H126" s="6899">
        <v>220000000</v>
      </c>
      <c r="I126" s="453" t="s">
        <v>8026</v>
      </c>
      <c r="J126" s="6906"/>
    </row>
    <row r="127" spans="1:10" ht="30" customHeight="1" x14ac:dyDescent="0.2">
      <c r="A127" s="908"/>
      <c r="B127" s="900" t="s">
        <v>2595</v>
      </c>
      <c r="C127" s="902"/>
      <c r="D127" s="234" t="s">
        <v>2599</v>
      </c>
      <c r="E127" s="902" t="s">
        <v>2596</v>
      </c>
      <c r="F127" s="901">
        <v>730000000</v>
      </c>
      <c r="G127" s="904"/>
      <c r="H127" s="901">
        <v>850000000</v>
      </c>
      <c r="I127" s="453" t="s">
        <v>2598</v>
      </c>
      <c r="J127" s="903" t="s">
        <v>2597</v>
      </c>
    </row>
    <row r="128" spans="1:10" ht="30" customHeight="1" x14ac:dyDescent="0.2">
      <c r="A128" s="1138"/>
      <c r="B128" s="1129" t="s">
        <v>2551</v>
      </c>
      <c r="C128" s="1132"/>
      <c r="D128" s="234"/>
      <c r="E128" s="1132" t="s">
        <v>2017</v>
      </c>
      <c r="F128" s="1131">
        <v>15000000</v>
      </c>
      <c r="G128" s="1130"/>
      <c r="H128" s="1131"/>
      <c r="I128" s="453"/>
      <c r="J128" s="1133"/>
    </row>
    <row r="129" spans="1:10" ht="30" customHeight="1" x14ac:dyDescent="0.2">
      <c r="A129" s="7654"/>
      <c r="B129" s="7652" t="s">
        <v>2829</v>
      </c>
      <c r="C129" s="7657"/>
      <c r="D129" s="1706" t="s">
        <v>2830</v>
      </c>
      <c r="E129" s="5508" t="s">
        <v>2831</v>
      </c>
      <c r="F129" s="5505">
        <v>200000000</v>
      </c>
      <c r="G129" s="5509"/>
      <c r="H129" s="5505">
        <v>284000000</v>
      </c>
      <c r="I129" s="1707" t="s">
        <v>2832</v>
      </c>
      <c r="J129" s="5511" t="s">
        <v>2833</v>
      </c>
    </row>
    <row r="130" spans="1:10" ht="30" customHeight="1" x14ac:dyDescent="0.2">
      <c r="A130" s="7655"/>
      <c r="B130" s="7653"/>
      <c r="C130" s="7658"/>
      <c r="D130" s="5507" t="s">
        <v>5837</v>
      </c>
      <c r="E130" s="5502" t="s">
        <v>2596</v>
      </c>
      <c r="F130" s="5499">
        <v>515000000</v>
      </c>
      <c r="G130" s="5504"/>
      <c r="H130" s="5499">
        <v>630000000</v>
      </c>
      <c r="I130" s="453" t="s">
        <v>7190</v>
      </c>
      <c r="J130" s="5510" t="s">
        <v>7191</v>
      </c>
    </row>
    <row r="131" spans="1:10" ht="30" customHeight="1" x14ac:dyDescent="0.2">
      <c r="A131" s="1188"/>
      <c r="B131" s="1176" t="s">
        <v>2906</v>
      </c>
      <c r="C131" s="1179"/>
      <c r="D131" s="234" t="s">
        <v>2907</v>
      </c>
      <c r="E131" s="1179" t="s">
        <v>899</v>
      </c>
      <c r="F131" s="1178">
        <v>10000000</v>
      </c>
      <c r="G131" s="1181"/>
      <c r="H131" s="1178">
        <v>50000000</v>
      </c>
      <c r="I131" s="453" t="s">
        <v>2908</v>
      </c>
      <c r="J131" s="1180"/>
    </row>
    <row r="132" spans="1:10" ht="30" customHeight="1" x14ac:dyDescent="0.2">
      <c r="A132" s="1188"/>
      <c r="B132" s="1176" t="s">
        <v>2952</v>
      </c>
      <c r="C132" s="1179" t="s">
        <v>2577</v>
      </c>
      <c r="D132" s="234"/>
      <c r="E132" s="1179" t="s">
        <v>1525</v>
      </c>
      <c r="F132" s="1178">
        <v>150000000</v>
      </c>
      <c r="G132" s="1181"/>
      <c r="H132" s="1178"/>
      <c r="I132" s="453"/>
      <c r="J132" s="1180" t="s">
        <v>2953</v>
      </c>
    </row>
    <row r="133" spans="1:10" ht="30" customHeight="1" x14ac:dyDescent="0.2">
      <c r="A133" s="1248"/>
      <c r="B133" s="1238" t="s">
        <v>3001</v>
      </c>
      <c r="C133" s="1241" t="s">
        <v>3002</v>
      </c>
      <c r="D133" s="234" t="s">
        <v>3003</v>
      </c>
      <c r="E133" s="1241" t="s">
        <v>1212</v>
      </c>
      <c r="F133" s="1240">
        <v>20000000</v>
      </c>
      <c r="G133" s="1239"/>
      <c r="H133" s="1240">
        <v>23600000</v>
      </c>
      <c r="I133" s="453" t="s">
        <v>3028</v>
      </c>
      <c r="J133" s="1242"/>
    </row>
    <row r="134" spans="1:10" ht="30" customHeight="1" x14ac:dyDescent="0.2">
      <c r="A134" s="1265"/>
      <c r="B134" s="1250" t="s">
        <v>3024</v>
      </c>
      <c r="C134" s="1253" t="s">
        <v>2897</v>
      </c>
      <c r="D134" s="234" t="s">
        <v>3025</v>
      </c>
      <c r="E134" s="1253" t="s">
        <v>1556</v>
      </c>
      <c r="F134" s="1252">
        <v>100000000</v>
      </c>
      <c r="G134" s="1255"/>
      <c r="H134" s="1252">
        <v>114000000</v>
      </c>
      <c r="I134" s="453" t="s">
        <v>3026</v>
      </c>
      <c r="J134" s="1254" t="s">
        <v>3027</v>
      </c>
    </row>
    <row r="135" spans="1:10" ht="30" customHeight="1" x14ac:dyDescent="0.2">
      <c r="A135" s="1291"/>
      <c r="B135" s="1273" t="s">
        <v>3073</v>
      </c>
      <c r="C135" s="1276" t="s">
        <v>2875</v>
      </c>
      <c r="D135" s="234" t="s">
        <v>3075</v>
      </c>
      <c r="E135" s="1276"/>
      <c r="F135" s="1275">
        <v>37000000</v>
      </c>
      <c r="G135" s="1278"/>
      <c r="H135" s="1275">
        <v>50000000</v>
      </c>
      <c r="I135" s="453" t="s">
        <v>3074</v>
      </c>
      <c r="J135" s="1277" t="s">
        <v>3076</v>
      </c>
    </row>
    <row r="136" spans="1:10" ht="30" customHeight="1" x14ac:dyDescent="0.2">
      <c r="A136" s="1291"/>
      <c r="B136" s="1273" t="s">
        <v>3079</v>
      </c>
      <c r="C136" s="1276" t="s">
        <v>2875</v>
      </c>
      <c r="D136" s="234" t="s">
        <v>3078</v>
      </c>
      <c r="E136" s="1276" t="s">
        <v>1556</v>
      </c>
      <c r="F136" s="1275">
        <v>90400000</v>
      </c>
      <c r="G136" s="1278"/>
      <c r="H136" s="1275">
        <v>101000000</v>
      </c>
      <c r="I136" s="453" t="s">
        <v>3077</v>
      </c>
      <c r="J136" s="1277"/>
    </row>
    <row r="137" spans="1:10" ht="30" customHeight="1" x14ac:dyDescent="0.2">
      <c r="A137" s="1291"/>
      <c r="B137" s="1273" t="s">
        <v>3080</v>
      </c>
      <c r="C137" s="1276" t="s">
        <v>3004</v>
      </c>
      <c r="D137" s="234" t="s">
        <v>3081</v>
      </c>
      <c r="E137" s="1276"/>
      <c r="F137" s="1275">
        <v>20000000</v>
      </c>
      <c r="G137" s="1278"/>
      <c r="H137" s="1275">
        <v>32000000</v>
      </c>
      <c r="I137" s="453" t="s">
        <v>3082</v>
      </c>
      <c r="J137" s="1277"/>
    </row>
    <row r="138" spans="1:10" ht="30" customHeight="1" x14ac:dyDescent="0.2">
      <c r="A138" s="1306"/>
      <c r="B138" s="1299" t="s">
        <v>3107</v>
      </c>
      <c r="C138" s="1301" t="s">
        <v>3101</v>
      </c>
      <c r="D138" s="234" t="s">
        <v>3109</v>
      </c>
      <c r="E138" s="1301" t="s">
        <v>3108</v>
      </c>
      <c r="F138" s="1300">
        <v>20000000</v>
      </c>
      <c r="G138" s="1303"/>
      <c r="H138" s="1300">
        <v>500000000</v>
      </c>
      <c r="I138" s="453" t="s">
        <v>3110</v>
      </c>
      <c r="J138" s="1302" t="s">
        <v>3111</v>
      </c>
    </row>
    <row r="139" spans="1:10" ht="30" customHeight="1" x14ac:dyDescent="0.2">
      <c r="A139" s="1306"/>
      <c r="B139" s="1299" t="s">
        <v>3113</v>
      </c>
      <c r="C139" s="1301" t="s">
        <v>3101</v>
      </c>
      <c r="D139" s="234" t="s">
        <v>3114</v>
      </c>
      <c r="E139" s="1301" t="s">
        <v>852</v>
      </c>
      <c r="F139" s="1300">
        <v>16000000</v>
      </c>
      <c r="G139" s="1303"/>
      <c r="H139" s="1300">
        <v>26000000</v>
      </c>
      <c r="I139" s="453" t="s">
        <v>3115</v>
      </c>
      <c r="J139" s="1302"/>
    </row>
    <row r="140" spans="1:10" ht="30" customHeight="1" x14ac:dyDescent="0.2">
      <c r="A140" s="1306"/>
      <c r="B140" s="1299" t="s">
        <v>3117</v>
      </c>
      <c r="C140" s="1301" t="s">
        <v>3101</v>
      </c>
      <c r="D140" s="234" t="s">
        <v>3116</v>
      </c>
      <c r="E140" s="1301" t="s">
        <v>2831</v>
      </c>
      <c r="F140" s="1300">
        <v>44000000</v>
      </c>
      <c r="G140" s="1303"/>
      <c r="H140" s="1300">
        <v>63000000</v>
      </c>
      <c r="I140" s="453" t="s">
        <v>3118</v>
      </c>
      <c r="J140" s="1302"/>
    </row>
    <row r="141" spans="1:10" ht="30" customHeight="1" x14ac:dyDescent="0.2">
      <c r="A141" s="1306"/>
      <c r="B141" s="1299" t="s">
        <v>3186</v>
      </c>
      <c r="C141" s="1301"/>
      <c r="D141" s="234" t="s">
        <v>3081</v>
      </c>
      <c r="E141" s="1301"/>
      <c r="F141" s="1300"/>
      <c r="G141" s="1303"/>
      <c r="H141" s="1300">
        <v>150000000</v>
      </c>
      <c r="I141" s="453" t="s">
        <v>3187</v>
      </c>
      <c r="J141" s="850" t="s">
        <v>3188</v>
      </c>
    </row>
    <row r="142" spans="1:10" ht="30" customHeight="1" x14ac:dyDescent="0.2">
      <c r="A142" s="1306"/>
      <c r="B142" s="1299" t="s">
        <v>32</v>
      </c>
      <c r="C142" s="1301"/>
      <c r="D142" s="234" t="s">
        <v>3259</v>
      </c>
      <c r="E142" s="1301" t="s">
        <v>899</v>
      </c>
      <c r="F142" s="1300">
        <v>18700000</v>
      </c>
      <c r="G142" s="1303"/>
      <c r="H142" s="1300">
        <v>100000000</v>
      </c>
      <c r="I142" s="453" t="s">
        <v>3260</v>
      </c>
      <c r="J142" s="1302"/>
    </row>
    <row r="143" spans="1:10" ht="30" customHeight="1" x14ac:dyDescent="0.2">
      <c r="A143" s="1376"/>
      <c r="B143" s="1363" t="s">
        <v>2633</v>
      </c>
      <c r="C143" s="1366" t="s">
        <v>3214</v>
      </c>
      <c r="D143" s="234" t="s">
        <v>3284</v>
      </c>
      <c r="E143" s="1366" t="s">
        <v>1525</v>
      </c>
      <c r="F143" s="1365">
        <v>11000000</v>
      </c>
      <c r="G143" s="1364"/>
      <c r="H143" s="1365">
        <v>15000000</v>
      </c>
      <c r="I143" s="453" t="s">
        <v>3285</v>
      </c>
      <c r="J143" s="1367"/>
    </row>
    <row r="144" spans="1:10" ht="30" customHeight="1" x14ac:dyDescent="0.2">
      <c r="A144" s="1376"/>
      <c r="B144" s="1363" t="s">
        <v>3358</v>
      </c>
      <c r="C144" s="1366" t="s">
        <v>3362</v>
      </c>
      <c r="D144" s="234" t="s">
        <v>3360</v>
      </c>
      <c r="E144" s="1366" t="s">
        <v>3359</v>
      </c>
      <c r="F144" s="1365">
        <v>15000000</v>
      </c>
      <c r="G144" s="1364"/>
      <c r="H144" s="1365">
        <v>21000000</v>
      </c>
      <c r="I144" s="453" t="s">
        <v>3361</v>
      </c>
      <c r="J144" s="1367"/>
    </row>
    <row r="145" spans="1:10" ht="30" customHeight="1" x14ac:dyDescent="0.2">
      <c r="A145" s="7654"/>
      <c r="B145" s="7652" t="s">
        <v>3460</v>
      </c>
      <c r="C145" s="1366"/>
      <c r="D145" s="234" t="s">
        <v>3507</v>
      </c>
      <c r="E145" s="1366"/>
      <c r="F145" s="2934">
        <v>102000000</v>
      </c>
      <c r="G145" s="2935"/>
      <c r="H145" s="2934">
        <v>140000000</v>
      </c>
      <c r="I145" s="482" t="s">
        <v>3508</v>
      </c>
      <c r="J145" s="2948" t="s">
        <v>4075</v>
      </c>
    </row>
    <row r="146" spans="1:10" ht="30" customHeight="1" x14ac:dyDescent="0.2">
      <c r="A146" s="7655"/>
      <c r="B146" s="7653"/>
      <c r="C146" s="2929" t="s">
        <v>4331</v>
      </c>
      <c r="D146" s="234" t="s">
        <v>4330</v>
      </c>
      <c r="E146" s="2929" t="s">
        <v>852</v>
      </c>
      <c r="F146" s="2931">
        <v>260000000</v>
      </c>
      <c r="G146" s="2932"/>
      <c r="H146" s="2931">
        <v>510000000</v>
      </c>
      <c r="I146" s="453" t="s">
        <v>4329</v>
      </c>
      <c r="J146" s="2948" t="s">
        <v>4416</v>
      </c>
    </row>
    <row r="147" spans="1:10" ht="30" customHeight="1" x14ac:dyDescent="0.2">
      <c r="A147" s="7305"/>
      <c r="B147" s="7306" t="s">
        <v>8455</v>
      </c>
      <c r="C147" s="7301" t="s">
        <v>5244</v>
      </c>
      <c r="D147" s="7315" t="s">
        <v>8457</v>
      </c>
      <c r="E147" s="7301" t="s">
        <v>2126</v>
      </c>
      <c r="F147" s="7296">
        <v>75000000</v>
      </c>
      <c r="G147" s="7303"/>
      <c r="H147" s="7296">
        <v>105000000</v>
      </c>
      <c r="I147" s="453" t="s">
        <v>8456</v>
      </c>
      <c r="J147" s="7334" t="s">
        <v>8458</v>
      </c>
    </row>
    <row r="148" spans="1:10" ht="30" customHeight="1" x14ac:dyDescent="0.2">
      <c r="A148" s="7654"/>
      <c r="B148" s="7652" t="s">
        <v>3540</v>
      </c>
      <c r="C148" s="1366"/>
      <c r="D148" s="234" t="s">
        <v>3542</v>
      </c>
      <c r="E148" s="1366" t="s">
        <v>854</v>
      </c>
      <c r="F148" s="1365">
        <v>20000000</v>
      </c>
      <c r="G148" s="1364"/>
      <c r="H148" s="1365">
        <v>480000000</v>
      </c>
      <c r="I148" s="453" t="s">
        <v>3541</v>
      </c>
      <c r="J148" s="1367"/>
    </row>
    <row r="149" spans="1:10" ht="30" customHeight="1" x14ac:dyDescent="0.2">
      <c r="A149" s="7655"/>
      <c r="B149" s="7653"/>
      <c r="C149" s="1642"/>
      <c r="D149" s="234" t="s">
        <v>3543</v>
      </c>
      <c r="E149" s="1642" t="s">
        <v>899</v>
      </c>
      <c r="F149" s="1641">
        <v>20000000</v>
      </c>
      <c r="G149" s="1638"/>
      <c r="H149" s="1641">
        <v>100000000</v>
      </c>
      <c r="I149" s="453" t="s">
        <v>3544</v>
      </c>
      <c r="J149" s="1644"/>
    </row>
    <row r="150" spans="1:10" ht="30" customHeight="1" x14ac:dyDescent="0.2">
      <c r="A150" s="1671"/>
      <c r="B150" s="1670" t="s">
        <v>3592</v>
      </c>
      <c r="C150" s="1674"/>
      <c r="D150" s="234" t="s">
        <v>3593</v>
      </c>
      <c r="E150" s="1674" t="s">
        <v>852</v>
      </c>
      <c r="F150" s="1673">
        <v>40000000</v>
      </c>
      <c r="G150" s="1672"/>
      <c r="H150" s="1673">
        <v>66000000</v>
      </c>
      <c r="I150" s="453" t="s">
        <v>3594</v>
      </c>
      <c r="J150" s="1676"/>
    </row>
    <row r="151" spans="1:10" ht="30" customHeight="1" x14ac:dyDescent="0.2">
      <c r="A151" s="1671"/>
      <c r="B151" s="1670" t="s">
        <v>3600</v>
      </c>
      <c r="C151" s="1674"/>
      <c r="D151" s="234" t="s">
        <v>3601</v>
      </c>
      <c r="E151" s="1674" t="s">
        <v>852</v>
      </c>
      <c r="F151" s="1673">
        <v>50000000</v>
      </c>
      <c r="G151" s="1672"/>
      <c r="H151" s="1673">
        <v>86000000</v>
      </c>
      <c r="I151" s="453" t="s">
        <v>3602</v>
      </c>
      <c r="J151" s="1676"/>
    </row>
    <row r="152" spans="1:10" ht="30" customHeight="1" x14ac:dyDescent="0.2">
      <c r="A152" s="1671"/>
      <c r="B152" s="1670" t="s">
        <v>3613</v>
      </c>
      <c r="C152" s="1674"/>
      <c r="D152" s="234" t="s">
        <v>3614</v>
      </c>
      <c r="E152" s="1674" t="s">
        <v>1184</v>
      </c>
      <c r="F152" s="1673">
        <v>15000000</v>
      </c>
      <c r="G152" s="1672"/>
      <c r="H152" s="1673">
        <v>75000000</v>
      </c>
      <c r="I152" s="453" t="s">
        <v>3615</v>
      </c>
      <c r="J152" s="1676"/>
    </row>
    <row r="153" spans="1:10" ht="30" customHeight="1" x14ac:dyDescent="0.2">
      <c r="A153" s="1671"/>
      <c r="B153" s="1670" t="s">
        <v>3625</v>
      </c>
      <c r="C153" s="1674"/>
      <c r="D153" s="234" t="s">
        <v>3627</v>
      </c>
      <c r="E153" s="1674" t="s">
        <v>854</v>
      </c>
      <c r="F153" s="1673">
        <v>2000000</v>
      </c>
      <c r="G153" s="1672"/>
      <c r="H153" s="1673">
        <v>50000000</v>
      </c>
      <c r="I153" s="453" t="s">
        <v>3626</v>
      </c>
      <c r="J153" s="1676"/>
    </row>
    <row r="154" spans="1:10" ht="30" customHeight="1" x14ac:dyDescent="0.2">
      <c r="A154" s="1671"/>
      <c r="B154" s="1694" t="s">
        <v>1554</v>
      </c>
      <c r="C154" s="1705"/>
      <c r="D154" s="1706" t="s">
        <v>3634</v>
      </c>
      <c r="E154" s="1705"/>
      <c r="F154" s="1692">
        <v>40000000</v>
      </c>
      <c r="G154" s="1693"/>
      <c r="H154" s="1692">
        <v>50000000</v>
      </c>
      <c r="I154" s="1707" t="s">
        <v>3635</v>
      </c>
      <c r="J154" s="1676"/>
    </row>
    <row r="155" spans="1:10" ht="30" customHeight="1" x14ac:dyDescent="0.2">
      <c r="A155" s="1671"/>
      <c r="B155" s="1670" t="s">
        <v>3636</v>
      </c>
      <c r="C155" s="1674"/>
      <c r="D155" s="234" t="s">
        <v>3637</v>
      </c>
      <c r="E155" s="1674" t="s">
        <v>852</v>
      </c>
      <c r="F155" s="1673">
        <v>20000000</v>
      </c>
      <c r="G155" s="1672"/>
      <c r="H155" s="1673">
        <v>32000000</v>
      </c>
      <c r="I155" s="453" t="s">
        <v>3638</v>
      </c>
      <c r="J155" s="1676"/>
    </row>
    <row r="156" spans="1:10" ht="30" customHeight="1" x14ac:dyDescent="0.2">
      <c r="A156" s="1683"/>
      <c r="B156" s="1682" t="s">
        <v>3639</v>
      </c>
      <c r="C156" s="1688"/>
      <c r="D156" s="234" t="s">
        <v>3640</v>
      </c>
      <c r="E156" s="1688" t="s">
        <v>854</v>
      </c>
      <c r="F156" s="1687">
        <v>25000000</v>
      </c>
      <c r="G156" s="1686"/>
      <c r="H156" s="1687">
        <v>600000000</v>
      </c>
      <c r="I156" s="453" t="s">
        <v>3641</v>
      </c>
      <c r="J156" s="1691"/>
    </row>
    <row r="157" spans="1:10" ht="30" customHeight="1" x14ac:dyDescent="0.2">
      <c r="A157" s="1683"/>
      <c r="B157" s="1682" t="s">
        <v>3642</v>
      </c>
      <c r="C157" s="1688"/>
      <c r="D157" s="234" t="s">
        <v>3643</v>
      </c>
      <c r="E157" s="1688" t="s">
        <v>854</v>
      </c>
      <c r="F157" s="1687">
        <v>5000000</v>
      </c>
      <c r="G157" s="1686"/>
      <c r="H157" s="1687">
        <v>120000000</v>
      </c>
      <c r="I157" s="453" t="s">
        <v>3644</v>
      </c>
      <c r="J157" s="1691"/>
    </row>
    <row r="158" spans="1:10" ht="30" customHeight="1" x14ac:dyDescent="0.2">
      <c r="A158" s="1683"/>
      <c r="B158" s="1682" t="s">
        <v>3645</v>
      </c>
      <c r="C158" s="1688"/>
      <c r="D158" s="234" t="s">
        <v>3647</v>
      </c>
      <c r="E158" s="1688" t="s">
        <v>854</v>
      </c>
      <c r="F158" s="1687">
        <v>7000000</v>
      </c>
      <c r="G158" s="1686"/>
      <c r="H158" s="1687">
        <v>168000000</v>
      </c>
      <c r="I158" s="453" t="s">
        <v>3646</v>
      </c>
      <c r="J158" s="1691"/>
    </row>
    <row r="159" spans="1:10" ht="30" customHeight="1" x14ac:dyDescent="0.2">
      <c r="A159" s="1683"/>
      <c r="B159" s="1682" t="s">
        <v>3648</v>
      </c>
      <c r="C159" s="1688"/>
      <c r="D159" s="234" t="s">
        <v>3650</v>
      </c>
      <c r="E159" s="1688" t="s">
        <v>1184</v>
      </c>
      <c r="F159" s="1687">
        <v>20000000</v>
      </c>
      <c r="G159" s="1686"/>
      <c r="H159" s="1687">
        <v>100000000</v>
      </c>
      <c r="I159" s="453" t="s">
        <v>3649</v>
      </c>
      <c r="J159" s="1691"/>
    </row>
    <row r="160" spans="1:10" ht="30" customHeight="1" x14ac:dyDescent="0.2">
      <c r="A160" s="1671"/>
      <c r="B160" s="1670" t="s">
        <v>3651</v>
      </c>
      <c r="C160" s="1674"/>
      <c r="D160" s="234" t="s">
        <v>3652</v>
      </c>
      <c r="E160" s="1674" t="s">
        <v>1184</v>
      </c>
      <c r="F160" s="1673">
        <v>20000000</v>
      </c>
      <c r="G160" s="1672"/>
      <c r="H160" s="1673">
        <v>100000000</v>
      </c>
      <c r="I160" s="453" t="s">
        <v>3653</v>
      </c>
      <c r="J160" s="1676"/>
    </row>
    <row r="161" spans="1:10" ht="30" customHeight="1" x14ac:dyDescent="0.2">
      <c r="A161" s="1683"/>
      <c r="B161" s="1682" t="s">
        <v>3654</v>
      </c>
      <c r="C161" s="1688"/>
      <c r="D161" s="234" t="s">
        <v>3656</v>
      </c>
      <c r="E161" s="1688" t="s">
        <v>854</v>
      </c>
      <c r="F161" s="1687">
        <v>5000000</v>
      </c>
      <c r="G161" s="1686"/>
      <c r="H161" s="1687">
        <v>120000000</v>
      </c>
      <c r="I161" s="453" t="s">
        <v>3655</v>
      </c>
      <c r="J161" s="1691"/>
    </row>
    <row r="162" spans="1:10" ht="30" customHeight="1" x14ac:dyDescent="0.2">
      <c r="A162" s="1683"/>
      <c r="B162" s="1682" t="s">
        <v>3657</v>
      </c>
      <c r="C162" s="1688"/>
      <c r="D162" s="234" t="s">
        <v>3658</v>
      </c>
      <c r="E162" s="1688" t="s">
        <v>854</v>
      </c>
      <c r="F162" s="1687">
        <v>5000000</v>
      </c>
      <c r="G162" s="1686"/>
      <c r="H162" s="1687">
        <v>120000000</v>
      </c>
      <c r="I162" s="453" t="s">
        <v>3659</v>
      </c>
      <c r="J162" s="1691"/>
    </row>
    <row r="163" spans="1:10" ht="30" customHeight="1" x14ac:dyDescent="0.2">
      <c r="A163" s="1736"/>
      <c r="B163" s="1735" t="s">
        <v>3698</v>
      </c>
      <c r="C163" s="1739"/>
      <c r="D163" s="234"/>
      <c r="E163" s="1739" t="s">
        <v>3696</v>
      </c>
      <c r="F163" s="1738">
        <v>885000000</v>
      </c>
      <c r="G163" s="1737"/>
      <c r="H163" s="1738">
        <f>F163+160000000</f>
        <v>1045000000</v>
      </c>
      <c r="I163" s="453" t="s">
        <v>3697</v>
      </c>
      <c r="J163" s="1740"/>
    </row>
    <row r="164" spans="1:10" ht="30" customHeight="1" x14ac:dyDescent="0.2">
      <c r="A164" s="1028"/>
      <c r="B164" s="19" t="s">
        <v>119</v>
      </c>
      <c r="C164" s="1820"/>
      <c r="D164" s="234"/>
      <c r="E164" s="1820" t="s">
        <v>899</v>
      </c>
      <c r="F164" s="1824">
        <v>50000000</v>
      </c>
      <c r="G164" s="1823"/>
      <c r="H164" s="1824"/>
      <c r="I164" s="1707" t="s">
        <v>3861</v>
      </c>
      <c r="J164" s="1825"/>
    </row>
    <row r="165" spans="1:10" ht="30" customHeight="1" x14ac:dyDescent="0.2">
      <c r="A165" s="5246"/>
      <c r="B165" s="5249" t="s">
        <v>119</v>
      </c>
      <c r="C165" s="5237"/>
      <c r="D165" s="5241" t="s">
        <v>6889</v>
      </c>
      <c r="E165" s="5237" t="s">
        <v>2308</v>
      </c>
      <c r="F165" s="5235">
        <v>160000000</v>
      </c>
      <c r="G165" s="5238"/>
      <c r="H165" s="5235">
        <v>300000000</v>
      </c>
      <c r="I165" s="453" t="s">
        <v>6888</v>
      </c>
      <c r="J165" s="5240"/>
    </row>
    <row r="166" spans="1:10" ht="30" customHeight="1" x14ac:dyDescent="0.2">
      <c r="A166" s="7654"/>
      <c r="B166" s="7652" t="s">
        <v>3862</v>
      </c>
      <c r="C166" s="1820"/>
      <c r="D166" s="234" t="s">
        <v>3081</v>
      </c>
      <c r="E166" s="1820" t="s">
        <v>852</v>
      </c>
      <c r="F166" s="1824">
        <v>300000000</v>
      </c>
      <c r="G166" s="1823"/>
      <c r="H166" s="1824">
        <v>450000000</v>
      </c>
      <c r="I166" s="453" t="s">
        <v>3863</v>
      </c>
      <c r="J166" s="1825"/>
    </row>
    <row r="167" spans="1:10" ht="30" customHeight="1" x14ac:dyDescent="0.2">
      <c r="A167" s="7655"/>
      <c r="B167" s="7653"/>
      <c r="C167" s="1836"/>
      <c r="D167" s="1706"/>
      <c r="E167" s="1705" t="s">
        <v>1525</v>
      </c>
      <c r="F167" s="1839"/>
      <c r="G167" s="1840"/>
      <c r="H167" s="1839">
        <v>165000000</v>
      </c>
      <c r="I167" s="1707" t="s">
        <v>3864</v>
      </c>
      <c r="J167" s="1837"/>
    </row>
    <row r="168" spans="1:10" ht="30" customHeight="1" x14ac:dyDescent="0.2">
      <c r="A168" s="1822"/>
      <c r="B168" s="1821" t="s">
        <v>35</v>
      </c>
      <c r="C168" s="1820"/>
      <c r="D168" s="234"/>
      <c r="E168" s="1820" t="s">
        <v>854</v>
      </c>
      <c r="F168" s="1824">
        <v>30000000</v>
      </c>
      <c r="G168" s="1823"/>
      <c r="H168" s="1824">
        <v>714000000</v>
      </c>
      <c r="I168" s="453" t="s">
        <v>3846</v>
      </c>
      <c r="J168" s="1825"/>
    </row>
    <row r="169" spans="1:10" ht="30" customHeight="1" x14ac:dyDescent="0.2">
      <c r="A169" s="1822"/>
      <c r="B169" s="1821" t="s">
        <v>3848</v>
      </c>
      <c r="C169" s="1820"/>
      <c r="D169" s="234" t="s">
        <v>1269</v>
      </c>
      <c r="E169" s="1820" t="s">
        <v>3851</v>
      </c>
      <c r="F169" s="1824">
        <v>1000000000</v>
      </c>
      <c r="G169" s="1823"/>
      <c r="H169" s="1824">
        <v>1560000000</v>
      </c>
      <c r="I169" s="453" t="s">
        <v>3852</v>
      </c>
      <c r="J169" s="1825"/>
    </row>
    <row r="170" spans="1:10" ht="30" customHeight="1" x14ac:dyDescent="0.2">
      <c r="A170" s="1832"/>
      <c r="B170" s="1831" t="s">
        <v>825</v>
      </c>
      <c r="C170" s="1836" t="s">
        <v>2875</v>
      </c>
      <c r="D170" s="234" t="s">
        <v>3865</v>
      </c>
      <c r="E170" s="1836" t="s">
        <v>1212</v>
      </c>
      <c r="F170" s="1835">
        <v>1020000000</v>
      </c>
      <c r="G170" s="1833"/>
      <c r="H170" s="1835">
        <v>1220000000</v>
      </c>
      <c r="I170" s="453" t="s">
        <v>3866</v>
      </c>
      <c r="J170" s="1837"/>
    </row>
    <row r="171" spans="1:10" ht="30" customHeight="1" x14ac:dyDescent="0.2">
      <c r="A171" s="1832"/>
      <c r="B171" s="1831" t="s">
        <v>3869</v>
      </c>
      <c r="C171" s="1836" t="s">
        <v>3893</v>
      </c>
      <c r="D171" s="234" t="s">
        <v>3898</v>
      </c>
      <c r="E171" s="1836" t="s">
        <v>1212</v>
      </c>
      <c r="F171" s="1835">
        <v>100000000</v>
      </c>
      <c r="G171" s="1833"/>
      <c r="H171" s="1835">
        <v>118000000</v>
      </c>
      <c r="I171" s="453" t="s">
        <v>3899</v>
      </c>
      <c r="J171" s="1837"/>
    </row>
    <row r="172" spans="1:10" ht="30" customHeight="1" x14ac:dyDescent="0.2">
      <c r="A172" s="7654"/>
      <c r="B172" s="7652" t="s">
        <v>3079</v>
      </c>
      <c r="C172" s="1836"/>
      <c r="D172" s="1706" t="s">
        <v>4035</v>
      </c>
      <c r="E172" s="6884" t="s">
        <v>2124</v>
      </c>
      <c r="F172" s="6881">
        <v>100000000</v>
      </c>
      <c r="G172" s="6882"/>
      <c r="H172" s="6881">
        <v>200000000</v>
      </c>
      <c r="I172" s="1707" t="s">
        <v>4034</v>
      </c>
      <c r="J172" s="6072" t="s">
        <v>8008</v>
      </c>
    </row>
    <row r="173" spans="1:10" ht="30" customHeight="1" x14ac:dyDescent="0.2">
      <c r="A173" s="7655"/>
      <c r="B173" s="7653"/>
      <c r="C173" s="6878" t="s">
        <v>8011</v>
      </c>
      <c r="D173" s="6885" t="s">
        <v>8010</v>
      </c>
      <c r="E173" s="6878"/>
      <c r="F173" s="6876">
        <v>160000000</v>
      </c>
      <c r="G173" s="6877"/>
      <c r="H173" s="6876">
        <v>520000000</v>
      </c>
      <c r="I173" s="453" t="s">
        <v>8009</v>
      </c>
      <c r="J173" s="4242"/>
    </row>
    <row r="174" spans="1:10" ht="30" customHeight="1" x14ac:dyDescent="0.2">
      <c r="A174" s="7654"/>
      <c r="B174" s="7661" t="s">
        <v>3229</v>
      </c>
      <c r="C174" s="7173"/>
      <c r="D174" s="7173"/>
      <c r="E174" s="1836" t="s">
        <v>899</v>
      </c>
      <c r="F174" s="1984">
        <v>11000000</v>
      </c>
      <c r="G174" s="1985"/>
      <c r="H174" s="1984">
        <v>55000000</v>
      </c>
      <c r="I174" s="453"/>
      <c r="J174" s="1837"/>
    </row>
    <row r="175" spans="1:10" ht="30" customHeight="1" x14ac:dyDescent="0.2">
      <c r="A175" s="7655"/>
      <c r="B175" s="7663"/>
      <c r="C175" s="7173" t="s">
        <v>3880</v>
      </c>
      <c r="D175" s="7173" t="s">
        <v>8332</v>
      </c>
      <c r="E175" s="7166" t="s">
        <v>2017</v>
      </c>
      <c r="F175" s="7161">
        <v>40000000</v>
      </c>
      <c r="G175" s="7168"/>
      <c r="H175" s="7161">
        <v>78000000</v>
      </c>
      <c r="I175" s="453" t="s">
        <v>8331</v>
      </c>
      <c r="J175" s="7170"/>
    </row>
    <row r="176" spans="1:10" ht="30" customHeight="1" x14ac:dyDescent="0.2">
      <c r="A176" s="4106"/>
      <c r="B176" s="4108" t="s">
        <v>5939</v>
      </c>
      <c r="C176" s="4109" t="s">
        <v>2341</v>
      </c>
      <c r="D176" s="4118" t="s">
        <v>5941</v>
      </c>
      <c r="E176" s="4109" t="s">
        <v>4193</v>
      </c>
      <c r="F176" s="4103">
        <v>5000000</v>
      </c>
      <c r="G176" s="4110"/>
      <c r="H176" s="4103">
        <v>25000000</v>
      </c>
      <c r="I176" s="453" t="s">
        <v>5940</v>
      </c>
      <c r="J176" s="4113" t="s">
        <v>5942</v>
      </c>
    </row>
    <row r="177" spans="1:10" ht="30" customHeight="1" x14ac:dyDescent="0.2">
      <c r="A177" s="1978"/>
      <c r="B177" s="1983" t="s">
        <v>4071</v>
      </c>
      <c r="C177" s="1981" t="s">
        <v>4060</v>
      </c>
      <c r="D177" s="234" t="s">
        <v>4072</v>
      </c>
      <c r="E177" s="1981" t="s">
        <v>854</v>
      </c>
      <c r="F177" s="1980"/>
      <c r="G177" s="1979"/>
      <c r="H177" s="1980">
        <v>1700000000</v>
      </c>
      <c r="I177" s="453"/>
      <c r="J177" s="1982"/>
    </row>
    <row r="178" spans="1:10" ht="30" customHeight="1" x14ac:dyDescent="0.2">
      <c r="A178" s="7654"/>
      <c r="B178" s="7661" t="s">
        <v>4100</v>
      </c>
      <c r="C178" s="1705"/>
      <c r="D178" s="1706" t="s">
        <v>4102</v>
      </c>
      <c r="E178" s="1705" t="s">
        <v>852</v>
      </c>
      <c r="F178" s="3656">
        <v>30000000</v>
      </c>
      <c r="G178" s="3657"/>
      <c r="H178" s="3656">
        <v>43000000</v>
      </c>
      <c r="I178" s="1707" t="s">
        <v>4101</v>
      </c>
      <c r="J178" s="850" t="s">
        <v>5430</v>
      </c>
    </row>
    <row r="179" spans="1:10" ht="30" customHeight="1" x14ac:dyDescent="0.2">
      <c r="A179" s="7656"/>
      <c r="B179" s="7662"/>
      <c r="C179" s="3652"/>
      <c r="D179" s="3652" t="s">
        <v>4102</v>
      </c>
      <c r="E179" s="3652" t="s">
        <v>852</v>
      </c>
      <c r="F179" s="3654">
        <v>30000000</v>
      </c>
      <c r="G179" s="3655"/>
      <c r="H179" s="3654">
        <v>51000000</v>
      </c>
      <c r="I179" s="482" t="s">
        <v>4101</v>
      </c>
      <c r="J179" s="3650"/>
    </row>
    <row r="180" spans="1:10" ht="30" customHeight="1" x14ac:dyDescent="0.2">
      <c r="A180" s="7656"/>
      <c r="B180" s="7662"/>
      <c r="C180" s="7687"/>
      <c r="D180" s="7687"/>
      <c r="E180" s="7687" t="s">
        <v>852</v>
      </c>
      <c r="F180" s="3656">
        <v>17000000</v>
      </c>
      <c r="G180" s="3657"/>
      <c r="H180" s="3656">
        <v>28000000</v>
      </c>
      <c r="I180" s="7698"/>
      <c r="J180" s="3715" t="s">
        <v>4614</v>
      </c>
    </row>
    <row r="181" spans="1:10" ht="30" customHeight="1" x14ac:dyDescent="0.2">
      <c r="A181" s="7656"/>
      <c r="B181" s="7662"/>
      <c r="C181" s="7688"/>
      <c r="D181" s="7688"/>
      <c r="E181" s="7688"/>
      <c r="F181" s="3656">
        <v>3000000</v>
      </c>
      <c r="G181" s="3657"/>
      <c r="H181" s="3656">
        <v>5000000</v>
      </c>
      <c r="I181" s="7699"/>
      <c r="J181" s="7701" t="s">
        <v>4615</v>
      </c>
    </row>
    <row r="182" spans="1:10" ht="30" customHeight="1" x14ac:dyDescent="0.2">
      <c r="A182" s="7656"/>
      <c r="B182" s="7662"/>
      <c r="C182" s="7689"/>
      <c r="D182" s="7689"/>
      <c r="E182" s="7689"/>
      <c r="F182" s="3656">
        <v>5000000</v>
      </c>
      <c r="G182" s="3657"/>
      <c r="H182" s="3656">
        <v>6500000</v>
      </c>
      <c r="I182" s="7700"/>
      <c r="J182" s="7702"/>
    </row>
    <row r="183" spans="1:10" ht="30" customHeight="1" x14ac:dyDescent="0.2">
      <c r="A183" s="7655"/>
      <c r="B183" s="7663"/>
      <c r="C183" s="3652"/>
      <c r="D183" s="3652" t="s">
        <v>5431</v>
      </c>
      <c r="E183" s="3652" t="s">
        <v>852</v>
      </c>
      <c r="F183" s="3654">
        <v>20000000</v>
      </c>
      <c r="G183" s="3655"/>
      <c r="H183" s="3654">
        <v>35000000</v>
      </c>
      <c r="I183" s="482" t="s">
        <v>5429</v>
      </c>
      <c r="J183" s="3910" t="s">
        <v>5665</v>
      </c>
    </row>
    <row r="184" spans="1:10" ht="30" customHeight="1" x14ac:dyDescent="0.2">
      <c r="A184" s="7654"/>
      <c r="B184" s="7654" t="s">
        <v>839</v>
      </c>
      <c r="C184" s="1981"/>
      <c r="D184" s="1706" t="s">
        <v>4104</v>
      </c>
      <c r="E184" s="5969" t="s">
        <v>1525</v>
      </c>
      <c r="F184" s="5967">
        <v>200000000</v>
      </c>
      <c r="G184" s="5970"/>
      <c r="H184" s="5967">
        <v>272000000</v>
      </c>
      <c r="I184" s="3321" t="s">
        <v>4103</v>
      </c>
      <c r="J184" s="1982"/>
    </row>
    <row r="185" spans="1:10" ht="30" customHeight="1" x14ac:dyDescent="0.2">
      <c r="A185" s="7655"/>
      <c r="B185" s="7655"/>
      <c r="C185" s="5962" t="s">
        <v>4104</v>
      </c>
      <c r="D185" s="5968" t="s">
        <v>7479</v>
      </c>
      <c r="E185" s="5962" t="s">
        <v>1525</v>
      </c>
      <c r="F185" s="5959">
        <v>322000000</v>
      </c>
      <c r="G185" s="5965"/>
      <c r="H185" s="5959">
        <v>438000000</v>
      </c>
      <c r="I185" s="24" t="s">
        <v>7478</v>
      </c>
      <c r="J185" s="5974" t="s">
        <v>7477</v>
      </c>
    </row>
    <row r="186" spans="1:10" ht="30" customHeight="1" x14ac:dyDescent="0.2">
      <c r="A186" s="1978"/>
      <c r="B186" s="1994" t="s">
        <v>4170</v>
      </c>
      <c r="C186" s="1981"/>
      <c r="D186" s="234" t="s">
        <v>4168</v>
      </c>
      <c r="E186" s="1981"/>
      <c r="F186" s="1980">
        <v>203000000</v>
      </c>
      <c r="G186" s="1979"/>
      <c r="H186" s="1980">
        <v>280000000</v>
      </c>
      <c r="I186" s="24" t="s">
        <v>4169</v>
      </c>
      <c r="J186" s="1982"/>
    </row>
    <row r="187" spans="1:10" ht="30" customHeight="1" x14ac:dyDescent="0.2">
      <c r="A187" s="1978"/>
      <c r="B187" s="1983" t="s">
        <v>7457</v>
      </c>
      <c r="C187" s="1981" t="s">
        <v>4016</v>
      </c>
      <c r="D187" s="234" t="s">
        <v>4207</v>
      </c>
      <c r="E187" s="1981" t="s">
        <v>899</v>
      </c>
      <c r="F187" s="1980">
        <v>100000000</v>
      </c>
      <c r="G187" s="1979"/>
      <c r="H187" s="1980">
        <v>500000000</v>
      </c>
      <c r="I187" s="453" t="s">
        <v>7458</v>
      </c>
      <c r="J187" s="1982"/>
    </row>
    <row r="188" spans="1:10" ht="30" customHeight="1" x14ac:dyDescent="0.2">
      <c r="A188" s="1978"/>
      <c r="B188" s="1983" t="s">
        <v>4210</v>
      </c>
      <c r="C188" s="1981"/>
      <c r="D188" s="234"/>
      <c r="E188" s="1981" t="s">
        <v>852</v>
      </c>
      <c r="F188" s="1980">
        <v>38000000</v>
      </c>
      <c r="G188" s="1979"/>
      <c r="H188" s="1980">
        <v>61000000</v>
      </c>
      <c r="I188" s="453" t="s">
        <v>4211</v>
      </c>
      <c r="J188" s="2004" t="s">
        <v>4212</v>
      </c>
    </row>
    <row r="189" spans="1:10" ht="30" customHeight="1" x14ac:dyDescent="0.2">
      <c r="A189" s="2014"/>
      <c r="B189" s="2019" t="s">
        <v>4226</v>
      </c>
      <c r="C189" s="2017" t="s">
        <v>4188</v>
      </c>
      <c r="D189" s="234" t="s">
        <v>4228</v>
      </c>
      <c r="E189" s="2017" t="s">
        <v>852</v>
      </c>
      <c r="F189" s="2016">
        <v>470000000</v>
      </c>
      <c r="G189" s="2015"/>
      <c r="H189" s="2016">
        <f>470000000+336000000</f>
        <v>806000000</v>
      </c>
      <c r="I189" s="453"/>
      <c r="J189" s="2018" t="s">
        <v>4229</v>
      </c>
    </row>
    <row r="190" spans="1:10" ht="30" customHeight="1" x14ac:dyDescent="0.2">
      <c r="A190" s="2014"/>
      <c r="B190" s="2019" t="s">
        <v>4297</v>
      </c>
      <c r="C190" s="2017" t="s">
        <v>4299</v>
      </c>
      <c r="D190" s="234" t="s">
        <v>4298</v>
      </c>
      <c r="E190" s="2017" t="s">
        <v>854</v>
      </c>
      <c r="F190" s="2016">
        <v>20000000</v>
      </c>
      <c r="G190" s="2015"/>
      <c r="H190" s="2016">
        <v>500000000</v>
      </c>
      <c r="I190" s="453" t="s">
        <v>4300</v>
      </c>
      <c r="J190" s="2018" t="s">
        <v>4302</v>
      </c>
    </row>
    <row r="191" spans="1:10" ht="30" customHeight="1" x14ac:dyDescent="0.2">
      <c r="A191" s="2014"/>
      <c r="B191" s="2019" t="s">
        <v>4303</v>
      </c>
      <c r="C191" s="2017"/>
      <c r="D191" s="234" t="s">
        <v>3109</v>
      </c>
      <c r="E191" s="2017" t="s">
        <v>854</v>
      </c>
      <c r="F191" s="2016">
        <v>10000000</v>
      </c>
      <c r="G191" s="2015"/>
      <c r="H191" s="2016">
        <v>240000000</v>
      </c>
      <c r="I191" s="453" t="s">
        <v>4304</v>
      </c>
      <c r="J191" s="2018"/>
    </row>
    <row r="192" spans="1:10" ht="30" customHeight="1" x14ac:dyDescent="0.2">
      <c r="A192" s="2014"/>
      <c r="B192" s="2526" t="s">
        <v>5443</v>
      </c>
      <c r="C192" s="2529" t="s">
        <v>5434</v>
      </c>
      <c r="D192" s="234" t="s">
        <v>5445</v>
      </c>
      <c r="E192" s="2529" t="s">
        <v>852</v>
      </c>
      <c r="F192" s="2528">
        <v>100000000</v>
      </c>
      <c r="G192" s="2527"/>
      <c r="H192" s="2528">
        <v>200000000</v>
      </c>
      <c r="I192" s="453" t="s">
        <v>5444</v>
      </c>
      <c r="J192" s="2018"/>
    </row>
    <row r="193" spans="1:10" ht="30" customHeight="1" x14ac:dyDescent="0.2">
      <c r="A193" s="2302"/>
      <c r="B193" s="2315" t="s">
        <v>4387</v>
      </c>
      <c r="C193" s="2304" t="s">
        <v>4385</v>
      </c>
      <c r="D193" s="234" t="s">
        <v>4391</v>
      </c>
      <c r="E193" s="2304" t="s">
        <v>3781</v>
      </c>
      <c r="F193" s="2306">
        <v>50000000</v>
      </c>
      <c r="G193" s="2307"/>
      <c r="H193" s="2306">
        <v>300000000</v>
      </c>
      <c r="I193" s="453" t="s">
        <v>4388</v>
      </c>
      <c r="J193" s="2320" t="s">
        <v>4389</v>
      </c>
    </row>
    <row r="194" spans="1:10" ht="30" customHeight="1" x14ac:dyDescent="0.2">
      <c r="A194" s="2302"/>
      <c r="B194" s="2315" t="s">
        <v>4392</v>
      </c>
      <c r="C194" s="2304" t="s">
        <v>4385</v>
      </c>
      <c r="D194" s="234" t="s">
        <v>4391</v>
      </c>
      <c r="E194" s="2304" t="s">
        <v>3781</v>
      </c>
      <c r="F194" s="2306">
        <v>10000000</v>
      </c>
      <c r="G194" s="2307"/>
      <c r="H194" s="2306">
        <v>130000000</v>
      </c>
      <c r="I194" s="453" t="s">
        <v>4390</v>
      </c>
      <c r="J194" s="2320"/>
    </row>
    <row r="195" spans="1:10" ht="30" customHeight="1" x14ac:dyDescent="0.2">
      <c r="A195" s="2302"/>
      <c r="B195" s="2315" t="s">
        <v>4431</v>
      </c>
      <c r="C195" s="2304"/>
      <c r="D195" s="234"/>
      <c r="E195" s="2304"/>
      <c r="F195" s="2306">
        <v>30000000</v>
      </c>
      <c r="G195" s="2307"/>
      <c r="H195" s="2306"/>
      <c r="I195" s="453"/>
      <c r="J195" s="2320"/>
    </row>
    <row r="196" spans="1:10" ht="30" customHeight="1" x14ac:dyDescent="0.2">
      <c r="A196" s="2302"/>
      <c r="B196" s="2315" t="s">
        <v>4478</v>
      </c>
      <c r="C196" s="2304"/>
      <c r="D196" s="234" t="s">
        <v>4479</v>
      </c>
      <c r="E196" s="2304" t="s">
        <v>852</v>
      </c>
      <c r="F196" s="2306">
        <v>60000000</v>
      </c>
      <c r="G196" s="2307"/>
      <c r="H196" s="2306">
        <v>100000000</v>
      </c>
      <c r="I196" s="453" t="s">
        <v>4480</v>
      </c>
      <c r="J196" s="2320"/>
    </row>
    <row r="197" spans="1:10" ht="30" customHeight="1" x14ac:dyDescent="0.2">
      <c r="A197" s="2381"/>
      <c r="B197" s="2389" t="s">
        <v>4489</v>
      </c>
      <c r="C197" s="2383" t="s">
        <v>3865</v>
      </c>
      <c r="D197" s="234" t="s">
        <v>4491</v>
      </c>
      <c r="E197" s="2383" t="s">
        <v>1212</v>
      </c>
      <c r="F197" s="2386">
        <v>100000000</v>
      </c>
      <c r="G197" s="2388"/>
      <c r="H197" s="2386">
        <v>120000000</v>
      </c>
      <c r="I197" s="453" t="s">
        <v>4490</v>
      </c>
      <c r="J197" s="2392"/>
    </row>
    <row r="198" spans="1:10" ht="30" customHeight="1" x14ac:dyDescent="0.2">
      <c r="A198" s="7654"/>
      <c r="B198" s="7652" t="s">
        <v>4498</v>
      </c>
      <c r="C198" s="401" t="s">
        <v>4499</v>
      </c>
      <c r="D198" s="2438" t="s">
        <v>2472</v>
      </c>
      <c r="E198" s="401" t="s">
        <v>852</v>
      </c>
      <c r="F198" s="895">
        <v>10000000</v>
      </c>
      <c r="G198" s="2437"/>
      <c r="H198" s="895">
        <v>17000000</v>
      </c>
      <c r="I198" s="2439"/>
      <c r="J198" s="2440" t="s">
        <v>4500</v>
      </c>
    </row>
    <row r="199" spans="1:10" ht="30" customHeight="1" x14ac:dyDescent="0.2">
      <c r="A199" s="7655"/>
      <c r="B199" s="7653"/>
      <c r="C199" s="2383" t="s">
        <v>2472</v>
      </c>
      <c r="D199" s="234" t="s">
        <v>4501</v>
      </c>
      <c r="E199" s="2383" t="s">
        <v>2308</v>
      </c>
      <c r="F199" s="2386">
        <v>17000000</v>
      </c>
      <c r="G199" s="2388"/>
      <c r="H199" s="2386">
        <v>30000000</v>
      </c>
      <c r="I199" s="453" t="s">
        <v>4502</v>
      </c>
      <c r="J199" s="2392"/>
    </row>
    <row r="200" spans="1:10" ht="30" customHeight="1" x14ac:dyDescent="0.2">
      <c r="A200" s="2381"/>
      <c r="B200" s="2389" t="s">
        <v>4508</v>
      </c>
      <c r="C200" s="7657" t="s">
        <v>4475</v>
      </c>
      <c r="D200" s="7657" t="s">
        <v>4509</v>
      </c>
      <c r="E200" s="7657" t="s">
        <v>1525</v>
      </c>
      <c r="F200" s="7563">
        <v>300000000</v>
      </c>
      <c r="G200" s="7659"/>
      <c r="H200" s="7563">
        <v>390000000</v>
      </c>
      <c r="I200" s="453" t="s">
        <v>4510</v>
      </c>
      <c r="J200" s="2392"/>
    </row>
    <row r="201" spans="1:10" ht="30" customHeight="1" x14ac:dyDescent="0.2">
      <c r="A201" s="2381"/>
      <c r="B201" s="2389"/>
      <c r="C201" s="7658"/>
      <c r="D201" s="7658"/>
      <c r="E201" s="7658"/>
      <c r="F201" s="7564"/>
      <c r="G201" s="7660"/>
      <c r="H201" s="7564"/>
      <c r="I201" s="21" t="s">
        <v>4511</v>
      </c>
      <c r="J201" s="2392"/>
    </row>
    <row r="202" spans="1:10" ht="30" customHeight="1" x14ac:dyDescent="0.2">
      <c r="A202" s="7654"/>
      <c r="B202" s="7661" t="s">
        <v>4422</v>
      </c>
      <c r="C202" s="2627"/>
      <c r="D202" s="401" t="s">
        <v>4395</v>
      </c>
      <c r="E202" s="401" t="s">
        <v>1525</v>
      </c>
      <c r="F202" s="2649">
        <v>64000000</v>
      </c>
      <c r="G202" s="2651"/>
      <c r="H202" s="2649">
        <v>84000000</v>
      </c>
      <c r="I202" s="2678" t="s">
        <v>3852</v>
      </c>
      <c r="J202" s="2440" t="s">
        <v>4654</v>
      </c>
    </row>
    <row r="203" spans="1:10" ht="30" customHeight="1" x14ac:dyDescent="0.2">
      <c r="A203" s="7655"/>
      <c r="B203" s="7663"/>
      <c r="C203" s="2452"/>
      <c r="D203" s="2452" t="s">
        <v>4534</v>
      </c>
      <c r="E203" s="2452" t="s">
        <v>852</v>
      </c>
      <c r="F203" s="2451">
        <v>34000000</v>
      </c>
      <c r="G203" s="2449"/>
      <c r="H203" s="2451">
        <v>55000000</v>
      </c>
      <c r="I203" s="21" t="s">
        <v>4533</v>
      </c>
      <c r="J203" s="2021" t="s">
        <v>4423</v>
      </c>
    </row>
    <row r="204" spans="1:10" ht="30" customHeight="1" x14ac:dyDescent="0.2">
      <c r="A204" s="2448"/>
      <c r="B204" s="2454" t="s">
        <v>4574</v>
      </c>
      <c r="C204" s="2452" t="s">
        <v>3440</v>
      </c>
      <c r="D204" s="2452" t="s">
        <v>4575</v>
      </c>
      <c r="E204" s="2452" t="s">
        <v>899</v>
      </c>
      <c r="F204" s="2451">
        <v>50000000</v>
      </c>
      <c r="G204" s="2449"/>
      <c r="H204" s="2451">
        <v>250000000</v>
      </c>
      <c r="I204" s="21" t="s">
        <v>4559</v>
      </c>
      <c r="J204" s="2453"/>
    </row>
    <row r="205" spans="1:10" ht="30" customHeight="1" x14ac:dyDescent="0.2">
      <c r="A205" s="7654"/>
      <c r="B205" s="7661" t="s">
        <v>1304</v>
      </c>
      <c r="C205" s="2452"/>
      <c r="D205" s="4051" t="s">
        <v>4859</v>
      </c>
      <c r="E205" s="4051" t="s">
        <v>852</v>
      </c>
      <c r="F205" s="4052">
        <v>900000000</v>
      </c>
      <c r="G205" s="4053"/>
      <c r="H205" s="4052">
        <v>1770000000</v>
      </c>
      <c r="I205" s="437" t="s">
        <v>4592</v>
      </c>
      <c r="J205" s="2021" t="s">
        <v>4858</v>
      </c>
    </row>
    <row r="206" spans="1:10" ht="30" customHeight="1" x14ac:dyDescent="0.2">
      <c r="A206" s="7656"/>
      <c r="B206" s="7662"/>
      <c r="C206" s="7666" t="s">
        <v>4835</v>
      </c>
      <c r="D206" s="7667"/>
      <c r="E206" s="7667"/>
      <c r="F206" s="7667"/>
      <c r="G206" s="7667"/>
      <c r="H206" s="7667"/>
      <c r="I206" s="7668"/>
      <c r="J206" s="2555"/>
    </row>
    <row r="207" spans="1:10" ht="30" customHeight="1" x14ac:dyDescent="0.2">
      <c r="A207" s="7656"/>
      <c r="B207" s="7662"/>
      <c r="C207" s="7666" t="s">
        <v>4834</v>
      </c>
      <c r="D207" s="7667"/>
      <c r="E207" s="7667"/>
      <c r="F207" s="7667"/>
      <c r="G207" s="7667"/>
      <c r="H207" s="7667"/>
      <c r="I207" s="7668"/>
      <c r="J207" s="2555"/>
    </row>
    <row r="208" spans="1:10" ht="30" customHeight="1" x14ac:dyDescent="0.2">
      <c r="A208" s="7656"/>
      <c r="B208" s="7662"/>
      <c r="C208" s="7666" t="s">
        <v>4836</v>
      </c>
      <c r="D208" s="7667"/>
      <c r="E208" s="7667"/>
      <c r="F208" s="7667"/>
      <c r="G208" s="7667"/>
      <c r="H208" s="7667"/>
      <c r="I208" s="7668"/>
      <c r="J208" s="2555"/>
    </row>
    <row r="209" spans="1:10" ht="30" customHeight="1" x14ac:dyDescent="0.2">
      <c r="A209" s="7655"/>
      <c r="B209" s="7663"/>
      <c r="C209" s="7666" t="s">
        <v>4837</v>
      </c>
      <c r="D209" s="7667"/>
      <c r="E209" s="7667"/>
      <c r="F209" s="7667"/>
      <c r="G209" s="7667"/>
      <c r="H209" s="7667"/>
      <c r="I209" s="7668"/>
      <c r="J209" s="2555"/>
    </row>
    <row r="210" spans="1:10" ht="30" customHeight="1" x14ac:dyDescent="0.2">
      <c r="A210" s="7654"/>
      <c r="B210" s="7671" t="s">
        <v>1304</v>
      </c>
      <c r="C210" s="4075"/>
      <c r="D210" s="4051" t="s">
        <v>5881</v>
      </c>
      <c r="E210" s="4051" t="s">
        <v>852</v>
      </c>
      <c r="F210" s="4052">
        <v>580000000</v>
      </c>
      <c r="G210" s="4053"/>
      <c r="H210" s="4052">
        <v>1300000000</v>
      </c>
      <c r="I210" s="437" t="s">
        <v>5882</v>
      </c>
      <c r="J210" s="2555" t="s">
        <v>5880</v>
      </c>
    </row>
    <row r="211" spans="1:10" ht="30" customHeight="1" x14ac:dyDescent="0.2">
      <c r="A211" s="7656"/>
      <c r="B211" s="7671"/>
      <c r="C211" s="7666" t="s">
        <v>5876</v>
      </c>
      <c r="D211" s="7667"/>
      <c r="E211" s="7667"/>
      <c r="F211" s="7667"/>
      <c r="G211" s="7667"/>
      <c r="H211" s="7667"/>
      <c r="I211" s="7668"/>
      <c r="J211" s="2555" t="s">
        <v>5277</v>
      </c>
    </row>
    <row r="212" spans="1:10" ht="30" customHeight="1" x14ac:dyDescent="0.2">
      <c r="A212" s="7656"/>
      <c r="B212" s="7671"/>
      <c r="C212" s="7666" t="s">
        <v>5877</v>
      </c>
      <c r="D212" s="7667"/>
      <c r="E212" s="7667"/>
      <c r="F212" s="7667"/>
      <c r="G212" s="7667"/>
      <c r="H212" s="7667"/>
      <c r="I212" s="7668"/>
      <c r="J212" s="2555"/>
    </row>
    <row r="213" spans="1:10" ht="30" customHeight="1" x14ac:dyDescent="0.2">
      <c r="A213" s="7656"/>
      <c r="B213" s="7671"/>
      <c r="C213" s="7666" t="s">
        <v>5878</v>
      </c>
      <c r="D213" s="7667"/>
      <c r="E213" s="7667"/>
      <c r="F213" s="7667"/>
      <c r="G213" s="7667"/>
      <c r="H213" s="7667"/>
      <c r="I213" s="7668"/>
      <c r="J213" s="2555"/>
    </row>
    <row r="214" spans="1:10" ht="30" customHeight="1" x14ac:dyDescent="0.2">
      <c r="A214" s="7655"/>
      <c r="B214" s="7671"/>
      <c r="C214" s="7666" t="s">
        <v>5879</v>
      </c>
      <c r="D214" s="7667"/>
      <c r="E214" s="7667"/>
      <c r="F214" s="7667"/>
      <c r="G214" s="7667"/>
      <c r="H214" s="7667"/>
      <c r="I214" s="7668"/>
      <c r="J214" s="2555"/>
    </row>
    <row r="215" spans="1:10" ht="30" customHeight="1" x14ac:dyDescent="0.2">
      <c r="A215" s="7654"/>
      <c r="B215" s="2530" t="s">
        <v>4610</v>
      </c>
      <c r="C215" s="7657"/>
      <c r="D215" s="7657" t="s">
        <v>4612</v>
      </c>
      <c r="E215" s="7657" t="s">
        <v>2596</v>
      </c>
      <c r="F215" s="7563">
        <v>83000000</v>
      </c>
      <c r="G215" s="7659"/>
      <c r="H215" s="7563">
        <v>100000000</v>
      </c>
      <c r="I215" s="7561"/>
      <c r="J215" s="7696" t="s">
        <v>4613</v>
      </c>
    </row>
    <row r="216" spans="1:10" ht="30" customHeight="1" x14ac:dyDescent="0.2">
      <c r="A216" s="7655"/>
      <c r="B216" s="2530" t="s">
        <v>4611</v>
      </c>
      <c r="C216" s="7658"/>
      <c r="D216" s="7658"/>
      <c r="E216" s="7658"/>
      <c r="F216" s="7564"/>
      <c r="G216" s="7660"/>
      <c r="H216" s="7564"/>
      <c r="I216" s="7562"/>
      <c r="J216" s="7697"/>
    </row>
    <row r="217" spans="1:10" ht="30" customHeight="1" x14ac:dyDescent="0.2">
      <c r="A217" s="7654"/>
      <c r="B217" s="7661" t="s">
        <v>119</v>
      </c>
      <c r="C217" s="7657"/>
      <c r="D217" s="7657"/>
      <c r="E217" s="7657" t="s">
        <v>852</v>
      </c>
      <c r="F217" s="7563">
        <v>370000000</v>
      </c>
      <c r="G217" s="7659"/>
      <c r="H217" s="7563">
        <v>681000000</v>
      </c>
      <c r="I217" s="7561"/>
      <c r="J217" s="2555" t="s">
        <v>4616</v>
      </c>
    </row>
    <row r="218" spans="1:10" ht="30" customHeight="1" x14ac:dyDescent="0.2">
      <c r="A218" s="7655"/>
      <c r="B218" s="7663"/>
      <c r="C218" s="7658"/>
      <c r="D218" s="7658"/>
      <c r="E218" s="7658"/>
      <c r="F218" s="7564"/>
      <c r="G218" s="7660"/>
      <c r="H218" s="7564"/>
      <c r="I218" s="7562"/>
      <c r="J218" s="2021" t="s">
        <v>4617</v>
      </c>
    </row>
    <row r="219" spans="1:10" ht="30" customHeight="1" x14ac:dyDescent="0.2">
      <c r="A219" s="2525"/>
      <c r="B219" s="2530" t="s">
        <v>4618</v>
      </c>
      <c r="C219" s="2529"/>
      <c r="D219" s="2529"/>
      <c r="E219" s="2529" t="s">
        <v>852</v>
      </c>
      <c r="F219" s="2528">
        <v>100000000</v>
      </c>
      <c r="G219" s="2527"/>
      <c r="H219" s="2528">
        <v>185000000</v>
      </c>
      <c r="I219" s="21"/>
      <c r="J219" s="2021"/>
    </row>
    <row r="220" spans="1:10" ht="30" customHeight="1" x14ac:dyDescent="0.2">
      <c r="A220" s="2567"/>
      <c r="B220" s="2568" t="s">
        <v>4621</v>
      </c>
      <c r="C220" s="2566" t="s">
        <v>4619</v>
      </c>
      <c r="D220" s="2566" t="s">
        <v>3631</v>
      </c>
      <c r="E220" s="2566" t="s">
        <v>899</v>
      </c>
      <c r="F220" s="2569">
        <v>5000000</v>
      </c>
      <c r="G220" s="2570"/>
      <c r="H220" s="2569">
        <v>15000000</v>
      </c>
      <c r="I220" s="21"/>
      <c r="J220" s="2021"/>
    </row>
    <row r="221" spans="1:10" ht="30" customHeight="1" x14ac:dyDescent="0.2">
      <c r="A221" s="2567"/>
      <c r="B221" s="2568" t="s">
        <v>4629</v>
      </c>
      <c r="C221" s="2566"/>
      <c r="D221" s="2566" t="s">
        <v>4630</v>
      </c>
      <c r="E221" s="2566" t="s">
        <v>899</v>
      </c>
      <c r="F221" s="2569">
        <v>5000000</v>
      </c>
      <c r="G221" s="2570"/>
      <c r="H221" s="2569">
        <v>15000000</v>
      </c>
      <c r="I221" s="21"/>
      <c r="J221" s="2021"/>
    </row>
    <row r="222" spans="1:10" ht="30" customHeight="1" x14ac:dyDescent="0.2">
      <c r="A222" s="7654"/>
      <c r="B222" s="7661" t="s">
        <v>1830</v>
      </c>
      <c r="C222" s="7673"/>
      <c r="D222" s="7657" t="s">
        <v>3081</v>
      </c>
      <c r="E222" s="7657"/>
      <c r="F222" s="7563">
        <v>20000000</v>
      </c>
      <c r="G222" s="7659"/>
      <c r="H222" s="7563">
        <v>38000000</v>
      </c>
      <c r="I222" s="7561" t="s">
        <v>4646</v>
      </c>
      <c r="J222" s="2603" t="s">
        <v>4643</v>
      </c>
    </row>
    <row r="223" spans="1:10" ht="30" customHeight="1" x14ac:dyDescent="0.2">
      <c r="A223" s="7656"/>
      <c r="B223" s="7662"/>
      <c r="C223" s="7673"/>
      <c r="D223" s="7658"/>
      <c r="E223" s="7658"/>
      <c r="F223" s="7564"/>
      <c r="G223" s="7660"/>
      <c r="H223" s="7564"/>
      <c r="I223" s="7562"/>
      <c r="J223" s="2021" t="s">
        <v>4642</v>
      </c>
    </row>
    <row r="224" spans="1:10" ht="30" customHeight="1" x14ac:dyDescent="0.2">
      <c r="A224" s="7655"/>
      <c r="B224" s="7663"/>
      <c r="C224" s="3898" t="s">
        <v>5340</v>
      </c>
      <c r="D224" s="3898"/>
      <c r="E224" s="3898" t="s">
        <v>3359</v>
      </c>
      <c r="F224" s="3897">
        <v>20000000</v>
      </c>
      <c r="G224" s="3899"/>
      <c r="H224" s="3897"/>
      <c r="I224" s="3911"/>
      <c r="J224" s="3909" t="s">
        <v>5664</v>
      </c>
    </row>
    <row r="225" spans="1:10" ht="30" customHeight="1" x14ac:dyDescent="0.2">
      <c r="A225" s="2629"/>
      <c r="B225" s="2628" t="s">
        <v>4678</v>
      </c>
      <c r="C225" s="2627"/>
      <c r="D225" s="2627"/>
      <c r="E225" s="2627"/>
      <c r="F225" s="2625">
        <v>1100000000</v>
      </c>
      <c r="G225" s="2626"/>
      <c r="H225" s="2625">
        <v>1600000000</v>
      </c>
      <c r="I225" s="21"/>
      <c r="J225" s="2022" t="s">
        <v>3166</v>
      </c>
    </row>
    <row r="226" spans="1:10" ht="30" customHeight="1" x14ac:dyDescent="0.2">
      <c r="A226" s="2629"/>
      <c r="B226" s="2628" t="s">
        <v>4759</v>
      </c>
      <c r="C226" s="2627"/>
      <c r="D226" s="2627" t="s">
        <v>4168</v>
      </c>
      <c r="E226" s="2627"/>
      <c r="F226" s="2625">
        <v>125000000</v>
      </c>
      <c r="G226" s="2626"/>
      <c r="H226" s="2625">
        <v>407000000</v>
      </c>
      <c r="I226" s="24" t="s">
        <v>4758</v>
      </c>
      <c r="J226" s="2021" t="s">
        <v>4757</v>
      </c>
    </row>
    <row r="227" spans="1:10" ht="30" customHeight="1" x14ac:dyDescent="0.2">
      <c r="A227" s="2629"/>
      <c r="B227" s="2628" t="s">
        <v>4886</v>
      </c>
      <c r="C227" s="2627"/>
      <c r="D227" s="2627" t="s">
        <v>4887</v>
      </c>
      <c r="E227" s="2627"/>
      <c r="F227" s="2625">
        <v>100000000</v>
      </c>
      <c r="G227" s="2626"/>
      <c r="H227" s="2625">
        <v>175000000</v>
      </c>
      <c r="I227" s="21" t="s">
        <v>4888</v>
      </c>
      <c r="J227" s="2021" t="s">
        <v>4889</v>
      </c>
    </row>
    <row r="228" spans="1:10" ht="30" customHeight="1" x14ac:dyDescent="0.2">
      <c r="A228" s="2629"/>
      <c r="B228" s="2628" t="s">
        <v>3080</v>
      </c>
      <c r="C228" s="2627" t="s">
        <v>4874</v>
      </c>
      <c r="D228" s="2971" t="s">
        <v>4910</v>
      </c>
      <c r="E228" s="2627" t="s">
        <v>2831</v>
      </c>
      <c r="F228" s="2625">
        <v>11000000</v>
      </c>
      <c r="G228" s="2626"/>
      <c r="H228" s="2625">
        <v>15000000</v>
      </c>
      <c r="I228" s="21" t="s">
        <v>4909</v>
      </c>
      <c r="J228" s="2021"/>
    </row>
    <row r="229" spans="1:10" ht="30" customHeight="1" x14ac:dyDescent="0.2">
      <c r="A229" s="2629"/>
      <c r="B229" s="2628" t="s">
        <v>4911</v>
      </c>
      <c r="C229" s="2627" t="s">
        <v>4891</v>
      </c>
      <c r="D229" s="2627" t="s">
        <v>4912</v>
      </c>
      <c r="E229" s="2627" t="s">
        <v>899</v>
      </c>
      <c r="F229" s="2625">
        <v>10000000</v>
      </c>
      <c r="G229" s="2626"/>
      <c r="H229" s="2625">
        <v>50000000</v>
      </c>
      <c r="I229" s="21" t="s">
        <v>4913</v>
      </c>
      <c r="J229" s="2021"/>
    </row>
    <row r="230" spans="1:10" ht="30" customHeight="1" x14ac:dyDescent="0.2">
      <c r="A230" s="7654"/>
      <c r="B230" s="7661" t="s">
        <v>4917</v>
      </c>
      <c r="C230" s="1706" t="s">
        <v>4920</v>
      </c>
      <c r="D230" s="1706" t="s">
        <v>4919</v>
      </c>
      <c r="E230" s="7127" t="s">
        <v>1525</v>
      </c>
      <c r="F230" s="7126">
        <v>50000000</v>
      </c>
      <c r="G230" s="7128"/>
      <c r="H230" s="7126">
        <v>71000000</v>
      </c>
      <c r="I230" s="56" t="s">
        <v>4918</v>
      </c>
      <c r="J230" s="2021" t="s">
        <v>4921</v>
      </c>
    </row>
    <row r="231" spans="1:10" ht="30" customHeight="1" x14ac:dyDescent="0.2">
      <c r="A231" s="7656"/>
      <c r="B231" s="7662"/>
      <c r="C231" s="1706"/>
      <c r="D231" s="1706" t="s">
        <v>7668</v>
      </c>
      <c r="E231" s="7127"/>
      <c r="F231" s="7126"/>
      <c r="G231" s="7128"/>
      <c r="H231" s="7126">
        <v>142000000</v>
      </c>
      <c r="I231" s="56" t="s">
        <v>8261</v>
      </c>
      <c r="J231" s="7155"/>
    </row>
    <row r="232" spans="1:10" ht="30" customHeight="1" x14ac:dyDescent="0.2">
      <c r="A232" s="7656"/>
      <c r="B232" s="7662"/>
      <c r="C232" s="7124"/>
      <c r="D232" s="7124" t="s">
        <v>8264</v>
      </c>
      <c r="E232" s="7118" t="s">
        <v>1525</v>
      </c>
      <c r="F232" s="7114">
        <v>300000000</v>
      </c>
      <c r="G232" s="7120"/>
      <c r="H232" s="7114">
        <v>450000000</v>
      </c>
      <c r="I232" s="7154" t="s">
        <v>8263</v>
      </c>
      <c r="J232" s="2022" t="s">
        <v>8262</v>
      </c>
    </row>
    <row r="233" spans="1:10" ht="30" customHeight="1" x14ac:dyDescent="0.2">
      <c r="A233" s="7655"/>
      <c r="B233" s="7663"/>
      <c r="C233" s="5546"/>
      <c r="D233" s="5546" t="s">
        <v>7215</v>
      </c>
      <c r="E233" s="5542" t="s">
        <v>1525</v>
      </c>
      <c r="F233" s="5539">
        <v>50000000</v>
      </c>
      <c r="G233" s="5543"/>
      <c r="H233" s="5539">
        <v>71000000</v>
      </c>
      <c r="I233" s="5557" t="s">
        <v>7214</v>
      </c>
      <c r="J233" s="5556"/>
    </row>
    <row r="234" spans="1:10" ht="30" customHeight="1" x14ac:dyDescent="0.2">
      <c r="A234" s="2629"/>
      <c r="B234" s="2628" t="s">
        <v>4947</v>
      </c>
      <c r="C234" s="2627" t="s">
        <v>4846</v>
      </c>
      <c r="D234" s="2627" t="s">
        <v>4948</v>
      </c>
      <c r="E234" s="2627"/>
      <c r="F234" s="2625">
        <v>17000000</v>
      </c>
      <c r="G234" s="2626"/>
      <c r="H234" s="2625">
        <v>410000000</v>
      </c>
      <c r="I234" s="21" t="s">
        <v>4949</v>
      </c>
      <c r="J234" s="2021"/>
    </row>
    <row r="235" spans="1:10" ht="30" customHeight="1" x14ac:dyDescent="0.2">
      <c r="A235" s="2629"/>
      <c r="B235" s="2628" t="s">
        <v>5027</v>
      </c>
      <c r="C235" s="2627"/>
      <c r="D235" s="2627" t="s">
        <v>5026</v>
      </c>
      <c r="E235" s="2627" t="s">
        <v>5025</v>
      </c>
      <c r="F235" s="2625">
        <v>40000000</v>
      </c>
      <c r="G235" s="2626"/>
      <c r="H235" s="2625">
        <v>200000000</v>
      </c>
      <c r="I235" s="21" t="s">
        <v>5024</v>
      </c>
      <c r="J235" s="2021" t="s">
        <v>5028</v>
      </c>
    </row>
    <row r="236" spans="1:10" ht="30" customHeight="1" x14ac:dyDescent="0.2">
      <c r="A236" s="3094"/>
      <c r="B236" s="3092" t="s">
        <v>5031</v>
      </c>
      <c r="C236" s="3091"/>
      <c r="D236" s="3091" t="s">
        <v>4168</v>
      </c>
      <c r="E236" s="3091"/>
      <c r="F236" s="3096">
        <v>203000000</v>
      </c>
      <c r="G236" s="3097"/>
      <c r="H236" s="3096">
        <v>280000000</v>
      </c>
      <c r="I236" s="3118"/>
      <c r="J236" s="2021"/>
    </row>
    <row r="237" spans="1:10" ht="30" customHeight="1" x14ac:dyDescent="0.2">
      <c r="A237" s="3094"/>
      <c r="B237" s="3092" t="s">
        <v>4037</v>
      </c>
      <c r="C237" s="3091"/>
      <c r="D237" s="3091" t="s">
        <v>5128</v>
      </c>
      <c r="E237" s="3179" t="s">
        <v>5025</v>
      </c>
      <c r="F237" s="3182">
        <v>104000000</v>
      </c>
      <c r="G237" s="3097"/>
      <c r="H237" s="3096">
        <v>520000000</v>
      </c>
      <c r="I237" s="3118" t="s">
        <v>5127</v>
      </c>
      <c r="J237" s="2021"/>
    </row>
    <row r="238" spans="1:10" ht="30" customHeight="1" x14ac:dyDescent="0.2">
      <c r="A238" s="7654"/>
      <c r="B238" s="7661" t="s">
        <v>5198</v>
      </c>
      <c r="C238" s="3091"/>
      <c r="D238" s="3091" t="s">
        <v>5200</v>
      </c>
      <c r="E238" s="3091" t="s">
        <v>1525</v>
      </c>
      <c r="F238" s="3096">
        <v>80000000</v>
      </c>
      <c r="G238" s="3097"/>
      <c r="H238" s="3096">
        <v>100000000</v>
      </c>
      <c r="I238" s="3118" t="s">
        <v>5199</v>
      </c>
      <c r="J238" s="2021" t="s">
        <v>8329</v>
      </c>
    </row>
    <row r="239" spans="1:10" ht="30" customHeight="1" x14ac:dyDescent="0.2">
      <c r="A239" s="7655"/>
      <c r="B239" s="7663"/>
      <c r="C239" s="7666" t="s">
        <v>8330</v>
      </c>
      <c r="D239" s="7667"/>
      <c r="E239" s="7667"/>
      <c r="F239" s="7667"/>
      <c r="G239" s="7667"/>
      <c r="H239" s="7667"/>
      <c r="I239" s="7668"/>
      <c r="J239" s="7195"/>
    </row>
    <row r="240" spans="1:10" ht="30" customHeight="1" x14ac:dyDescent="0.2">
      <c r="A240" s="7654"/>
      <c r="B240" s="7681" t="s">
        <v>5217</v>
      </c>
      <c r="C240" s="7657" t="s">
        <v>5174</v>
      </c>
      <c r="D240" s="7657" t="s">
        <v>5408</v>
      </c>
      <c r="E240" s="3091" t="s">
        <v>854</v>
      </c>
      <c r="F240" s="3096">
        <v>3000000</v>
      </c>
      <c r="G240" s="7659"/>
      <c r="H240" s="7563">
        <v>125000000</v>
      </c>
      <c r="I240" s="7561" t="s">
        <v>5409</v>
      </c>
      <c r="J240" s="2021" t="s">
        <v>5678</v>
      </c>
    </row>
    <row r="241" spans="1:10" ht="30" customHeight="1" x14ac:dyDescent="0.2">
      <c r="A241" s="7655"/>
      <c r="B241" s="7682"/>
      <c r="C241" s="7658"/>
      <c r="D241" s="7658"/>
      <c r="E241" s="3648" t="s">
        <v>854</v>
      </c>
      <c r="F241" s="3647">
        <v>2000000</v>
      </c>
      <c r="G241" s="7660"/>
      <c r="H241" s="7564"/>
      <c r="I241" s="7562"/>
      <c r="J241" s="3670" t="s">
        <v>5679</v>
      </c>
    </row>
    <row r="242" spans="1:10" ht="30" customHeight="1" x14ac:dyDescent="0.2">
      <c r="A242" s="7654"/>
      <c r="B242" s="7661" t="s">
        <v>5677</v>
      </c>
      <c r="C242" s="7657"/>
      <c r="D242" s="7657"/>
      <c r="E242" s="7657" t="s">
        <v>852</v>
      </c>
      <c r="F242" s="7563">
        <v>70000000</v>
      </c>
      <c r="G242" s="7659"/>
      <c r="H242" s="7563"/>
      <c r="I242" s="7561"/>
      <c r="J242" s="3927" t="s">
        <v>5680</v>
      </c>
    </row>
    <row r="243" spans="1:10" ht="30" customHeight="1" x14ac:dyDescent="0.2">
      <c r="A243" s="7656"/>
      <c r="B243" s="7662"/>
      <c r="C243" s="7664"/>
      <c r="D243" s="7664"/>
      <c r="E243" s="7664"/>
      <c r="F243" s="7586"/>
      <c r="G243" s="7676"/>
      <c r="H243" s="7586"/>
      <c r="I243" s="7672"/>
      <c r="J243" s="3924" t="s">
        <v>5681</v>
      </c>
    </row>
    <row r="244" spans="1:10" ht="30" customHeight="1" x14ac:dyDescent="0.2">
      <c r="A244" s="7655"/>
      <c r="B244" s="7663"/>
      <c r="C244" s="7658"/>
      <c r="D244" s="7658"/>
      <c r="E244" s="7658"/>
      <c r="F244" s="7564"/>
      <c r="G244" s="7660"/>
      <c r="H244" s="7564"/>
      <c r="I244" s="7562"/>
      <c r="J244" s="3924" t="s">
        <v>5682</v>
      </c>
    </row>
    <row r="245" spans="1:10" ht="30" customHeight="1" x14ac:dyDescent="0.2">
      <c r="A245" s="3094"/>
      <c r="B245" s="3092" t="s">
        <v>839</v>
      </c>
      <c r="C245" s="3091" t="s">
        <v>3893</v>
      </c>
      <c r="D245" s="3091"/>
      <c r="E245" s="3091" t="s">
        <v>1525</v>
      </c>
      <c r="F245" s="3096">
        <v>200000000</v>
      </c>
      <c r="G245" s="3097"/>
      <c r="H245" s="3096"/>
      <c r="I245" s="3118"/>
      <c r="J245" s="2021"/>
    </row>
    <row r="246" spans="1:10" ht="30" customHeight="1" x14ac:dyDescent="0.2">
      <c r="A246" s="3589"/>
      <c r="B246" s="3588" t="s">
        <v>3459</v>
      </c>
      <c r="C246" s="3591" t="s">
        <v>5016</v>
      </c>
      <c r="D246" s="3591" t="s">
        <v>6330</v>
      </c>
      <c r="E246" s="3591" t="s">
        <v>899</v>
      </c>
      <c r="F246" s="3587">
        <v>100000000</v>
      </c>
      <c r="G246" s="3590"/>
      <c r="H246" s="3587">
        <v>500000000</v>
      </c>
      <c r="I246" s="3607" t="s">
        <v>6331</v>
      </c>
      <c r="J246" s="3604" t="s">
        <v>5042</v>
      </c>
    </row>
    <row r="247" spans="1:10" ht="30" customHeight="1" x14ac:dyDescent="0.2">
      <c r="A247" s="7654"/>
      <c r="B247" s="7661" t="s">
        <v>5452</v>
      </c>
      <c r="C247" s="7657" t="s">
        <v>5434</v>
      </c>
      <c r="D247" s="7657" t="s">
        <v>5453</v>
      </c>
      <c r="E247" s="7657" t="s">
        <v>899</v>
      </c>
      <c r="F247" s="7563">
        <v>300000000</v>
      </c>
      <c r="G247" s="7659"/>
      <c r="H247" s="7563">
        <v>1600000000</v>
      </c>
      <c r="I247" s="7561" t="s">
        <v>5454</v>
      </c>
      <c r="J247" s="4573" t="s">
        <v>6296</v>
      </c>
    </row>
    <row r="248" spans="1:10" ht="30" customHeight="1" x14ac:dyDescent="0.2">
      <c r="A248" s="7656"/>
      <c r="B248" s="7662"/>
      <c r="C248" s="7664"/>
      <c r="D248" s="7664"/>
      <c r="E248" s="7664"/>
      <c r="F248" s="7586"/>
      <c r="G248" s="7676"/>
      <c r="H248" s="7586"/>
      <c r="I248" s="7672"/>
      <c r="J248" s="4573" t="s">
        <v>6297</v>
      </c>
    </row>
    <row r="249" spans="1:10" ht="30" customHeight="1" x14ac:dyDescent="0.2">
      <c r="A249" s="7656"/>
      <c r="B249" s="7662"/>
      <c r="C249" s="7664"/>
      <c r="D249" s="7664"/>
      <c r="E249" s="7664"/>
      <c r="F249" s="7586"/>
      <c r="G249" s="7676"/>
      <c r="H249" s="7586"/>
      <c r="I249" s="7672"/>
      <c r="J249" s="4573" t="s">
        <v>6300</v>
      </c>
    </row>
    <row r="250" spans="1:10" ht="30" customHeight="1" x14ac:dyDescent="0.2">
      <c r="A250" s="7655"/>
      <c r="B250" s="7663"/>
      <c r="C250" s="7658"/>
      <c r="D250" s="7658"/>
      <c r="E250" s="7658"/>
      <c r="F250" s="7564"/>
      <c r="G250" s="7660"/>
      <c r="H250" s="7564"/>
      <c r="I250" s="7562"/>
      <c r="J250" s="4573" t="s">
        <v>6299</v>
      </c>
    </row>
    <row r="251" spans="1:10" ht="30" customHeight="1" x14ac:dyDescent="0.2">
      <c r="A251" s="3589"/>
      <c r="B251" s="3588" t="s">
        <v>1753</v>
      </c>
      <c r="C251" s="3591"/>
      <c r="D251" s="3591" t="s">
        <v>5485</v>
      </c>
      <c r="E251" s="3591" t="s">
        <v>899</v>
      </c>
      <c r="F251" s="3587">
        <v>20000000</v>
      </c>
      <c r="G251" s="3590"/>
      <c r="H251" s="3587">
        <v>100000000</v>
      </c>
      <c r="I251" s="3607" t="s">
        <v>5486</v>
      </c>
      <c r="J251" s="3606"/>
    </row>
    <row r="252" spans="1:10" ht="30" customHeight="1" x14ac:dyDescent="0.2">
      <c r="A252" s="3589"/>
      <c r="B252" s="5164" t="s">
        <v>5487</v>
      </c>
      <c r="C252" s="5168"/>
      <c r="D252" s="5168" t="s">
        <v>5489</v>
      </c>
      <c r="E252" s="5168" t="s">
        <v>899</v>
      </c>
      <c r="F252" s="5166">
        <v>100000000</v>
      </c>
      <c r="G252" s="5165"/>
      <c r="H252" s="5166">
        <v>500000000</v>
      </c>
      <c r="I252" s="56" t="s">
        <v>5488</v>
      </c>
      <c r="J252" s="5202" t="s">
        <v>6823</v>
      </c>
    </row>
    <row r="253" spans="1:10" ht="30" customHeight="1" x14ac:dyDescent="0.2">
      <c r="A253" s="3763"/>
      <c r="B253" s="3760" t="s">
        <v>5530</v>
      </c>
      <c r="C253" s="3767" t="s">
        <v>3977</v>
      </c>
      <c r="D253" s="3767" t="s">
        <v>5532</v>
      </c>
      <c r="E253" s="3767" t="s">
        <v>3781</v>
      </c>
      <c r="F253" s="3757">
        <v>18500000</v>
      </c>
      <c r="G253" s="3766"/>
      <c r="H253" s="3757">
        <v>55000000</v>
      </c>
      <c r="I253" s="3816" t="s">
        <v>5531</v>
      </c>
      <c r="J253" s="3818" t="s">
        <v>5528</v>
      </c>
    </row>
    <row r="254" spans="1:10" ht="30" customHeight="1" x14ac:dyDescent="0.2">
      <c r="A254" s="3763"/>
      <c r="B254" s="3760" t="s">
        <v>5567</v>
      </c>
      <c r="C254" s="3767"/>
      <c r="D254" s="3767" t="s">
        <v>5569</v>
      </c>
      <c r="E254" s="3767" t="s">
        <v>5568</v>
      </c>
      <c r="F254" s="3757">
        <v>55000000</v>
      </c>
      <c r="G254" s="3766"/>
      <c r="H254" s="3757">
        <v>110000000</v>
      </c>
      <c r="I254" s="3816" t="s">
        <v>5570</v>
      </c>
      <c r="J254" s="3818"/>
    </row>
    <row r="255" spans="1:10" ht="30" customHeight="1" x14ac:dyDescent="0.2">
      <c r="A255" s="3763"/>
      <c r="B255" s="3760"/>
      <c r="C255" s="3767"/>
      <c r="D255" s="3767"/>
      <c r="E255" s="3767"/>
      <c r="F255" s="3757"/>
      <c r="G255" s="3766"/>
      <c r="H255" s="3757"/>
      <c r="I255" s="3816"/>
      <c r="J255" s="3909"/>
    </row>
    <row r="256" spans="1:10" ht="30" customHeight="1" x14ac:dyDescent="0.2">
      <c r="A256" s="3763"/>
      <c r="B256" s="3760" t="s">
        <v>5724</v>
      </c>
      <c r="C256" s="3767"/>
      <c r="D256" s="3767" t="s">
        <v>5720</v>
      </c>
      <c r="E256" s="3767" t="s">
        <v>5718</v>
      </c>
      <c r="F256" s="3757">
        <v>10000000</v>
      </c>
      <c r="G256" s="3766"/>
      <c r="H256" s="3757">
        <v>30000000</v>
      </c>
      <c r="I256" s="3816" t="s">
        <v>5719</v>
      </c>
      <c r="J256" s="3971" t="s">
        <v>5722</v>
      </c>
    </row>
    <row r="257" spans="1:10" ht="30" customHeight="1" x14ac:dyDescent="0.2">
      <c r="A257" s="3977"/>
      <c r="B257" s="3976" t="s">
        <v>5767</v>
      </c>
      <c r="C257" s="3978"/>
      <c r="D257" s="3978" t="s">
        <v>5078</v>
      </c>
      <c r="E257" s="3978" t="s">
        <v>852</v>
      </c>
      <c r="F257" s="3975">
        <v>100000000</v>
      </c>
      <c r="G257" s="3980"/>
      <c r="H257" s="3975">
        <v>160000000</v>
      </c>
      <c r="I257" s="4004" t="s">
        <v>5766</v>
      </c>
      <c r="J257" s="4006" t="s">
        <v>5768</v>
      </c>
    </row>
    <row r="258" spans="1:10" ht="30" customHeight="1" x14ac:dyDescent="0.2">
      <c r="A258" s="3977"/>
      <c r="B258" s="3976" t="s">
        <v>5770</v>
      </c>
      <c r="C258" s="3978"/>
      <c r="D258" s="3978" t="s">
        <v>5347</v>
      </c>
      <c r="E258" s="3978" t="s">
        <v>899</v>
      </c>
      <c r="F258" s="3975">
        <v>25000000</v>
      </c>
      <c r="G258" s="3980"/>
      <c r="H258" s="3975">
        <v>125000000</v>
      </c>
      <c r="I258" s="4004" t="s">
        <v>5769</v>
      </c>
      <c r="J258" s="4006"/>
    </row>
    <row r="259" spans="1:10" ht="30" customHeight="1" x14ac:dyDescent="0.2">
      <c r="A259" s="3977"/>
      <c r="B259" s="3981" t="s">
        <v>702</v>
      </c>
      <c r="C259" s="3982"/>
      <c r="D259" s="3982" t="s">
        <v>5819</v>
      </c>
      <c r="E259" s="3982" t="s">
        <v>852</v>
      </c>
      <c r="F259" s="3984">
        <v>87100000</v>
      </c>
      <c r="G259" s="3985"/>
      <c r="H259" s="3984">
        <v>150000000</v>
      </c>
      <c r="I259" s="56" t="s">
        <v>5821</v>
      </c>
      <c r="J259" s="2024" t="s">
        <v>5838</v>
      </c>
    </row>
    <row r="260" spans="1:10" ht="30" customHeight="1" x14ac:dyDescent="0.2">
      <c r="A260" s="3977"/>
      <c r="B260" s="4019" t="s">
        <v>5775</v>
      </c>
      <c r="C260" s="4020"/>
      <c r="D260" s="4020" t="s">
        <v>5776</v>
      </c>
      <c r="E260" s="4020" t="s">
        <v>854</v>
      </c>
      <c r="F260" s="3624">
        <v>10000000</v>
      </c>
      <c r="G260" s="4021"/>
      <c r="H260" s="3624">
        <v>2400000000</v>
      </c>
      <c r="I260" s="3625" t="s">
        <v>5777</v>
      </c>
      <c r="J260" s="4022" t="s">
        <v>5780</v>
      </c>
    </row>
    <row r="261" spans="1:10" ht="30" customHeight="1" x14ac:dyDescent="0.2">
      <c r="A261" s="3977"/>
      <c r="B261" s="4019" t="s">
        <v>5800</v>
      </c>
      <c r="C261" s="4020"/>
      <c r="D261" s="4020" t="s">
        <v>5801</v>
      </c>
      <c r="E261" s="4020" t="s">
        <v>899</v>
      </c>
      <c r="F261" s="3624">
        <v>30000000</v>
      </c>
      <c r="G261" s="4021"/>
      <c r="H261" s="3624">
        <v>150000000</v>
      </c>
      <c r="I261" s="3625" t="s">
        <v>5778</v>
      </c>
      <c r="J261" s="4022" t="s">
        <v>5779</v>
      </c>
    </row>
    <row r="262" spans="1:10" ht="30" customHeight="1" x14ac:dyDescent="0.2">
      <c r="A262" s="3977"/>
      <c r="B262" s="4019" t="s">
        <v>5814</v>
      </c>
      <c r="C262" s="4020"/>
      <c r="D262" s="4020" t="s">
        <v>5815</v>
      </c>
      <c r="E262" s="4020" t="s">
        <v>854</v>
      </c>
      <c r="F262" s="3624">
        <v>7000000</v>
      </c>
      <c r="G262" s="4021"/>
      <c r="H262" s="3624">
        <v>168000000</v>
      </c>
      <c r="I262" s="3625" t="s">
        <v>5781</v>
      </c>
      <c r="J262" s="4022" t="s">
        <v>5782</v>
      </c>
    </row>
    <row r="263" spans="1:10" ht="30" customHeight="1" x14ac:dyDescent="0.2">
      <c r="A263" s="3977"/>
      <c r="B263" s="4019" t="s">
        <v>3622</v>
      </c>
      <c r="C263" s="4020"/>
      <c r="D263" s="4020" t="s">
        <v>5784</v>
      </c>
      <c r="E263" s="4020" t="s">
        <v>1184</v>
      </c>
      <c r="F263" s="3624">
        <v>40000000</v>
      </c>
      <c r="G263" s="4021"/>
      <c r="H263" s="3624">
        <v>200000000</v>
      </c>
      <c r="I263" s="3625" t="s">
        <v>5783</v>
      </c>
      <c r="J263" s="4022"/>
    </row>
    <row r="264" spans="1:10" ht="30" customHeight="1" x14ac:dyDescent="0.2">
      <c r="A264" s="3977"/>
      <c r="B264" s="4019" t="s">
        <v>5785</v>
      </c>
      <c r="C264" s="4020"/>
      <c r="D264" s="4020" t="s">
        <v>5787</v>
      </c>
      <c r="E264" s="4020" t="s">
        <v>854</v>
      </c>
      <c r="F264" s="3624">
        <v>10000000</v>
      </c>
      <c r="G264" s="4021"/>
      <c r="H264" s="3624">
        <v>240000000</v>
      </c>
      <c r="I264" s="3625" t="s">
        <v>5786</v>
      </c>
      <c r="J264" s="4022" t="s">
        <v>5788</v>
      </c>
    </row>
    <row r="265" spans="1:10" ht="30" customHeight="1" x14ac:dyDescent="0.2">
      <c r="A265" s="3977"/>
      <c r="B265" s="4019" t="s">
        <v>5799</v>
      </c>
      <c r="C265" s="4020"/>
      <c r="D265" s="4020" t="s">
        <v>5784</v>
      </c>
      <c r="E265" s="4020" t="s">
        <v>1184</v>
      </c>
      <c r="F265" s="3624">
        <v>5000000</v>
      </c>
      <c r="G265" s="4021"/>
      <c r="H265" s="3624">
        <v>25000000</v>
      </c>
      <c r="I265" s="3625" t="s">
        <v>5798</v>
      </c>
      <c r="J265" s="4022"/>
    </row>
    <row r="266" spans="1:10" ht="30" customHeight="1" x14ac:dyDescent="0.2">
      <c r="A266" s="3977"/>
      <c r="B266" s="4019" t="s">
        <v>3651</v>
      </c>
      <c r="C266" s="4020"/>
      <c r="D266" s="4020" t="s">
        <v>5791</v>
      </c>
      <c r="E266" s="4020" t="s">
        <v>854</v>
      </c>
      <c r="F266" s="3624">
        <v>5000000</v>
      </c>
      <c r="G266" s="4021"/>
      <c r="H266" s="3624">
        <v>120000000</v>
      </c>
      <c r="I266" s="3625" t="s">
        <v>5789</v>
      </c>
      <c r="J266" s="4022" t="s">
        <v>5790</v>
      </c>
    </row>
    <row r="267" spans="1:10" ht="30" customHeight="1" x14ac:dyDescent="0.2">
      <c r="A267" s="1028"/>
      <c r="B267" s="4025" t="s">
        <v>5562</v>
      </c>
      <c r="C267" s="4020"/>
      <c r="D267" s="4020" t="s">
        <v>4891</v>
      </c>
      <c r="E267" s="4020" t="s">
        <v>854</v>
      </c>
      <c r="F267" s="3624">
        <v>20000000</v>
      </c>
      <c r="G267" s="4021"/>
      <c r="H267" s="3624">
        <v>480000000</v>
      </c>
      <c r="I267" s="3625" t="s">
        <v>5813</v>
      </c>
      <c r="J267" s="4024" t="s">
        <v>5657</v>
      </c>
    </row>
    <row r="268" spans="1:10" ht="30" customHeight="1" x14ac:dyDescent="0.2">
      <c r="A268" s="7654"/>
      <c r="B268" s="7718" t="s">
        <v>5804</v>
      </c>
      <c r="C268" s="4020"/>
      <c r="D268" s="4020" t="s">
        <v>5808</v>
      </c>
      <c r="E268" s="4020" t="s">
        <v>854</v>
      </c>
      <c r="F268" s="3624">
        <v>20000000</v>
      </c>
      <c r="G268" s="4021"/>
      <c r="H268" s="3624">
        <v>480000000</v>
      </c>
      <c r="I268" s="3625" t="s">
        <v>5796</v>
      </c>
      <c r="J268" s="4024"/>
    </row>
    <row r="269" spans="1:10" ht="30" customHeight="1" x14ac:dyDescent="0.2">
      <c r="A269" s="7655"/>
      <c r="B269" s="7719"/>
      <c r="C269" s="4020"/>
      <c r="D269" s="4020" t="s">
        <v>5803</v>
      </c>
      <c r="E269" s="4020" t="s">
        <v>1184</v>
      </c>
      <c r="F269" s="3624">
        <v>30000000</v>
      </c>
      <c r="G269" s="4021"/>
      <c r="H269" s="3624">
        <v>150000000</v>
      </c>
      <c r="I269" s="3625" t="s">
        <v>5811</v>
      </c>
      <c r="J269" s="4022" t="s">
        <v>5812</v>
      </c>
    </row>
    <row r="270" spans="1:10" ht="30" customHeight="1" x14ac:dyDescent="0.2">
      <c r="A270" s="3977"/>
      <c r="B270" s="4019" t="s">
        <v>5820</v>
      </c>
      <c r="C270" s="4020"/>
      <c r="D270" s="4020" t="s">
        <v>5830</v>
      </c>
      <c r="E270" s="4020" t="s">
        <v>899</v>
      </c>
      <c r="F270" s="3624">
        <v>30000000</v>
      </c>
      <c r="G270" s="4021"/>
      <c r="H270" s="3624">
        <v>150000000</v>
      </c>
      <c r="I270" s="3625" t="s">
        <v>5817</v>
      </c>
      <c r="J270" s="4024"/>
    </row>
    <row r="271" spans="1:10" ht="30" customHeight="1" x14ac:dyDescent="0.2">
      <c r="A271" s="3977"/>
      <c r="B271" s="4019" t="s">
        <v>4198</v>
      </c>
      <c r="C271" s="4020" t="s">
        <v>4119</v>
      </c>
      <c r="D271" s="4020" t="s">
        <v>5823</v>
      </c>
      <c r="E271" s="4020" t="s">
        <v>1184</v>
      </c>
      <c r="F271" s="3624">
        <v>15000000</v>
      </c>
      <c r="G271" s="4021"/>
      <c r="H271" s="3624">
        <v>75000000</v>
      </c>
      <c r="I271" s="3625" t="s">
        <v>5822</v>
      </c>
      <c r="J271" s="4024" t="s">
        <v>4199</v>
      </c>
    </row>
    <row r="272" spans="1:10" ht="30" customHeight="1" x14ac:dyDescent="0.2">
      <c r="A272" s="7654"/>
      <c r="B272" s="7718" t="s">
        <v>5826</v>
      </c>
      <c r="C272" s="4020"/>
      <c r="D272" s="4020" t="s">
        <v>5827</v>
      </c>
      <c r="E272" s="4020" t="s">
        <v>854</v>
      </c>
      <c r="F272" s="3624">
        <v>15000000</v>
      </c>
      <c r="G272" s="4021"/>
      <c r="H272" s="3624">
        <v>360000000</v>
      </c>
      <c r="I272" s="3625" t="s">
        <v>5824</v>
      </c>
      <c r="J272" s="4022" t="s">
        <v>5825</v>
      </c>
    </row>
    <row r="273" spans="1:10" ht="30" customHeight="1" x14ac:dyDescent="0.2">
      <c r="A273" s="7655"/>
      <c r="B273" s="7719"/>
      <c r="C273" s="4020"/>
      <c r="D273" s="4020" t="s">
        <v>5831</v>
      </c>
      <c r="E273" s="3982"/>
      <c r="F273" s="3984"/>
      <c r="G273" s="4021"/>
      <c r="H273" s="3624">
        <v>47000000</v>
      </c>
      <c r="I273" s="3625" t="s">
        <v>5832</v>
      </c>
      <c r="J273" s="4022"/>
    </row>
    <row r="274" spans="1:10" ht="30" customHeight="1" x14ac:dyDescent="0.2">
      <c r="A274" s="3977"/>
      <c r="B274" s="4019" t="s">
        <v>4002</v>
      </c>
      <c r="C274" s="4020"/>
      <c r="D274" s="4020" t="s">
        <v>5829</v>
      </c>
      <c r="E274" s="3982"/>
      <c r="F274" s="3984"/>
      <c r="G274" s="4021"/>
      <c r="H274" s="3624">
        <v>70000000</v>
      </c>
      <c r="I274" s="3625" t="s">
        <v>5828</v>
      </c>
      <c r="J274" s="4024"/>
    </row>
    <row r="275" spans="1:10" ht="30" customHeight="1" x14ac:dyDescent="0.2">
      <c r="A275" s="3977"/>
      <c r="B275" s="4019" t="s">
        <v>5836</v>
      </c>
      <c r="C275" s="4020"/>
      <c r="D275" s="4020" t="s">
        <v>5837</v>
      </c>
      <c r="E275" s="4020" t="s">
        <v>1525</v>
      </c>
      <c r="F275" s="3624">
        <v>17000000</v>
      </c>
      <c r="G275" s="4021"/>
      <c r="H275" s="3624">
        <v>23000000</v>
      </c>
      <c r="I275" s="3625" t="s">
        <v>5834</v>
      </c>
      <c r="J275" s="4024"/>
    </row>
    <row r="276" spans="1:10" ht="30" customHeight="1" x14ac:dyDescent="0.2">
      <c r="A276" s="4106"/>
      <c r="B276" s="4111" t="s">
        <v>5925</v>
      </c>
      <c r="C276" s="4109"/>
      <c r="D276" s="4109" t="s">
        <v>5926</v>
      </c>
      <c r="E276" s="4109" t="s">
        <v>854</v>
      </c>
      <c r="F276" s="4103">
        <v>10000000</v>
      </c>
      <c r="G276" s="4110"/>
      <c r="H276" s="4103">
        <v>240000000</v>
      </c>
      <c r="I276" s="4134" t="s">
        <v>5927</v>
      </c>
      <c r="J276" s="4129" t="s">
        <v>5928</v>
      </c>
    </row>
    <row r="277" spans="1:10" ht="30" customHeight="1" x14ac:dyDescent="0.2">
      <c r="A277" s="7654"/>
      <c r="B277" s="7652" t="s">
        <v>3080</v>
      </c>
      <c r="C277" s="4109"/>
      <c r="D277" s="4115" t="s">
        <v>2341</v>
      </c>
      <c r="E277" s="4115"/>
      <c r="F277" s="4116"/>
      <c r="G277" s="4114"/>
      <c r="H277" s="4116">
        <v>66500000</v>
      </c>
      <c r="I277" s="437" t="s">
        <v>5935</v>
      </c>
      <c r="J277" s="4158" t="s">
        <v>5936</v>
      </c>
    </row>
    <row r="278" spans="1:10" ht="30" customHeight="1" x14ac:dyDescent="0.2">
      <c r="A278" s="7655"/>
      <c r="B278" s="7653"/>
      <c r="C278" s="4109" t="s">
        <v>2341</v>
      </c>
      <c r="D278" s="4109" t="s">
        <v>5937</v>
      </c>
      <c r="E278" s="4109" t="s">
        <v>852</v>
      </c>
      <c r="F278" s="4103">
        <v>60000000</v>
      </c>
      <c r="G278" s="4110"/>
      <c r="H278" s="4103">
        <v>100000000</v>
      </c>
      <c r="I278" s="4134" t="s">
        <v>5938</v>
      </c>
      <c r="J278" s="4129"/>
    </row>
    <row r="279" spans="1:10" ht="30" customHeight="1" x14ac:dyDescent="0.2">
      <c r="A279" s="7654"/>
      <c r="B279" s="7710" t="s">
        <v>251</v>
      </c>
      <c r="C279" s="4112" t="s">
        <v>5954</v>
      </c>
      <c r="D279" s="4109" t="s">
        <v>5952</v>
      </c>
      <c r="E279" s="4109" t="s">
        <v>854</v>
      </c>
      <c r="F279" s="4103">
        <v>50000000</v>
      </c>
      <c r="G279" s="4110"/>
      <c r="H279" s="4103">
        <v>1200000000</v>
      </c>
      <c r="I279" s="4134" t="s">
        <v>5953</v>
      </c>
      <c r="J279" s="4129"/>
    </row>
    <row r="280" spans="1:10" ht="30" customHeight="1" x14ac:dyDescent="0.2">
      <c r="A280" s="7656"/>
      <c r="B280" s="7711"/>
      <c r="C280" s="4112"/>
      <c r="D280" s="4109" t="s">
        <v>5962</v>
      </c>
      <c r="E280" s="4112"/>
      <c r="F280" s="4117"/>
      <c r="G280" s="4110"/>
      <c r="H280" s="4103">
        <v>208000000</v>
      </c>
      <c r="I280" s="4134" t="s">
        <v>5961</v>
      </c>
      <c r="J280" s="4158" t="s">
        <v>3976</v>
      </c>
    </row>
    <row r="281" spans="1:10" ht="30" customHeight="1" x14ac:dyDescent="0.2">
      <c r="A281" s="7655"/>
      <c r="B281" s="7712"/>
      <c r="C281" s="4112"/>
      <c r="D281" s="4109" t="s">
        <v>5963</v>
      </c>
      <c r="E281" s="4109"/>
      <c r="F281" s="4103"/>
      <c r="G281" s="4110"/>
      <c r="H281" s="4103">
        <v>228000000</v>
      </c>
      <c r="I281" s="4134" t="s">
        <v>5964</v>
      </c>
      <c r="J281" s="4129"/>
    </row>
    <row r="282" spans="1:10" ht="30" customHeight="1" x14ac:dyDescent="0.2">
      <c r="A282" s="4191"/>
      <c r="B282" s="4189" t="s">
        <v>6014</v>
      </c>
      <c r="C282" s="4193"/>
      <c r="D282" s="4193" t="s">
        <v>6016</v>
      </c>
      <c r="E282" s="4196"/>
      <c r="F282" s="4199"/>
      <c r="G282" s="4195"/>
      <c r="H282" s="4188">
        <v>50000000</v>
      </c>
      <c r="I282" s="4221" t="s">
        <v>6015</v>
      </c>
      <c r="J282" s="4214"/>
    </row>
    <row r="283" spans="1:10" ht="30" customHeight="1" x14ac:dyDescent="0.2">
      <c r="A283" s="4191"/>
      <c r="B283" s="4189" t="s">
        <v>6022</v>
      </c>
      <c r="C283" s="4193"/>
      <c r="D283" s="4193" t="s">
        <v>6021</v>
      </c>
      <c r="E283" s="4193" t="s">
        <v>852</v>
      </c>
      <c r="F283" s="4188">
        <v>50000000</v>
      </c>
      <c r="G283" s="4195"/>
      <c r="H283" s="4188">
        <v>100000000</v>
      </c>
      <c r="I283" s="4221" t="s">
        <v>6020</v>
      </c>
      <c r="J283" s="4214" t="s">
        <v>6066</v>
      </c>
    </row>
    <row r="284" spans="1:10" ht="30" customHeight="1" x14ac:dyDescent="0.2">
      <c r="A284" s="4191"/>
      <c r="B284" s="4189" t="s">
        <v>6610</v>
      </c>
      <c r="C284" s="4193" t="s">
        <v>5995</v>
      </c>
      <c r="D284" s="4193" t="s">
        <v>6187</v>
      </c>
      <c r="E284" s="4193" t="s">
        <v>899</v>
      </c>
      <c r="F284" s="4188">
        <v>20000000</v>
      </c>
      <c r="G284" s="4195"/>
      <c r="H284" s="4188">
        <v>100000000</v>
      </c>
      <c r="I284" s="4221" t="s">
        <v>6611</v>
      </c>
      <c r="J284" s="4233" t="s">
        <v>6082</v>
      </c>
    </row>
    <row r="285" spans="1:10" ht="30" customHeight="1" x14ac:dyDescent="0.2">
      <c r="A285" s="4246"/>
      <c r="B285" s="4249" t="s">
        <v>282</v>
      </c>
      <c r="C285" s="4248" t="s">
        <v>5735</v>
      </c>
      <c r="D285" s="4248" t="s">
        <v>5829</v>
      </c>
      <c r="E285" s="4248" t="s">
        <v>2831</v>
      </c>
      <c r="F285" s="4245">
        <v>70000000</v>
      </c>
      <c r="G285" s="4247"/>
      <c r="H285" s="4245">
        <v>100000000</v>
      </c>
      <c r="I285" s="4256" t="s">
        <v>7483</v>
      </c>
      <c r="J285" s="4253" t="s">
        <v>6088</v>
      </c>
    </row>
    <row r="286" spans="1:10" ht="30" customHeight="1" x14ac:dyDescent="0.2">
      <c r="A286" s="4246"/>
      <c r="B286" s="4249" t="s">
        <v>6096</v>
      </c>
      <c r="C286" s="4248"/>
      <c r="D286" s="4248" t="s">
        <v>6187</v>
      </c>
      <c r="E286" s="4248" t="s">
        <v>852</v>
      </c>
      <c r="F286" s="4245">
        <v>30000000</v>
      </c>
      <c r="G286" s="4247"/>
      <c r="H286" s="4245">
        <v>55000000</v>
      </c>
      <c r="I286" s="4256" t="s">
        <v>7476</v>
      </c>
      <c r="J286" s="2022" t="s">
        <v>6318</v>
      </c>
    </row>
    <row r="287" spans="1:10" ht="30" customHeight="1" x14ac:dyDescent="0.2">
      <c r="A287" s="4405"/>
      <c r="B287" s="4409" t="s">
        <v>6128</v>
      </c>
      <c r="C287" s="4408" t="s">
        <v>6023</v>
      </c>
      <c r="D287" s="4408"/>
      <c r="E287" s="4408" t="s">
        <v>1525</v>
      </c>
      <c r="F287" s="4404">
        <v>100000000</v>
      </c>
      <c r="G287" s="4407"/>
      <c r="H287" s="4404">
        <v>136000000</v>
      </c>
      <c r="I287" s="4437" t="s">
        <v>6130</v>
      </c>
      <c r="J287" s="4421" t="s">
        <v>6129</v>
      </c>
    </row>
    <row r="288" spans="1:10" ht="30" customHeight="1" x14ac:dyDescent="0.2">
      <c r="A288" s="4405"/>
      <c r="B288" s="4409" t="s">
        <v>6178</v>
      </c>
      <c r="C288" s="4408"/>
      <c r="D288" s="4408" t="s">
        <v>6180</v>
      </c>
      <c r="E288" s="4408"/>
      <c r="F288" s="4404">
        <v>10000000</v>
      </c>
      <c r="G288" s="4407"/>
      <c r="H288" s="4404">
        <v>18000000</v>
      </c>
      <c r="I288" s="4437" t="s">
        <v>6179</v>
      </c>
      <c r="J288" s="4421" t="s">
        <v>6181</v>
      </c>
    </row>
    <row r="289" spans="1:10" ht="30" customHeight="1" x14ac:dyDescent="0.2">
      <c r="A289" s="4448"/>
      <c r="B289" s="4446" t="s">
        <v>67</v>
      </c>
      <c r="C289" s="4452" t="s">
        <v>5995</v>
      </c>
      <c r="D289" s="4452" t="s">
        <v>6187</v>
      </c>
      <c r="E289" s="4452" t="s">
        <v>852</v>
      </c>
      <c r="F289" s="4443">
        <v>60000000</v>
      </c>
      <c r="G289" s="4453"/>
      <c r="H289" s="4443">
        <v>105000000</v>
      </c>
      <c r="I289" s="4473" t="s">
        <v>6186</v>
      </c>
      <c r="J289" s="4465" t="s">
        <v>6188</v>
      </c>
    </row>
    <row r="290" spans="1:10" ht="30" customHeight="1" x14ac:dyDescent="0.2">
      <c r="A290" s="4448"/>
      <c r="B290" s="4446" t="s">
        <v>157</v>
      </c>
      <c r="C290" s="4452"/>
      <c r="D290" s="4452" t="s">
        <v>6200</v>
      </c>
      <c r="E290" s="4452" t="s">
        <v>852</v>
      </c>
      <c r="F290" s="4443">
        <v>30000000</v>
      </c>
      <c r="G290" s="4453"/>
      <c r="H290" s="4443">
        <v>51000000</v>
      </c>
      <c r="I290" s="4473" t="s">
        <v>6201</v>
      </c>
      <c r="J290" s="4465" t="s">
        <v>6202</v>
      </c>
    </row>
    <row r="291" spans="1:10" ht="30" customHeight="1" x14ac:dyDescent="0.2">
      <c r="A291" s="4448"/>
      <c r="B291" s="4446" t="s">
        <v>6271</v>
      </c>
      <c r="C291" s="4452" t="s">
        <v>6220</v>
      </c>
      <c r="D291" s="4452" t="s">
        <v>1529</v>
      </c>
      <c r="E291" s="4452" t="s">
        <v>1525</v>
      </c>
      <c r="F291" s="4443">
        <v>150000000</v>
      </c>
      <c r="G291" s="4453"/>
      <c r="H291" s="4443">
        <v>204000000</v>
      </c>
      <c r="I291" s="4473" t="s">
        <v>6276</v>
      </c>
      <c r="J291" s="4502" t="s">
        <v>6666</v>
      </c>
    </row>
    <row r="292" spans="1:10" ht="30" customHeight="1" x14ac:dyDescent="0.2">
      <c r="A292" s="4448"/>
      <c r="B292" s="4486" t="s">
        <v>5691</v>
      </c>
      <c r="C292" s="4452" t="s">
        <v>3807</v>
      </c>
      <c r="D292" s="4585" t="s">
        <v>6328</v>
      </c>
      <c r="E292" s="4452" t="s">
        <v>899</v>
      </c>
      <c r="F292" s="4443">
        <v>20000000</v>
      </c>
      <c r="G292" s="4453"/>
      <c r="H292" s="4443">
        <v>100000000</v>
      </c>
      <c r="I292" s="4473" t="s">
        <v>6280</v>
      </c>
      <c r="J292" s="4502" t="s">
        <v>6277</v>
      </c>
    </row>
    <row r="293" spans="1:10" ht="30" customHeight="1" x14ac:dyDescent="0.2">
      <c r="A293" s="4448"/>
      <c r="B293" s="4446" t="s">
        <v>6320</v>
      </c>
      <c r="C293" s="4452" t="s">
        <v>6192</v>
      </c>
      <c r="D293" s="4452" t="s">
        <v>6321</v>
      </c>
      <c r="E293" s="4452" t="s">
        <v>852</v>
      </c>
      <c r="F293" s="4443">
        <v>100000000</v>
      </c>
      <c r="G293" s="4453"/>
      <c r="H293" s="6078">
        <v>190000000</v>
      </c>
      <c r="I293" s="6097" t="s">
        <v>7575</v>
      </c>
      <c r="J293" s="4566" t="s">
        <v>6322</v>
      </c>
    </row>
    <row r="294" spans="1:10" ht="30" customHeight="1" x14ac:dyDescent="0.2">
      <c r="A294" s="7654"/>
      <c r="B294" s="7652" t="s">
        <v>6450</v>
      </c>
      <c r="C294" s="7657"/>
      <c r="D294" s="7657" t="s">
        <v>6452</v>
      </c>
      <c r="E294" s="7657" t="s">
        <v>852</v>
      </c>
      <c r="F294" s="7563">
        <v>38000000</v>
      </c>
      <c r="G294" s="7659"/>
      <c r="H294" s="7563">
        <v>66000000</v>
      </c>
      <c r="I294" s="7561" t="s">
        <v>6451</v>
      </c>
      <c r="J294" s="4465" t="s">
        <v>6453</v>
      </c>
    </row>
    <row r="295" spans="1:10" ht="30" customHeight="1" x14ac:dyDescent="0.2">
      <c r="A295" s="7655"/>
      <c r="B295" s="7653"/>
      <c r="C295" s="7658"/>
      <c r="D295" s="7658"/>
      <c r="E295" s="7658"/>
      <c r="F295" s="7564"/>
      <c r="G295" s="7660"/>
      <c r="H295" s="7564"/>
      <c r="I295" s="7562"/>
      <c r="J295" s="4835" t="s">
        <v>6638</v>
      </c>
    </row>
    <row r="296" spans="1:10" ht="30" customHeight="1" x14ac:dyDescent="0.2">
      <c r="A296" s="4703"/>
      <c r="B296" s="4704" t="s">
        <v>6455</v>
      </c>
      <c r="C296" s="4707"/>
      <c r="D296" s="4707" t="s">
        <v>6458</v>
      </c>
      <c r="E296" s="4707" t="s">
        <v>852</v>
      </c>
      <c r="F296" s="4702">
        <v>50000000</v>
      </c>
      <c r="G296" s="4708"/>
      <c r="H296" s="4702">
        <v>87000000</v>
      </c>
      <c r="I296" s="4720" t="s">
        <v>6456</v>
      </c>
      <c r="J296" s="4717" t="s">
        <v>6457</v>
      </c>
    </row>
    <row r="297" spans="1:10" ht="30" customHeight="1" x14ac:dyDescent="0.2">
      <c r="A297" s="4703"/>
      <c r="B297" s="4704" t="s">
        <v>8012</v>
      </c>
      <c r="C297" s="4707" t="s">
        <v>6354</v>
      </c>
      <c r="D297" s="4707" t="s">
        <v>6460</v>
      </c>
      <c r="E297" s="4707" t="s">
        <v>2596</v>
      </c>
      <c r="F297" s="4702">
        <v>100000000</v>
      </c>
      <c r="G297" s="4708"/>
      <c r="H297" s="4702">
        <v>124000000</v>
      </c>
      <c r="I297" s="4720" t="s">
        <v>6461</v>
      </c>
      <c r="J297" s="4717" t="s">
        <v>6462</v>
      </c>
    </row>
    <row r="298" spans="1:10" ht="30" customHeight="1" x14ac:dyDescent="0.2">
      <c r="A298" s="4703"/>
      <c r="B298" s="4704" t="s">
        <v>6466</v>
      </c>
      <c r="C298" s="4707"/>
      <c r="D298" s="4707" t="s">
        <v>6468</v>
      </c>
      <c r="E298" s="4707" t="s">
        <v>854</v>
      </c>
      <c r="F298" s="4702">
        <v>1000000</v>
      </c>
      <c r="G298" s="4708"/>
      <c r="H298" s="4702">
        <v>24000000</v>
      </c>
      <c r="I298" s="4720" t="s">
        <v>6467</v>
      </c>
      <c r="J298" s="4717" t="s">
        <v>6469</v>
      </c>
    </row>
    <row r="299" spans="1:10" ht="30" customHeight="1" x14ac:dyDescent="0.2">
      <c r="A299" s="4703"/>
      <c r="B299" s="4704" t="s">
        <v>6472</v>
      </c>
      <c r="C299" s="4707"/>
      <c r="D299" s="4707" t="s">
        <v>4207</v>
      </c>
      <c r="E299" s="4707" t="s">
        <v>1184</v>
      </c>
      <c r="F299" s="4702">
        <v>15000000</v>
      </c>
      <c r="G299" s="4708"/>
      <c r="H299" s="4702">
        <v>75000000</v>
      </c>
      <c r="I299" s="4720" t="s">
        <v>6473</v>
      </c>
      <c r="J299" s="4717" t="s">
        <v>6474</v>
      </c>
    </row>
    <row r="300" spans="1:10" ht="30" customHeight="1" x14ac:dyDescent="0.2">
      <c r="A300" s="7654"/>
      <c r="B300" s="7652" t="s">
        <v>6475</v>
      </c>
      <c r="C300" s="4707"/>
      <c r="D300" s="4707" t="s">
        <v>6477</v>
      </c>
      <c r="E300" s="4707" t="s">
        <v>854</v>
      </c>
      <c r="F300" s="4702">
        <v>10000000</v>
      </c>
      <c r="G300" s="4708"/>
      <c r="H300" s="4702">
        <v>240000000</v>
      </c>
      <c r="I300" s="4720" t="s">
        <v>6476</v>
      </c>
      <c r="J300" s="4717" t="s">
        <v>6478</v>
      </c>
    </row>
    <row r="301" spans="1:10" ht="30" customHeight="1" x14ac:dyDescent="0.2">
      <c r="A301" s="7655"/>
      <c r="B301" s="7653"/>
      <c r="C301" s="4707"/>
      <c r="D301" s="4707" t="s">
        <v>6479</v>
      </c>
      <c r="E301" s="4707" t="s">
        <v>1184</v>
      </c>
      <c r="F301" s="4702">
        <v>16000000</v>
      </c>
      <c r="G301" s="4708"/>
      <c r="H301" s="4702">
        <v>80000000</v>
      </c>
      <c r="I301" s="4720" t="s">
        <v>6480</v>
      </c>
      <c r="J301" s="4717" t="s">
        <v>6481</v>
      </c>
    </row>
    <row r="302" spans="1:10" ht="30" customHeight="1" x14ac:dyDescent="0.2">
      <c r="A302" s="4703"/>
      <c r="B302" s="4704" t="s">
        <v>6482</v>
      </c>
      <c r="C302" s="4707"/>
      <c r="D302" s="4707" t="s">
        <v>6484</v>
      </c>
      <c r="E302" s="4707" t="s">
        <v>1184</v>
      </c>
      <c r="F302" s="4702">
        <v>25000000</v>
      </c>
      <c r="G302" s="4708"/>
      <c r="H302" s="4702">
        <v>125000000</v>
      </c>
      <c r="I302" s="4720" t="s">
        <v>6483</v>
      </c>
      <c r="J302" s="4717" t="s">
        <v>6485</v>
      </c>
    </row>
    <row r="303" spans="1:10" ht="30" customHeight="1" x14ac:dyDescent="0.2">
      <c r="A303" s="4703"/>
      <c r="B303" s="4704" t="s">
        <v>6486</v>
      </c>
      <c r="C303" s="4707" t="s">
        <v>5962</v>
      </c>
      <c r="D303" s="4707" t="s">
        <v>6489</v>
      </c>
      <c r="E303" s="4707" t="s">
        <v>854</v>
      </c>
      <c r="F303" s="4702">
        <v>5000000</v>
      </c>
      <c r="G303" s="4708"/>
      <c r="H303" s="4702">
        <v>120000000</v>
      </c>
      <c r="I303" s="4720" t="s">
        <v>6487</v>
      </c>
      <c r="J303" s="4717" t="s">
        <v>6488</v>
      </c>
    </row>
    <row r="304" spans="1:10" ht="30" customHeight="1" x14ac:dyDescent="0.2">
      <c r="A304" s="7654"/>
      <c r="B304" s="7652" t="s">
        <v>257</v>
      </c>
      <c r="C304" s="7657"/>
      <c r="D304" s="7657" t="s">
        <v>6492</v>
      </c>
      <c r="E304" s="7657" t="s">
        <v>2126</v>
      </c>
      <c r="F304" s="7563">
        <v>22000000</v>
      </c>
      <c r="G304" s="7659"/>
      <c r="H304" s="7677">
        <v>29000000</v>
      </c>
      <c r="I304" s="7561" t="s">
        <v>6490</v>
      </c>
      <c r="J304" s="4717" t="s">
        <v>6491</v>
      </c>
    </row>
    <row r="305" spans="1:10" ht="30" customHeight="1" x14ac:dyDescent="0.2">
      <c r="A305" s="7655"/>
      <c r="B305" s="7653"/>
      <c r="C305" s="7658"/>
      <c r="D305" s="7658"/>
      <c r="E305" s="7658"/>
      <c r="F305" s="7564"/>
      <c r="G305" s="7660"/>
      <c r="H305" s="7678"/>
      <c r="I305" s="7562"/>
      <c r="J305" s="4717" t="s">
        <v>6493</v>
      </c>
    </row>
    <row r="306" spans="1:10" ht="30" customHeight="1" x14ac:dyDescent="0.2">
      <c r="A306" s="4703"/>
      <c r="B306" s="4704" t="s">
        <v>6494</v>
      </c>
      <c r="C306" s="4707"/>
      <c r="D306" s="4707" t="s">
        <v>6496</v>
      </c>
      <c r="E306" s="4707" t="s">
        <v>854</v>
      </c>
      <c r="F306" s="4702">
        <v>10000000</v>
      </c>
      <c r="G306" s="4708"/>
      <c r="H306" s="4702">
        <v>240000000</v>
      </c>
      <c r="I306" s="4720" t="s">
        <v>6495</v>
      </c>
      <c r="J306" s="4717" t="s">
        <v>6497</v>
      </c>
    </row>
    <row r="307" spans="1:10" ht="30" customHeight="1" x14ac:dyDescent="0.2">
      <c r="A307" s="4703"/>
      <c r="B307" s="4704" t="s">
        <v>6498</v>
      </c>
      <c r="C307" s="4707"/>
      <c r="D307" s="4707" t="s">
        <v>6489</v>
      </c>
      <c r="E307" s="4707" t="s">
        <v>854</v>
      </c>
      <c r="F307" s="4702">
        <v>10000000</v>
      </c>
      <c r="G307" s="4708"/>
      <c r="H307" s="4702">
        <v>240000000</v>
      </c>
      <c r="I307" s="4720" t="s">
        <v>6499</v>
      </c>
      <c r="J307" s="4717" t="s">
        <v>6500</v>
      </c>
    </row>
    <row r="308" spans="1:10" ht="30" customHeight="1" x14ac:dyDescent="0.2">
      <c r="A308" s="4703"/>
      <c r="B308" s="4704" t="s">
        <v>6501</v>
      </c>
      <c r="C308" s="4707"/>
      <c r="D308" s="4707" t="s">
        <v>6502</v>
      </c>
      <c r="E308" s="4707" t="s">
        <v>854</v>
      </c>
      <c r="F308" s="4702">
        <v>10000000</v>
      </c>
      <c r="G308" s="4708"/>
      <c r="H308" s="4702">
        <v>240000000</v>
      </c>
      <c r="I308" s="4720" t="s">
        <v>6503</v>
      </c>
      <c r="J308" s="4717" t="s">
        <v>6504</v>
      </c>
    </row>
    <row r="309" spans="1:10" ht="30" customHeight="1" x14ac:dyDescent="0.2">
      <c r="A309" s="4703"/>
      <c r="B309" s="4704" t="s">
        <v>6509</v>
      </c>
      <c r="C309" s="4707"/>
      <c r="D309" s="4707" t="s">
        <v>6511</v>
      </c>
      <c r="E309" s="4707" t="s">
        <v>854</v>
      </c>
      <c r="F309" s="4702">
        <v>2000000</v>
      </c>
      <c r="G309" s="4708"/>
      <c r="H309" s="4702">
        <v>50000000</v>
      </c>
      <c r="I309" s="4720" t="s">
        <v>6510</v>
      </c>
      <c r="J309" s="4717"/>
    </row>
    <row r="310" spans="1:10" ht="30" customHeight="1" x14ac:dyDescent="0.2">
      <c r="A310" s="4703"/>
      <c r="B310" s="4704" t="s">
        <v>6507</v>
      </c>
      <c r="C310" s="4707"/>
      <c r="D310" s="4707" t="s">
        <v>6512</v>
      </c>
      <c r="E310" s="4707" t="s">
        <v>854</v>
      </c>
      <c r="F310" s="4702">
        <v>3000000</v>
      </c>
      <c r="G310" s="4708"/>
      <c r="H310" s="4702">
        <v>75000000</v>
      </c>
      <c r="I310" s="4720" t="s">
        <v>6513</v>
      </c>
      <c r="J310" s="4717"/>
    </row>
    <row r="311" spans="1:10" ht="30" customHeight="1" x14ac:dyDescent="0.2">
      <c r="A311" s="7654"/>
      <c r="B311" s="7652" t="s">
        <v>1753</v>
      </c>
      <c r="C311" s="7657"/>
      <c r="D311" s="7657" t="s">
        <v>6561</v>
      </c>
      <c r="E311" s="7657" t="s">
        <v>852</v>
      </c>
      <c r="F311" s="7563">
        <v>60000000</v>
      </c>
      <c r="G311" s="7659"/>
      <c r="H311" s="7563">
        <v>105000000</v>
      </c>
      <c r="I311" s="7561" t="s">
        <v>6562</v>
      </c>
      <c r="J311" s="4717" t="s">
        <v>6652</v>
      </c>
    </row>
    <row r="312" spans="1:10" ht="30" customHeight="1" x14ac:dyDescent="0.2">
      <c r="A312" s="7656"/>
      <c r="B312" s="7665"/>
      <c r="C312" s="7664"/>
      <c r="D312" s="7664"/>
      <c r="E312" s="7664"/>
      <c r="F312" s="7586"/>
      <c r="G312" s="7676"/>
      <c r="H312" s="7586"/>
      <c r="I312" s="7672"/>
      <c r="J312" s="4835" t="s">
        <v>6653</v>
      </c>
    </row>
    <row r="313" spans="1:10" ht="30" customHeight="1" x14ac:dyDescent="0.2">
      <c r="A313" s="7656"/>
      <c r="B313" s="7665"/>
      <c r="C313" s="7664"/>
      <c r="D313" s="7664"/>
      <c r="E313" s="7664"/>
      <c r="F313" s="7586"/>
      <c r="G313" s="7676"/>
      <c r="H313" s="7586"/>
      <c r="I313" s="7672"/>
      <c r="J313" s="4835" t="s">
        <v>6654</v>
      </c>
    </row>
    <row r="314" spans="1:10" ht="30" customHeight="1" x14ac:dyDescent="0.2">
      <c r="A314" s="7656"/>
      <c r="B314" s="7665"/>
      <c r="C314" s="7664"/>
      <c r="D314" s="7664"/>
      <c r="E314" s="7664"/>
      <c r="F314" s="7586"/>
      <c r="G314" s="7676"/>
      <c r="H314" s="7586"/>
      <c r="I314" s="7672"/>
      <c r="J314" s="4835" t="s">
        <v>6655</v>
      </c>
    </row>
    <row r="315" spans="1:10" ht="30" customHeight="1" x14ac:dyDescent="0.2">
      <c r="A315" s="7656"/>
      <c r="B315" s="7665"/>
      <c r="C315" s="7664"/>
      <c r="D315" s="7664"/>
      <c r="E315" s="7664"/>
      <c r="F315" s="7586"/>
      <c r="G315" s="7676"/>
      <c r="H315" s="7586"/>
      <c r="I315" s="7672"/>
      <c r="J315" s="4835" t="s">
        <v>6656</v>
      </c>
    </row>
    <row r="316" spans="1:10" ht="30" customHeight="1" x14ac:dyDescent="0.2">
      <c r="A316" s="7655"/>
      <c r="B316" s="7653"/>
      <c r="C316" s="7658"/>
      <c r="D316" s="7658"/>
      <c r="E316" s="7658"/>
      <c r="F316" s="7564"/>
      <c r="G316" s="7660"/>
      <c r="H316" s="7564"/>
      <c r="I316" s="7562"/>
      <c r="J316" s="4835" t="s">
        <v>6657</v>
      </c>
    </row>
    <row r="317" spans="1:10" ht="30" customHeight="1" x14ac:dyDescent="0.2">
      <c r="A317" s="4778"/>
      <c r="B317" s="4779" t="s">
        <v>6596</v>
      </c>
      <c r="C317" s="4775"/>
      <c r="D317" s="4775" t="s">
        <v>6599</v>
      </c>
      <c r="E317" s="4775" t="s">
        <v>852</v>
      </c>
      <c r="F317" s="4774">
        <v>400000000</v>
      </c>
      <c r="G317" s="4776"/>
      <c r="H317" s="4774">
        <v>664000000</v>
      </c>
      <c r="I317" s="4814" t="s">
        <v>6597</v>
      </c>
      <c r="J317" s="4798" t="s">
        <v>6598</v>
      </c>
    </row>
    <row r="318" spans="1:10" ht="30" customHeight="1" x14ac:dyDescent="0.2">
      <c r="A318" s="4778"/>
      <c r="B318" s="4779" t="s">
        <v>6604</v>
      </c>
      <c r="C318" s="4775"/>
      <c r="D318" s="4775" t="s">
        <v>6603</v>
      </c>
      <c r="E318" s="4775" t="s">
        <v>852</v>
      </c>
      <c r="F318" s="4774">
        <v>50000000</v>
      </c>
      <c r="G318" s="4776"/>
      <c r="H318" s="4774">
        <v>86000000</v>
      </c>
      <c r="I318" s="4814" t="s">
        <v>6602</v>
      </c>
      <c r="J318" s="4798"/>
    </row>
    <row r="319" spans="1:10" ht="30" customHeight="1" x14ac:dyDescent="0.2">
      <c r="A319" s="4778"/>
      <c r="B319" s="4780" t="s">
        <v>6612</v>
      </c>
      <c r="C319" s="4783"/>
      <c r="D319" s="4783" t="s">
        <v>6435</v>
      </c>
      <c r="E319" s="4783" t="s">
        <v>852</v>
      </c>
      <c r="F319" s="4782">
        <v>22000000</v>
      </c>
      <c r="G319" s="4781"/>
      <c r="H319" s="4782">
        <v>37000000</v>
      </c>
      <c r="I319" s="56" t="s">
        <v>6606</v>
      </c>
      <c r="J319" s="4798" t="s">
        <v>6607</v>
      </c>
    </row>
    <row r="320" spans="1:10" ht="30" customHeight="1" x14ac:dyDescent="0.2">
      <c r="A320" s="7654"/>
      <c r="B320" s="7652" t="s">
        <v>6628</v>
      </c>
      <c r="C320" s="7720"/>
      <c r="D320" s="7657" t="s">
        <v>6632</v>
      </c>
      <c r="E320" s="7657" t="s">
        <v>852</v>
      </c>
      <c r="F320" s="7563">
        <v>255000000</v>
      </c>
      <c r="G320" s="7659"/>
      <c r="H320" s="7563">
        <v>470000000</v>
      </c>
      <c r="I320" s="7561" t="s">
        <v>6630</v>
      </c>
      <c r="J320" s="4798" t="s">
        <v>6631</v>
      </c>
    </row>
    <row r="321" spans="1:10" ht="30" customHeight="1" x14ac:dyDescent="0.2">
      <c r="A321" s="7656"/>
      <c r="B321" s="7665"/>
      <c r="C321" s="7721"/>
      <c r="D321" s="7664"/>
      <c r="E321" s="7664"/>
      <c r="F321" s="7586"/>
      <c r="G321" s="7676"/>
      <c r="H321" s="7586"/>
      <c r="I321" s="7672"/>
      <c r="J321" s="4798" t="s">
        <v>6412</v>
      </c>
    </row>
    <row r="322" spans="1:10" ht="30" customHeight="1" x14ac:dyDescent="0.2">
      <c r="A322" s="7656"/>
      <c r="B322" s="7665"/>
      <c r="C322" s="7721"/>
      <c r="D322" s="7664"/>
      <c r="E322" s="7664"/>
      <c r="F322" s="7586"/>
      <c r="G322" s="7676"/>
      <c r="H322" s="7586"/>
      <c r="I322" s="7672"/>
      <c r="J322" s="4798" t="s">
        <v>6413</v>
      </c>
    </row>
    <row r="323" spans="1:10" ht="30" customHeight="1" x14ac:dyDescent="0.2">
      <c r="A323" s="7656"/>
      <c r="B323" s="7665"/>
      <c r="C323" s="7721"/>
      <c r="D323" s="7664"/>
      <c r="E323" s="7664"/>
      <c r="F323" s="7586"/>
      <c r="G323" s="7676"/>
      <c r="H323" s="7586"/>
      <c r="I323" s="7672"/>
      <c r="J323" s="4798" t="s">
        <v>6422</v>
      </c>
    </row>
    <row r="324" spans="1:10" ht="30" customHeight="1" x14ac:dyDescent="0.2">
      <c r="A324" s="7655"/>
      <c r="B324" s="7653"/>
      <c r="C324" s="7722"/>
      <c r="D324" s="7658"/>
      <c r="E324" s="7658"/>
      <c r="F324" s="7564"/>
      <c r="G324" s="7660"/>
      <c r="H324" s="7564"/>
      <c r="I324" s="7562"/>
      <c r="J324" s="3476" t="s">
        <v>6629</v>
      </c>
    </row>
    <row r="325" spans="1:10" ht="30" customHeight="1" x14ac:dyDescent="0.2">
      <c r="A325" s="4778"/>
      <c r="B325" s="4779" t="s">
        <v>6692</v>
      </c>
      <c r="C325" s="4775"/>
      <c r="D325" s="4775" t="s">
        <v>6689</v>
      </c>
      <c r="E325" s="4775" t="s">
        <v>899</v>
      </c>
      <c r="F325" s="4774">
        <v>1500000</v>
      </c>
      <c r="G325" s="4776"/>
      <c r="H325" s="4774">
        <v>7500000</v>
      </c>
      <c r="I325" s="4814" t="s">
        <v>6688</v>
      </c>
      <c r="J325" s="4798" t="s">
        <v>6691</v>
      </c>
    </row>
    <row r="326" spans="1:10" ht="30" customHeight="1" x14ac:dyDescent="0.2">
      <c r="A326" s="7654"/>
      <c r="B326" s="7652" t="s">
        <v>6713</v>
      </c>
      <c r="C326" s="7657"/>
      <c r="D326" s="7657" t="s">
        <v>6714</v>
      </c>
      <c r="E326" s="7657" t="s">
        <v>1212</v>
      </c>
      <c r="F326" s="7563">
        <v>100000000</v>
      </c>
      <c r="G326" s="7659"/>
      <c r="H326" s="7677">
        <v>100000000</v>
      </c>
      <c r="I326" s="7561" t="s">
        <v>6715</v>
      </c>
      <c r="J326" s="4896" t="s">
        <v>6716</v>
      </c>
    </row>
    <row r="327" spans="1:10" ht="30" customHeight="1" x14ac:dyDescent="0.2">
      <c r="A327" s="7656"/>
      <c r="B327" s="7665"/>
      <c r="C327" s="7664"/>
      <c r="D327" s="7664"/>
      <c r="E327" s="7664"/>
      <c r="F327" s="7586"/>
      <c r="G327" s="7676"/>
      <c r="H327" s="7690"/>
      <c r="I327" s="7672"/>
      <c r="J327" s="4896" t="s">
        <v>6717</v>
      </c>
    </row>
    <row r="328" spans="1:10" ht="30" customHeight="1" x14ac:dyDescent="0.2">
      <c r="A328" s="7655"/>
      <c r="B328" s="7653"/>
      <c r="C328" s="7658"/>
      <c r="D328" s="7658"/>
      <c r="E328" s="7658"/>
      <c r="F328" s="7564"/>
      <c r="G328" s="7660"/>
      <c r="H328" s="7678"/>
      <c r="I328" s="7562"/>
      <c r="J328" s="4896" t="s">
        <v>6718</v>
      </c>
    </row>
    <row r="329" spans="1:10" ht="30" customHeight="1" x14ac:dyDescent="0.2">
      <c r="A329" s="5327"/>
      <c r="B329" s="5370" t="s">
        <v>6967</v>
      </c>
      <c r="C329" s="5371"/>
      <c r="D329" s="5371" t="s">
        <v>6968</v>
      </c>
      <c r="E329" s="5371"/>
      <c r="F329" s="5368"/>
      <c r="G329" s="5369"/>
      <c r="H329" s="5368">
        <v>480000000</v>
      </c>
      <c r="I329" s="5372" t="s">
        <v>6969</v>
      </c>
      <c r="J329" s="5373" t="s">
        <v>6995</v>
      </c>
    </row>
    <row r="330" spans="1:10" ht="30" customHeight="1" x14ac:dyDescent="0.2">
      <c r="A330" s="7654"/>
      <c r="B330" s="7669" t="s">
        <v>6971</v>
      </c>
      <c r="C330" s="5371"/>
      <c r="D330" s="5371" t="s">
        <v>6968</v>
      </c>
      <c r="E330" s="5371"/>
      <c r="F330" s="5368"/>
      <c r="G330" s="5369"/>
      <c r="H330" s="5368">
        <v>1680000000</v>
      </c>
      <c r="I330" s="5372" t="s">
        <v>6970</v>
      </c>
      <c r="J330" s="5373" t="s">
        <v>6996</v>
      </c>
    </row>
    <row r="331" spans="1:10" ht="30" customHeight="1" x14ac:dyDescent="0.2">
      <c r="A331" s="7655"/>
      <c r="B331" s="7670"/>
      <c r="C331" s="5371"/>
      <c r="D331" s="5371" t="s">
        <v>6972</v>
      </c>
      <c r="E331" s="5371"/>
      <c r="F331" s="5368"/>
      <c r="G331" s="5369"/>
      <c r="H331" s="5368">
        <v>2370000000</v>
      </c>
      <c r="I331" s="5372" t="s">
        <v>6973</v>
      </c>
      <c r="J331" s="5373" t="s">
        <v>6997</v>
      </c>
    </row>
    <row r="332" spans="1:10" ht="30" customHeight="1" x14ac:dyDescent="0.2">
      <c r="A332" s="5377"/>
      <c r="B332" s="5380" t="s">
        <v>7048</v>
      </c>
      <c r="C332" s="5378"/>
      <c r="D332" s="5378" t="s">
        <v>3880</v>
      </c>
      <c r="E332" s="5378" t="s">
        <v>852</v>
      </c>
      <c r="F332" s="5376">
        <v>22000000</v>
      </c>
      <c r="G332" s="5379"/>
      <c r="H332" s="5376">
        <v>36000000</v>
      </c>
      <c r="I332" s="5396" t="s">
        <v>7049</v>
      </c>
      <c r="J332" s="5391" t="s">
        <v>7052</v>
      </c>
    </row>
    <row r="333" spans="1:10" ht="30" customHeight="1" x14ac:dyDescent="0.2">
      <c r="A333" s="5473"/>
      <c r="B333" s="5476" t="s">
        <v>21</v>
      </c>
      <c r="C333" s="5474" t="s">
        <v>3807</v>
      </c>
      <c r="D333" s="5474" t="s">
        <v>6328</v>
      </c>
      <c r="E333" s="5474" t="s">
        <v>899</v>
      </c>
      <c r="F333" s="5472">
        <v>20000000</v>
      </c>
      <c r="G333" s="5475"/>
      <c r="H333" s="5472">
        <v>100000000</v>
      </c>
      <c r="I333" s="5486" t="s">
        <v>7165</v>
      </c>
      <c r="J333" s="5481"/>
    </row>
    <row r="334" spans="1:10" ht="30" customHeight="1" x14ac:dyDescent="0.2">
      <c r="A334" s="5473"/>
      <c r="B334" s="5476" t="s">
        <v>2388</v>
      </c>
      <c r="C334" s="5474"/>
      <c r="D334" s="5474" t="s">
        <v>7179</v>
      </c>
      <c r="E334" s="5474" t="s">
        <v>2831</v>
      </c>
      <c r="F334" s="5472">
        <v>240000000</v>
      </c>
      <c r="G334" s="5475"/>
      <c r="H334" s="5472">
        <v>350000000</v>
      </c>
      <c r="I334" s="5486" t="s">
        <v>7180</v>
      </c>
      <c r="J334" s="5481" t="s">
        <v>7181</v>
      </c>
    </row>
    <row r="335" spans="1:10" ht="30" customHeight="1" x14ac:dyDescent="0.2">
      <c r="A335" s="5563"/>
      <c r="B335" s="5565" t="s">
        <v>7228</v>
      </c>
      <c r="C335" s="5564"/>
      <c r="D335" s="5564" t="s">
        <v>6187</v>
      </c>
      <c r="E335" s="5564" t="s">
        <v>7229</v>
      </c>
      <c r="F335" s="5562">
        <v>500000000</v>
      </c>
      <c r="G335" s="5566"/>
      <c r="H335" s="5562">
        <v>900000000</v>
      </c>
      <c r="I335" s="5580" t="s">
        <v>7230</v>
      </c>
      <c r="J335" s="5572" t="s">
        <v>7231</v>
      </c>
    </row>
    <row r="336" spans="1:10" ht="30" customHeight="1" x14ac:dyDescent="0.2">
      <c r="A336" s="7654"/>
      <c r="B336" s="7652" t="s">
        <v>7334</v>
      </c>
      <c r="C336" s="5564"/>
      <c r="D336" s="5564"/>
      <c r="E336" s="5835" t="s">
        <v>852</v>
      </c>
      <c r="F336" s="5830">
        <v>5000000</v>
      </c>
      <c r="G336" s="5832"/>
      <c r="H336" s="5830">
        <v>8000000</v>
      </c>
      <c r="I336" s="56"/>
      <c r="J336" s="5572" t="s">
        <v>6920</v>
      </c>
    </row>
    <row r="337" spans="1:10" ht="30" customHeight="1" x14ac:dyDescent="0.2">
      <c r="A337" s="7656"/>
      <c r="B337" s="7665"/>
      <c r="C337" s="5564"/>
      <c r="D337" s="5564"/>
      <c r="E337" s="5835" t="s">
        <v>852</v>
      </c>
      <c r="F337" s="5830">
        <v>8000000</v>
      </c>
      <c r="G337" s="5832"/>
      <c r="H337" s="5830">
        <v>12800000</v>
      </c>
      <c r="I337" s="56"/>
      <c r="J337" s="5572" t="s">
        <v>6920</v>
      </c>
    </row>
    <row r="338" spans="1:10" ht="30" customHeight="1" x14ac:dyDescent="0.2">
      <c r="A338" s="7655"/>
      <c r="B338" s="7653"/>
      <c r="C338" s="5564" t="s">
        <v>7067</v>
      </c>
      <c r="D338" s="5564" t="s">
        <v>7336</v>
      </c>
      <c r="E338" s="5564" t="s">
        <v>852</v>
      </c>
      <c r="F338" s="5562">
        <v>12800000</v>
      </c>
      <c r="G338" s="5566"/>
      <c r="H338" s="5562">
        <v>21000000</v>
      </c>
      <c r="I338" s="5580" t="s">
        <v>7335</v>
      </c>
      <c r="J338" s="5572"/>
    </row>
    <row r="339" spans="1:10" ht="30" customHeight="1" x14ac:dyDescent="0.2">
      <c r="A339" s="5961"/>
      <c r="B339" s="5964" t="s">
        <v>7459</v>
      </c>
      <c r="C339" s="5962"/>
      <c r="D339" s="5962" t="s">
        <v>4207</v>
      </c>
      <c r="E339" s="5962" t="s">
        <v>899</v>
      </c>
      <c r="F339" s="5959">
        <v>30000000</v>
      </c>
      <c r="G339" s="5965"/>
      <c r="H339" s="5959">
        <v>150000000</v>
      </c>
      <c r="I339" s="5997" t="s">
        <v>7454</v>
      </c>
      <c r="J339" s="5985"/>
    </row>
    <row r="340" spans="1:10" ht="30" customHeight="1" x14ac:dyDescent="0.2">
      <c r="A340" s="7654"/>
      <c r="B340" s="7652" t="s">
        <v>7533</v>
      </c>
      <c r="C340" s="7657"/>
      <c r="D340" s="7657" t="s">
        <v>7537</v>
      </c>
      <c r="E340" s="7657" t="s">
        <v>852</v>
      </c>
      <c r="F340" s="7563">
        <v>145000000</v>
      </c>
      <c r="G340" s="7659"/>
      <c r="H340" s="7563">
        <v>226000000</v>
      </c>
      <c r="I340" s="7561" t="s">
        <v>7534</v>
      </c>
      <c r="J340" s="7674" t="s">
        <v>7536</v>
      </c>
    </row>
    <row r="341" spans="1:10" ht="30" customHeight="1" x14ac:dyDescent="0.2">
      <c r="A341" s="7655"/>
      <c r="B341" s="7653"/>
      <c r="C341" s="7658"/>
      <c r="D341" s="7658"/>
      <c r="E341" s="7658"/>
      <c r="F341" s="7564"/>
      <c r="G341" s="7660"/>
      <c r="H341" s="7564"/>
      <c r="I341" s="7562"/>
      <c r="J341" s="7675"/>
    </row>
    <row r="342" spans="1:10" ht="30" customHeight="1" x14ac:dyDescent="0.2">
      <c r="A342" s="6031"/>
      <c r="B342" s="6033" t="s">
        <v>3766</v>
      </c>
      <c r="C342" s="6032"/>
      <c r="D342" s="6032" t="s">
        <v>7571</v>
      </c>
      <c r="E342" s="6032" t="s">
        <v>852</v>
      </c>
      <c r="F342" s="6030">
        <v>50000000</v>
      </c>
      <c r="G342" s="6034"/>
      <c r="H342" s="6030">
        <v>95000000</v>
      </c>
      <c r="I342" s="6044" t="s">
        <v>7572</v>
      </c>
      <c r="J342" s="6039" t="s">
        <v>7573</v>
      </c>
    </row>
    <row r="343" spans="1:10" ht="30" customHeight="1" x14ac:dyDescent="0.2">
      <c r="A343" s="6031"/>
      <c r="B343" s="6033" t="s">
        <v>7659</v>
      </c>
      <c r="C343" s="6032"/>
      <c r="D343" s="6032" t="s">
        <v>7660</v>
      </c>
      <c r="E343" s="6032" t="s">
        <v>852</v>
      </c>
      <c r="F343" s="6030">
        <v>56500000</v>
      </c>
      <c r="G343" s="6034"/>
      <c r="H343" s="6030">
        <v>100000000</v>
      </c>
      <c r="I343" s="6044" t="s">
        <v>7661</v>
      </c>
      <c r="J343" s="6039" t="s">
        <v>7662</v>
      </c>
    </row>
    <row r="344" spans="1:10" ht="30" customHeight="1" x14ac:dyDescent="0.2">
      <c r="A344" s="6031"/>
      <c r="B344" s="6033" t="s">
        <v>7672</v>
      </c>
      <c r="C344" s="6032"/>
      <c r="D344" s="6032" t="s">
        <v>7674</v>
      </c>
      <c r="E344" s="6032" t="s">
        <v>854</v>
      </c>
      <c r="F344" s="6030">
        <v>40000000</v>
      </c>
      <c r="G344" s="6034"/>
      <c r="H344" s="6030">
        <v>1000000000</v>
      </c>
      <c r="I344" s="6044" t="s">
        <v>7673</v>
      </c>
      <c r="J344" s="6039" t="s">
        <v>7675</v>
      </c>
    </row>
    <row r="345" spans="1:10" ht="30" customHeight="1" x14ac:dyDescent="0.2">
      <c r="A345" s="6170"/>
      <c r="B345" s="6171" t="s">
        <v>7779</v>
      </c>
      <c r="C345" s="6172"/>
      <c r="D345" s="6172" t="s">
        <v>7685</v>
      </c>
      <c r="E345" s="6172" t="s">
        <v>1525</v>
      </c>
      <c r="F345" s="6168">
        <v>70000000</v>
      </c>
      <c r="G345" s="6174"/>
      <c r="H345" s="6168">
        <v>104000000</v>
      </c>
      <c r="I345" s="6184" t="s">
        <v>7684</v>
      </c>
      <c r="J345" s="6169"/>
    </row>
    <row r="346" spans="1:10" ht="30" customHeight="1" x14ac:dyDescent="0.2">
      <c r="A346" s="6170"/>
      <c r="B346" s="6171" t="s">
        <v>7701</v>
      </c>
      <c r="C346" s="6172"/>
      <c r="D346" s="6172" t="s">
        <v>6889</v>
      </c>
      <c r="E346" s="6172" t="s">
        <v>852</v>
      </c>
      <c r="F346" s="6168">
        <v>25000000</v>
      </c>
      <c r="G346" s="6174"/>
      <c r="H346" s="6168">
        <v>50000000</v>
      </c>
      <c r="I346" s="6184" t="s">
        <v>7702</v>
      </c>
      <c r="J346" s="6169" t="s">
        <v>7703</v>
      </c>
    </row>
    <row r="347" spans="1:10" ht="30" customHeight="1" x14ac:dyDescent="0.2">
      <c r="A347" s="7654"/>
      <c r="B347" s="7652" t="s">
        <v>7837</v>
      </c>
      <c r="C347" s="7657"/>
      <c r="D347" s="7657" t="s">
        <v>7835</v>
      </c>
      <c r="E347" s="7657"/>
      <c r="F347" s="7563">
        <v>95000000</v>
      </c>
      <c r="G347" s="7659"/>
      <c r="H347" s="7563">
        <v>95000000</v>
      </c>
      <c r="I347" s="7561" t="s">
        <v>7836</v>
      </c>
      <c r="J347" s="6169" t="s">
        <v>7833</v>
      </c>
    </row>
    <row r="348" spans="1:10" ht="30" customHeight="1" x14ac:dyDescent="0.2">
      <c r="A348" s="7656"/>
      <c r="B348" s="7665"/>
      <c r="C348" s="7664"/>
      <c r="D348" s="7664"/>
      <c r="E348" s="7664"/>
      <c r="F348" s="7586"/>
      <c r="G348" s="7676"/>
      <c r="H348" s="7586"/>
      <c r="I348" s="7672"/>
      <c r="J348" s="6575" t="s">
        <v>7834</v>
      </c>
    </row>
    <row r="349" spans="1:10" ht="30" customHeight="1" x14ac:dyDescent="0.2">
      <c r="A349" s="7656"/>
      <c r="B349" s="7665"/>
      <c r="C349" s="7658"/>
      <c r="D349" s="7658"/>
      <c r="E349" s="7658"/>
      <c r="F349" s="7564"/>
      <c r="G349" s="7660"/>
      <c r="H349" s="7564"/>
      <c r="I349" s="7562"/>
      <c r="J349" s="6575" t="s">
        <v>7838</v>
      </c>
    </row>
    <row r="350" spans="1:10" ht="30" customHeight="1" x14ac:dyDescent="0.2">
      <c r="A350" s="7655"/>
      <c r="B350" s="7653"/>
      <c r="C350" s="6571"/>
      <c r="D350" s="6571" t="s">
        <v>7850</v>
      </c>
      <c r="E350" s="6571" t="s">
        <v>852</v>
      </c>
      <c r="F350" s="6565">
        <v>100000000</v>
      </c>
      <c r="G350" s="6572"/>
      <c r="H350" s="6565">
        <v>184000000</v>
      </c>
      <c r="I350" s="6583" t="s">
        <v>7851</v>
      </c>
      <c r="J350" s="6575" t="s">
        <v>7852</v>
      </c>
    </row>
    <row r="351" spans="1:10" ht="30" customHeight="1" x14ac:dyDescent="0.2">
      <c r="A351" s="6570"/>
      <c r="B351" s="6568" t="s">
        <v>7857</v>
      </c>
      <c r="C351" s="6571"/>
      <c r="D351" s="6571" t="s">
        <v>7858</v>
      </c>
      <c r="E351" s="6571" t="s">
        <v>852</v>
      </c>
      <c r="F351" s="6565">
        <v>50000000</v>
      </c>
      <c r="G351" s="6572"/>
      <c r="H351" s="6565" t="s">
        <v>7859</v>
      </c>
      <c r="I351" s="6583" t="s">
        <v>7860</v>
      </c>
      <c r="J351" s="6575" t="s">
        <v>7861</v>
      </c>
    </row>
    <row r="352" spans="1:10" ht="30" customHeight="1" x14ac:dyDescent="0.2">
      <c r="A352" s="6570"/>
      <c r="B352" s="6568" t="s">
        <v>7886</v>
      </c>
      <c r="C352" s="6571"/>
      <c r="D352" s="6571" t="s">
        <v>7888</v>
      </c>
      <c r="E352" s="6571" t="s">
        <v>852</v>
      </c>
      <c r="F352" s="6565">
        <v>45000000</v>
      </c>
      <c r="G352" s="6572"/>
      <c r="H352" s="6565">
        <v>90000000</v>
      </c>
      <c r="I352" s="6583" t="s">
        <v>7887</v>
      </c>
      <c r="J352" s="6575"/>
    </row>
    <row r="353" spans="1:10" ht="30" customHeight="1" x14ac:dyDescent="0.2">
      <c r="A353" s="6570"/>
      <c r="B353" s="6568" t="s">
        <v>7893</v>
      </c>
      <c r="C353" s="6571"/>
      <c r="D353" s="6571" t="s">
        <v>7895</v>
      </c>
      <c r="E353" s="6571" t="s">
        <v>852</v>
      </c>
      <c r="F353" s="6565">
        <v>50000000</v>
      </c>
      <c r="G353" s="6572"/>
      <c r="H353" s="6565">
        <v>100000000</v>
      </c>
      <c r="I353" s="6583" t="s">
        <v>7894</v>
      </c>
      <c r="J353" s="6575" t="s">
        <v>7896</v>
      </c>
    </row>
    <row r="354" spans="1:10" ht="30" customHeight="1" x14ac:dyDescent="0.2">
      <c r="A354" s="6570"/>
      <c r="B354" s="6568" t="s">
        <v>7927</v>
      </c>
      <c r="C354" s="6571"/>
      <c r="D354" s="6571" t="s">
        <v>7929</v>
      </c>
      <c r="E354" s="6571" t="s">
        <v>854</v>
      </c>
      <c r="F354" s="6565"/>
      <c r="G354" s="6572"/>
      <c r="H354" s="6565">
        <v>5000000000</v>
      </c>
      <c r="I354" s="6583" t="s">
        <v>7928</v>
      </c>
      <c r="J354" s="6575"/>
    </row>
    <row r="355" spans="1:10" ht="30" customHeight="1" x14ac:dyDescent="0.2">
      <c r="A355" s="6832"/>
      <c r="B355" s="6831" t="s">
        <v>7963</v>
      </c>
      <c r="C355" s="6830"/>
      <c r="D355" s="6830" t="s">
        <v>4887</v>
      </c>
      <c r="E355" s="6830" t="s">
        <v>1525</v>
      </c>
      <c r="F355" s="6826">
        <v>70000000</v>
      </c>
      <c r="G355" s="6829"/>
      <c r="H355" s="6826">
        <v>110000000</v>
      </c>
      <c r="I355" s="6847" t="s">
        <v>7964</v>
      </c>
      <c r="J355" s="6836" t="s">
        <v>7965</v>
      </c>
    </row>
    <row r="356" spans="1:10" ht="30" customHeight="1" x14ac:dyDescent="0.2">
      <c r="A356" s="7654"/>
      <c r="B356" s="7652" t="s">
        <v>7930</v>
      </c>
      <c r="C356" s="7657"/>
      <c r="D356" s="7657" t="s">
        <v>7997</v>
      </c>
      <c r="E356" s="7657"/>
      <c r="F356" s="7563" t="s">
        <v>8001</v>
      </c>
      <c r="G356" s="7659"/>
      <c r="H356" s="7563">
        <v>500000000</v>
      </c>
      <c r="I356" s="7561" t="s">
        <v>7999</v>
      </c>
      <c r="J356" s="6836" t="s">
        <v>7998</v>
      </c>
    </row>
    <row r="357" spans="1:10" ht="30" customHeight="1" x14ac:dyDescent="0.2">
      <c r="A357" s="7656"/>
      <c r="B357" s="7665"/>
      <c r="C357" s="7658"/>
      <c r="D357" s="7658"/>
      <c r="E357" s="7658"/>
      <c r="F357" s="7564"/>
      <c r="G357" s="7660"/>
      <c r="H357" s="7564"/>
      <c r="I357" s="7562"/>
      <c r="J357" s="6836" t="s">
        <v>8000</v>
      </c>
    </row>
    <row r="358" spans="1:10" ht="30" customHeight="1" x14ac:dyDescent="0.2">
      <c r="A358" s="7655"/>
      <c r="B358" s="7653"/>
      <c r="C358" s="6830"/>
      <c r="D358" s="6830" t="s">
        <v>7997</v>
      </c>
      <c r="E358" s="6830" t="s">
        <v>852</v>
      </c>
      <c r="F358" s="6826">
        <v>500000000</v>
      </c>
      <c r="G358" s="6829"/>
      <c r="H358" s="6826">
        <v>1000000000</v>
      </c>
      <c r="I358" s="6847" t="s">
        <v>8028</v>
      </c>
      <c r="J358" s="6836" t="s">
        <v>8029</v>
      </c>
    </row>
    <row r="359" spans="1:10" ht="30" customHeight="1" x14ac:dyDescent="0.2">
      <c r="A359" s="7025"/>
      <c r="B359" s="7024" t="s">
        <v>8208</v>
      </c>
      <c r="C359" s="7023" t="s">
        <v>8209</v>
      </c>
      <c r="D359" s="7023" t="s">
        <v>8210</v>
      </c>
      <c r="E359" s="7023" t="s">
        <v>1525</v>
      </c>
      <c r="F359" s="7022">
        <v>140000000</v>
      </c>
      <c r="G359" s="7026"/>
      <c r="H359" s="7022">
        <v>200000000</v>
      </c>
      <c r="I359" s="7052" t="s">
        <v>8211</v>
      </c>
      <c r="J359" s="7031"/>
    </row>
    <row r="360" spans="1:10" ht="30" customHeight="1" x14ac:dyDescent="0.2">
      <c r="A360" s="7025"/>
      <c r="B360" s="7024" t="s">
        <v>8294</v>
      </c>
      <c r="C360" s="7023" t="s">
        <v>7974</v>
      </c>
      <c r="D360" s="7023" t="s">
        <v>8295</v>
      </c>
      <c r="E360" s="7023" t="s">
        <v>899</v>
      </c>
      <c r="F360" s="7022">
        <v>50000000</v>
      </c>
      <c r="G360" s="7026"/>
      <c r="H360" s="7022">
        <v>310000000</v>
      </c>
      <c r="I360" s="7052" t="s">
        <v>8296</v>
      </c>
      <c r="J360" s="7031"/>
    </row>
    <row r="361" spans="1:10" ht="30" customHeight="1" x14ac:dyDescent="0.2">
      <c r="A361" s="7654"/>
      <c r="B361" s="7652" t="s">
        <v>8324</v>
      </c>
      <c r="C361" s="7657" t="s">
        <v>7968</v>
      </c>
      <c r="D361" s="7687" t="s">
        <v>8323</v>
      </c>
      <c r="E361" s="7687" t="s">
        <v>1525</v>
      </c>
      <c r="F361" s="7563">
        <v>218000000</v>
      </c>
      <c r="G361" s="7659"/>
      <c r="H361" s="7563">
        <v>325000000</v>
      </c>
      <c r="I361" s="7561" t="s">
        <v>8320</v>
      </c>
      <c r="J361" s="2022" t="s">
        <v>8321</v>
      </c>
    </row>
    <row r="362" spans="1:10" ht="30" customHeight="1" x14ac:dyDescent="0.2">
      <c r="A362" s="7655"/>
      <c r="B362" s="7653"/>
      <c r="C362" s="7658"/>
      <c r="D362" s="7689"/>
      <c r="E362" s="7689"/>
      <c r="F362" s="7564"/>
      <c r="G362" s="7660"/>
      <c r="H362" s="7564"/>
      <c r="I362" s="7562"/>
      <c r="J362" s="2022" t="s">
        <v>8322</v>
      </c>
    </row>
    <row r="363" spans="1:10" ht="30" customHeight="1" x14ac:dyDescent="0.2">
      <c r="A363" s="7654"/>
      <c r="B363" s="7652" t="s">
        <v>8333</v>
      </c>
      <c r="C363" s="7166"/>
      <c r="D363" s="7166" t="s">
        <v>8334</v>
      </c>
      <c r="E363" s="7166" t="s">
        <v>2017</v>
      </c>
      <c r="F363" s="7161">
        <v>20000000</v>
      </c>
      <c r="G363" s="7168"/>
      <c r="H363" s="7161">
        <v>40000000</v>
      </c>
      <c r="I363" s="7197" t="s">
        <v>8335</v>
      </c>
      <c r="J363" s="2022" t="s">
        <v>8336</v>
      </c>
    </row>
    <row r="364" spans="1:10" ht="30" customHeight="1" x14ac:dyDescent="0.2">
      <c r="A364" s="7655"/>
      <c r="B364" s="7653"/>
      <c r="C364" s="7166" t="s">
        <v>8339</v>
      </c>
      <c r="D364" s="7166" t="s">
        <v>8342</v>
      </c>
      <c r="E364" s="7166" t="s">
        <v>1525</v>
      </c>
      <c r="F364" s="7161">
        <v>50000000</v>
      </c>
      <c r="G364" s="7168"/>
      <c r="H364" s="7161">
        <v>71000000</v>
      </c>
      <c r="I364" s="7197" t="s">
        <v>8341</v>
      </c>
      <c r="J364" s="2022"/>
    </row>
    <row r="365" spans="1:10" ht="30" customHeight="1" x14ac:dyDescent="0.2">
      <c r="A365" s="7165"/>
      <c r="B365" s="7163" t="s">
        <v>2133</v>
      </c>
      <c r="C365" s="7166" t="s">
        <v>2135</v>
      </c>
      <c r="D365" s="7166" t="s">
        <v>8493</v>
      </c>
      <c r="E365" s="7166" t="s">
        <v>899</v>
      </c>
      <c r="F365" s="7161">
        <v>80000000</v>
      </c>
      <c r="G365" s="7168"/>
      <c r="H365" s="7161">
        <v>400000000</v>
      </c>
      <c r="I365" s="7197" t="s">
        <v>8494</v>
      </c>
      <c r="J365" s="2022" t="s">
        <v>8495</v>
      </c>
    </row>
    <row r="366" spans="1:10" ht="30" customHeight="1" x14ac:dyDescent="0.2">
      <c r="A366" s="7165"/>
      <c r="B366" s="7163" t="s">
        <v>8496</v>
      </c>
      <c r="C366" s="7166" t="s">
        <v>7427</v>
      </c>
      <c r="D366" s="7166" t="s">
        <v>8497</v>
      </c>
      <c r="E366" s="7166" t="s">
        <v>899</v>
      </c>
      <c r="F366" s="7161">
        <v>10000000</v>
      </c>
      <c r="G366" s="7168"/>
      <c r="H366" s="7161">
        <v>50000000</v>
      </c>
      <c r="I366" s="7197" t="s">
        <v>8498</v>
      </c>
      <c r="J366" s="2022" t="s">
        <v>8499</v>
      </c>
    </row>
    <row r="367" spans="1:10" ht="30" customHeight="1" x14ac:dyDescent="0.2">
      <c r="A367" s="7400"/>
      <c r="B367" s="7399" t="s">
        <v>8501</v>
      </c>
      <c r="C367" s="7401" t="s">
        <v>8073</v>
      </c>
      <c r="D367" s="7401" t="s">
        <v>8502</v>
      </c>
      <c r="E367" s="7401" t="s">
        <v>899</v>
      </c>
      <c r="F367" s="7397">
        <v>50000000</v>
      </c>
      <c r="G367" s="7402"/>
      <c r="H367" s="7397">
        <v>250000000</v>
      </c>
      <c r="I367" s="7419" t="s">
        <v>8503</v>
      </c>
      <c r="J367" s="2022" t="s">
        <v>8504</v>
      </c>
    </row>
    <row r="368" spans="1:10" ht="30" customHeight="1" x14ac:dyDescent="0.2">
      <c r="A368" s="7400"/>
      <c r="B368" s="7399" t="s">
        <v>8510</v>
      </c>
      <c r="C368" s="7401"/>
      <c r="D368" s="7401" t="s">
        <v>8511</v>
      </c>
      <c r="E368" s="7401" t="s">
        <v>852</v>
      </c>
      <c r="F368" s="7397">
        <v>60000000</v>
      </c>
      <c r="G368" s="7402"/>
      <c r="H368" s="7397">
        <v>100000000</v>
      </c>
      <c r="I368" s="7419" t="s">
        <v>8512</v>
      </c>
      <c r="J368" s="2022"/>
    </row>
    <row r="369" spans="1:10" ht="30" customHeight="1" x14ac:dyDescent="0.2">
      <c r="A369" s="7400"/>
      <c r="B369" s="7399" t="s">
        <v>8513</v>
      </c>
      <c r="C369" s="7401"/>
      <c r="D369" s="7401" t="s">
        <v>8514</v>
      </c>
      <c r="E369" s="7401" t="s">
        <v>852</v>
      </c>
      <c r="F369" s="7397">
        <v>20000000</v>
      </c>
      <c r="G369" s="7402"/>
      <c r="H369" s="7397">
        <v>38000000</v>
      </c>
      <c r="I369" s="7419" t="s">
        <v>8515</v>
      </c>
      <c r="J369" s="2022" t="s">
        <v>8516</v>
      </c>
    </row>
    <row r="370" spans="1:10" ht="30" customHeight="1" x14ac:dyDescent="0.2">
      <c r="A370" s="4"/>
      <c r="B370" s="704"/>
      <c r="C370" s="9"/>
      <c r="D370" s="6"/>
      <c r="E370" s="128"/>
      <c r="F370" s="128"/>
      <c r="G370" s="17"/>
      <c r="H370" s="128"/>
      <c r="I370" s="21"/>
      <c r="J370" s="41"/>
    </row>
  </sheetData>
  <mergeCells count="294">
    <mergeCell ref="B361:B362"/>
    <mergeCell ref="A361:A362"/>
    <mergeCell ref="C361:C362"/>
    <mergeCell ref="D361:D362"/>
    <mergeCell ref="E361:E362"/>
    <mergeCell ref="F361:F362"/>
    <mergeCell ref="G361:G362"/>
    <mergeCell ref="H361:H362"/>
    <mergeCell ref="I361:I362"/>
    <mergeCell ref="A336:A338"/>
    <mergeCell ref="I347:I349"/>
    <mergeCell ref="H347:H349"/>
    <mergeCell ref="G347:G349"/>
    <mergeCell ref="F347:F349"/>
    <mergeCell ref="E347:E349"/>
    <mergeCell ref="D347:D349"/>
    <mergeCell ref="C347:C349"/>
    <mergeCell ref="B347:B350"/>
    <mergeCell ref="A347:A350"/>
    <mergeCell ref="B336:B338"/>
    <mergeCell ref="H326:H328"/>
    <mergeCell ref="C326:C328"/>
    <mergeCell ref="H320:H324"/>
    <mergeCell ref="H311:H316"/>
    <mergeCell ref="I326:I328"/>
    <mergeCell ref="B311:B316"/>
    <mergeCell ref="A311:A316"/>
    <mergeCell ref="C311:C316"/>
    <mergeCell ref="D311:D316"/>
    <mergeCell ref="E311:E316"/>
    <mergeCell ref="G326:G328"/>
    <mergeCell ref="D326:D328"/>
    <mergeCell ref="E326:E328"/>
    <mergeCell ref="F326:F328"/>
    <mergeCell ref="B326:B328"/>
    <mergeCell ref="A326:A328"/>
    <mergeCell ref="D320:D324"/>
    <mergeCell ref="C320:C324"/>
    <mergeCell ref="A222:A224"/>
    <mergeCell ref="A268:A269"/>
    <mergeCell ref="B272:B273"/>
    <mergeCell ref="D294:D295"/>
    <mergeCell ref="E294:E295"/>
    <mergeCell ref="F294:F295"/>
    <mergeCell ref="G294:G295"/>
    <mergeCell ref="F320:F324"/>
    <mergeCell ref="G320:G324"/>
    <mergeCell ref="G311:G316"/>
    <mergeCell ref="A304:A305"/>
    <mergeCell ref="C304:C305"/>
    <mergeCell ref="D304:D305"/>
    <mergeCell ref="G240:G241"/>
    <mergeCell ref="E304:E305"/>
    <mergeCell ref="B300:B301"/>
    <mergeCell ref="B247:B250"/>
    <mergeCell ref="B268:B269"/>
    <mergeCell ref="B277:B278"/>
    <mergeCell ref="B279:B281"/>
    <mergeCell ref="F222:F223"/>
    <mergeCell ref="J21:J22"/>
    <mergeCell ref="J69:J70"/>
    <mergeCell ref="J53:J54"/>
    <mergeCell ref="G120:G121"/>
    <mergeCell ref="F34:F35"/>
    <mergeCell ref="A217:A218"/>
    <mergeCell ref="C215:C216"/>
    <mergeCell ref="B109:B110"/>
    <mergeCell ref="A93:A95"/>
    <mergeCell ref="A53:A54"/>
    <mergeCell ref="A145:A146"/>
    <mergeCell ref="B145:B146"/>
    <mergeCell ref="B119:B122"/>
    <mergeCell ref="A148:A149"/>
    <mergeCell ref="A166:A167"/>
    <mergeCell ref="B148:B149"/>
    <mergeCell ref="B166:B167"/>
    <mergeCell ref="A119:A122"/>
    <mergeCell ref="A172:A173"/>
    <mergeCell ref="B172:B173"/>
    <mergeCell ref="A198:A199"/>
    <mergeCell ref="B36:B37"/>
    <mergeCell ref="A36:A37"/>
    <mergeCell ref="B123:B124"/>
    <mergeCell ref="A20:A28"/>
    <mergeCell ref="B20:B28"/>
    <mergeCell ref="A33:A35"/>
    <mergeCell ref="B33:B35"/>
    <mergeCell ref="C34:C35"/>
    <mergeCell ref="C120:C121"/>
    <mergeCell ref="H120:H121"/>
    <mergeCell ref="C72:C73"/>
    <mergeCell ref="B53:B54"/>
    <mergeCell ref="A83:A84"/>
    <mergeCell ref="B99:B101"/>
    <mergeCell ref="B72:B73"/>
    <mergeCell ref="B83:B84"/>
    <mergeCell ref="B78:B81"/>
    <mergeCell ref="D120:D121"/>
    <mergeCell ref="A78:A81"/>
    <mergeCell ref="A90:A91"/>
    <mergeCell ref="B86:B87"/>
    <mergeCell ref="B55:B57"/>
    <mergeCell ref="A115:A116"/>
    <mergeCell ref="B115:B116"/>
    <mergeCell ref="B90:B91"/>
    <mergeCell ref="A68:A70"/>
    <mergeCell ref="A72:A73"/>
    <mergeCell ref="G34:G35"/>
    <mergeCell ref="H34:H35"/>
    <mergeCell ref="I34:I35"/>
    <mergeCell ref="A86:A87"/>
    <mergeCell ref="B68:B70"/>
    <mergeCell ref="B184:B185"/>
    <mergeCell ref="A125:A126"/>
    <mergeCell ref="B103:B104"/>
    <mergeCell ref="B93:B95"/>
    <mergeCell ref="C129:C130"/>
    <mergeCell ref="A129:A130"/>
    <mergeCell ref="B129:B130"/>
    <mergeCell ref="A184:A185"/>
    <mergeCell ref="A38:A39"/>
    <mergeCell ref="B38:B39"/>
    <mergeCell ref="A62:A67"/>
    <mergeCell ref="A49:A50"/>
    <mergeCell ref="B49:B50"/>
    <mergeCell ref="A55:A57"/>
    <mergeCell ref="A178:A183"/>
    <mergeCell ref="D53:D54"/>
    <mergeCell ref="A174:A175"/>
    <mergeCell ref="B174:B175"/>
    <mergeCell ref="A123:A124"/>
    <mergeCell ref="J215:J216"/>
    <mergeCell ref="A215:A216"/>
    <mergeCell ref="I180:I182"/>
    <mergeCell ref="J181:J182"/>
    <mergeCell ref="D215:D216"/>
    <mergeCell ref="E215:E216"/>
    <mergeCell ref="F215:F216"/>
    <mergeCell ref="A210:A214"/>
    <mergeCell ref="H215:H216"/>
    <mergeCell ref="B202:B203"/>
    <mergeCell ref="A202:A203"/>
    <mergeCell ref="G200:G201"/>
    <mergeCell ref="H200:H201"/>
    <mergeCell ref="C214:I214"/>
    <mergeCell ref="G215:G216"/>
    <mergeCell ref="E180:E182"/>
    <mergeCell ref="D180:D182"/>
    <mergeCell ref="C180:C182"/>
    <mergeCell ref="C207:I207"/>
    <mergeCell ref="C208:I208"/>
    <mergeCell ref="C209:I209"/>
    <mergeCell ref="B205:B209"/>
    <mergeCell ref="A205:A209"/>
    <mergeCell ref="B198:B199"/>
    <mergeCell ref="D9:D10"/>
    <mergeCell ref="C9:C10"/>
    <mergeCell ref="G53:G54"/>
    <mergeCell ref="E53:E54"/>
    <mergeCell ref="F53:F54"/>
    <mergeCell ref="I69:I70"/>
    <mergeCell ref="C55:C57"/>
    <mergeCell ref="E55:E57"/>
    <mergeCell ref="D55:D57"/>
    <mergeCell ref="F55:F57"/>
    <mergeCell ref="G55:G57"/>
    <mergeCell ref="H55:H57"/>
    <mergeCell ref="H53:H54"/>
    <mergeCell ref="H9:H10"/>
    <mergeCell ref="F9:F10"/>
    <mergeCell ref="G9:G10"/>
    <mergeCell ref="E9:E10"/>
    <mergeCell ref="D34:D35"/>
    <mergeCell ref="E34:E35"/>
    <mergeCell ref="D69:D70"/>
    <mergeCell ref="C69:C70"/>
    <mergeCell ref="I21:I22"/>
    <mergeCell ref="F69:F70"/>
    <mergeCell ref="C53:C54"/>
    <mergeCell ref="B2:B4"/>
    <mergeCell ref="A2:A4"/>
    <mergeCell ref="A5:A6"/>
    <mergeCell ref="B5:B6"/>
    <mergeCell ref="B18:B19"/>
    <mergeCell ref="A18:A19"/>
    <mergeCell ref="B16:B17"/>
    <mergeCell ref="A16:A17"/>
    <mergeCell ref="B7:B10"/>
    <mergeCell ref="A7:A10"/>
    <mergeCell ref="B12:B15"/>
    <mergeCell ref="A12:A15"/>
    <mergeCell ref="H222:H223"/>
    <mergeCell ref="G222:G223"/>
    <mergeCell ref="E222:E223"/>
    <mergeCell ref="H240:H241"/>
    <mergeCell ref="D240:D241"/>
    <mergeCell ref="C240:C241"/>
    <mergeCell ref="E72:E73"/>
    <mergeCell ref="B62:B67"/>
    <mergeCell ref="E120:E121"/>
    <mergeCell ref="F120:F121"/>
    <mergeCell ref="B178:B183"/>
    <mergeCell ref="G217:G218"/>
    <mergeCell ref="H217:H218"/>
    <mergeCell ref="B230:B233"/>
    <mergeCell ref="B217:B218"/>
    <mergeCell ref="B238:B239"/>
    <mergeCell ref="C239:I239"/>
    <mergeCell ref="I215:I216"/>
    <mergeCell ref="D217:D218"/>
    <mergeCell ref="I120:I121"/>
    <mergeCell ref="B240:B241"/>
    <mergeCell ref="H294:H295"/>
    <mergeCell ref="H242:H244"/>
    <mergeCell ref="B304:B305"/>
    <mergeCell ref="G247:G250"/>
    <mergeCell ref="H247:H250"/>
    <mergeCell ref="I247:I250"/>
    <mergeCell ref="I240:I241"/>
    <mergeCell ref="I217:I218"/>
    <mergeCell ref="C217:C218"/>
    <mergeCell ref="F217:F218"/>
    <mergeCell ref="G242:G244"/>
    <mergeCell ref="I294:I295"/>
    <mergeCell ref="H304:H305"/>
    <mergeCell ref="I304:I305"/>
    <mergeCell ref="F304:F305"/>
    <mergeCell ref="G304:G305"/>
    <mergeCell ref="B294:B295"/>
    <mergeCell ref="C294:C295"/>
    <mergeCell ref="I242:I244"/>
    <mergeCell ref="F242:F244"/>
    <mergeCell ref="E242:E244"/>
    <mergeCell ref="D242:D244"/>
    <mergeCell ref="C242:C244"/>
    <mergeCell ref="B242:B244"/>
    <mergeCell ref="J340:J341"/>
    <mergeCell ref="A340:A341"/>
    <mergeCell ref="B340:B341"/>
    <mergeCell ref="C340:C341"/>
    <mergeCell ref="D340:D341"/>
    <mergeCell ref="E340:E341"/>
    <mergeCell ref="F340:F341"/>
    <mergeCell ref="G340:G341"/>
    <mergeCell ref="H340:H341"/>
    <mergeCell ref="I340:I341"/>
    <mergeCell ref="H356:H357"/>
    <mergeCell ref="I356:I357"/>
    <mergeCell ref="B356:B358"/>
    <mergeCell ref="F200:F201"/>
    <mergeCell ref="E200:E201"/>
    <mergeCell ref="C211:I211"/>
    <mergeCell ref="C212:I212"/>
    <mergeCell ref="C213:I213"/>
    <mergeCell ref="A330:A331"/>
    <mergeCell ref="B330:B331"/>
    <mergeCell ref="C247:C250"/>
    <mergeCell ref="D247:D250"/>
    <mergeCell ref="E247:E250"/>
    <mergeCell ref="F247:F250"/>
    <mergeCell ref="A240:A241"/>
    <mergeCell ref="B210:B214"/>
    <mergeCell ref="C206:I206"/>
    <mergeCell ref="I311:I316"/>
    <mergeCell ref="I320:I324"/>
    <mergeCell ref="F311:F316"/>
    <mergeCell ref="E217:E218"/>
    <mergeCell ref="D222:D223"/>
    <mergeCell ref="C222:C223"/>
    <mergeCell ref="I222:I223"/>
    <mergeCell ref="B363:B364"/>
    <mergeCell ref="A363:A364"/>
    <mergeCell ref="A356:A358"/>
    <mergeCell ref="B125:B126"/>
    <mergeCell ref="D356:D357"/>
    <mergeCell ref="C356:C357"/>
    <mergeCell ref="E356:E357"/>
    <mergeCell ref="F356:F357"/>
    <mergeCell ref="G356:G357"/>
    <mergeCell ref="B222:B224"/>
    <mergeCell ref="A272:A273"/>
    <mergeCell ref="A300:A301"/>
    <mergeCell ref="A247:A250"/>
    <mergeCell ref="A294:A295"/>
    <mergeCell ref="D200:D201"/>
    <mergeCell ref="C200:C201"/>
    <mergeCell ref="A230:A233"/>
    <mergeCell ref="A242:A244"/>
    <mergeCell ref="A277:A278"/>
    <mergeCell ref="A279:A281"/>
    <mergeCell ref="E320:E324"/>
    <mergeCell ref="A238:A239"/>
    <mergeCell ref="B320:B324"/>
    <mergeCell ref="A320:A32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166" activePane="bottomLeft" state="frozen"/>
      <selection activeCell="H1" sqref="H1"/>
      <selection pane="bottomLeft" activeCell="G179" sqref="G179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7654">
        <v>10</v>
      </c>
      <c r="B11" s="7652" t="s">
        <v>999</v>
      </c>
      <c r="C11" s="7723"/>
      <c r="D11" s="7677">
        <v>160000000</v>
      </c>
      <c r="E11" s="7659">
        <v>6.3E-2</v>
      </c>
      <c r="F11" s="7563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7563">
        <f>G11</f>
        <v>7500000</v>
      </c>
      <c r="L11" s="7563">
        <f>F11-K11</f>
        <v>2500000</v>
      </c>
      <c r="M11" s="180"/>
    </row>
    <row r="12" spans="1:13" ht="30" customHeight="1" x14ac:dyDescent="0.2">
      <c r="A12" s="7655"/>
      <c r="B12" s="7653"/>
      <c r="C12" s="7724"/>
      <c r="D12" s="7678"/>
      <c r="E12" s="7660"/>
      <c r="F12" s="7564"/>
      <c r="G12" s="271">
        <v>2500000</v>
      </c>
      <c r="H12" s="271"/>
      <c r="I12" s="274"/>
      <c r="J12" s="24"/>
      <c r="K12" s="7564"/>
      <c r="L12" s="7564"/>
      <c r="M12" s="180"/>
    </row>
    <row r="13" spans="1:13" ht="30" customHeight="1" x14ac:dyDescent="0.2">
      <c r="A13" s="7654">
        <v>11</v>
      </c>
      <c r="B13" s="7652" t="s">
        <v>393</v>
      </c>
      <c r="C13" s="7723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7563">
        <f>F13-K13</f>
        <v>0</v>
      </c>
      <c r="M13" s="7698" t="s">
        <v>395</v>
      </c>
    </row>
    <row r="14" spans="1:13" ht="30" customHeight="1" x14ac:dyDescent="0.2">
      <c r="A14" s="7655"/>
      <c r="B14" s="7653"/>
      <c r="C14" s="7724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7564"/>
      <c r="M14" s="7700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7654">
        <v>21</v>
      </c>
      <c r="B24" s="7652" t="s">
        <v>658</v>
      </c>
      <c r="C24" s="7723"/>
      <c r="D24" s="7563">
        <v>300000000</v>
      </c>
      <c r="E24" s="7659">
        <v>0.05</v>
      </c>
      <c r="F24" s="7563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7563">
        <f>G24+G25</f>
        <v>15000000</v>
      </c>
      <c r="L24" s="7563">
        <f>F24-K24</f>
        <v>0</v>
      </c>
      <c r="M24" s="7698"/>
    </row>
    <row r="25" spans="1:13" ht="30" customHeight="1" x14ac:dyDescent="0.2">
      <c r="A25" s="7655"/>
      <c r="B25" s="7653"/>
      <c r="C25" s="7724"/>
      <c r="D25" s="7564"/>
      <c r="E25" s="7660"/>
      <c r="F25" s="7564"/>
      <c r="G25" s="92">
        <v>5000000</v>
      </c>
      <c r="H25" s="7470" t="s">
        <v>659</v>
      </c>
      <c r="I25" s="7510"/>
      <c r="J25" s="64"/>
      <c r="K25" s="7564"/>
      <c r="L25" s="7564"/>
      <c r="M25" s="7700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7654">
        <v>26</v>
      </c>
      <c r="B30" s="7652" t="s">
        <v>807</v>
      </c>
      <c r="C30" s="7723" t="s">
        <v>1299</v>
      </c>
      <c r="D30" s="7563">
        <v>500000000</v>
      </c>
      <c r="E30" s="7659">
        <v>7.0000000000000007E-2</v>
      </c>
      <c r="F30" s="7563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7563">
        <f>G30+G31</f>
        <v>35000000</v>
      </c>
      <c r="L30" s="7563">
        <f>(G30+G31)-K30</f>
        <v>0</v>
      </c>
      <c r="M30" s="109"/>
    </row>
    <row r="31" spans="1:13" ht="30" customHeight="1" x14ac:dyDescent="0.2">
      <c r="A31" s="7655"/>
      <c r="B31" s="7653"/>
      <c r="C31" s="7724"/>
      <c r="D31" s="7564"/>
      <c r="E31" s="7660"/>
      <c r="F31" s="7564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7564"/>
      <c r="L31" s="7564"/>
      <c r="M31" s="263"/>
    </row>
    <row r="32" spans="1:13" ht="30" customHeight="1" x14ac:dyDescent="0.2">
      <c r="A32" s="7654">
        <v>27</v>
      </c>
      <c r="B32" s="7652" t="s">
        <v>819</v>
      </c>
      <c r="C32" s="7723"/>
      <c r="D32" s="7563">
        <v>590000000</v>
      </c>
      <c r="E32" s="7659"/>
      <c r="F32" s="7563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7563">
        <f>G32+G33</f>
        <v>30000000</v>
      </c>
      <c r="L32" s="7563">
        <f>F32-K32</f>
        <v>0</v>
      </c>
      <c r="M32" s="109"/>
    </row>
    <row r="33" spans="1:13" ht="30" customHeight="1" x14ac:dyDescent="0.2">
      <c r="A33" s="7655"/>
      <c r="B33" s="7653"/>
      <c r="C33" s="7724"/>
      <c r="D33" s="7564"/>
      <c r="E33" s="7660"/>
      <c r="F33" s="7564"/>
      <c r="G33" s="122">
        <v>10000000</v>
      </c>
      <c r="H33" s="98" t="s">
        <v>660</v>
      </c>
      <c r="I33" s="23">
        <v>558135</v>
      </c>
      <c r="J33" s="64" t="s">
        <v>821</v>
      </c>
      <c r="K33" s="7564"/>
      <c r="L33" s="7564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7654">
        <v>31</v>
      </c>
      <c r="B37" s="7652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7563">
        <v>10000000</v>
      </c>
      <c r="H37" s="7563" t="s">
        <v>904</v>
      </c>
      <c r="I37" s="7765">
        <v>375599</v>
      </c>
      <c r="J37" s="7762" t="s">
        <v>983</v>
      </c>
      <c r="K37" s="7563">
        <f>G37</f>
        <v>10000000</v>
      </c>
      <c r="L37" s="7677">
        <f>(F37+F38)-K37</f>
        <v>-2550000</v>
      </c>
      <c r="M37" s="7713" t="s">
        <v>991</v>
      </c>
    </row>
    <row r="38" spans="1:13" ht="30" customHeight="1" x14ac:dyDescent="0.2">
      <c r="A38" s="7655"/>
      <c r="B38" s="7653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7564"/>
      <c r="H38" s="7564"/>
      <c r="I38" s="7766"/>
      <c r="J38" s="7763"/>
      <c r="K38" s="7564"/>
      <c r="L38" s="7678"/>
      <c r="M38" s="7714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7654">
        <v>44</v>
      </c>
      <c r="B51" s="7661" t="s">
        <v>185</v>
      </c>
      <c r="C51" s="7723" t="s">
        <v>1295</v>
      </c>
      <c r="D51" s="7563">
        <v>1190000000</v>
      </c>
      <c r="E51" s="7659">
        <v>7.0000000000000007E-2</v>
      </c>
      <c r="F51" s="7563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7563">
        <f>G51+G52</f>
        <v>80900000</v>
      </c>
      <c r="L51" s="7563">
        <f>F51-K51</f>
        <v>2400000.0000000149</v>
      </c>
      <c r="M51" s="3"/>
    </row>
    <row r="52" spans="1:13" ht="30" customHeight="1" x14ac:dyDescent="0.2">
      <c r="A52" s="7655"/>
      <c r="B52" s="7663"/>
      <c r="C52" s="7724"/>
      <c r="D52" s="7564"/>
      <c r="E52" s="7660"/>
      <c r="F52" s="7564"/>
      <c r="G52" s="322">
        <v>36300000</v>
      </c>
      <c r="H52" s="322" t="s">
        <v>684</v>
      </c>
      <c r="I52" s="324" t="s">
        <v>1044</v>
      </c>
      <c r="J52" s="21" t="s">
        <v>920</v>
      </c>
      <c r="K52" s="7564"/>
      <c r="L52" s="7564"/>
      <c r="M52" s="3"/>
    </row>
    <row r="53" spans="1:13" ht="30" customHeight="1" x14ac:dyDescent="0.2">
      <c r="A53" s="7654">
        <v>45</v>
      </c>
      <c r="B53" s="7661" t="s">
        <v>186</v>
      </c>
      <c r="C53" s="7723" t="s">
        <v>1081</v>
      </c>
      <c r="D53" s="7470" t="s">
        <v>1203</v>
      </c>
      <c r="E53" s="7493"/>
      <c r="F53" s="7510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7656"/>
      <c r="B54" s="7662"/>
      <c r="C54" s="7747"/>
      <c r="D54" s="7563">
        <v>1300000000</v>
      </c>
      <c r="E54" s="7659">
        <v>0.08</v>
      </c>
      <c r="F54" s="7563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7563">
        <f>G54+G55+G56</f>
        <v>95000000</v>
      </c>
      <c r="L54" s="7563">
        <f>F54-K54</f>
        <v>9000000</v>
      </c>
      <c r="M54" s="247"/>
    </row>
    <row r="55" spans="1:13" ht="30" customHeight="1" x14ac:dyDescent="0.2">
      <c r="A55" s="7656"/>
      <c r="B55" s="7662"/>
      <c r="C55" s="7747"/>
      <c r="D55" s="7586"/>
      <c r="E55" s="7676"/>
      <c r="F55" s="7586"/>
      <c r="G55" s="303">
        <v>70000000</v>
      </c>
      <c r="H55" s="303" t="s">
        <v>1249</v>
      </c>
      <c r="I55" s="32" t="s">
        <v>1280</v>
      </c>
      <c r="J55" s="21" t="s">
        <v>1076</v>
      </c>
      <c r="K55" s="7586"/>
      <c r="L55" s="7586"/>
      <c r="M55" s="247"/>
    </row>
    <row r="56" spans="1:13" ht="30" customHeight="1" x14ac:dyDescent="0.2">
      <c r="A56" s="7656"/>
      <c r="B56" s="7662"/>
      <c r="C56" s="7747"/>
      <c r="D56" s="7564"/>
      <c r="E56" s="7660"/>
      <c r="F56" s="7564"/>
      <c r="G56" s="303"/>
      <c r="H56" s="303"/>
      <c r="I56" s="32"/>
      <c r="J56" s="21"/>
      <c r="K56" s="7564"/>
      <c r="L56" s="7564"/>
      <c r="M56" s="247"/>
    </row>
    <row r="57" spans="1:13" ht="30" customHeight="1" x14ac:dyDescent="0.2">
      <c r="A57" s="7655"/>
      <c r="B57" s="7663"/>
      <c r="C57" s="7724"/>
      <c r="D57" s="243">
        <v>1200000000</v>
      </c>
      <c r="E57" s="17">
        <v>0.08</v>
      </c>
      <c r="F57" s="243">
        <f>D57*E57</f>
        <v>96000000</v>
      </c>
      <c r="G57" s="7732" t="s">
        <v>1202</v>
      </c>
      <c r="H57" s="7733"/>
      <c r="I57" s="7733"/>
      <c r="J57" s="7733"/>
      <c r="K57" s="7733"/>
      <c r="L57" s="7734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5328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7654">
        <v>50</v>
      </c>
      <c r="B62" s="7661" t="s">
        <v>191</v>
      </c>
      <c r="C62" s="7723"/>
      <c r="D62" s="7735" t="s">
        <v>1246</v>
      </c>
      <c r="E62" s="7771"/>
      <c r="F62" s="7737"/>
      <c r="G62" s="11">
        <v>3000000</v>
      </c>
      <c r="H62" s="11" t="s">
        <v>684</v>
      </c>
      <c r="I62" s="20" t="s">
        <v>1055</v>
      </c>
      <c r="J62" s="21" t="s">
        <v>1056</v>
      </c>
      <c r="K62" s="7470"/>
      <c r="L62" s="7510"/>
      <c r="M62" s="3"/>
    </row>
    <row r="63" spans="1:13" ht="30" customHeight="1" x14ac:dyDescent="0.2">
      <c r="A63" s="7655"/>
      <c r="B63" s="7663"/>
      <c r="C63" s="7724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7654">
        <v>52</v>
      </c>
      <c r="B65" s="7661" t="s">
        <v>193</v>
      </c>
      <c r="C65" s="7723"/>
      <c r="D65" s="7563">
        <v>350000000</v>
      </c>
      <c r="E65" s="7659">
        <v>7.0000000000000007E-2</v>
      </c>
      <c r="F65" s="7563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7563">
        <f>G65+G66</f>
        <v>24500000</v>
      </c>
      <c r="L65" s="7563">
        <f>F65-K65</f>
        <v>0</v>
      </c>
      <c r="M65" s="7654"/>
    </row>
    <row r="66" spans="1:13" ht="30" customHeight="1" x14ac:dyDescent="0.2">
      <c r="A66" s="7656"/>
      <c r="B66" s="7662"/>
      <c r="C66" s="7747"/>
      <c r="D66" s="7564"/>
      <c r="E66" s="7660"/>
      <c r="F66" s="7564"/>
      <c r="G66" s="99">
        <v>14500000</v>
      </c>
      <c r="H66" s="99" t="s">
        <v>660</v>
      </c>
      <c r="I66" s="276" t="s">
        <v>693</v>
      </c>
      <c r="J66" s="21" t="s">
        <v>694</v>
      </c>
      <c r="K66" s="7564"/>
      <c r="L66" s="7564"/>
      <c r="M66" s="7655"/>
    </row>
    <row r="67" spans="1:13" ht="30" customHeight="1" x14ac:dyDescent="0.2">
      <c r="A67" s="7656"/>
      <c r="B67" s="7662"/>
      <c r="C67" s="7747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7655"/>
      <c r="B68" s="7663"/>
      <c r="C68" s="7724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7654">
        <v>53</v>
      </c>
      <c r="B69" s="7661" t="s">
        <v>1060</v>
      </c>
      <c r="C69" s="7723"/>
      <c r="D69" s="11">
        <v>35000000</v>
      </c>
      <c r="E69" s="17">
        <v>7.1999999999999995E-2</v>
      </c>
      <c r="F69" s="11">
        <v>2500000</v>
      </c>
      <c r="G69" s="7563">
        <v>3500000</v>
      </c>
      <c r="H69" s="7563" t="s">
        <v>684</v>
      </c>
      <c r="I69" s="7748" t="s">
        <v>1061</v>
      </c>
      <c r="J69" s="7561" t="s">
        <v>946</v>
      </c>
      <c r="K69" s="7563">
        <f t="shared" si="8"/>
        <v>3500000</v>
      </c>
      <c r="L69" s="7563">
        <f>(F69+F70)-K69</f>
        <v>0</v>
      </c>
      <c r="M69" s="3"/>
    </row>
    <row r="70" spans="1:13" ht="30" customHeight="1" x14ac:dyDescent="0.2">
      <c r="A70" s="7655"/>
      <c r="B70" s="7663"/>
      <c r="C70" s="7724"/>
      <c r="D70" s="205">
        <v>13000000</v>
      </c>
      <c r="E70" s="17">
        <v>7.6999999999999999E-2</v>
      </c>
      <c r="F70" s="205">
        <v>1000000</v>
      </c>
      <c r="G70" s="7564"/>
      <c r="H70" s="7564"/>
      <c r="I70" s="7749"/>
      <c r="J70" s="7562"/>
      <c r="K70" s="7564"/>
      <c r="L70" s="7564"/>
      <c r="M70" s="3"/>
    </row>
    <row r="71" spans="1:13" ht="30" customHeight="1" x14ac:dyDescent="0.2">
      <c r="A71" s="7654">
        <v>54</v>
      </c>
      <c r="B71" s="7661" t="s">
        <v>1247</v>
      </c>
      <c r="C71" s="7723" t="s">
        <v>1295</v>
      </c>
      <c r="D71" s="271">
        <v>175000000</v>
      </c>
      <c r="E71" s="7659">
        <f>F71/(D71+D72)</f>
        <v>6.3461538461538458E-2</v>
      </c>
      <c r="F71" s="7563">
        <v>16500000</v>
      </c>
      <c r="G71" s="7563">
        <v>12600000</v>
      </c>
      <c r="H71" s="7563" t="s">
        <v>684</v>
      </c>
      <c r="I71" s="7748" t="s">
        <v>1062</v>
      </c>
      <c r="J71" s="7561" t="s">
        <v>1063</v>
      </c>
      <c r="K71" s="7563">
        <f t="shared" si="8"/>
        <v>12600000</v>
      </c>
      <c r="L71" s="7563">
        <f t="shared" si="9"/>
        <v>3900000</v>
      </c>
      <c r="M71" s="77" t="s">
        <v>1082</v>
      </c>
    </row>
    <row r="72" spans="1:13" ht="30" customHeight="1" x14ac:dyDescent="0.2">
      <c r="A72" s="7655"/>
      <c r="B72" s="7663"/>
      <c r="C72" s="7724"/>
      <c r="D72" s="273">
        <v>85000000</v>
      </c>
      <c r="E72" s="7660"/>
      <c r="F72" s="7564"/>
      <c r="G72" s="7564"/>
      <c r="H72" s="7564"/>
      <c r="I72" s="7749"/>
      <c r="J72" s="7562"/>
      <c r="K72" s="7564"/>
      <c r="L72" s="7564"/>
      <c r="M72" s="288"/>
    </row>
    <row r="73" spans="1:13" ht="30" customHeight="1" x14ac:dyDescent="0.2">
      <c r="A73" s="7654">
        <v>55</v>
      </c>
      <c r="B73" s="7661" t="s">
        <v>35</v>
      </c>
      <c r="C73" s="7723" t="s">
        <v>1295</v>
      </c>
      <c r="D73" s="7563">
        <v>3284000000</v>
      </c>
      <c r="E73" s="7659">
        <v>7.0000000000000007E-2</v>
      </c>
      <c r="F73" s="7563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7563">
        <f>G73+G74+G75+G76+G77</f>
        <v>225000000</v>
      </c>
      <c r="L73" s="7563">
        <f>F73-K73</f>
        <v>4880000</v>
      </c>
      <c r="M73" s="7764"/>
    </row>
    <row r="74" spans="1:13" ht="30" customHeight="1" x14ac:dyDescent="0.2">
      <c r="A74" s="7656"/>
      <c r="B74" s="7662"/>
      <c r="C74" s="7747"/>
      <c r="D74" s="7586"/>
      <c r="E74" s="7676"/>
      <c r="F74" s="7586"/>
      <c r="G74" s="205">
        <v>50000000</v>
      </c>
      <c r="H74" s="205" t="s">
        <v>573</v>
      </c>
      <c r="I74" s="32" t="s">
        <v>685</v>
      </c>
      <c r="J74" s="21">
        <v>4730093049</v>
      </c>
      <c r="K74" s="7586"/>
      <c r="L74" s="7586"/>
      <c r="M74" s="7656"/>
    </row>
    <row r="75" spans="1:13" ht="30" customHeight="1" x14ac:dyDescent="0.2">
      <c r="A75" s="7656"/>
      <c r="B75" s="7662"/>
      <c r="C75" s="7747"/>
      <c r="D75" s="7586"/>
      <c r="E75" s="7676"/>
      <c r="F75" s="7586"/>
      <c r="G75" s="205">
        <v>45000000</v>
      </c>
      <c r="H75" s="205" t="s">
        <v>683</v>
      </c>
      <c r="I75" s="32" t="s">
        <v>686</v>
      </c>
      <c r="J75" s="21" t="s">
        <v>688</v>
      </c>
      <c r="K75" s="7586"/>
      <c r="L75" s="7586"/>
      <c r="M75" s="7656"/>
    </row>
    <row r="76" spans="1:13" ht="30" customHeight="1" x14ac:dyDescent="0.2">
      <c r="A76" s="7656"/>
      <c r="B76" s="7662"/>
      <c r="C76" s="7747"/>
      <c r="D76" s="7586"/>
      <c r="E76" s="7676"/>
      <c r="F76" s="7586"/>
      <c r="G76" s="205">
        <v>50000000</v>
      </c>
      <c r="H76" s="205" t="s">
        <v>684</v>
      </c>
      <c r="I76" s="32" t="s">
        <v>687</v>
      </c>
      <c r="J76" s="21">
        <v>4730093049</v>
      </c>
      <c r="K76" s="7586"/>
      <c r="L76" s="7586"/>
      <c r="M76" s="7655"/>
    </row>
    <row r="77" spans="1:13" ht="30" customHeight="1" x14ac:dyDescent="0.2">
      <c r="A77" s="7655"/>
      <c r="B77" s="7663"/>
      <c r="C77" s="7724"/>
      <c r="D77" s="7564"/>
      <c r="E77" s="7660"/>
      <c r="F77" s="7564"/>
      <c r="G77" s="205">
        <v>50000000</v>
      </c>
      <c r="H77" s="205" t="s">
        <v>984</v>
      </c>
      <c r="I77" s="32" t="s">
        <v>995</v>
      </c>
      <c r="J77" s="228">
        <v>110727081002</v>
      </c>
      <c r="K77" s="7564"/>
      <c r="L77" s="7564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7654">
        <v>58</v>
      </c>
      <c r="B80" s="7661" t="s">
        <v>194</v>
      </c>
      <c r="C80" s="7723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7563">
        <f t="shared" si="8"/>
        <v>4850000</v>
      </c>
      <c r="L80" s="7563">
        <f t="shared" si="9"/>
        <v>-350000</v>
      </c>
      <c r="M80" s="7754" t="s">
        <v>1302</v>
      </c>
    </row>
    <row r="81" spans="1:13" ht="30" customHeight="1" x14ac:dyDescent="0.2">
      <c r="A81" s="7655"/>
      <c r="B81" s="7663"/>
      <c r="C81" s="7724"/>
      <c r="D81" s="320">
        <v>10000000</v>
      </c>
      <c r="E81" s="17">
        <v>7.0000000000000007E-2</v>
      </c>
      <c r="F81" s="320">
        <f t="shared" si="7"/>
        <v>700000.00000000012</v>
      </c>
      <c r="G81" s="7732" t="s">
        <v>1301</v>
      </c>
      <c r="H81" s="7733"/>
      <c r="I81" s="7733"/>
      <c r="J81" s="7734"/>
      <c r="K81" s="7564"/>
      <c r="L81" s="7564"/>
      <c r="M81" s="7755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7654">
        <v>62</v>
      </c>
      <c r="B85" s="7661" t="s">
        <v>198</v>
      </c>
      <c r="C85" s="7723" t="s">
        <v>1295</v>
      </c>
      <c r="D85" s="7563">
        <v>1250000000</v>
      </c>
      <c r="E85" s="7691"/>
      <c r="F85" s="7563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7563">
        <f>G85+G86</f>
        <v>62500000</v>
      </c>
      <c r="L85" s="7563">
        <f t="shared" si="9"/>
        <v>18750000</v>
      </c>
      <c r="M85" s="7754" t="s">
        <v>1494</v>
      </c>
    </row>
    <row r="86" spans="1:13" ht="30" customHeight="1" x14ac:dyDescent="0.2">
      <c r="A86" s="7655"/>
      <c r="B86" s="7663"/>
      <c r="C86" s="7724"/>
      <c r="D86" s="7564"/>
      <c r="E86" s="7693"/>
      <c r="F86" s="7564"/>
      <c r="G86" s="137">
        <v>40000000</v>
      </c>
      <c r="H86" s="137" t="s">
        <v>683</v>
      </c>
      <c r="I86" s="145" t="s">
        <v>922</v>
      </c>
      <c r="J86" s="141" t="s">
        <v>921</v>
      </c>
      <c r="K86" s="7564"/>
      <c r="L86" s="7564"/>
      <c r="M86" s="7755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0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7654">
        <v>76</v>
      </c>
      <c r="B100" s="7661" t="s">
        <v>210</v>
      </c>
      <c r="C100" s="7723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7563" t="s">
        <v>748</v>
      </c>
      <c r="I100" s="7748" t="s">
        <v>951</v>
      </c>
      <c r="J100" s="7752" t="s">
        <v>952</v>
      </c>
      <c r="K100" s="7563">
        <f t="shared" si="8"/>
        <v>1900000</v>
      </c>
      <c r="L100" s="7677">
        <f>F100-K100</f>
        <v>200000</v>
      </c>
      <c r="M100" s="3"/>
    </row>
    <row r="101" spans="1:13" ht="30" customHeight="1" x14ac:dyDescent="0.2">
      <c r="A101" s="7655"/>
      <c r="B101" s="7663"/>
      <c r="C101" s="7724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7564"/>
      <c r="I101" s="7749"/>
      <c r="J101" s="7753"/>
      <c r="K101" s="7564"/>
      <c r="L101" s="7678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7654">
        <v>84</v>
      </c>
      <c r="B109" s="7661" t="s">
        <v>975</v>
      </c>
      <c r="C109" s="7723"/>
      <c r="D109" s="137">
        <v>200000000</v>
      </c>
      <c r="E109" s="17">
        <v>0.06</v>
      </c>
      <c r="F109" s="137">
        <f t="shared" si="7"/>
        <v>12000000</v>
      </c>
      <c r="G109" s="7563">
        <v>35600000</v>
      </c>
      <c r="H109" s="7563" t="s">
        <v>748</v>
      </c>
      <c r="I109" s="7748" t="s">
        <v>969</v>
      </c>
      <c r="J109" s="7775" t="s">
        <v>970</v>
      </c>
      <c r="K109" s="7563">
        <f t="shared" si="8"/>
        <v>35600000</v>
      </c>
      <c r="L109" s="7563">
        <f>(F109+F110+F111)-K109</f>
        <v>0</v>
      </c>
      <c r="M109" s="7652" t="s">
        <v>78</v>
      </c>
    </row>
    <row r="110" spans="1:13" ht="30" customHeight="1" x14ac:dyDescent="0.2">
      <c r="A110" s="7656"/>
      <c r="B110" s="7662"/>
      <c r="C110" s="7747"/>
      <c r="D110" s="137">
        <v>458000000</v>
      </c>
      <c r="E110" s="17">
        <v>0.05</v>
      </c>
      <c r="F110" s="137">
        <f t="shared" si="7"/>
        <v>22900000</v>
      </c>
      <c r="G110" s="7586"/>
      <c r="H110" s="7586"/>
      <c r="I110" s="7774"/>
      <c r="J110" s="7776"/>
      <c r="K110" s="7586"/>
      <c r="L110" s="7586"/>
      <c r="M110" s="7665"/>
    </row>
    <row r="111" spans="1:13" ht="30" customHeight="1" x14ac:dyDescent="0.2">
      <c r="A111" s="7655"/>
      <c r="B111" s="7663"/>
      <c r="C111" s="7724"/>
      <c r="D111" s="1551">
        <v>10000000</v>
      </c>
      <c r="E111" s="1554">
        <v>7.0000000000000007E-2</v>
      </c>
      <c r="F111" s="1551">
        <f t="shared" si="7"/>
        <v>700000.00000000012</v>
      </c>
      <c r="G111" s="7564"/>
      <c r="H111" s="7564"/>
      <c r="I111" s="7749"/>
      <c r="J111" s="7777"/>
      <c r="K111" s="7564"/>
      <c r="L111" s="7564"/>
      <c r="M111" s="7653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7654">
        <v>86</v>
      </c>
      <c r="B113" s="7661" t="s">
        <v>174</v>
      </c>
      <c r="C113" s="7723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7563">
        <f>G113+G114</f>
        <v>21500000</v>
      </c>
      <c r="L113" s="7677">
        <f>(F113+F114)-K113</f>
        <v>500000</v>
      </c>
      <c r="M113" s="86" t="s">
        <v>619</v>
      </c>
    </row>
    <row r="114" spans="1:13" ht="30" customHeight="1" x14ac:dyDescent="0.2">
      <c r="A114" s="7655"/>
      <c r="B114" s="7663"/>
      <c r="C114" s="7724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7564"/>
      <c r="L114" s="7678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7654">
        <v>88</v>
      </c>
      <c r="B116" s="7661" t="s">
        <v>219</v>
      </c>
      <c r="C116" s="7723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7563">
        <f>G116+G117</f>
        <v>22500000</v>
      </c>
      <c r="L116" s="7563">
        <f>(F116+F117)-K116</f>
        <v>0</v>
      </c>
      <c r="M116" s="3"/>
    </row>
    <row r="117" spans="1:13" ht="30" customHeight="1" x14ac:dyDescent="0.2">
      <c r="A117" s="7655"/>
      <c r="B117" s="7663"/>
      <c r="C117" s="7724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7564"/>
      <c r="L117" s="7564"/>
      <c r="M117" s="3"/>
    </row>
    <row r="118" spans="1:13" ht="30" customHeight="1" x14ac:dyDescent="0.2">
      <c r="A118" s="7654">
        <v>89</v>
      </c>
      <c r="B118" s="7661" t="s">
        <v>220</v>
      </c>
      <c r="C118" s="7723"/>
      <c r="D118" s="116">
        <v>130000000</v>
      </c>
      <c r="E118" s="17">
        <v>7.0000000000000007E-2</v>
      </c>
      <c r="F118" s="11">
        <f>D118*E118</f>
        <v>9100000</v>
      </c>
      <c r="G118" s="7563">
        <v>14460000</v>
      </c>
      <c r="H118" s="7563" t="s">
        <v>754</v>
      </c>
      <c r="I118" s="7779" t="s">
        <v>761</v>
      </c>
      <c r="J118" s="7561" t="s">
        <v>762</v>
      </c>
      <c r="K118" s="7563">
        <f t="shared" si="8"/>
        <v>14460000</v>
      </c>
      <c r="L118" s="7563">
        <f>(F118+F119)-K118</f>
        <v>0</v>
      </c>
      <c r="M118" s="7654"/>
    </row>
    <row r="119" spans="1:13" ht="30" customHeight="1" x14ac:dyDescent="0.2">
      <c r="A119" s="7655"/>
      <c r="B119" s="7663"/>
      <c r="C119" s="7724"/>
      <c r="D119" s="116">
        <v>100000000</v>
      </c>
      <c r="E119" s="17">
        <v>5.3999999999999999E-2</v>
      </c>
      <c r="F119" s="116">
        <v>5360000</v>
      </c>
      <c r="G119" s="7564"/>
      <c r="H119" s="7564"/>
      <c r="I119" s="7780"/>
      <c r="J119" s="7562"/>
      <c r="K119" s="7564"/>
      <c r="L119" s="7564"/>
      <c r="M119" s="7655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7654">
        <v>91</v>
      </c>
      <c r="B121" s="7661" t="s">
        <v>749</v>
      </c>
      <c r="C121" s="7723"/>
      <c r="D121" s="7677"/>
      <c r="E121" s="7691"/>
      <c r="F121" s="7677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7563">
        <f>G121+G122</f>
        <v>38470000</v>
      </c>
      <c r="L121" s="7677">
        <f t="shared" si="9"/>
        <v>-38470000</v>
      </c>
      <c r="M121" s="3"/>
    </row>
    <row r="122" spans="1:13" ht="30" customHeight="1" x14ac:dyDescent="0.2">
      <c r="A122" s="7655"/>
      <c r="B122" s="7663"/>
      <c r="C122" s="7724"/>
      <c r="D122" s="7678"/>
      <c r="E122" s="7693"/>
      <c r="F122" s="7678"/>
      <c r="G122" s="116">
        <v>23560000</v>
      </c>
      <c r="H122" s="116" t="s">
        <v>799</v>
      </c>
      <c r="I122" s="118" t="s">
        <v>800</v>
      </c>
      <c r="J122" s="21" t="s">
        <v>801</v>
      </c>
      <c r="K122" s="7564"/>
      <c r="L122" s="7678"/>
      <c r="M122" s="3"/>
    </row>
    <row r="123" spans="1:13" ht="30" customHeight="1" x14ac:dyDescent="0.2">
      <c r="A123" s="7654">
        <v>92</v>
      </c>
      <c r="B123" s="7661" t="s">
        <v>222</v>
      </c>
      <c r="C123" s="7723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7655"/>
      <c r="B124" s="7663"/>
      <c r="C124" s="7724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7654">
        <v>101</v>
      </c>
      <c r="B133" s="7661" t="s">
        <v>229</v>
      </c>
      <c r="C133" s="7723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7655"/>
      <c r="B134" s="7663"/>
      <c r="C134" s="7724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7654">
        <v>109</v>
      </c>
      <c r="B142" s="7710" t="s">
        <v>237</v>
      </c>
      <c r="C142" s="7723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7563">
        <f>G142+G143</f>
        <v>1500000</v>
      </c>
      <c r="L142" s="7563">
        <f>(F142+F143)-K142</f>
        <v>0</v>
      </c>
      <c r="M142" s="3"/>
    </row>
    <row r="143" spans="1:13" ht="30" customHeight="1" x14ac:dyDescent="0.2">
      <c r="A143" s="7655"/>
      <c r="B143" s="7712"/>
      <c r="C143" s="7724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7564"/>
      <c r="L143" s="7564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7654">
        <v>118</v>
      </c>
      <c r="B152" s="7661" t="s">
        <v>246</v>
      </c>
      <c r="C152" s="7723" t="s">
        <v>371</v>
      </c>
      <c r="D152" s="7563">
        <v>617000000</v>
      </c>
      <c r="E152" s="7659">
        <v>7.0000000000000007E-2</v>
      </c>
      <c r="F152" s="7563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7563">
        <f>F152-K153</f>
        <v>200000</v>
      </c>
      <c r="M152" s="7654"/>
    </row>
    <row r="153" spans="1:13" ht="30" customHeight="1" x14ac:dyDescent="0.2">
      <c r="A153" s="7656"/>
      <c r="B153" s="7662"/>
      <c r="C153" s="7747"/>
      <c r="D153" s="7586"/>
      <c r="E153" s="7676"/>
      <c r="F153" s="7586"/>
      <c r="G153" s="122">
        <v>23000000</v>
      </c>
      <c r="H153" s="122" t="s">
        <v>443</v>
      </c>
      <c r="I153" s="127" t="s">
        <v>453</v>
      </c>
      <c r="J153" s="21" t="s">
        <v>454</v>
      </c>
      <c r="K153" s="7563">
        <f>G153+G154</f>
        <v>43000000</v>
      </c>
      <c r="L153" s="7586"/>
      <c r="M153" s="7656"/>
    </row>
    <row r="154" spans="1:13" ht="30" customHeight="1" x14ac:dyDescent="0.2">
      <c r="A154" s="7655"/>
      <c r="B154" s="7663"/>
      <c r="C154" s="7724"/>
      <c r="D154" s="7564"/>
      <c r="E154" s="7660"/>
      <c r="F154" s="7564"/>
      <c r="G154" s="122">
        <v>20000000</v>
      </c>
      <c r="H154" s="122" t="s">
        <v>813</v>
      </c>
      <c r="I154" s="32" t="s">
        <v>814</v>
      </c>
      <c r="J154" s="21" t="s">
        <v>815</v>
      </c>
      <c r="K154" s="7564"/>
      <c r="L154" s="7564"/>
      <c r="M154" s="7655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7654">
        <v>121</v>
      </c>
      <c r="B157" s="7661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7563">
        <f>F157+F158</f>
        <v>4400000</v>
      </c>
      <c r="L157" s="7563">
        <f>(F157+F158)-K157</f>
        <v>0</v>
      </c>
      <c r="M157" s="3"/>
    </row>
    <row r="158" spans="1:13" ht="30" customHeight="1" x14ac:dyDescent="0.2">
      <c r="A158" s="7655"/>
      <c r="B158" s="7663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7564"/>
      <c r="L158" s="7564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7654">
        <v>127</v>
      </c>
      <c r="B164" s="7661" t="s">
        <v>255</v>
      </c>
      <c r="C164" s="7723" t="s">
        <v>989</v>
      </c>
      <c r="D164" s="7563">
        <v>200000000</v>
      </c>
      <c r="E164" s="7659">
        <v>0.06</v>
      </c>
      <c r="F164" s="7563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7655"/>
      <c r="B165" s="7663"/>
      <c r="C165" s="7724"/>
      <c r="D165" s="7564"/>
      <c r="E165" s="7660"/>
      <c r="F165" s="7564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7654">
        <v>128</v>
      </c>
      <c r="B166" s="7661" t="s">
        <v>1171</v>
      </c>
      <c r="C166" s="317" t="s">
        <v>1176</v>
      </c>
      <c r="D166" s="7563">
        <v>200000000</v>
      </c>
      <c r="E166" s="7659">
        <v>0.05</v>
      </c>
      <c r="F166" s="7563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7563">
        <f>G166+G167</f>
        <v>10000000</v>
      </c>
      <c r="L166" s="7563">
        <f t="shared" si="12"/>
        <v>0</v>
      </c>
      <c r="M166" s="3"/>
    </row>
    <row r="167" spans="1:13" ht="30" customHeight="1" x14ac:dyDescent="0.2">
      <c r="A167" s="7655"/>
      <c r="B167" s="7663"/>
      <c r="C167" s="317" t="s">
        <v>942</v>
      </c>
      <c r="D167" s="7564"/>
      <c r="E167" s="7660"/>
      <c r="F167" s="7564"/>
      <c r="G167" s="243">
        <v>5000000</v>
      </c>
      <c r="H167" s="243" t="s">
        <v>1167</v>
      </c>
      <c r="I167" s="245" t="s">
        <v>1205</v>
      </c>
      <c r="J167" s="21" t="s">
        <v>592</v>
      </c>
      <c r="K167" s="7564"/>
      <c r="L167" s="7564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7654">
        <v>130</v>
      </c>
      <c r="B169" s="7661" t="s">
        <v>1218</v>
      </c>
      <c r="C169" s="7723" t="s">
        <v>1652</v>
      </c>
      <c r="D169" s="7563">
        <v>490000000</v>
      </c>
      <c r="E169" s="7659">
        <v>0.05</v>
      </c>
      <c r="F169" s="7563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7563">
        <f>G169+G170+G171</f>
        <v>33000000</v>
      </c>
      <c r="L169" s="7563">
        <f t="shared" si="12"/>
        <v>-8500000</v>
      </c>
      <c r="M169" s="7754" t="s">
        <v>1884</v>
      </c>
    </row>
    <row r="170" spans="1:13" ht="30" customHeight="1" x14ac:dyDescent="0.2">
      <c r="A170" s="7656"/>
      <c r="B170" s="7662"/>
      <c r="C170" s="7747"/>
      <c r="D170" s="7586"/>
      <c r="E170" s="7676"/>
      <c r="F170" s="7586"/>
      <c r="G170" s="548">
        <v>5500000</v>
      </c>
      <c r="H170" s="548" t="s">
        <v>1216</v>
      </c>
      <c r="I170" s="557" t="s">
        <v>1217</v>
      </c>
      <c r="J170" s="21" t="s">
        <v>548</v>
      </c>
      <c r="K170" s="7586"/>
      <c r="L170" s="7586"/>
      <c r="M170" s="7756"/>
    </row>
    <row r="171" spans="1:13" ht="30" customHeight="1" x14ac:dyDescent="0.2">
      <c r="A171" s="7655"/>
      <c r="B171" s="7663"/>
      <c r="C171" s="7724"/>
      <c r="D171" s="7564"/>
      <c r="E171" s="7660"/>
      <c r="F171" s="7564"/>
      <c r="G171" s="548">
        <v>10000000</v>
      </c>
      <c r="H171" s="548" t="s">
        <v>1216</v>
      </c>
      <c r="I171" s="557" t="s">
        <v>1219</v>
      </c>
      <c r="J171" s="21" t="s">
        <v>1220</v>
      </c>
      <c r="K171" s="7564"/>
      <c r="L171" s="7564"/>
      <c r="M171" s="7755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7654">
        <v>133</v>
      </c>
      <c r="B174" s="7661" t="s">
        <v>6</v>
      </c>
      <c r="C174" s="7723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7655"/>
      <c r="B175" s="7663"/>
      <c r="C175" s="7724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7654">
        <v>154</v>
      </c>
      <c r="B196" s="7661" t="s">
        <v>20</v>
      </c>
      <c r="C196" s="7723"/>
      <c r="D196" s="7563">
        <v>50000000</v>
      </c>
      <c r="E196" s="7659">
        <v>0.04</v>
      </c>
      <c r="F196" s="7563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7482">
        <f>G196+G198</f>
        <v>2000000</v>
      </c>
      <c r="L196" s="7778">
        <f t="shared" si="12"/>
        <v>0</v>
      </c>
      <c r="M196" s="7654"/>
    </row>
    <row r="197" spans="1:13" ht="30" customHeight="1" x14ac:dyDescent="0.2">
      <c r="A197" s="7656"/>
      <c r="B197" s="7662"/>
      <c r="C197" s="7747"/>
      <c r="D197" s="7586"/>
      <c r="E197" s="7676"/>
      <c r="F197" s="7586"/>
      <c r="G197" s="417">
        <v>500000</v>
      </c>
      <c r="H197" s="417" t="s">
        <v>463</v>
      </c>
      <c r="I197" s="427" t="s">
        <v>464</v>
      </c>
      <c r="J197" s="18" t="s">
        <v>462</v>
      </c>
      <c r="K197" s="7482"/>
      <c r="L197" s="7778"/>
      <c r="M197" s="7656"/>
    </row>
    <row r="198" spans="1:13" ht="30" customHeight="1" x14ac:dyDescent="0.2">
      <c r="A198" s="7655"/>
      <c r="B198" s="7663"/>
      <c r="C198" s="7724"/>
      <c r="D198" s="7564"/>
      <c r="E198" s="7660"/>
      <c r="F198" s="7564"/>
      <c r="G198" s="417">
        <v>500000</v>
      </c>
      <c r="H198" s="417" t="s">
        <v>984</v>
      </c>
      <c r="I198" s="427" t="s">
        <v>998</v>
      </c>
      <c r="J198" s="18" t="s">
        <v>462</v>
      </c>
      <c r="K198" s="7470" t="s">
        <v>1518</v>
      </c>
      <c r="L198" s="7510"/>
      <c r="M198" s="7655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7654">
        <v>156</v>
      </c>
      <c r="B200" s="7654" t="s">
        <v>822</v>
      </c>
      <c r="C200" s="317"/>
      <c r="D200" s="11">
        <v>120000000</v>
      </c>
      <c r="E200" s="17"/>
      <c r="F200" s="11">
        <v>5400000</v>
      </c>
      <c r="G200" s="7563">
        <v>6600000</v>
      </c>
      <c r="H200" s="7563" t="s">
        <v>813</v>
      </c>
      <c r="I200" s="7748" t="s">
        <v>823</v>
      </c>
      <c r="J200" s="7561" t="s">
        <v>824</v>
      </c>
      <c r="K200" s="7563">
        <f t="shared" si="11"/>
        <v>6600000</v>
      </c>
      <c r="L200" s="7563">
        <f>(F200+F201)-K200</f>
        <v>0</v>
      </c>
      <c r="M200" s="3"/>
    </row>
    <row r="201" spans="1:13" ht="30" customHeight="1" x14ac:dyDescent="0.2">
      <c r="A201" s="7655"/>
      <c r="B201" s="7655"/>
      <c r="C201" s="317"/>
      <c r="D201" s="122">
        <v>22000000</v>
      </c>
      <c r="E201" s="17"/>
      <c r="F201" s="122">
        <v>1200000</v>
      </c>
      <c r="G201" s="7564"/>
      <c r="H201" s="7564"/>
      <c r="I201" s="7749"/>
      <c r="J201" s="7562"/>
      <c r="K201" s="7564"/>
      <c r="L201" s="7564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7654">
        <v>170</v>
      </c>
      <c r="B215" s="7710" t="s">
        <v>32</v>
      </c>
      <c r="C215" s="7723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7656"/>
      <c r="B216" s="7711"/>
      <c r="C216" s="7747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7655"/>
      <c r="B217" s="7712"/>
      <c r="C217" s="7724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7654">
        <v>172</v>
      </c>
      <c r="B219" s="7661" t="s">
        <v>34</v>
      </c>
      <c r="C219" s="7723"/>
      <c r="D219" s="7677"/>
      <c r="E219" s="7691"/>
      <c r="F219" s="7677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7563">
        <f>G219+G220+G221</f>
        <v>111000000</v>
      </c>
      <c r="L219" s="7677">
        <f t="shared" si="15"/>
        <v>-111000000</v>
      </c>
      <c r="M219" s="3"/>
    </row>
    <row r="220" spans="1:13" ht="30" customHeight="1" x14ac:dyDescent="0.2">
      <c r="A220" s="7656"/>
      <c r="B220" s="7662"/>
      <c r="C220" s="7747"/>
      <c r="D220" s="7690"/>
      <c r="E220" s="7692"/>
      <c r="F220" s="7690"/>
      <c r="G220" s="89">
        <v>50000000</v>
      </c>
      <c r="H220" s="89" t="s">
        <v>323</v>
      </c>
      <c r="I220" s="20" t="s">
        <v>642</v>
      </c>
      <c r="J220" s="21" t="s">
        <v>643</v>
      </c>
      <c r="K220" s="7586"/>
      <c r="L220" s="7690"/>
      <c r="M220" s="3"/>
    </row>
    <row r="221" spans="1:13" ht="30" customHeight="1" x14ac:dyDescent="0.2">
      <c r="A221" s="7655"/>
      <c r="B221" s="7663"/>
      <c r="C221" s="7724"/>
      <c r="D221" s="7678"/>
      <c r="E221" s="7693"/>
      <c r="F221" s="7678"/>
      <c r="G221" s="128">
        <v>31000000</v>
      </c>
      <c r="H221" s="128" t="s">
        <v>813</v>
      </c>
      <c r="I221" s="135" t="s">
        <v>858</v>
      </c>
      <c r="J221" s="21" t="s">
        <v>859</v>
      </c>
      <c r="K221" s="7564"/>
      <c r="L221" s="7678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7654">
        <v>188</v>
      </c>
      <c r="B237" s="7661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7655"/>
      <c r="B238" s="7663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7654">
        <v>189</v>
      </c>
      <c r="B239" s="7710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7655"/>
      <c r="B240" s="7712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7654">
        <v>192</v>
      </c>
      <c r="B243" s="7661" t="s">
        <v>55</v>
      </c>
      <c r="C243" s="7723"/>
      <c r="D243" s="7677"/>
      <c r="E243" s="7750"/>
      <c r="F243" s="7677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7563">
        <f>G243+G244</f>
        <v>6500000</v>
      </c>
      <c r="L243" s="7677">
        <f t="shared" si="15"/>
        <v>-6500000</v>
      </c>
      <c r="M243" s="3"/>
    </row>
    <row r="244" spans="1:13" ht="30" customHeight="1" x14ac:dyDescent="0.2">
      <c r="A244" s="7655"/>
      <c r="B244" s="7663"/>
      <c r="C244" s="7724"/>
      <c r="D244" s="7678"/>
      <c r="E244" s="7751"/>
      <c r="F244" s="7678"/>
      <c r="G244" s="219">
        <v>500000</v>
      </c>
      <c r="H244" s="219" t="s">
        <v>1101</v>
      </c>
      <c r="I244" s="222" t="s">
        <v>1128</v>
      </c>
      <c r="J244" s="6" t="s">
        <v>1129</v>
      </c>
      <c r="K244" s="7564"/>
      <c r="L244" s="7678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7654">
        <v>205</v>
      </c>
      <c r="B257" s="7661" t="s">
        <v>68</v>
      </c>
      <c r="C257" s="7723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7561" t="s">
        <v>1119</v>
      </c>
      <c r="K257" s="7563">
        <f>G257+G258</f>
        <v>3800000</v>
      </c>
      <c r="L257" s="7563">
        <f>(F257+F258)-K257</f>
        <v>0</v>
      </c>
      <c r="M257" s="7654"/>
    </row>
    <row r="258" spans="1:13" ht="30" customHeight="1" x14ac:dyDescent="0.2">
      <c r="A258" s="7655"/>
      <c r="B258" s="7663"/>
      <c r="C258" s="7724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7562"/>
      <c r="K258" s="7564"/>
      <c r="L258" s="7564"/>
      <c r="M258" s="7655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7654">
        <v>218</v>
      </c>
      <c r="B271" s="7661" t="s">
        <v>81</v>
      </c>
      <c r="C271" s="7723"/>
      <c r="D271" s="7563">
        <v>203000000</v>
      </c>
      <c r="E271" s="7659">
        <v>0.05</v>
      </c>
      <c r="F271" s="7563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7563">
        <f>G271+G272</f>
        <v>10150000</v>
      </c>
      <c r="L271" s="7563">
        <f t="shared" si="18"/>
        <v>0</v>
      </c>
      <c r="M271" s="3"/>
    </row>
    <row r="272" spans="1:13" ht="30" customHeight="1" x14ac:dyDescent="0.2">
      <c r="A272" s="7655"/>
      <c r="B272" s="7663"/>
      <c r="C272" s="7724"/>
      <c r="D272" s="7564"/>
      <c r="E272" s="7660"/>
      <c r="F272" s="7564"/>
      <c r="G272" s="11">
        <v>10000000</v>
      </c>
      <c r="H272" s="11" t="s">
        <v>289</v>
      </c>
      <c r="I272" s="20" t="s">
        <v>294</v>
      </c>
      <c r="J272" s="21" t="s">
        <v>293</v>
      </c>
      <c r="K272" s="7564"/>
      <c r="L272" s="7564"/>
      <c r="M272" s="3"/>
    </row>
    <row r="273" spans="1:13" ht="30" customHeight="1" x14ac:dyDescent="0.2">
      <c r="A273" s="7654">
        <v>219</v>
      </c>
      <c r="B273" s="7661" t="s">
        <v>326</v>
      </c>
      <c r="C273" s="7723"/>
      <c r="D273" s="7563">
        <v>275000000</v>
      </c>
      <c r="E273" s="7659">
        <v>4.2000000000000003E-2</v>
      </c>
      <c r="F273" s="7563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7563">
        <f>G273+G274</f>
        <v>11550000</v>
      </c>
      <c r="L273" s="7563">
        <f t="shared" si="18"/>
        <v>0</v>
      </c>
      <c r="M273" s="7654"/>
    </row>
    <row r="274" spans="1:13" ht="30" customHeight="1" x14ac:dyDescent="0.2">
      <c r="A274" s="7655"/>
      <c r="B274" s="7663"/>
      <c r="C274" s="7724"/>
      <c r="D274" s="7564"/>
      <c r="E274" s="7660"/>
      <c r="F274" s="7564"/>
      <c r="G274" s="16">
        <v>1550000</v>
      </c>
      <c r="H274" s="16" t="s">
        <v>323</v>
      </c>
      <c r="I274" s="20" t="s">
        <v>328</v>
      </c>
      <c r="J274" s="21" t="s">
        <v>329</v>
      </c>
      <c r="K274" s="7564"/>
      <c r="L274" s="7564"/>
      <c r="M274" s="7655"/>
    </row>
    <row r="275" spans="1:13" ht="30" customHeight="1" x14ac:dyDescent="0.2">
      <c r="A275" s="7654">
        <v>220</v>
      </c>
      <c r="B275" s="7661" t="s">
        <v>82</v>
      </c>
      <c r="C275" s="7723" t="s">
        <v>1287</v>
      </c>
      <c r="D275" s="7482">
        <v>730000000</v>
      </c>
      <c r="E275" s="7482" t="s">
        <v>1208</v>
      </c>
      <c r="F275" s="7482"/>
      <c r="G275" s="11">
        <v>25000000</v>
      </c>
      <c r="H275" s="11" t="s">
        <v>379</v>
      </c>
      <c r="I275" s="32" t="s">
        <v>415</v>
      </c>
      <c r="J275" s="21" t="s">
        <v>1345</v>
      </c>
      <c r="K275" s="7563">
        <f>G275+G276</f>
        <v>30000000</v>
      </c>
      <c r="L275" s="7563"/>
      <c r="M275" s="7654"/>
    </row>
    <row r="276" spans="1:13" ht="30" customHeight="1" x14ac:dyDescent="0.2">
      <c r="A276" s="7656"/>
      <c r="B276" s="7662"/>
      <c r="C276" s="7747"/>
      <c r="D276" s="7482"/>
      <c r="E276" s="7482"/>
      <c r="F276" s="7482"/>
      <c r="G276" s="70">
        <v>5000000</v>
      </c>
      <c r="H276" s="70" t="s">
        <v>544</v>
      </c>
      <c r="I276" s="32" t="s">
        <v>565</v>
      </c>
      <c r="J276" s="21" t="s">
        <v>1345</v>
      </c>
      <c r="K276" s="7564"/>
      <c r="L276" s="7564"/>
      <c r="M276" s="7655"/>
    </row>
    <row r="277" spans="1:13" ht="30" customHeight="1" x14ac:dyDescent="0.2">
      <c r="A277" s="7656"/>
      <c r="B277" s="7662"/>
      <c r="C277" s="7747"/>
      <c r="D277" s="7563">
        <v>700000000</v>
      </c>
      <c r="E277" s="7659">
        <v>5.5E-2</v>
      </c>
      <c r="F277" s="7563">
        <f>D277*E277</f>
        <v>38500000</v>
      </c>
      <c r="G277" s="332">
        <v>20000000</v>
      </c>
      <c r="H277" s="332" t="s">
        <v>1167</v>
      </c>
      <c r="I277" s="32"/>
      <c r="J277" s="21"/>
      <c r="K277" s="7563">
        <f>G277+G278</f>
        <v>35000000</v>
      </c>
      <c r="L277" s="7563">
        <f>F277-K277</f>
        <v>3500000</v>
      </c>
      <c r="M277" s="7754" t="s">
        <v>1347</v>
      </c>
    </row>
    <row r="278" spans="1:13" ht="30" customHeight="1" x14ac:dyDescent="0.2">
      <c r="A278" s="7655"/>
      <c r="B278" s="7663"/>
      <c r="C278" s="7724"/>
      <c r="D278" s="7564"/>
      <c r="E278" s="7660"/>
      <c r="F278" s="7564"/>
      <c r="G278" s="253">
        <v>15000000</v>
      </c>
      <c r="H278" s="253" t="s">
        <v>1249</v>
      </c>
      <c r="I278" s="32" t="s">
        <v>1257</v>
      </c>
      <c r="J278" s="21" t="s">
        <v>1345</v>
      </c>
      <c r="K278" s="7564"/>
      <c r="L278" s="7564"/>
      <c r="M278" s="7755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7654">
        <v>224</v>
      </c>
      <c r="B282" s="7661" t="s">
        <v>86</v>
      </c>
      <c r="C282" s="7723"/>
      <c r="D282" s="165"/>
      <c r="E282" s="7735" t="s">
        <v>1236</v>
      </c>
      <c r="F282" s="7737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7655"/>
      <c r="B283" s="7663"/>
      <c r="C283" s="7724"/>
      <c r="D283" s="264">
        <v>500000000</v>
      </c>
      <c r="E283" s="17">
        <v>0.06</v>
      </c>
      <c r="F283" s="17">
        <f>D283*E283</f>
        <v>30000000</v>
      </c>
      <c r="G283" s="7470" t="s">
        <v>1237</v>
      </c>
      <c r="H283" s="7493"/>
      <c r="I283" s="7493"/>
      <c r="J283" s="7493"/>
      <c r="K283" s="7510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7654">
        <v>232</v>
      </c>
      <c r="B291" s="7661" t="s">
        <v>93</v>
      </c>
      <c r="C291" s="7723"/>
      <c r="D291" s="7677"/>
      <c r="E291" s="7691"/>
      <c r="F291" s="7563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7563">
        <f>G291+G292+G293</f>
        <v>42000000</v>
      </c>
      <c r="L291" s="7563">
        <f>(F291+F293)-K291</f>
        <v>0</v>
      </c>
      <c r="M291" s="7781" t="s">
        <v>651</v>
      </c>
    </row>
    <row r="292" spans="1:13" ht="30" customHeight="1" x14ac:dyDescent="0.2">
      <c r="A292" s="7656"/>
      <c r="B292" s="7662"/>
      <c r="C292" s="7747"/>
      <c r="D292" s="7690"/>
      <c r="E292" s="7692"/>
      <c r="F292" s="7564"/>
      <c r="G292" s="67">
        <v>20000000</v>
      </c>
      <c r="H292" s="67" t="s">
        <v>633</v>
      </c>
      <c r="I292" s="32" t="s">
        <v>649</v>
      </c>
      <c r="J292" s="21" t="s">
        <v>650</v>
      </c>
      <c r="K292" s="7586"/>
      <c r="L292" s="7586"/>
      <c r="M292" s="7782"/>
    </row>
    <row r="293" spans="1:13" ht="30" customHeight="1" x14ac:dyDescent="0.2">
      <c r="A293" s="7655"/>
      <c r="B293" s="7663"/>
      <c r="C293" s="7724"/>
      <c r="D293" s="7678"/>
      <c r="E293" s="7693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7564"/>
      <c r="L293" s="7564"/>
      <c r="M293" s="7783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7654">
        <v>239</v>
      </c>
      <c r="B300" s="7661" t="s">
        <v>559</v>
      </c>
      <c r="C300" s="7723"/>
      <c r="D300" s="7563">
        <v>30000000</v>
      </c>
      <c r="E300" s="7691"/>
      <c r="F300" s="7563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7563">
        <f>G300+G301</f>
        <v>2400000</v>
      </c>
      <c r="L300" s="7563">
        <f>F300-K300</f>
        <v>-50000</v>
      </c>
      <c r="M300" s="7757" t="s">
        <v>657</v>
      </c>
    </row>
    <row r="301" spans="1:13" ht="30" customHeight="1" x14ac:dyDescent="0.2">
      <c r="A301" s="7655"/>
      <c r="B301" s="7663"/>
      <c r="C301" s="7724"/>
      <c r="D301" s="7564"/>
      <c r="E301" s="7693"/>
      <c r="F301" s="7564"/>
      <c r="G301" s="92">
        <v>1400000</v>
      </c>
      <c r="H301" s="92" t="s">
        <v>633</v>
      </c>
      <c r="I301" s="20" t="s">
        <v>655</v>
      </c>
      <c r="J301" s="96" t="s">
        <v>656</v>
      </c>
      <c r="K301" s="7564"/>
      <c r="L301" s="7564"/>
      <c r="M301" s="7758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7654">
        <v>241</v>
      </c>
      <c r="B303" s="7661" t="s">
        <v>507</v>
      </c>
      <c r="C303" s="7723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7656"/>
      <c r="B304" s="7662"/>
      <c r="C304" s="7747"/>
      <c r="D304" s="7470" t="s">
        <v>1173</v>
      </c>
      <c r="E304" s="7493"/>
      <c r="F304" s="7510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7655"/>
      <c r="B305" s="7663"/>
      <c r="C305" s="7724"/>
      <c r="D305" s="6">
        <v>20000000</v>
      </c>
      <c r="E305" s="17">
        <v>0.04</v>
      </c>
      <c r="F305" s="6">
        <f>D305*E305</f>
        <v>800000</v>
      </c>
      <c r="G305" s="7470" t="s">
        <v>1174</v>
      </c>
      <c r="H305" s="7493"/>
      <c r="I305" s="7493"/>
      <c r="J305" s="7493"/>
      <c r="K305" s="7493"/>
      <c r="L305" s="7510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4057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7">
        <v>90000000</v>
      </c>
      <c r="E313" s="2606">
        <v>0.06</v>
      </c>
      <c r="F313" s="2597">
        <f t="shared" si="19"/>
        <v>5400000</v>
      </c>
      <c r="G313" s="2597">
        <v>5400000</v>
      </c>
      <c r="H313" s="2597" t="s">
        <v>423</v>
      </c>
      <c r="I313" s="2601" t="s">
        <v>433</v>
      </c>
      <c r="J313" s="21" t="s">
        <v>434</v>
      </c>
      <c r="K313" s="2597">
        <f t="shared" si="20"/>
        <v>5400000</v>
      </c>
      <c r="L313" s="2597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7654">
        <v>253</v>
      </c>
      <c r="B317" s="7661" t="s">
        <v>1893</v>
      </c>
      <c r="C317" s="7723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7655"/>
      <c r="B318" s="7663"/>
      <c r="C318" s="7724"/>
      <c r="D318" s="548">
        <v>295000000</v>
      </c>
      <c r="E318" s="559">
        <v>0.05</v>
      </c>
      <c r="F318" s="548">
        <f t="shared" si="19"/>
        <v>14750000</v>
      </c>
      <c r="G318" s="7732" t="s">
        <v>1895</v>
      </c>
      <c r="H318" s="7733"/>
      <c r="I318" s="7733"/>
      <c r="J318" s="7733"/>
      <c r="K318" s="7734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7563">
        <v>1600000</v>
      </c>
      <c r="H322" s="7563" t="s">
        <v>443</v>
      </c>
      <c r="I322" s="7748" t="s">
        <v>476</v>
      </c>
      <c r="J322" s="7772" t="s">
        <v>475</v>
      </c>
      <c r="K322" s="7563">
        <f t="shared" si="20"/>
        <v>1600000</v>
      </c>
      <c r="L322" s="7563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7564"/>
      <c r="H323" s="7564"/>
      <c r="I323" s="7749"/>
      <c r="J323" s="7773"/>
      <c r="K323" s="7564"/>
      <c r="L323" s="7564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7654">
        <v>264</v>
      </c>
      <c r="B329" s="7661" t="s">
        <v>120</v>
      </c>
      <c r="C329" s="7723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7654"/>
    </row>
    <row r="330" spans="1:13" ht="30" customHeight="1" x14ac:dyDescent="0.2">
      <c r="A330" s="7656"/>
      <c r="B330" s="7662"/>
      <c r="C330" s="7747"/>
      <c r="D330" s="7563">
        <v>190000000</v>
      </c>
      <c r="E330" s="7735" t="s">
        <v>857</v>
      </c>
      <c r="F330" s="7737"/>
      <c r="G330" s="92">
        <v>8000000</v>
      </c>
      <c r="H330" s="92" t="s">
        <v>633</v>
      </c>
      <c r="I330" s="20" t="s">
        <v>653</v>
      </c>
      <c r="J330" s="26" t="s">
        <v>654</v>
      </c>
      <c r="K330" s="7563">
        <f>G330+G331+G332+G333+G334+G335+G336</f>
        <v>190000000</v>
      </c>
      <c r="L330" s="7563">
        <f>D330-K330</f>
        <v>0</v>
      </c>
      <c r="M330" s="7655"/>
    </row>
    <row r="331" spans="1:13" ht="30" customHeight="1" x14ac:dyDescent="0.2">
      <c r="A331" s="7656"/>
      <c r="B331" s="7662"/>
      <c r="C331" s="7747"/>
      <c r="D331" s="7586"/>
      <c r="E331" s="7738"/>
      <c r="F331" s="7739"/>
      <c r="G331" s="92">
        <v>20000000</v>
      </c>
      <c r="H331" s="92" t="s">
        <v>660</v>
      </c>
      <c r="I331" s="32" t="s">
        <v>665</v>
      </c>
      <c r="J331" s="52" t="s">
        <v>666</v>
      </c>
      <c r="K331" s="7586"/>
      <c r="L331" s="7586"/>
      <c r="M331" s="93"/>
    </row>
    <row r="332" spans="1:13" ht="30" customHeight="1" x14ac:dyDescent="0.2">
      <c r="A332" s="7656"/>
      <c r="B332" s="7662"/>
      <c r="C332" s="7747"/>
      <c r="D332" s="7586"/>
      <c r="E332" s="7738"/>
      <c r="F332" s="7739"/>
      <c r="G332" s="137">
        <v>80000000</v>
      </c>
      <c r="H332" s="140"/>
      <c r="I332" s="111"/>
      <c r="J332" s="163"/>
      <c r="K332" s="7586"/>
      <c r="L332" s="7586"/>
      <c r="M332" s="138"/>
    </row>
    <row r="333" spans="1:13" ht="30" customHeight="1" x14ac:dyDescent="0.2">
      <c r="A333" s="7656"/>
      <c r="B333" s="7662"/>
      <c r="C333" s="7747"/>
      <c r="D333" s="7586"/>
      <c r="E333" s="7738"/>
      <c r="F333" s="7739"/>
      <c r="G333" s="205">
        <v>40000000</v>
      </c>
      <c r="H333" s="229" t="s">
        <v>984</v>
      </c>
      <c r="I333" s="231" t="s">
        <v>1078</v>
      </c>
      <c r="J333" s="232" t="s">
        <v>666</v>
      </c>
      <c r="K333" s="7586"/>
      <c r="L333" s="7586"/>
      <c r="M333" s="204"/>
    </row>
    <row r="334" spans="1:13" ht="30" customHeight="1" x14ac:dyDescent="0.2">
      <c r="A334" s="7656"/>
      <c r="B334" s="7662"/>
      <c r="C334" s="7747"/>
      <c r="D334" s="7586"/>
      <c r="E334" s="7738"/>
      <c r="F334" s="7739"/>
      <c r="G334" s="219">
        <v>9000000</v>
      </c>
      <c r="H334" s="229" t="s">
        <v>1002</v>
      </c>
      <c r="I334" s="231" t="s">
        <v>1091</v>
      </c>
      <c r="J334" s="232" t="s">
        <v>666</v>
      </c>
      <c r="K334" s="7586"/>
      <c r="L334" s="7586"/>
      <c r="M334" s="216"/>
    </row>
    <row r="335" spans="1:13" ht="30" customHeight="1" x14ac:dyDescent="0.2">
      <c r="A335" s="7656"/>
      <c r="B335" s="7662"/>
      <c r="C335" s="7747"/>
      <c r="D335" s="7586"/>
      <c r="E335" s="7738"/>
      <c r="F335" s="7739"/>
      <c r="G335" s="219">
        <v>25000000</v>
      </c>
      <c r="H335" s="229" t="s">
        <v>1101</v>
      </c>
      <c r="I335" s="231" t="s">
        <v>1102</v>
      </c>
      <c r="J335" s="232" t="s">
        <v>666</v>
      </c>
      <c r="K335" s="7586"/>
      <c r="L335" s="7586"/>
      <c r="M335" s="216"/>
    </row>
    <row r="336" spans="1:13" ht="30" customHeight="1" x14ac:dyDescent="0.2">
      <c r="A336" s="7655"/>
      <c r="B336" s="7663"/>
      <c r="C336" s="7724"/>
      <c r="D336" s="7564"/>
      <c r="E336" s="7736"/>
      <c r="F336" s="7740"/>
      <c r="G336" s="290">
        <v>8000000</v>
      </c>
      <c r="H336" s="229" t="s">
        <v>1266</v>
      </c>
      <c r="I336" s="315" t="s">
        <v>1270</v>
      </c>
      <c r="J336" s="232" t="s">
        <v>666</v>
      </c>
      <c r="K336" s="7564"/>
      <c r="L336" s="7564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7654">
        <v>271</v>
      </c>
      <c r="B343" s="7661" t="s">
        <v>125</v>
      </c>
      <c r="C343" s="7723" t="s">
        <v>359</v>
      </c>
      <c r="D343" s="7563">
        <v>40000000</v>
      </c>
      <c r="E343" s="7659">
        <v>5.5E-2</v>
      </c>
      <c r="F343" s="7563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7563">
        <f>G343+G344</f>
        <v>2200000</v>
      </c>
      <c r="L343" s="7563">
        <f t="shared" si="21"/>
        <v>0</v>
      </c>
      <c r="M343" s="3"/>
    </row>
    <row r="344" spans="1:13" ht="30" customHeight="1" x14ac:dyDescent="0.2">
      <c r="A344" s="7655"/>
      <c r="B344" s="7663"/>
      <c r="C344" s="7724"/>
      <c r="D344" s="7564"/>
      <c r="E344" s="7660"/>
      <c r="F344" s="7564"/>
      <c r="G344" s="57">
        <v>400000</v>
      </c>
      <c r="H344" s="57" t="s">
        <v>490</v>
      </c>
      <c r="I344" s="20" t="s">
        <v>504</v>
      </c>
      <c r="J344" s="18" t="s">
        <v>503</v>
      </c>
      <c r="K344" s="7564"/>
      <c r="L344" s="7564"/>
      <c r="M344" s="3"/>
    </row>
    <row r="345" spans="1:13" ht="30" customHeight="1" x14ac:dyDescent="0.2">
      <c r="A345" s="7654">
        <v>272</v>
      </c>
      <c r="B345" s="7661" t="s">
        <v>126</v>
      </c>
      <c r="C345" s="7723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7563">
        <f>G345+G346</f>
        <v>37100000</v>
      </c>
      <c r="L345" s="7563">
        <f>(F345+F346)-K345</f>
        <v>0</v>
      </c>
      <c r="M345" s="7654"/>
    </row>
    <row r="346" spans="1:13" ht="30" customHeight="1" x14ac:dyDescent="0.2">
      <c r="A346" s="7655"/>
      <c r="B346" s="7663"/>
      <c r="C346" s="7724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7564"/>
      <c r="L346" s="7564"/>
      <c r="M346" s="7655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7654">
        <v>281</v>
      </c>
      <c r="B355" s="7661" t="s">
        <v>133</v>
      </c>
      <c r="C355" s="7723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7655"/>
      <c r="B356" s="7663"/>
      <c r="C356" s="7724"/>
      <c r="D356" s="279">
        <v>40000000</v>
      </c>
      <c r="E356" s="17">
        <v>0.05</v>
      </c>
      <c r="F356" s="279">
        <f t="shared" si="19"/>
        <v>2000000</v>
      </c>
      <c r="G356" s="7732" t="s">
        <v>1248</v>
      </c>
      <c r="H356" s="7733"/>
      <c r="I356" s="7733"/>
      <c r="J356" s="7733"/>
      <c r="K356" s="7734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7654">
        <v>283</v>
      </c>
      <c r="B358" s="7661" t="s">
        <v>134</v>
      </c>
      <c r="C358" s="7723"/>
      <c r="D358" s="7677"/>
      <c r="E358" s="7691"/>
      <c r="F358" s="7563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7563">
        <f>G358+G359</f>
        <v>1550000</v>
      </c>
      <c r="L358" s="7563">
        <f>F358-K358</f>
        <v>0</v>
      </c>
      <c r="M358" s="7725" t="s">
        <v>626</v>
      </c>
    </row>
    <row r="359" spans="1:13" ht="30" customHeight="1" x14ac:dyDescent="0.2">
      <c r="A359" s="7655"/>
      <c r="B359" s="7663"/>
      <c r="C359" s="7724"/>
      <c r="D359" s="7678"/>
      <c r="E359" s="7693"/>
      <c r="F359" s="7564"/>
      <c r="G359" s="85">
        <v>45000</v>
      </c>
      <c r="H359" s="85" t="s">
        <v>544</v>
      </c>
      <c r="I359" s="20" t="s">
        <v>629</v>
      </c>
      <c r="J359" s="21" t="s">
        <v>630</v>
      </c>
      <c r="K359" s="7564"/>
      <c r="L359" s="7564"/>
      <c r="M359" s="7726"/>
    </row>
    <row r="360" spans="1:13" ht="30" customHeight="1" x14ac:dyDescent="0.2">
      <c r="A360" s="7654">
        <v>284</v>
      </c>
      <c r="B360" s="7661" t="s">
        <v>1158</v>
      </c>
      <c r="C360" s="7723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7563">
        <v>6675000</v>
      </c>
      <c r="H360" s="7563" t="s">
        <v>1139</v>
      </c>
      <c r="I360" s="7748" t="s">
        <v>1159</v>
      </c>
      <c r="J360" s="7561" t="s">
        <v>1160</v>
      </c>
      <c r="K360" s="7563">
        <f t="shared" si="20"/>
        <v>6675000</v>
      </c>
      <c r="L360" s="7563">
        <f>(F360+1500000)-K360</f>
        <v>0</v>
      </c>
      <c r="M360" s="7725" t="s">
        <v>1161</v>
      </c>
    </row>
    <row r="361" spans="1:13" ht="30" customHeight="1" x14ac:dyDescent="0.2">
      <c r="A361" s="7655"/>
      <c r="B361" s="7663"/>
      <c r="C361" s="7724"/>
      <c r="D361" s="236">
        <v>60000000</v>
      </c>
      <c r="E361" s="17">
        <v>0.05</v>
      </c>
      <c r="F361" s="236">
        <f t="shared" si="19"/>
        <v>3000000</v>
      </c>
      <c r="G361" s="7564"/>
      <c r="H361" s="7564"/>
      <c r="I361" s="7749"/>
      <c r="J361" s="7562"/>
      <c r="K361" s="7564"/>
      <c r="L361" s="7564"/>
      <c r="M361" s="7726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7654">
        <v>291</v>
      </c>
      <c r="B368" s="7661" t="s">
        <v>139</v>
      </c>
      <c r="C368" s="7723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7654"/>
    </row>
    <row r="369" spans="1:13" ht="30" customHeight="1" x14ac:dyDescent="0.2">
      <c r="A369" s="7656"/>
      <c r="B369" s="7662"/>
      <c r="C369" s="7747"/>
      <c r="D369" s="7563">
        <v>20000000</v>
      </c>
      <c r="E369" s="7735" t="s">
        <v>652</v>
      </c>
      <c r="F369" s="7737"/>
      <c r="G369" s="236">
        <v>3000000</v>
      </c>
      <c r="H369" s="236" t="s">
        <v>1139</v>
      </c>
      <c r="I369" s="240" t="s">
        <v>1165</v>
      </c>
      <c r="J369" s="7561" t="s">
        <v>447</v>
      </c>
      <c r="K369" s="7563">
        <f>G369+G370</f>
        <v>5000000</v>
      </c>
      <c r="L369" s="7563">
        <f>D369-K369</f>
        <v>15000000</v>
      </c>
      <c r="M369" s="7656"/>
    </row>
    <row r="370" spans="1:13" ht="30" customHeight="1" x14ac:dyDescent="0.2">
      <c r="A370" s="7655"/>
      <c r="B370" s="7663"/>
      <c r="C370" s="7724"/>
      <c r="D370" s="7564"/>
      <c r="E370" s="7736"/>
      <c r="F370" s="7740"/>
      <c r="G370" s="236">
        <v>2000000</v>
      </c>
      <c r="H370" s="236" t="s">
        <v>1139</v>
      </c>
      <c r="I370" s="240" t="s">
        <v>1166</v>
      </c>
      <c r="J370" s="7562"/>
      <c r="K370" s="7564"/>
      <c r="L370" s="7564"/>
      <c r="M370" s="7655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7654">
        <v>294</v>
      </c>
      <c r="B373" s="7661" t="s">
        <v>142</v>
      </c>
      <c r="C373" s="7723"/>
      <c r="D373" s="7563">
        <v>100000000</v>
      </c>
      <c r="E373" s="7735" t="s">
        <v>652</v>
      </c>
      <c r="F373" s="7737"/>
      <c r="G373" s="7470" t="s">
        <v>2512</v>
      </c>
      <c r="H373" s="7493"/>
      <c r="I373" s="7493"/>
      <c r="J373" s="7510"/>
      <c r="K373" s="7563" t="e">
        <f>G374+G373</f>
        <v>#VALUE!</v>
      </c>
      <c r="L373" s="7563" t="e">
        <f>D373-K373</f>
        <v>#VALUE!</v>
      </c>
      <c r="M373" s="3"/>
    </row>
    <row r="374" spans="1:13" ht="30" customHeight="1" x14ac:dyDescent="0.2">
      <c r="A374" s="7656"/>
      <c r="B374" s="7662"/>
      <c r="C374" s="7747"/>
      <c r="D374" s="7564"/>
      <c r="E374" s="7736"/>
      <c r="F374" s="7740"/>
      <c r="G374" s="6">
        <v>20000000</v>
      </c>
      <c r="H374" s="6" t="s">
        <v>1216</v>
      </c>
      <c r="I374" s="265" t="s">
        <v>1226</v>
      </c>
      <c r="J374" s="18" t="s">
        <v>1227</v>
      </c>
      <c r="K374" s="7564"/>
      <c r="L374" s="7564"/>
      <c r="M374" s="3" t="s">
        <v>2511</v>
      </c>
    </row>
    <row r="375" spans="1:13" ht="30" customHeight="1" x14ac:dyDescent="0.2">
      <c r="A375" s="7655"/>
      <c r="B375" s="7663"/>
      <c r="C375" s="7724"/>
      <c r="D375" s="11">
        <v>100000000</v>
      </c>
      <c r="E375" s="17">
        <v>0.05</v>
      </c>
      <c r="F375" s="11">
        <f t="shared" si="22"/>
        <v>5000000</v>
      </c>
      <c r="G375" s="7563">
        <v>5500000</v>
      </c>
      <c r="H375" s="7563" t="s">
        <v>708</v>
      </c>
      <c r="I375" s="7748" t="s">
        <v>709</v>
      </c>
      <c r="J375" s="7561" t="s">
        <v>710</v>
      </c>
      <c r="K375" s="7563">
        <f t="shared" si="23"/>
        <v>5500000</v>
      </c>
      <c r="L375" s="7563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7564"/>
      <c r="H376" s="7564"/>
      <c r="I376" s="7749"/>
      <c r="J376" s="7562"/>
      <c r="K376" s="7564"/>
      <c r="L376" s="7564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7654">
        <v>299</v>
      </c>
      <c r="B380" s="7661" t="s">
        <v>825</v>
      </c>
      <c r="C380" s="7723"/>
      <c r="D380" s="7759">
        <v>200000000</v>
      </c>
      <c r="E380" s="7741" t="s">
        <v>857</v>
      </c>
      <c r="F380" s="7742"/>
      <c r="G380" s="11">
        <v>20000000</v>
      </c>
      <c r="H380" s="11" t="s">
        <v>379</v>
      </c>
      <c r="I380" s="32" t="s">
        <v>418</v>
      </c>
      <c r="J380" s="21" t="s">
        <v>419</v>
      </c>
      <c r="K380" s="7563">
        <f>G380+G381+G382+G383+G384</f>
        <v>200000000</v>
      </c>
      <c r="L380" s="7759">
        <f>D380-K380</f>
        <v>0</v>
      </c>
      <c r="M380" s="7579"/>
    </row>
    <row r="381" spans="1:13" ht="30" customHeight="1" x14ac:dyDescent="0.2">
      <c r="A381" s="7656"/>
      <c r="B381" s="7662"/>
      <c r="C381" s="7747"/>
      <c r="D381" s="7760"/>
      <c r="E381" s="7743"/>
      <c r="F381" s="7744"/>
      <c r="G381" s="70">
        <v>50000000</v>
      </c>
      <c r="H381" s="70" t="s">
        <v>544</v>
      </c>
      <c r="I381" s="32" t="s">
        <v>566</v>
      </c>
      <c r="J381" s="21" t="s">
        <v>567</v>
      </c>
      <c r="K381" s="7586"/>
      <c r="L381" s="7760"/>
      <c r="M381" s="7767"/>
    </row>
    <row r="382" spans="1:13" ht="30" customHeight="1" x14ac:dyDescent="0.2">
      <c r="A382" s="7656"/>
      <c r="B382" s="7662"/>
      <c r="C382" s="7747"/>
      <c r="D382" s="7760"/>
      <c r="E382" s="7743"/>
      <c r="F382" s="7744"/>
      <c r="G382" s="89">
        <v>50000000</v>
      </c>
      <c r="H382" s="89" t="s">
        <v>544</v>
      </c>
      <c r="I382" s="32" t="s">
        <v>648</v>
      </c>
      <c r="J382" s="21" t="s">
        <v>567</v>
      </c>
      <c r="K382" s="7586"/>
      <c r="L382" s="7760"/>
      <c r="M382" s="7767"/>
    </row>
    <row r="383" spans="1:13" ht="30" customHeight="1" x14ac:dyDescent="0.2">
      <c r="A383" s="7656"/>
      <c r="B383" s="7662"/>
      <c r="C383" s="7747"/>
      <c r="D383" s="7760"/>
      <c r="E383" s="7743"/>
      <c r="F383" s="7744"/>
      <c r="G383" s="122">
        <v>50000000</v>
      </c>
      <c r="H383" s="122" t="s">
        <v>813</v>
      </c>
      <c r="I383" s="131" t="s">
        <v>826</v>
      </c>
      <c r="J383" s="21" t="s">
        <v>827</v>
      </c>
      <c r="K383" s="7586"/>
      <c r="L383" s="7760"/>
      <c r="M383" s="7767"/>
    </row>
    <row r="384" spans="1:13" ht="30" customHeight="1" x14ac:dyDescent="0.2">
      <c r="A384" s="7655"/>
      <c r="B384" s="7663"/>
      <c r="C384" s="7724"/>
      <c r="D384" s="7761"/>
      <c r="E384" s="7745"/>
      <c r="F384" s="7746"/>
      <c r="G384" s="128">
        <v>30000000</v>
      </c>
      <c r="H384" s="128" t="s">
        <v>813</v>
      </c>
      <c r="I384" s="32" t="s">
        <v>856</v>
      </c>
      <c r="J384" s="32" t="s">
        <v>855</v>
      </c>
      <c r="K384" s="7564"/>
      <c r="L384" s="7761"/>
      <c r="M384" s="7580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7654">
        <v>301</v>
      </c>
      <c r="B386" s="7661" t="s">
        <v>147</v>
      </c>
      <c r="C386" s="7723" t="s">
        <v>890</v>
      </c>
      <c r="D386" s="7563">
        <v>178000000</v>
      </c>
      <c r="E386" s="7659">
        <v>5.8999999999999997E-2</v>
      </c>
      <c r="F386" s="7563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7563">
        <f>G386+G387</f>
        <v>10500000</v>
      </c>
      <c r="L386" s="7677">
        <f>F386-K386</f>
        <v>0</v>
      </c>
      <c r="M386" s="3"/>
    </row>
    <row r="387" spans="1:13" ht="30" customHeight="1" x14ac:dyDescent="0.2">
      <c r="A387" s="7655"/>
      <c r="B387" s="7663"/>
      <c r="C387" s="7724"/>
      <c r="D387" s="7564"/>
      <c r="E387" s="7660"/>
      <c r="F387" s="7564"/>
      <c r="G387" s="122">
        <v>500000</v>
      </c>
      <c r="H387" s="122" t="s">
        <v>984</v>
      </c>
      <c r="I387" s="125" t="s">
        <v>994</v>
      </c>
      <c r="J387" s="21" t="s">
        <v>842</v>
      </c>
      <c r="K387" s="7564"/>
      <c r="L387" s="7678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7654">
        <v>304</v>
      </c>
      <c r="B390" s="7661" t="s">
        <v>150</v>
      </c>
      <c r="C390" s="7723"/>
      <c r="D390" s="7677"/>
      <c r="E390" s="7691"/>
      <c r="F390" s="7677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7677">
        <f t="shared" si="24"/>
        <v>-50000000</v>
      </c>
      <c r="M390" s="3"/>
    </row>
    <row r="391" spans="1:13" ht="30" customHeight="1" x14ac:dyDescent="0.2">
      <c r="A391" s="7655"/>
      <c r="B391" s="7663"/>
      <c r="C391" s="7724"/>
      <c r="D391" s="7678"/>
      <c r="E391" s="7693"/>
      <c r="F391" s="7678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7678"/>
      <c r="M391" s="3"/>
    </row>
    <row r="392" spans="1:13" ht="30" customHeight="1" x14ac:dyDescent="0.2">
      <c r="A392" s="7654">
        <v>305</v>
      </c>
      <c r="B392" s="7652" t="s">
        <v>151</v>
      </c>
      <c r="C392" s="7723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7655"/>
      <c r="B393" s="7653"/>
      <c r="C393" s="7724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7654">
        <v>306</v>
      </c>
      <c r="B394" s="7661" t="s">
        <v>152</v>
      </c>
      <c r="C394" s="7723"/>
      <c r="D394" s="7563">
        <v>650000000</v>
      </c>
      <c r="E394" s="7735">
        <f>F394/D394</f>
        <v>5.7692307692307696E-2</v>
      </c>
      <c r="F394" s="7482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7563">
        <f>G394+G395</f>
        <v>36000000</v>
      </c>
      <c r="L394" s="7563">
        <f t="shared" si="24"/>
        <v>1500000</v>
      </c>
      <c r="M394" s="7654"/>
    </row>
    <row r="395" spans="1:13" ht="30" customHeight="1" x14ac:dyDescent="0.2">
      <c r="A395" s="7655"/>
      <c r="B395" s="7663"/>
      <c r="C395" s="7724"/>
      <c r="D395" s="7564"/>
      <c r="E395" s="7736"/>
      <c r="F395" s="7482"/>
      <c r="G395" s="303">
        <v>26000000</v>
      </c>
      <c r="H395" s="303" t="s">
        <v>1266</v>
      </c>
      <c r="I395" s="309" t="s">
        <v>1279</v>
      </c>
      <c r="J395" s="21" t="s">
        <v>438</v>
      </c>
      <c r="K395" s="7564"/>
      <c r="L395" s="7564"/>
      <c r="M395" s="7655"/>
    </row>
    <row r="396" spans="1:13" ht="30" customHeight="1" x14ac:dyDescent="0.2">
      <c r="A396" s="7654">
        <v>307</v>
      </c>
      <c r="B396" s="7661" t="s">
        <v>153</v>
      </c>
      <c r="C396" s="7723"/>
      <c r="D396" s="7563">
        <v>70000000</v>
      </c>
      <c r="E396" s="7494" t="s">
        <v>652</v>
      </c>
      <c r="F396" s="7768"/>
      <c r="G396" s="11">
        <v>40000000</v>
      </c>
      <c r="H396" s="11" t="s">
        <v>1266</v>
      </c>
      <c r="I396" s="292" t="s">
        <v>1272</v>
      </c>
      <c r="J396" s="291" t="s">
        <v>1271</v>
      </c>
      <c r="K396" s="7563">
        <f>G396+G397</f>
        <v>40000000</v>
      </c>
      <c r="L396" s="7563">
        <f>D396-K396</f>
        <v>30000000</v>
      </c>
      <c r="M396" s="3"/>
    </row>
    <row r="397" spans="1:13" ht="30" customHeight="1" x14ac:dyDescent="0.2">
      <c r="A397" s="7655"/>
      <c r="B397" s="7663"/>
      <c r="C397" s="7724"/>
      <c r="D397" s="7564"/>
      <c r="E397" s="7769"/>
      <c r="F397" s="7770"/>
      <c r="G397" s="290"/>
      <c r="H397" s="290"/>
      <c r="I397" s="291"/>
      <c r="J397" s="21"/>
      <c r="K397" s="7564"/>
      <c r="L397" s="7564"/>
      <c r="M397" s="3"/>
    </row>
    <row r="398" spans="1:13" ht="30" customHeight="1" x14ac:dyDescent="0.2">
      <c r="A398" s="7654">
        <v>308</v>
      </c>
      <c r="B398" s="7661" t="s">
        <v>154</v>
      </c>
      <c r="C398" s="7723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7563">
        <f>G398+G399:G399</f>
        <v>11000000</v>
      </c>
      <c r="L398" s="7563">
        <f>(G398+G399)-K398</f>
        <v>0</v>
      </c>
      <c r="M398" s="7654"/>
    </row>
    <row r="399" spans="1:13" ht="30" customHeight="1" x14ac:dyDescent="0.2">
      <c r="A399" s="7655"/>
      <c r="B399" s="7663"/>
      <c r="C399" s="7724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7784" t="s">
        <v>2276</v>
      </c>
      <c r="J399" s="7785"/>
      <c r="K399" s="7564"/>
      <c r="L399" s="7564"/>
      <c r="M399" s="7655"/>
    </row>
    <row r="400" spans="1:13" ht="30" customHeight="1" x14ac:dyDescent="0.2">
      <c r="A400" s="7654">
        <v>309</v>
      </c>
      <c r="B400" s="7661" t="s">
        <v>155</v>
      </c>
      <c r="C400" s="7723"/>
      <c r="D400" s="7563">
        <v>300000000</v>
      </c>
      <c r="E400" s="7659">
        <v>0.05</v>
      </c>
      <c r="F400" s="7563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7563">
        <f>G400+G401</f>
        <v>3000000</v>
      </c>
      <c r="L400" s="7677">
        <f t="shared" si="24"/>
        <v>12000000</v>
      </c>
      <c r="M400" s="3"/>
    </row>
    <row r="401" spans="1:13" ht="30" customHeight="1" x14ac:dyDescent="0.2">
      <c r="A401" s="7655"/>
      <c r="B401" s="7663"/>
      <c r="C401" s="7724"/>
      <c r="D401" s="7564"/>
      <c r="E401" s="7660"/>
      <c r="F401" s="7564"/>
      <c r="G401" s="25"/>
      <c r="H401" s="25"/>
      <c r="I401" s="55"/>
      <c r="J401" s="56"/>
      <c r="K401" s="7564"/>
      <c r="L401" s="7678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7654">
        <v>313</v>
      </c>
      <c r="B405" s="7661" t="s">
        <v>161</v>
      </c>
      <c r="C405" s="7723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7655"/>
      <c r="B406" s="7663"/>
      <c r="C406" s="7724"/>
      <c r="D406" s="7470" t="s">
        <v>1281</v>
      </c>
      <c r="E406" s="7493"/>
      <c r="F406" s="7510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7661" t="s">
        <v>168</v>
      </c>
      <c r="C412" s="7723" t="s">
        <v>1287</v>
      </c>
      <c r="D412" s="7563">
        <v>200000000</v>
      </c>
      <c r="E412" s="7659">
        <v>5.5E-2</v>
      </c>
      <c r="F412" s="7563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7663"/>
      <c r="C413" s="7724"/>
      <c r="D413" s="7564"/>
      <c r="E413" s="7660"/>
      <c r="F413" s="7564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7654">
        <v>325</v>
      </c>
      <c r="B419" s="7652" t="s">
        <v>270</v>
      </c>
      <c r="C419" s="7723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7563">
        <f>G419+G420</f>
        <v>40550000</v>
      </c>
      <c r="L419" s="7563">
        <f>(F419+F420)-K419</f>
        <v>0</v>
      </c>
      <c r="M419" s="7795"/>
    </row>
    <row r="420" spans="1:13" ht="30" customHeight="1" x14ac:dyDescent="0.2">
      <c r="A420" s="7655"/>
      <c r="B420" s="7653"/>
      <c r="C420" s="7724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7564"/>
      <c r="L420" s="7564"/>
      <c r="M420" s="7796"/>
    </row>
    <row r="421" spans="1:13" ht="30" customHeight="1" x14ac:dyDescent="0.2">
      <c r="A421" s="7654">
        <v>326</v>
      </c>
      <c r="B421" s="7710" t="s">
        <v>176</v>
      </c>
      <c r="C421" s="7723"/>
      <c r="D421" s="7677"/>
      <c r="E421" s="7691"/>
      <c r="F421" s="7677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7677">
        <f>G421+G422</f>
        <v>25000000</v>
      </c>
      <c r="L421" s="7677">
        <f>F421-K421</f>
        <v>0</v>
      </c>
      <c r="M421" s="7727" t="s">
        <v>744</v>
      </c>
    </row>
    <row r="422" spans="1:13" ht="30" customHeight="1" x14ac:dyDescent="0.2">
      <c r="A422" s="7655"/>
      <c r="B422" s="7712"/>
      <c r="C422" s="7724"/>
      <c r="D422" s="7678"/>
      <c r="E422" s="7693"/>
      <c r="F422" s="7678"/>
      <c r="G422" s="102">
        <v>5000000</v>
      </c>
      <c r="H422" s="102" t="s">
        <v>734</v>
      </c>
      <c r="I422" s="55" t="s">
        <v>735</v>
      </c>
      <c r="J422" s="56" t="s">
        <v>736</v>
      </c>
      <c r="K422" s="7678"/>
      <c r="L422" s="7678"/>
      <c r="M422" s="7728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7654">
        <v>328</v>
      </c>
      <c r="B424" s="7661" t="s">
        <v>2675</v>
      </c>
      <c r="C424" s="7723" t="s">
        <v>942</v>
      </c>
      <c r="D424" s="253">
        <v>670000000</v>
      </c>
      <c r="E424" s="17">
        <v>5.5E-2</v>
      </c>
      <c r="F424" s="253">
        <f>D424*E424</f>
        <v>36850000</v>
      </c>
      <c r="G424" s="7732" t="s">
        <v>4664</v>
      </c>
      <c r="H424" s="7733"/>
      <c r="I424" s="7733"/>
      <c r="J424" s="7733"/>
      <c r="K424" s="7734"/>
      <c r="L424" s="253"/>
      <c r="M424" s="77"/>
    </row>
    <row r="425" spans="1:13" ht="30" customHeight="1" x14ac:dyDescent="0.2">
      <c r="A425" s="7655"/>
      <c r="B425" s="7663"/>
      <c r="C425" s="7724"/>
      <c r="D425" s="2653">
        <v>685000000</v>
      </c>
      <c r="E425" s="2650">
        <v>0.06</v>
      </c>
      <c r="F425" s="2653">
        <f>D425*E425</f>
        <v>41100000</v>
      </c>
      <c r="G425" s="7732" t="s">
        <v>4665</v>
      </c>
      <c r="H425" s="7733"/>
      <c r="I425" s="7733"/>
      <c r="J425" s="7733"/>
      <c r="K425" s="7734"/>
      <c r="L425" s="2632"/>
      <c r="M425" s="2635"/>
    </row>
    <row r="426" spans="1:13" ht="30" customHeight="1" x14ac:dyDescent="0.2">
      <c r="A426" s="7654">
        <v>329</v>
      </c>
      <c r="B426" s="7661" t="s">
        <v>181</v>
      </c>
      <c r="C426" s="7723"/>
      <c r="D426" s="7677"/>
      <c r="E426" s="7691"/>
      <c r="F426" s="7677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7563">
        <f>G426+G427</f>
        <v>32000000</v>
      </c>
      <c r="L426" s="7677">
        <f t="shared" si="33"/>
        <v>-32000000</v>
      </c>
      <c r="M426" s="7654"/>
    </row>
    <row r="427" spans="1:13" ht="30" customHeight="1" x14ac:dyDescent="0.2">
      <c r="A427" s="7655"/>
      <c r="B427" s="7663"/>
      <c r="C427" s="7724"/>
      <c r="D427" s="7678"/>
      <c r="E427" s="7693"/>
      <c r="F427" s="7678"/>
      <c r="G427" s="92">
        <v>12000000</v>
      </c>
      <c r="H427" s="92" t="s">
        <v>660</v>
      </c>
      <c r="I427" s="20" t="s">
        <v>667</v>
      </c>
      <c r="J427" s="21" t="s">
        <v>668</v>
      </c>
      <c r="K427" s="7564"/>
      <c r="L427" s="7678"/>
      <c r="M427" s="7655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7654">
        <v>333</v>
      </c>
      <c r="B431" s="7661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7655"/>
      <c r="B432" s="7663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7654"/>
      <c r="B436" s="7661" t="s">
        <v>2042</v>
      </c>
      <c r="C436" s="7723"/>
      <c r="D436" s="7563">
        <v>20000000</v>
      </c>
      <c r="E436" s="7659">
        <v>0.05</v>
      </c>
      <c r="F436" s="7563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7563">
        <f>G436+G437</f>
        <v>20000000</v>
      </c>
      <c r="L436" s="7563">
        <f>D436-K436</f>
        <v>0</v>
      </c>
      <c r="M436" s="7754" t="s">
        <v>2045</v>
      </c>
    </row>
    <row r="437" spans="1:13" ht="30" customHeight="1" x14ac:dyDescent="0.2">
      <c r="A437" s="7655"/>
      <c r="B437" s="7663"/>
      <c r="C437" s="7724"/>
      <c r="D437" s="7564"/>
      <c r="E437" s="7660"/>
      <c r="F437" s="7564"/>
      <c r="G437" s="654">
        <v>10000000</v>
      </c>
      <c r="H437" s="654" t="s">
        <v>423</v>
      </c>
      <c r="I437" s="657" t="s">
        <v>423</v>
      </c>
      <c r="J437" s="21" t="s">
        <v>2044</v>
      </c>
      <c r="K437" s="7564"/>
      <c r="L437" s="7564"/>
      <c r="M437" s="7755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7654"/>
      <c r="B439" s="7661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7655"/>
      <c r="B440" s="7663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7792" t="s">
        <v>1792</v>
      </c>
      <c r="H440" s="7793"/>
      <c r="I440" s="7793"/>
      <c r="J440" s="7793"/>
      <c r="K440" s="7793"/>
      <c r="L440" s="7794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7654"/>
      <c r="B442" s="7708" t="s">
        <v>1305</v>
      </c>
      <c r="C442" s="7787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7655"/>
      <c r="B443" s="7786"/>
      <c r="C443" s="7788"/>
      <c r="D443" s="426">
        <v>300000000</v>
      </c>
      <c r="E443" s="435">
        <v>7.0000000000000007E-2</v>
      </c>
      <c r="F443" s="426">
        <f t="shared" si="34"/>
        <v>21000000.000000004</v>
      </c>
      <c r="G443" s="7789" t="s">
        <v>1475</v>
      </c>
      <c r="H443" s="7790"/>
      <c r="I443" s="7790"/>
      <c r="J443" s="7790"/>
      <c r="K443" s="7790"/>
      <c r="L443" s="7791"/>
      <c r="M443" s="3"/>
    </row>
    <row r="444" spans="1:13" ht="30" customHeight="1" x14ac:dyDescent="0.2">
      <c r="A444" s="7654"/>
      <c r="B444" s="7661" t="s">
        <v>170</v>
      </c>
      <c r="C444" s="7723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7732" t="s">
        <v>1308</v>
      </c>
      <c r="H444" s="7733"/>
      <c r="I444" s="7733"/>
      <c r="J444" s="7733"/>
      <c r="K444" s="7733"/>
      <c r="L444" s="7734"/>
      <c r="M444" s="77" t="s">
        <v>1309</v>
      </c>
    </row>
    <row r="445" spans="1:13" ht="30" customHeight="1" x14ac:dyDescent="0.2">
      <c r="A445" s="7655"/>
      <c r="B445" s="7663"/>
      <c r="C445" s="7724"/>
      <c r="D445" s="322">
        <v>200000000</v>
      </c>
      <c r="E445" s="17">
        <v>7.0000000000000007E-2</v>
      </c>
      <c r="F445" s="322">
        <f t="shared" si="34"/>
        <v>14000000.000000002</v>
      </c>
      <c r="G445" s="7729" t="s">
        <v>1307</v>
      </c>
      <c r="H445" s="7730"/>
      <c r="I445" s="7730"/>
      <c r="J445" s="7730"/>
      <c r="K445" s="7730"/>
      <c r="L445" s="7731"/>
      <c r="M445" s="3"/>
    </row>
  </sheetData>
  <mergeCells count="523"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492" activePane="bottomLeft" state="frozen"/>
      <selection pane="bottomLeft" activeCell="C501" sqref="C501:C50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7654">
        <v>6</v>
      </c>
      <c r="B7" s="7652" t="s">
        <v>407</v>
      </c>
      <c r="C7" s="7723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7656"/>
      <c r="B8" s="7665"/>
      <c r="C8" s="7747"/>
      <c r="D8" s="7494" t="s">
        <v>1236</v>
      </c>
      <c r="E8" s="7495"/>
      <c r="F8" s="7768"/>
      <c r="G8" s="723">
        <v>50000000</v>
      </c>
      <c r="H8" s="723" t="s">
        <v>2072</v>
      </c>
      <c r="I8" s="728" t="s">
        <v>2087</v>
      </c>
      <c r="J8" s="52" t="s">
        <v>1720</v>
      </c>
      <c r="K8" s="7563">
        <f>G8+G9</f>
        <v>100000000</v>
      </c>
      <c r="L8" s="7563"/>
      <c r="M8" s="180" t="s">
        <v>2088</v>
      </c>
    </row>
    <row r="9" spans="1:13" ht="30" customHeight="1" x14ac:dyDescent="0.2">
      <c r="A9" s="7655"/>
      <c r="B9" s="7653"/>
      <c r="C9" s="7724"/>
      <c r="D9" s="7769"/>
      <c r="E9" s="7805"/>
      <c r="F9" s="7770"/>
      <c r="G9" s="757">
        <v>50000000</v>
      </c>
      <c r="H9" s="757" t="s">
        <v>2165</v>
      </c>
      <c r="I9" s="760" t="s">
        <v>2280</v>
      </c>
      <c r="J9" s="52" t="s">
        <v>1720</v>
      </c>
      <c r="K9" s="7564"/>
      <c r="L9" s="7564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7654">
        <v>8</v>
      </c>
      <c r="B11" s="7652" t="s">
        <v>349</v>
      </c>
      <c r="C11" s="7723" t="s">
        <v>1291</v>
      </c>
      <c r="D11" s="7563">
        <v>400000000</v>
      </c>
      <c r="E11" s="7659">
        <v>4.4999999999999998E-2</v>
      </c>
      <c r="F11" s="7563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7563">
        <f>G11+G12</f>
        <v>18000000</v>
      </c>
      <c r="L11" s="7563">
        <f t="shared" si="1"/>
        <v>0</v>
      </c>
      <c r="M11" s="7679"/>
    </row>
    <row r="12" spans="1:13" ht="30" customHeight="1" x14ac:dyDescent="0.2">
      <c r="A12" s="7655"/>
      <c r="B12" s="7653"/>
      <c r="C12" s="7724"/>
      <c r="D12" s="7564"/>
      <c r="E12" s="7660"/>
      <c r="F12" s="7564"/>
      <c r="G12" s="654">
        <v>3000000</v>
      </c>
      <c r="H12" s="654" t="s">
        <v>2005</v>
      </c>
      <c r="I12" s="658" t="s">
        <v>2046</v>
      </c>
      <c r="J12" s="24" t="s">
        <v>2047</v>
      </c>
      <c r="K12" s="7564"/>
      <c r="L12" s="7564"/>
      <c r="M12" s="7680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7654">
        <v>11</v>
      </c>
      <c r="B15" s="7652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7563">
        <f>G15+G16</f>
        <v>1300000</v>
      </c>
      <c r="L15" s="7563">
        <f>(F15+F16)-K15</f>
        <v>0</v>
      </c>
      <c r="M15" s="7679"/>
    </row>
    <row r="16" spans="1:13" ht="30" customHeight="1" x14ac:dyDescent="0.2">
      <c r="A16" s="7656"/>
      <c r="B16" s="7665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7564"/>
      <c r="L16" s="7564"/>
      <c r="M16" s="7680"/>
    </row>
    <row r="17" spans="1:13" ht="30" customHeight="1" x14ac:dyDescent="0.2">
      <c r="A17" s="7655"/>
      <c r="B17" s="7653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7654">
        <v>19</v>
      </c>
      <c r="B25" s="7703" t="s">
        <v>560</v>
      </c>
      <c r="C25" s="7723"/>
      <c r="D25" s="332">
        <v>5000000</v>
      </c>
      <c r="E25" s="339"/>
      <c r="F25" s="332">
        <v>200000</v>
      </c>
      <c r="G25" s="7563"/>
      <c r="H25" s="7563"/>
      <c r="I25" s="7748"/>
      <c r="J25" s="7762"/>
      <c r="K25" s="7563"/>
      <c r="L25" s="7563">
        <f>(F25+F26)-K25</f>
        <v>300000</v>
      </c>
      <c r="M25" s="7679" t="s">
        <v>1209</v>
      </c>
    </row>
    <row r="26" spans="1:13" ht="30" customHeight="1" x14ac:dyDescent="0.2">
      <c r="A26" s="7656"/>
      <c r="B26" s="7704"/>
      <c r="C26" s="7747"/>
      <c r="D26" s="528">
        <v>2500000</v>
      </c>
      <c r="E26" s="533"/>
      <c r="F26" s="528">
        <v>100000</v>
      </c>
      <c r="G26" s="7564"/>
      <c r="H26" s="7564"/>
      <c r="I26" s="7749"/>
      <c r="J26" s="7763"/>
      <c r="K26" s="7564"/>
      <c r="L26" s="7564"/>
      <c r="M26" s="7680"/>
    </row>
    <row r="27" spans="1:13" ht="30" customHeight="1" x14ac:dyDescent="0.2">
      <c r="A27" s="7655"/>
      <c r="B27" s="7705"/>
      <c r="C27" s="7724"/>
      <c r="D27" s="628">
        <v>50000000</v>
      </c>
      <c r="E27" s="631"/>
      <c r="F27" s="628"/>
      <c r="G27" s="7858" t="s">
        <v>1995</v>
      </c>
      <c r="H27" s="7859"/>
      <c r="I27" s="7859"/>
      <c r="J27" s="7859"/>
      <c r="K27" s="7860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7563">
        <v>44500000</v>
      </c>
      <c r="H28" s="7563" t="s">
        <v>1474</v>
      </c>
      <c r="I28" s="7748" t="s">
        <v>1540</v>
      </c>
      <c r="J28" s="7762" t="s">
        <v>1541</v>
      </c>
      <c r="K28" s="7563">
        <f>(D28+D29)+(F28+F29)</f>
        <v>44050000</v>
      </c>
      <c r="L28" s="7563">
        <f>G28-K28</f>
        <v>450000</v>
      </c>
      <c r="M28" s="7798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7564"/>
      <c r="H29" s="7564"/>
      <c r="I29" s="7749"/>
      <c r="J29" s="7763"/>
      <c r="K29" s="7564"/>
      <c r="L29" s="7564"/>
      <c r="M29" s="7800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7879">
        <v>26</v>
      </c>
      <c r="B34" s="7652" t="s">
        <v>803</v>
      </c>
      <c r="C34" s="7723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7879"/>
      <c r="B35" s="7665"/>
      <c r="C35" s="7747"/>
      <c r="D35" s="7482" t="s">
        <v>1978</v>
      </c>
      <c r="E35" s="7482"/>
      <c r="F35" s="7482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7654">
        <v>27</v>
      </c>
      <c r="B36" s="7652" t="s">
        <v>807</v>
      </c>
      <c r="C36" s="7723" t="s">
        <v>1299</v>
      </c>
      <c r="D36" s="7563">
        <v>500000000</v>
      </c>
      <c r="E36" s="7659">
        <v>7.0000000000000007E-2</v>
      </c>
      <c r="F36" s="7563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7563">
        <f>G36+G37</f>
        <v>35000000</v>
      </c>
      <c r="L36" s="7563">
        <f>(G36+G37)-K36</f>
        <v>0</v>
      </c>
      <c r="M36" s="7679"/>
    </row>
    <row r="37" spans="1:13" ht="30" customHeight="1" x14ac:dyDescent="0.2">
      <c r="A37" s="7655"/>
      <c r="B37" s="7653"/>
      <c r="C37" s="7724"/>
      <c r="D37" s="7564"/>
      <c r="E37" s="7660"/>
      <c r="F37" s="7564"/>
      <c r="G37" s="772">
        <v>11000000</v>
      </c>
      <c r="H37" s="776" t="s">
        <v>2368</v>
      </c>
      <c r="I37" s="780">
        <v>78512</v>
      </c>
      <c r="J37" s="64" t="s">
        <v>2290</v>
      </c>
      <c r="K37" s="7564"/>
      <c r="L37" s="7564"/>
      <c r="M37" s="7680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7654">
        <v>31</v>
      </c>
      <c r="B41" s="7703" t="s">
        <v>915</v>
      </c>
      <c r="C41" s="7723"/>
      <c r="D41" s="7563">
        <v>100000000</v>
      </c>
      <c r="E41" s="7659">
        <v>7.0000000000000007E-2</v>
      </c>
      <c r="F41" s="7563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7563">
        <f>G41+G42</f>
        <v>7000000</v>
      </c>
      <c r="L41" s="7563">
        <f>F41-K41</f>
        <v>0</v>
      </c>
      <c r="M41" s="7679"/>
    </row>
    <row r="42" spans="1:13" ht="30" customHeight="1" x14ac:dyDescent="0.2">
      <c r="A42" s="7655"/>
      <c r="B42" s="7705"/>
      <c r="C42" s="7724"/>
      <c r="D42" s="7564"/>
      <c r="E42" s="7660"/>
      <c r="F42" s="7564"/>
      <c r="G42" s="809">
        <v>2000000</v>
      </c>
      <c r="H42" s="817" t="s">
        <v>2345</v>
      </c>
      <c r="I42" s="833">
        <v>122656557046</v>
      </c>
      <c r="J42" s="64" t="s">
        <v>2365</v>
      </c>
      <c r="K42" s="7564"/>
      <c r="L42" s="7564"/>
      <c r="M42" s="7680"/>
    </row>
    <row r="43" spans="1:13" ht="30" customHeight="1" x14ac:dyDescent="0.2">
      <c r="A43" s="7654">
        <v>32</v>
      </c>
      <c r="B43" s="7703" t="s">
        <v>982</v>
      </c>
      <c r="C43" s="7723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7563">
        <v>7450000</v>
      </c>
      <c r="H43" s="7563" t="s">
        <v>2368</v>
      </c>
      <c r="I43" s="7765">
        <v>93815</v>
      </c>
      <c r="J43" s="7762" t="s">
        <v>2377</v>
      </c>
      <c r="K43" s="7563">
        <f>G43</f>
        <v>7450000</v>
      </c>
      <c r="L43" s="7563">
        <f>(F43+F44)-K43</f>
        <v>0</v>
      </c>
      <c r="M43" s="7713"/>
    </row>
    <row r="44" spans="1:13" ht="30" customHeight="1" x14ac:dyDescent="0.2">
      <c r="A44" s="7656"/>
      <c r="B44" s="7704"/>
      <c r="C44" s="7724"/>
      <c r="D44" s="609">
        <v>35000000</v>
      </c>
      <c r="E44" s="607">
        <v>7.0000000000000007E-2</v>
      </c>
      <c r="F44" s="609">
        <f t="shared" si="4"/>
        <v>2450000.0000000005</v>
      </c>
      <c r="G44" s="7564"/>
      <c r="H44" s="7564"/>
      <c r="I44" s="7766"/>
      <c r="J44" s="7763"/>
      <c r="K44" s="7564"/>
      <c r="L44" s="7564"/>
      <c r="M44" s="7714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7563">
        <v>3500000</v>
      </c>
      <c r="H53" s="7563" t="s">
        <v>1359</v>
      </c>
      <c r="I53" s="7748" t="s">
        <v>1402</v>
      </c>
      <c r="J53" s="7775" t="s">
        <v>1403</v>
      </c>
      <c r="K53" s="7563">
        <f>G53</f>
        <v>3500000</v>
      </c>
      <c r="L53" s="7563">
        <f>(F53+F54)-K53</f>
        <v>0</v>
      </c>
      <c r="M53" s="7703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7564"/>
      <c r="H54" s="7564"/>
      <c r="I54" s="7749"/>
      <c r="J54" s="7777"/>
      <c r="K54" s="7564"/>
      <c r="L54" s="7564"/>
      <c r="M54" s="7705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7654">
        <v>45</v>
      </c>
      <c r="B56" s="7652" t="s">
        <v>185</v>
      </c>
      <c r="C56" s="7723" t="s">
        <v>1295</v>
      </c>
      <c r="D56" s="7563">
        <v>1190000000</v>
      </c>
      <c r="E56" s="7659">
        <v>7.0000000000000007E-2</v>
      </c>
      <c r="F56" s="7563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7563">
        <f>G56+G57+G58</f>
        <v>83300000</v>
      </c>
      <c r="L56" s="7563">
        <f>F56-K56</f>
        <v>0</v>
      </c>
      <c r="M56" s="7703"/>
    </row>
    <row r="57" spans="1:13" ht="30" customHeight="1" x14ac:dyDescent="0.2">
      <c r="A57" s="7656"/>
      <c r="B57" s="7665"/>
      <c r="C57" s="7747"/>
      <c r="D57" s="7586"/>
      <c r="E57" s="7676"/>
      <c r="F57" s="7586"/>
      <c r="G57" s="417">
        <v>20000000</v>
      </c>
      <c r="H57" s="417" t="s">
        <v>1474</v>
      </c>
      <c r="I57" s="427" t="s">
        <v>1560</v>
      </c>
      <c r="J57" s="21" t="s">
        <v>920</v>
      </c>
      <c r="K57" s="7586"/>
      <c r="L57" s="7586"/>
      <c r="M57" s="7704"/>
    </row>
    <row r="58" spans="1:13" ht="30" customHeight="1" x14ac:dyDescent="0.2">
      <c r="A58" s="7655"/>
      <c r="B58" s="7653"/>
      <c r="C58" s="7724"/>
      <c r="D58" s="7564"/>
      <c r="E58" s="7660"/>
      <c r="F58" s="7564"/>
      <c r="G58" s="417">
        <v>13300000</v>
      </c>
      <c r="H58" s="417" t="s">
        <v>1616</v>
      </c>
      <c r="I58" s="459" t="s">
        <v>1626</v>
      </c>
      <c r="J58" s="21" t="s">
        <v>920</v>
      </c>
      <c r="K58" s="7564"/>
      <c r="L58" s="7564"/>
      <c r="M58" s="7705"/>
    </row>
    <row r="59" spans="1:13" ht="30" customHeight="1" x14ac:dyDescent="0.2">
      <c r="A59" s="7654">
        <v>46</v>
      </c>
      <c r="B59" s="7652" t="s">
        <v>186</v>
      </c>
      <c r="C59" s="7723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7656"/>
      <c r="B60" s="7665"/>
      <c r="C60" s="7747"/>
      <c r="D60" s="7482">
        <v>1200000000</v>
      </c>
      <c r="E60" s="7870">
        <v>0.08</v>
      </c>
      <c r="F60" s="7482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7563">
        <f>G60+G61</f>
        <v>96000000</v>
      </c>
      <c r="L60" s="7563">
        <f>F60-K60</f>
        <v>0</v>
      </c>
      <c r="M60" s="7845" t="s">
        <v>1712</v>
      </c>
    </row>
    <row r="61" spans="1:13" ht="30" customHeight="1" x14ac:dyDescent="0.2">
      <c r="A61" s="7656"/>
      <c r="B61" s="7665"/>
      <c r="C61" s="7747"/>
      <c r="D61" s="7482"/>
      <c r="E61" s="7870"/>
      <c r="F61" s="7482"/>
      <c r="G61" s="474">
        <v>6000000</v>
      </c>
      <c r="H61" s="7563" t="s">
        <v>1701</v>
      </c>
      <c r="I61" s="7779" t="s">
        <v>1713</v>
      </c>
      <c r="J61" s="7561" t="s">
        <v>1714</v>
      </c>
      <c r="K61" s="7586"/>
      <c r="L61" s="7564"/>
      <c r="M61" s="7845"/>
    </row>
    <row r="62" spans="1:13" ht="30" customHeight="1" x14ac:dyDescent="0.2">
      <c r="A62" s="7656"/>
      <c r="B62" s="7665"/>
      <c r="C62" s="7747"/>
      <c r="D62" s="7563"/>
      <c r="E62" s="7659"/>
      <c r="F62" s="7563"/>
      <c r="G62" s="474">
        <v>24000000</v>
      </c>
      <c r="H62" s="7564"/>
      <c r="I62" s="7780"/>
      <c r="J62" s="7562"/>
      <c r="K62" s="7563">
        <f>G60+G61+G62+G63</f>
        <v>136500000</v>
      </c>
      <c r="L62" s="7563">
        <f>136500000-K62</f>
        <v>0</v>
      </c>
      <c r="M62" s="7798" t="s">
        <v>1716</v>
      </c>
    </row>
    <row r="63" spans="1:13" ht="30" customHeight="1" x14ac:dyDescent="0.2">
      <c r="A63" s="7655"/>
      <c r="B63" s="7653"/>
      <c r="C63" s="7724"/>
      <c r="D63" s="7564"/>
      <c r="E63" s="7660"/>
      <c r="F63" s="7564"/>
      <c r="G63" s="474">
        <v>16500000</v>
      </c>
      <c r="H63" s="474" t="s">
        <v>1701</v>
      </c>
      <c r="I63" s="480" t="s">
        <v>1715</v>
      </c>
      <c r="J63" s="478" t="s">
        <v>1076</v>
      </c>
      <c r="K63" s="7564"/>
      <c r="L63" s="7564"/>
      <c r="M63" s="7800"/>
    </row>
    <row r="64" spans="1:13" ht="30" customHeight="1" x14ac:dyDescent="0.2">
      <c r="A64" s="7654">
        <v>47</v>
      </c>
      <c r="B64" s="7703" t="s">
        <v>187</v>
      </c>
      <c r="C64" s="7723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7713" t="s">
        <v>5329</v>
      </c>
    </row>
    <row r="65" spans="1:13" ht="30" customHeight="1" x14ac:dyDescent="0.2">
      <c r="A65" s="7655"/>
      <c r="B65" s="7705"/>
      <c r="C65" s="7724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7714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7654">
        <v>50</v>
      </c>
      <c r="B68" s="7703" t="s">
        <v>190</v>
      </c>
      <c r="C68" s="7723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7656"/>
      <c r="B69" s="7704"/>
      <c r="C69" s="7747"/>
      <c r="D69" s="7563">
        <v>350000000</v>
      </c>
      <c r="E69" s="7659">
        <v>0.05</v>
      </c>
      <c r="F69" s="7563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7563">
        <f>G69+G70</f>
        <v>17500000</v>
      </c>
      <c r="L69" s="7563">
        <f t="shared" si="7"/>
        <v>0</v>
      </c>
      <c r="M69" s="7713" t="s">
        <v>2490</v>
      </c>
    </row>
    <row r="70" spans="1:13" ht="30" customHeight="1" x14ac:dyDescent="0.2">
      <c r="A70" s="7655"/>
      <c r="B70" s="7705"/>
      <c r="C70" s="7724"/>
      <c r="D70" s="7564"/>
      <c r="E70" s="7660"/>
      <c r="F70" s="7564"/>
      <c r="G70" s="929">
        <v>11500000</v>
      </c>
      <c r="H70" s="929" t="s">
        <v>2484</v>
      </c>
      <c r="I70" s="380" t="s">
        <v>2489</v>
      </c>
      <c r="J70" s="21" t="s">
        <v>1315</v>
      </c>
      <c r="K70" s="7564"/>
      <c r="L70" s="7564"/>
      <c r="M70" s="7714"/>
    </row>
    <row r="71" spans="1:13" ht="30" customHeight="1" x14ac:dyDescent="0.2">
      <c r="A71" s="7654">
        <v>51</v>
      </c>
      <c r="B71" s="7652" t="s">
        <v>191</v>
      </c>
      <c r="C71" s="7723" t="s">
        <v>889</v>
      </c>
      <c r="D71" s="341">
        <v>111000000</v>
      </c>
      <c r="E71" s="17">
        <v>4.4999999999999998E-2</v>
      </c>
      <c r="F71" s="341">
        <v>5000000</v>
      </c>
      <c r="G71" s="7732" t="s">
        <v>2440</v>
      </c>
      <c r="H71" s="7733"/>
      <c r="I71" s="7733"/>
      <c r="J71" s="7733"/>
      <c r="K71" s="7734"/>
      <c r="L71" s="341">
        <f>F71-K71</f>
        <v>5000000</v>
      </c>
      <c r="M71" s="41" t="s">
        <v>2469</v>
      </c>
    </row>
    <row r="72" spans="1:13" ht="30" customHeight="1" x14ac:dyDescent="0.2">
      <c r="A72" s="7655"/>
      <c r="B72" s="7653"/>
      <c r="C72" s="7724"/>
      <c r="D72" s="860">
        <v>260000000</v>
      </c>
      <c r="E72" s="861">
        <f>F72/D72</f>
        <v>5.5769230769230772E-2</v>
      </c>
      <c r="F72" s="860">
        <v>14500000</v>
      </c>
      <c r="G72" s="7802" t="s">
        <v>2431</v>
      </c>
      <c r="H72" s="7803"/>
      <c r="I72" s="7803"/>
      <c r="J72" s="7803"/>
      <c r="K72" s="7804"/>
      <c r="L72" s="860">
        <f>F72-K72</f>
        <v>14500000</v>
      </c>
      <c r="M72" s="862" t="s">
        <v>2432</v>
      </c>
    </row>
    <row r="73" spans="1:13" ht="30" customHeight="1" x14ac:dyDescent="0.2">
      <c r="A73" s="7654">
        <v>52</v>
      </c>
      <c r="B73" s="7710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7552" t="s">
        <v>2020</v>
      </c>
      <c r="H73" s="7843"/>
      <c r="I73" s="7843"/>
      <c r="J73" s="7843"/>
      <c r="K73" s="7844"/>
      <c r="L73" s="647">
        <f t="shared" si="7"/>
        <v>4200000</v>
      </c>
      <c r="M73" s="41" t="s">
        <v>1495</v>
      </c>
    </row>
    <row r="74" spans="1:13" ht="30" customHeight="1" x14ac:dyDescent="0.2">
      <c r="A74" s="7655"/>
      <c r="B74" s="7712"/>
      <c r="C74" s="665"/>
      <c r="D74" s="647">
        <v>20000000</v>
      </c>
      <c r="E74" s="40"/>
      <c r="F74" s="647"/>
      <c r="G74" s="7850" t="s">
        <v>2021</v>
      </c>
      <c r="H74" s="7851"/>
      <c r="I74" s="7851"/>
      <c r="J74" s="7851"/>
      <c r="K74" s="7851"/>
      <c r="L74" s="7852"/>
      <c r="M74" s="41"/>
    </row>
    <row r="75" spans="1:13" ht="30" customHeight="1" x14ac:dyDescent="0.2">
      <c r="A75" s="7654">
        <v>53</v>
      </c>
      <c r="B75" s="7652" t="s">
        <v>193</v>
      </c>
      <c r="C75" s="7723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7563" t="s">
        <v>2054</v>
      </c>
      <c r="I75" s="7748" t="s">
        <v>2063</v>
      </c>
      <c r="J75" s="7561" t="s">
        <v>1810</v>
      </c>
      <c r="K75" s="746">
        <f>G75</f>
        <v>24500000</v>
      </c>
      <c r="L75" s="748">
        <f>F75-K75</f>
        <v>0</v>
      </c>
      <c r="M75" s="7561" t="s">
        <v>1969</v>
      </c>
    </row>
    <row r="76" spans="1:13" ht="30" customHeight="1" x14ac:dyDescent="0.2">
      <c r="A76" s="7656"/>
      <c r="B76" s="7665"/>
      <c r="C76" s="7747"/>
      <c r="D76" s="7563">
        <v>3200000</v>
      </c>
      <c r="E76" s="7735" t="s">
        <v>2267</v>
      </c>
      <c r="F76" s="7737"/>
      <c r="G76" s="748">
        <v>500000</v>
      </c>
      <c r="H76" s="7564"/>
      <c r="I76" s="7749"/>
      <c r="J76" s="7562"/>
      <c r="K76" s="7482">
        <f>G76+G77</f>
        <v>3200000</v>
      </c>
      <c r="L76" s="7482">
        <f>(G77+G76)-K76</f>
        <v>0</v>
      </c>
      <c r="M76" s="7672"/>
    </row>
    <row r="77" spans="1:13" ht="30" customHeight="1" x14ac:dyDescent="0.2">
      <c r="A77" s="7656"/>
      <c r="B77" s="7665"/>
      <c r="C77" s="7747"/>
      <c r="D77" s="7564"/>
      <c r="E77" s="7736"/>
      <c r="F77" s="7740"/>
      <c r="G77" s="748">
        <v>2700000</v>
      </c>
      <c r="H77" s="7563" t="s">
        <v>2262</v>
      </c>
      <c r="I77" s="7748" t="s">
        <v>2269</v>
      </c>
      <c r="J77" s="7561" t="s">
        <v>1810</v>
      </c>
      <c r="K77" s="7482"/>
      <c r="L77" s="7482"/>
      <c r="M77" s="7672"/>
    </row>
    <row r="78" spans="1:13" ht="30" customHeight="1" x14ac:dyDescent="0.2">
      <c r="A78" s="7656"/>
      <c r="B78" s="7665"/>
      <c r="C78" s="7747"/>
      <c r="D78" s="7563">
        <v>30000000</v>
      </c>
      <c r="E78" s="7735" t="s">
        <v>2268</v>
      </c>
      <c r="F78" s="7737"/>
      <c r="G78" s="748">
        <v>20000000</v>
      </c>
      <c r="H78" s="7564"/>
      <c r="I78" s="7749"/>
      <c r="J78" s="7562"/>
      <c r="K78" s="7563">
        <f>G78+G79</f>
        <v>20000000</v>
      </c>
      <c r="L78" s="7563">
        <f>D78-K78</f>
        <v>10000000</v>
      </c>
      <c r="M78" s="7672"/>
    </row>
    <row r="79" spans="1:13" ht="30" customHeight="1" x14ac:dyDescent="0.2">
      <c r="A79" s="7655"/>
      <c r="B79" s="7653"/>
      <c r="C79" s="7724"/>
      <c r="D79" s="7564"/>
      <c r="E79" s="7736"/>
      <c r="F79" s="7740"/>
      <c r="G79" s="748"/>
      <c r="H79" s="748"/>
      <c r="I79" s="381"/>
      <c r="J79" s="751"/>
      <c r="K79" s="7564"/>
      <c r="L79" s="7564"/>
      <c r="M79" s="7562"/>
    </row>
    <row r="80" spans="1:13" ht="30" customHeight="1" x14ac:dyDescent="0.2">
      <c r="A80" s="7654">
        <v>54</v>
      </c>
      <c r="B80" s="7652" t="s">
        <v>1060</v>
      </c>
      <c r="C80" s="7723"/>
      <c r="D80" s="332">
        <v>35000000</v>
      </c>
      <c r="E80" s="353">
        <v>7.1999999999999995E-2</v>
      </c>
      <c r="F80" s="332">
        <v>2500000</v>
      </c>
      <c r="G80" s="7563">
        <v>3500000</v>
      </c>
      <c r="H80" s="7563" t="s">
        <v>1474</v>
      </c>
      <c r="I80" s="7748" t="s">
        <v>1575</v>
      </c>
      <c r="J80" s="7561" t="s">
        <v>1576</v>
      </c>
      <c r="K80" s="7563">
        <f>G80</f>
        <v>3500000</v>
      </c>
      <c r="L80" s="7563">
        <f>(F80+F81)-K80</f>
        <v>0</v>
      </c>
      <c r="M80" s="7703"/>
    </row>
    <row r="81" spans="1:13" ht="30" customHeight="1" x14ac:dyDescent="0.2">
      <c r="A81" s="7656"/>
      <c r="B81" s="7665"/>
      <c r="C81" s="7747"/>
      <c r="D81" s="332">
        <v>13000000</v>
      </c>
      <c r="E81" s="17">
        <v>7.6999999999999999E-2</v>
      </c>
      <c r="F81" s="332">
        <v>1000000</v>
      </c>
      <c r="G81" s="7564"/>
      <c r="H81" s="7564"/>
      <c r="I81" s="7749"/>
      <c r="J81" s="7562"/>
      <c r="K81" s="7564"/>
      <c r="L81" s="7564"/>
      <c r="M81" s="7705"/>
    </row>
    <row r="82" spans="1:13" ht="30" customHeight="1" x14ac:dyDescent="0.2">
      <c r="A82" s="7656"/>
      <c r="B82" s="7665"/>
      <c r="C82" s="7747"/>
      <c r="D82" s="922">
        <v>35000000</v>
      </c>
      <c r="E82" s="925">
        <v>7.1999999999999995E-2</v>
      </c>
      <c r="F82" s="922">
        <v>2500000</v>
      </c>
      <c r="G82" s="7563">
        <v>3500000</v>
      </c>
      <c r="H82" s="7563" t="s">
        <v>2484</v>
      </c>
      <c r="I82" s="7748" t="s">
        <v>2500</v>
      </c>
      <c r="J82" s="7561" t="s">
        <v>2501</v>
      </c>
      <c r="K82" s="7563">
        <f>G82</f>
        <v>3500000</v>
      </c>
      <c r="L82" s="7563">
        <f>G82-K82</f>
        <v>0</v>
      </c>
      <c r="M82" s="932"/>
    </row>
    <row r="83" spans="1:13" ht="30" customHeight="1" x14ac:dyDescent="0.2">
      <c r="A83" s="7655"/>
      <c r="B83" s="7653"/>
      <c r="C83" s="7724"/>
      <c r="D83" s="922">
        <v>13000000</v>
      </c>
      <c r="E83" s="933">
        <v>7.6999999999999999E-2</v>
      </c>
      <c r="F83" s="922">
        <v>1000000</v>
      </c>
      <c r="G83" s="7564"/>
      <c r="H83" s="7564"/>
      <c r="I83" s="7749"/>
      <c r="J83" s="7562"/>
      <c r="K83" s="7564"/>
      <c r="L83" s="7564"/>
      <c r="M83" s="932"/>
    </row>
    <row r="84" spans="1:13" ht="30" customHeight="1" x14ac:dyDescent="0.2">
      <c r="A84" s="7654">
        <v>55</v>
      </c>
      <c r="B84" s="7652" t="s">
        <v>2526</v>
      </c>
      <c r="C84" s="7723" t="s">
        <v>1295</v>
      </c>
      <c r="D84" s="615">
        <v>175000000</v>
      </c>
      <c r="E84" s="621">
        <v>0.52</v>
      </c>
      <c r="F84" s="615">
        <v>9000000</v>
      </c>
      <c r="G84" s="7482">
        <v>16500000</v>
      </c>
      <c r="H84" s="7482" t="s">
        <v>897</v>
      </c>
      <c r="I84" s="7856" t="s">
        <v>1318</v>
      </c>
      <c r="J84" s="7857" t="s">
        <v>1319</v>
      </c>
      <c r="K84" s="7482">
        <f>G84</f>
        <v>16500000</v>
      </c>
      <c r="L84" s="7482">
        <f>(F84+F85)-K84</f>
        <v>0</v>
      </c>
      <c r="M84" s="637" t="s">
        <v>1082</v>
      </c>
    </row>
    <row r="85" spans="1:13" ht="30" customHeight="1" x14ac:dyDescent="0.2">
      <c r="A85" s="7656"/>
      <c r="B85" s="7665"/>
      <c r="C85" s="7747"/>
      <c r="D85" s="608">
        <f>85000000+20000000</f>
        <v>105000000</v>
      </c>
      <c r="E85" s="606">
        <v>7.0000000000000007E-2</v>
      </c>
      <c r="F85" s="608">
        <v>7500000</v>
      </c>
      <c r="G85" s="7482"/>
      <c r="H85" s="7482"/>
      <c r="I85" s="7856"/>
      <c r="J85" s="7857"/>
      <c r="K85" s="7482"/>
      <c r="L85" s="7482"/>
      <c r="M85" s="180" t="s">
        <v>1931</v>
      </c>
    </row>
    <row r="86" spans="1:13" ht="30" customHeight="1" x14ac:dyDescent="0.2">
      <c r="A86" s="7655"/>
      <c r="B86" s="7653"/>
      <c r="C86" s="7724"/>
      <c r="D86" s="615">
        <v>35000000</v>
      </c>
      <c r="E86" s="621">
        <v>0.05</v>
      </c>
      <c r="F86" s="615">
        <f>D86*E86</f>
        <v>1750000</v>
      </c>
      <c r="G86" s="7806" t="s">
        <v>1965</v>
      </c>
      <c r="H86" s="7807"/>
      <c r="I86" s="7807"/>
      <c r="J86" s="7807"/>
      <c r="K86" s="7807"/>
      <c r="L86" s="7808"/>
      <c r="M86" s="29" t="s">
        <v>1932</v>
      </c>
    </row>
    <row r="87" spans="1:13" ht="30" customHeight="1" x14ac:dyDescent="0.2">
      <c r="A87" s="7654">
        <v>56</v>
      </c>
      <c r="B87" s="7652" t="s">
        <v>35</v>
      </c>
      <c r="C87" s="7723" t="s">
        <v>1295</v>
      </c>
      <c r="D87" s="7563">
        <v>3284000000</v>
      </c>
      <c r="E87" s="7659">
        <v>7.0000000000000007E-2</v>
      </c>
      <c r="F87" s="7563">
        <v>229880000</v>
      </c>
      <c r="G87" s="359">
        <v>27070000</v>
      </c>
      <c r="H87" s="7563" t="s">
        <v>1022</v>
      </c>
      <c r="I87" s="7853" t="s">
        <v>1341</v>
      </c>
      <c r="J87" s="7561" t="s">
        <v>688</v>
      </c>
      <c r="K87" s="7563">
        <f>G87+G88</f>
        <v>50000000</v>
      </c>
      <c r="L87" s="7563">
        <f>F87-(G88+G89+G90+G91+G92+G93)</f>
        <v>2140000</v>
      </c>
      <c r="M87" s="97" t="s">
        <v>1340</v>
      </c>
    </row>
    <row r="88" spans="1:13" ht="30" customHeight="1" x14ac:dyDescent="0.2">
      <c r="A88" s="7656"/>
      <c r="B88" s="7665"/>
      <c r="C88" s="7747"/>
      <c r="D88" s="7586"/>
      <c r="E88" s="7676"/>
      <c r="F88" s="7586"/>
      <c r="G88" s="350">
        <v>22930000</v>
      </c>
      <c r="H88" s="7564"/>
      <c r="I88" s="7854"/>
      <c r="J88" s="7562"/>
      <c r="K88" s="7564"/>
      <c r="L88" s="7586"/>
      <c r="M88" s="7846"/>
    </row>
    <row r="89" spans="1:13" ht="30" customHeight="1" x14ac:dyDescent="0.2">
      <c r="A89" s="7656"/>
      <c r="B89" s="7665"/>
      <c r="C89" s="7747"/>
      <c r="D89" s="7586"/>
      <c r="E89" s="7676"/>
      <c r="F89" s="7586"/>
      <c r="G89" s="370">
        <v>50000000</v>
      </c>
      <c r="H89" s="370" t="s">
        <v>1405</v>
      </c>
      <c r="I89" s="376" t="s">
        <v>1437</v>
      </c>
      <c r="J89" s="21" t="s">
        <v>688</v>
      </c>
      <c r="K89" s="7563">
        <f>G88+G89+G90+G91+G92+G93</f>
        <v>227740000</v>
      </c>
      <c r="L89" s="7586"/>
      <c r="M89" s="7847"/>
    </row>
    <row r="90" spans="1:13" ht="30" customHeight="1" x14ac:dyDescent="0.2">
      <c r="A90" s="7656"/>
      <c r="B90" s="7665"/>
      <c r="C90" s="7747"/>
      <c r="D90" s="7586"/>
      <c r="E90" s="7676"/>
      <c r="F90" s="7586"/>
      <c r="G90" s="454">
        <v>50000000</v>
      </c>
      <c r="H90" s="454" t="s">
        <v>1594</v>
      </c>
      <c r="I90" s="459" t="s">
        <v>1673</v>
      </c>
      <c r="J90" s="21" t="s">
        <v>688</v>
      </c>
      <c r="K90" s="7586"/>
      <c r="L90" s="7586"/>
      <c r="M90" s="7847"/>
    </row>
    <row r="91" spans="1:13" ht="30" customHeight="1" x14ac:dyDescent="0.2">
      <c r="A91" s="7656"/>
      <c r="B91" s="7665"/>
      <c r="C91" s="7747"/>
      <c r="D91" s="7586"/>
      <c r="E91" s="7676"/>
      <c r="F91" s="7586"/>
      <c r="G91" s="492">
        <v>50000000</v>
      </c>
      <c r="H91" s="492" t="s">
        <v>1732</v>
      </c>
      <c r="I91" s="495" t="s">
        <v>1737</v>
      </c>
      <c r="J91" s="21" t="s">
        <v>688</v>
      </c>
      <c r="K91" s="7586"/>
      <c r="L91" s="7586"/>
      <c r="M91" s="7847"/>
    </row>
    <row r="92" spans="1:13" ht="30" customHeight="1" x14ac:dyDescent="0.2">
      <c r="A92" s="7656"/>
      <c r="B92" s="7665"/>
      <c r="C92" s="7747"/>
      <c r="D92" s="7586"/>
      <c r="E92" s="7676"/>
      <c r="F92" s="7586"/>
      <c r="G92" s="500">
        <v>50000000</v>
      </c>
      <c r="H92" s="500" t="s">
        <v>1749</v>
      </c>
      <c r="I92" s="506" t="s">
        <v>1964</v>
      </c>
      <c r="J92" s="21" t="s">
        <v>688</v>
      </c>
      <c r="K92" s="7586"/>
      <c r="L92" s="7586"/>
      <c r="M92" s="7847"/>
    </row>
    <row r="93" spans="1:13" ht="30" customHeight="1" x14ac:dyDescent="0.2">
      <c r="A93" s="7656"/>
      <c r="B93" s="7665"/>
      <c r="C93" s="7747"/>
      <c r="D93" s="7586"/>
      <c r="E93" s="7676"/>
      <c r="F93" s="7586"/>
      <c r="G93" s="454">
        <v>4810000</v>
      </c>
      <c r="H93" s="836" t="s">
        <v>2414</v>
      </c>
      <c r="I93" s="843" t="s">
        <v>2419</v>
      </c>
      <c r="J93" s="21" t="s">
        <v>688</v>
      </c>
      <c r="K93" s="7564"/>
      <c r="L93" s="7564"/>
      <c r="M93" s="7848"/>
    </row>
    <row r="94" spans="1:13" ht="30" customHeight="1" x14ac:dyDescent="0.2">
      <c r="A94" s="7655"/>
      <c r="B94" s="7653"/>
      <c r="C94" s="7724"/>
      <c r="D94" s="7564"/>
      <c r="E94" s="7660"/>
      <c r="F94" s="7564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7654">
        <v>59</v>
      </c>
      <c r="B97" s="7652" t="s">
        <v>194</v>
      </c>
      <c r="C97" s="7723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7677"/>
      <c r="L97" s="7563">
        <f t="shared" si="7"/>
        <v>4500000</v>
      </c>
      <c r="M97" s="7713" t="s">
        <v>2563</v>
      </c>
    </row>
    <row r="98" spans="1:13" ht="30" customHeight="1" x14ac:dyDescent="0.2">
      <c r="A98" s="7655"/>
      <c r="B98" s="7653"/>
      <c r="C98" s="7724"/>
      <c r="D98" s="332">
        <v>10000000</v>
      </c>
      <c r="E98" s="17">
        <v>7.0000000000000007E-2</v>
      </c>
      <c r="F98" s="332">
        <f t="shared" si="6"/>
        <v>700000.00000000012</v>
      </c>
      <c r="G98" s="7850" t="s">
        <v>1301</v>
      </c>
      <c r="H98" s="7851"/>
      <c r="I98" s="7851"/>
      <c r="J98" s="7852"/>
      <c r="K98" s="7678"/>
      <c r="L98" s="7564"/>
      <c r="M98" s="7714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7654">
        <v>63</v>
      </c>
      <c r="B102" s="7652" t="s">
        <v>198</v>
      </c>
      <c r="C102" s="7723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7656"/>
      <c r="B103" s="7665"/>
      <c r="C103" s="7724"/>
      <c r="D103" s="464">
        <v>1300000000</v>
      </c>
      <c r="E103" s="463"/>
      <c r="F103" s="947"/>
      <c r="G103" s="7732" t="s">
        <v>1675</v>
      </c>
      <c r="H103" s="7733"/>
      <c r="I103" s="7733"/>
      <c r="J103" s="7733"/>
      <c r="K103" s="7733"/>
      <c r="L103" s="7734"/>
      <c r="M103" s="180"/>
    </row>
    <row r="104" spans="1:13" ht="30" customHeight="1" x14ac:dyDescent="0.2">
      <c r="A104" s="7655"/>
      <c r="B104" s="7653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7470" t="s">
        <v>2513</v>
      </c>
      <c r="H104" s="7493"/>
      <c r="I104" s="7493"/>
      <c r="J104" s="7493"/>
      <c r="K104" s="7493"/>
      <c r="L104" s="7510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7654">
        <v>66</v>
      </c>
      <c r="B106" s="7652" t="s">
        <v>201</v>
      </c>
      <c r="C106" s="7723"/>
      <c r="D106" s="7677"/>
      <c r="E106" s="7691"/>
      <c r="F106" s="7677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7563">
        <f>G106+G107</f>
        <v>26000000</v>
      </c>
      <c r="L106" s="7677">
        <f t="shared" si="7"/>
        <v>-26000000</v>
      </c>
      <c r="M106" s="41"/>
    </row>
    <row r="107" spans="1:13" ht="30" customHeight="1" x14ac:dyDescent="0.2">
      <c r="A107" s="7655"/>
      <c r="B107" s="7653"/>
      <c r="C107" s="7724"/>
      <c r="D107" s="7678"/>
      <c r="E107" s="7693"/>
      <c r="F107" s="7678"/>
      <c r="G107" s="922">
        <v>13140000</v>
      </c>
      <c r="H107" s="926" t="s">
        <v>2484</v>
      </c>
      <c r="I107" s="934" t="s">
        <v>2486</v>
      </c>
      <c r="J107" s="384" t="s">
        <v>928</v>
      </c>
      <c r="K107" s="7564"/>
      <c r="L107" s="7678"/>
      <c r="M107" s="923" t="s">
        <v>2487</v>
      </c>
    </row>
    <row r="108" spans="1:13" ht="30" customHeight="1" x14ac:dyDescent="0.2">
      <c r="A108" s="7654">
        <v>67</v>
      </c>
      <c r="B108" s="7652" t="s">
        <v>180</v>
      </c>
      <c r="C108" s="7723"/>
      <c r="D108" s="609">
        <v>35000000</v>
      </c>
      <c r="E108" s="621">
        <v>0.08</v>
      </c>
      <c r="F108" s="609">
        <v>2750000</v>
      </c>
      <c r="G108" s="609">
        <v>2750000</v>
      </c>
      <c r="H108" s="7563" t="s">
        <v>1782</v>
      </c>
      <c r="I108" s="7748" t="s">
        <v>1981</v>
      </c>
      <c r="J108" s="7563" t="s">
        <v>1982</v>
      </c>
      <c r="K108" s="609">
        <f>G108</f>
        <v>2750000</v>
      </c>
      <c r="L108" s="609">
        <f t="shared" si="7"/>
        <v>0</v>
      </c>
      <c r="M108" s="7818" t="s">
        <v>2406</v>
      </c>
    </row>
    <row r="109" spans="1:13" ht="30" customHeight="1" x14ac:dyDescent="0.2">
      <c r="A109" s="7655"/>
      <c r="B109" s="7653"/>
      <c r="C109" s="7724"/>
      <c r="D109" s="7470" t="s">
        <v>1983</v>
      </c>
      <c r="E109" s="7493"/>
      <c r="F109" s="7510"/>
      <c r="G109" s="609">
        <v>35000000</v>
      </c>
      <c r="H109" s="7564"/>
      <c r="I109" s="7749"/>
      <c r="J109" s="7564"/>
      <c r="K109" s="609">
        <f>G109</f>
        <v>35000000</v>
      </c>
      <c r="L109" s="609">
        <f>G109-K109</f>
        <v>0</v>
      </c>
      <c r="M109" s="7819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7654">
        <v>69</v>
      </c>
      <c r="B111" s="7652" t="s">
        <v>203</v>
      </c>
      <c r="C111" s="7873" t="s">
        <v>889</v>
      </c>
      <c r="D111" s="7482">
        <v>280000000</v>
      </c>
      <c r="E111" s="7870">
        <f>F111/D111</f>
        <v>7.0000000000000007E-2</v>
      </c>
      <c r="F111" s="7482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7563">
        <f>G111+G112</f>
        <v>19500000</v>
      </c>
      <c r="L111" s="7563">
        <f t="shared" si="7"/>
        <v>100000</v>
      </c>
      <c r="M111" s="7818" t="s">
        <v>1589</v>
      </c>
    </row>
    <row r="112" spans="1:13" ht="30" customHeight="1" x14ac:dyDescent="0.2">
      <c r="A112" s="7655"/>
      <c r="B112" s="7653"/>
      <c r="C112" s="7873"/>
      <c r="D112" s="7482"/>
      <c r="E112" s="7870"/>
      <c r="F112" s="7482"/>
      <c r="G112" s="454">
        <v>10000000</v>
      </c>
      <c r="H112" s="454" t="s">
        <v>1474</v>
      </c>
      <c r="I112" s="460" t="s">
        <v>1587</v>
      </c>
      <c r="J112" s="21" t="s">
        <v>1588</v>
      </c>
      <c r="K112" s="7564"/>
      <c r="L112" s="7564"/>
      <c r="M112" s="7819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7654">
        <v>71</v>
      </c>
      <c r="B114" s="7652" t="s">
        <v>205</v>
      </c>
      <c r="C114" s="7723" t="s">
        <v>942</v>
      </c>
      <c r="D114" s="7563">
        <v>20000000</v>
      </c>
      <c r="E114" s="7659">
        <v>0.05</v>
      </c>
      <c r="F114" s="7563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7655"/>
      <c r="B115" s="7653"/>
      <c r="C115" s="7724"/>
      <c r="D115" s="7564"/>
      <c r="E115" s="7660"/>
      <c r="F115" s="7564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7654">
        <v>77</v>
      </c>
      <c r="B121" s="7652" t="s">
        <v>210</v>
      </c>
      <c r="C121" s="7723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7563">
        <v>3675000</v>
      </c>
      <c r="H121" s="7563" t="s">
        <v>1474</v>
      </c>
      <c r="I121" s="7748" t="s">
        <v>1569</v>
      </c>
      <c r="J121" s="7752" t="s">
        <v>1570</v>
      </c>
      <c r="K121" s="7563">
        <f>G121</f>
        <v>3675000</v>
      </c>
      <c r="L121" s="7563">
        <f>(F121+F122)-K121</f>
        <v>0</v>
      </c>
      <c r="M121" s="7713" t="s">
        <v>953</v>
      </c>
    </row>
    <row r="122" spans="1:13" ht="30" customHeight="1" x14ac:dyDescent="0.2">
      <c r="A122" s="7655"/>
      <c r="B122" s="7653"/>
      <c r="C122" s="7724"/>
      <c r="D122" s="332">
        <v>35000000</v>
      </c>
      <c r="E122" s="17">
        <v>4.4999999999999998E-2</v>
      </c>
      <c r="F122" s="332">
        <f t="shared" si="6"/>
        <v>1575000</v>
      </c>
      <c r="G122" s="7564"/>
      <c r="H122" s="7564"/>
      <c r="I122" s="7749"/>
      <c r="J122" s="7753"/>
      <c r="K122" s="7564"/>
      <c r="L122" s="7564"/>
      <c r="M122" s="7714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7654">
        <v>85</v>
      </c>
      <c r="B130" s="7703" t="s">
        <v>975</v>
      </c>
      <c r="C130" s="7723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7563">
        <f>G131+G130</f>
        <v>35600000</v>
      </c>
      <c r="L130" s="7563">
        <f>(F130+F131+F132)-K130</f>
        <v>0</v>
      </c>
      <c r="M130" s="7818"/>
    </row>
    <row r="131" spans="1:13" ht="30" customHeight="1" x14ac:dyDescent="0.2">
      <c r="A131" s="7656"/>
      <c r="B131" s="7704"/>
      <c r="C131" s="7747"/>
      <c r="D131" s="332">
        <v>458000000</v>
      </c>
      <c r="E131" s="17">
        <v>0.05</v>
      </c>
      <c r="F131" s="332">
        <f t="shared" si="6"/>
        <v>22900000</v>
      </c>
      <c r="G131" s="7586">
        <v>24600000</v>
      </c>
      <c r="H131" s="7586" t="s">
        <v>1022</v>
      </c>
      <c r="I131" s="7849" t="s">
        <v>1353</v>
      </c>
      <c r="J131" s="7776" t="s">
        <v>1354</v>
      </c>
      <c r="K131" s="7586"/>
      <c r="L131" s="7586"/>
      <c r="M131" s="7855"/>
    </row>
    <row r="132" spans="1:13" ht="30" customHeight="1" x14ac:dyDescent="0.2">
      <c r="A132" s="7656"/>
      <c r="B132" s="7704"/>
      <c r="C132" s="7747"/>
      <c r="D132" s="332">
        <v>10000000</v>
      </c>
      <c r="E132" s="17">
        <v>7.0000000000000007E-2</v>
      </c>
      <c r="F132" s="332">
        <f t="shared" si="6"/>
        <v>700000.00000000012</v>
      </c>
      <c r="G132" s="7564"/>
      <c r="H132" s="7564"/>
      <c r="I132" s="7780"/>
      <c r="J132" s="7777"/>
      <c r="K132" s="7564"/>
      <c r="L132" s="7564"/>
      <c r="M132" s="7819"/>
    </row>
    <row r="133" spans="1:13" ht="30" customHeight="1" x14ac:dyDescent="0.2">
      <c r="A133" s="7656"/>
      <c r="B133" s="7704"/>
      <c r="C133" s="7747"/>
      <c r="D133" s="948">
        <v>42000000</v>
      </c>
      <c r="E133" s="954">
        <v>7.0000000000000007E-2</v>
      </c>
      <c r="F133" s="948">
        <f t="shared" si="6"/>
        <v>2940000.0000000005</v>
      </c>
      <c r="G133" s="7802" t="s">
        <v>1751</v>
      </c>
      <c r="H133" s="7803"/>
      <c r="I133" s="7803"/>
      <c r="J133" s="7803"/>
      <c r="K133" s="7804"/>
      <c r="L133" s="948"/>
      <c r="M133" s="955"/>
    </row>
    <row r="134" spans="1:13" ht="30" customHeight="1" x14ac:dyDescent="0.2">
      <c r="A134" s="7655"/>
      <c r="B134" s="7705"/>
      <c r="C134" s="7724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7470" t="s">
        <v>3396</v>
      </c>
      <c r="H135" s="7493"/>
      <c r="I135" s="7493"/>
      <c r="J135" s="7493"/>
      <c r="K135" s="7510"/>
      <c r="L135" s="1551">
        <f t="shared" si="7"/>
        <v>5000000</v>
      </c>
      <c r="M135" s="41"/>
    </row>
    <row r="136" spans="1:13" ht="30" customHeight="1" x14ac:dyDescent="0.2">
      <c r="A136" s="7654">
        <v>87</v>
      </c>
      <c r="B136" s="7652" t="s">
        <v>174</v>
      </c>
      <c r="C136" s="7723"/>
      <c r="D136" s="7563">
        <v>500000000</v>
      </c>
      <c r="E136" s="7659">
        <v>6.4000000000000001E-2</v>
      </c>
      <c r="F136" s="7563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7563">
        <f>G137+G136</f>
        <v>31800000</v>
      </c>
      <c r="L136" s="7563">
        <f>(F137+F136)-K136</f>
        <v>0</v>
      </c>
      <c r="M136" s="7723"/>
    </row>
    <row r="137" spans="1:13" ht="30" customHeight="1" x14ac:dyDescent="0.2">
      <c r="A137" s="7656"/>
      <c r="B137" s="7665"/>
      <c r="C137" s="7747"/>
      <c r="D137" s="7564"/>
      <c r="E137" s="7660"/>
      <c r="F137" s="7564"/>
      <c r="G137" s="332">
        <v>14000000</v>
      </c>
      <c r="H137" s="332" t="s">
        <v>1359</v>
      </c>
      <c r="I137" s="32" t="s">
        <v>1377</v>
      </c>
      <c r="J137" s="115" t="s">
        <v>974</v>
      </c>
      <c r="K137" s="7564"/>
      <c r="L137" s="7564"/>
      <c r="M137" s="7747"/>
    </row>
    <row r="138" spans="1:13" ht="30" customHeight="1" x14ac:dyDescent="0.2">
      <c r="A138" s="7656"/>
      <c r="B138" s="7665"/>
      <c r="C138" s="7747"/>
      <c r="D138" s="810">
        <v>703000000</v>
      </c>
      <c r="E138" s="7874" t="s">
        <v>2358</v>
      </c>
      <c r="F138" s="7875"/>
      <c r="G138" s="7875"/>
      <c r="H138" s="7875"/>
      <c r="I138" s="7875"/>
      <c r="J138" s="7875"/>
      <c r="K138" s="7876"/>
      <c r="L138" s="810"/>
      <c r="M138" s="7747"/>
    </row>
    <row r="139" spans="1:13" ht="30" customHeight="1" x14ac:dyDescent="0.2">
      <c r="A139" s="7656"/>
      <c r="B139" s="7665"/>
      <c r="C139" s="7747"/>
      <c r="D139" s="810">
        <v>723000000</v>
      </c>
      <c r="E139" s="7874" t="s">
        <v>2359</v>
      </c>
      <c r="F139" s="7875"/>
      <c r="G139" s="7875"/>
      <c r="H139" s="7875"/>
      <c r="I139" s="7875"/>
      <c r="J139" s="7875"/>
      <c r="K139" s="7876"/>
      <c r="L139" s="810"/>
      <c r="M139" s="7747"/>
    </row>
    <row r="140" spans="1:13" ht="30" customHeight="1" x14ac:dyDescent="0.2">
      <c r="A140" s="7655"/>
      <c r="B140" s="7653"/>
      <c r="C140" s="7724"/>
      <c r="D140" s="810">
        <v>723000000</v>
      </c>
      <c r="E140" s="7829" t="s">
        <v>2360</v>
      </c>
      <c r="F140" s="7830"/>
      <c r="G140" s="7830"/>
      <c r="H140" s="7830"/>
      <c r="I140" s="7830"/>
      <c r="J140" s="7830"/>
      <c r="K140" s="7831"/>
      <c r="L140" s="810"/>
      <c r="M140" s="7724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7654">
        <v>89</v>
      </c>
      <c r="B142" s="7652" t="s">
        <v>219</v>
      </c>
      <c r="C142" s="7723" t="s">
        <v>1293</v>
      </c>
      <c r="D142" s="429">
        <v>93000000</v>
      </c>
      <c r="E142" s="17">
        <v>7.0000000000000007E-2</v>
      </c>
      <c r="F142" s="429">
        <v>6500000</v>
      </c>
      <c r="G142" s="7563">
        <v>22500000</v>
      </c>
      <c r="H142" s="7563" t="s">
        <v>1359</v>
      </c>
      <c r="I142" s="7871" t="s">
        <v>1395</v>
      </c>
      <c r="J142" s="7752" t="s">
        <v>758</v>
      </c>
      <c r="K142" s="7563">
        <f>G142</f>
        <v>22500000</v>
      </c>
      <c r="L142" s="7563">
        <f>(F142+F143)-K142</f>
        <v>0</v>
      </c>
      <c r="M142" s="7703"/>
    </row>
    <row r="143" spans="1:13" ht="30" customHeight="1" x14ac:dyDescent="0.2">
      <c r="A143" s="7655"/>
      <c r="B143" s="7653"/>
      <c r="C143" s="7724"/>
      <c r="D143" s="417">
        <v>350000000</v>
      </c>
      <c r="E143" s="17">
        <v>4.4999999999999998E-2</v>
      </c>
      <c r="F143" s="429">
        <v>16000000</v>
      </c>
      <c r="G143" s="7564"/>
      <c r="H143" s="7564"/>
      <c r="I143" s="7872"/>
      <c r="J143" s="7753"/>
      <c r="K143" s="7564"/>
      <c r="L143" s="7564"/>
      <c r="M143" s="7705"/>
    </row>
    <row r="144" spans="1:13" ht="30" customHeight="1" x14ac:dyDescent="0.2">
      <c r="A144" s="7654">
        <v>90</v>
      </c>
      <c r="B144" s="7652" t="s">
        <v>220</v>
      </c>
      <c r="C144" s="7723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7563">
        <v>14460000</v>
      </c>
      <c r="H144" s="7563" t="s">
        <v>1749</v>
      </c>
      <c r="I144" s="7779" t="s">
        <v>1807</v>
      </c>
      <c r="J144" s="7561" t="s">
        <v>1808</v>
      </c>
      <c r="K144" s="7563">
        <f>G144</f>
        <v>14460000</v>
      </c>
      <c r="L144" s="7563">
        <f>(F144+F145)-K144</f>
        <v>0</v>
      </c>
      <c r="M144" s="7703"/>
    </row>
    <row r="145" spans="1:13" ht="30" customHeight="1" x14ac:dyDescent="0.2">
      <c r="A145" s="7655"/>
      <c r="B145" s="7653"/>
      <c r="C145" s="7724"/>
      <c r="D145" s="332">
        <v>100000000</v>
      </c>
      <c r="E145" s="17">
        <v>5.3999999999999999E-2</v>
      </c>
      <c r="F145" s="332">
        <v>5360000</v>
      </c>
      <c r="G145" s="7564"/>
      <c r="H145" s="7564"/>
      <c r="I145" s="7780"/>
      <c r="J145" s="7562"/>
      <c r="K145" s="7564"/>
      <c r="L145" s="7564"/>
      <c r="M145" s="7705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7654">
        <v>92</v>
      </c>
      <c r="B147" s="7717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7652" t="s">
        <v>2022</v>
      </c>
    </row>
    <row r="148" spans="1:13" ht="30" customHeight="1" x14ac:dyDescent="0.2">
      <c r="A148" s="7655"/>
      <c r="B148" s="7717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7653"/>
    </row>
    <row r="149" spans="1:13" ht="30" customHeight="1" x14ac:dyDescent="0.2">
      <c r="A149" s="7654">
        <v>93</v>
      </c>
      <c r="B149" s="7665" t="s">
        <v>222</v>
      </c>
      <c r="C149" s="7747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7655"/>
      <c r="B150" s="7653"/>
      <c r="C150" s="7724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7654">
        <v>102</v>
      </c>
      <c r="B159" s="7652" t="s">
        <v>229</v>
      </c>
      <c r="C159" s="7723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7703"/>
    </row>
    <row r="160" spans="1:13" ht="30" customHeight="1" x14ac:dyDescent="0.2">
      <c r="A160" s="7655"/>
      <c r="B160" s="7653"/>
      <c r="C160" s="7724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7705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7654">
        <v>115</v>
      </c>
      <c r="B173" s="7652" t="s">
        <v>241</v>
      </c>
      <c r="C173" s="7723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7655"/>
      <c r="B174" s="7653"/>
      <c r="C174" s="7724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7654">
        <v>121</v>
      </c>
      <c r="B179" s="7652" t="s">
        <v>247</v>
      </c>
      <c r="C179" s="7723"/>
      <c r="D179" s="7563">
        <v>90000000</v>
      </c>
      <c r="E179" s="7659">
        <v>4.4999999999999998E-2</v>
      </c>
      <c r="F179" s="7563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7655"/>
      <c r="B180" s="7653"/>
      <c r="C180" s="7724"/>
      <c r="D180" s="7564"/>
      <c r="E180" s="7660"/>
      <c r="F180" s="7564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7654">
        <v>123</v>
      </c>
      <c r="B182" s="7652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7563">
        <v>4400000</v>
      </c>
      <c r="H182" s="7563" t="s">
        <v>1658</v>
      </c>
      <c r="I182" s="7748" t="s">
        <v>1690</v>
      </c>
      <c r="J182" s="7561" t="s">
        <v>574</v>
      </c>
      <c r="K182" s="7563">
        <f t="shared" si="14"/>
        <v>4400000</v>
      </c>
      <c r="L182" s="7563">
        <f>(F182+F183)-K182</f>
        <v>0</v>
      </c>
      <c r="M182" s="7703"/>
    </row>
    <row r="183" spans="1:13" ht="30" customHeight="1" x14ac:dyDescent="0.2">
      <c r="A183" s="7655"/>
      <c r="B183" s="7653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7564"/>
      <c r="H183" s="7564"/>
      <c r="I183" s="7749"/>
      <c r="J183" s="7562"/>
      <c r="K183" s="7564"/>
      <c r="L183" s="7564"/>
      <c r="M183" s="7705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7654">
        <v>125</v>
      </c>
      <c r="B185" s="7652" t="s">
        <v>251</v>
      </c>
      <c r="C185" s="7723"/>
      <c r="D185" s="7563">
        <v>160000000</v>
      </c>
      <c r="E185" s="7659">
        <v>7.0000000000000007E-2</v>
      </c>
      <c r="F185" s="7563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7655"/>
      <c r="B186" s="7653"/>
      <c r="C186" s="7724"/>
      <c r="D186" s="7564"/>
      <c r="E186" s="7660"/>
      <c r="F186" s="7564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7654">
        <v>127</v>
      </c>
      <c r="B188" s="7652" t="s">
        <v>253</v>
      </c>
      <c r="C188" s="7723"/>
      <c r="D188" s="7563">
        <v>800000000</v>
      </c>
      <c r="E188" s="7659">
        <v>0.05</v>
      </c>
      <c r="F188" s="7563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7563">
        <f>G188+G189</f>
        <v>40000000</v>
      </c>
      <c r="L188" s="7563">
        <f t="shared" si="11"/>
        <v>0</v>
      </c>
      <c r="M188" s="7703"/>
    </row>
    <row r="189" spans="1:13" ht="30" customHeight="1" x14ac:dyDescent="0.2">
      <c r="A189" s="7655"/>
      <c r="B189" s="7653"/>
      <c r="C189" s="7724"/>
      <c r="D189" s="7564"/>
      <c r="E189" s="7660"/>
      <c r="F189" s="7564"/>
      <c r="G189" s="464">
        <v>20000000</v>
      </c>
      <c r="H189" s="464" t="s">
        <v>1658</v>
      </c>
      <c r="I189" s="471" t="s">
        <v>1662</v>
      </c>
      <c r="J189" s="21" t="s">
        <v>586</v>
      </c>
      <c r="K189" s="7564"/>
      <c r="L189" s="7564"/>
      <c r="M189" s="7705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7654">
        <v>129</v>
      </c>
      <c r="B191" s="7652" t="s">
        <v>255</v>
      </c>
      <c r="C191" s="7723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7656"/>
      <c r="B192" s="7665"/>
      <c r="C192" s="7747"/>
      <c r="D192" s="7563">
        <v>200000000</v>
      </c>
      <c r="E192" s="7659">
        <v>0.06</v>
      </c>
      <c r="F192" s="7563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7563">
        <f>G192</f>
        <v>3000000</v>
      </c>
      <c r="L192" s="7563">
        <f>F192-K192</f>
        <v>9000000</v>
      </c>
      <c r="M192" s="7679"/>
    </row>
    <row r="193" spans="1:13" ht="30" customHeight="1" x14ac:dyDescent="0.2">
      <c r="A193" s="7655"/>
      <c r="B193" s="7653"/>
      <c r="C193" s="7724"/>
      <c r="D193" s="7564"/>
      <c r="E193" s="7660"/>
      <c r="F193" s="7564"/>
      <c r="G193" s="910"/>
      <c r="H193" s="910"/>
      <c r="I193" s="915"/>
      <c r="J193" s="21"/>
      <c r="K193" s="7564"/>
      <c r="L193" s="7564"/>
      <c r="M193" s="7680"/>
    </row>
    <row r="194" spans="1:13" ht="30" customHeight="1" x14ac:dyDescent="0.2">
      <c r="A194" s="7654">
        <v>130</v>
      </c>
      <c r="B194" s="7652" t="s">
        <v>1171</v>
      </c>
      <c r="C194" s="379" t="s">
        <v>1176</v>
      </c>
      <c r="D194" s="7563">
        <v>200000000</v>
      </c>
      <c r="E194" s="7659">
        <v>0.05</v>
      </c>
      <c r="F194" s="7563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7563">
        <f>G194+G195</f>
        <v>10000000</v>
      </c>
      <c r="L194" s="7563">
        <f t="shared" si="11"/>
        <v>0</v>
      </c>
      <c r="M194" s="7703"/>
    </row>
    <row r="195" spans="1:13" ht="30" customHeight="1" x14ac:dyDescent="0.2">
      <c r="A195" s="7655"/>
      <c r="B195" s="7653"/>
      <c r="C195" s="839" t="s">
        <v>942</v>
      </c>
      <c r="D195" s="7564"/>
      <c r="E195" s="7660"/>
      <c r="F195" s="7564"/>
      <c r="G195" s="836">
        <v>5000000</v>
      </c>
      <c r="H195" s="836" t="s">
        <v>2414</v>
      </c>
      <c r="I195" s="841" t="s">
        <v>2420</v>
      </c>
      <c r="J195" s="21" t="s">
        <v>1840</v>
      </c>
      <c r="K195" s="7564"/>
      <c r="L195" s="7564"/>
      <c r="M195" s="7705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7654">
        <v>132</v>
      </c>
      <c r="B197" s="7652" t="s">
        <v>1218</v>
      </c>
      <c r="C197" s="7723" t="s">
        <v>1652</v>
      </c>
      <c r="D197" s="555">
        <v>490000000</v>
      </c>
      <c r="E197" s="559">
        <v>0.05</v>
      </c>
      <c r="F197" s="555">
        <f t="shared" si="10"/>
        <v>24500000</v>
      </c>
      <c r="G197" s="7732" t="s">
        <v>1889</v>
      </c>
      <c r="H197" s="7733"/>
      <c r="I197" s="7733"/>
      <c r="J197" s="7733"/>
      <c r="K197" s="7734"/>
      <c r="L197" s="555">
        <f t="shared" si="11"/>
        <v>24500000</v>
      </c>
      <c r="M197" s="97" t="s">
        <v>1884</v>
      </c>
    </row>
    <row r="198" spans="1:13" ht="30" customHeight="1" x14ac:dyDescent="0.2">
      <c r="A198" s="7655"/>
      <c r="B198" s="7653"/>
      <c r="C198" s="7724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7654">
        <v>135</v>
      </c>
      <c r="B201" s="7652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7563">
        <f>G201+G202</f>
        <v>11000000</v>
      </c>
      <c r="L201" s="7563">
        <f>(F201+F202)-K201</f>
        <v>0</v>
      </c>
      <c r="M201" s="7703"/>
    </row>
    <row r="202" spans="1:13" ht="30" customHeight="1" x14ac:dyDescent="0.2">
      <c r="A202" s="7655"/>
      <c r="B202" s="7653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7564"/>
      <c r="L202" s="7564"/>
      <c r="M202" s="7705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7654">
        <v>137</v>
      </c>
      <c r="B204" s="7652" t="s">
        <v>179</v>
      </c>
      <c r="C204" s="7723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7656"/>
      <c r="B205" s="7665"/>
      <c r="C205" s="7747"/>
      <c r="D205" s="7482">
        <v>100000000</v>
      </c>
      <c r="E205" s="7735" t="s">
        <v>1709</v>
      </c>
      <c r="F205" s="7737"/>
      <c r="G205" s="474">
        <v>45000000</v>
      </c>
      <c r="H205" s="474" t="s">
        <v>1701</v>
      </c>
      <c r="I205" s="480" t="s">
        <v>1710</v>
      </c>
      <c r="J205" s="52" t="s">
        <v>1711</v>
      </c>
      <c r="K205" s="7563">
        <f>G205+G206+G207</f>
        <v>100000000</v>
      </c>
      <c r="L205" s="7563">
        <f>D205-K205</f>
        <v>0</v>
      </c>
      <c r="M205" s="7797" t="s">
        <v>1959</v>
      </c>
    </row>
    <row r="206" spans="1:13" ht="30" customHeight="1" x14ac:dyDescent="0.2">
      <c r="A206" s="7656"/>
      <c r="B206" s="7665"/>
      <c r="C206" s="7747"/>
      <c r="D206" s="7482"/>
      <c r="E206" s="7738"/>
      <c r="F206" s="7739"/>
      <c r="G206" s="609">
        <v>50000000</v>
      </c>
      <c r="H206" s="609" t="s">
        <v>1749</v>
      </c>
      <c r="I206" s="617" t="s">
        <v>1961</v>
      </c>
      <c r="J206" s="52" t="s">
        <v>1711</v>
      </c>
      <c r="K206" s="7586"/>
      <c r="L206" s="7586"/>
      <c r="M206" s="7797"/>
    </row>
    <row r="207" spans="1:13" ht="30" customHeight="1" x14ac:dyDescent="0.2">
      <c r="A207" s="7656"/>
      <c r="B207" s="7665"/>
      <c r="C207" s="7747"/>
      <c r="D207" s="7482"/>
      <c r="E207" s="7736"/>
      <c r="F207" s="7740"/>
      <c r="G207" s="474">
        <v>5000000</v>
      </c>
      <c r="H207" s="474" t="s">
        <v>1944</v>
      </c>
      <c r="I207" s="480" t="s">
        <v>1958</v>
      </c>
      <c r="J207" s="52" t="s">
        <v>1711</v>
      </c>
      <c r="K207" s="7564"/>
      <c r="L207" s="7564"/>
      <c r="M207" s="7797"/>
    </row>
    <row r="208" spans="1:13" ht="30" customHeight="1" x14ac:dyDescent="0.2">
      <c r="A208" s="7655"/>
      <c r="B208" s="7653"/>
      <c r="C208" s="7724"/>
      <c r="D208" s="609">
        <v>210000000</v>
      </c>
      <c r="E208" s="621">
        <v>4.7E-2</v>
      </c>
      <c r="F208" s="612">
        <f>D208*E208</f>
        <v>9870000</v>
      </c>
      <c r="G208" s="7806" t="s">
        <v>1956</v>
      </c>
      <c r="H208" s="7807"/>
      <c r="I208" s="7807"/>
      <c r="J208" s="7807"/>
      <c r="K208" s="7807"/>
      <c r="L208" s="7808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7654">
        <v>142</v>
      </c>
      <c r="B214" s="7703" t="s">
        <v>8</v>
      </c>
      <c r="C214" s="7723"/>
      <c r="D214" s="7703"/>
      <c r="E214" s="7659"/>
      <c r="F214" s="7563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7563">
        <f>G214+G215+G216+G217+G218+G219+G220+G221+G222+G223+G224+G225+G226+G227+G228</f>
        <v>261900000</v>
      </c>
      <c r="L214" s="7563">
        <f>262330000-K214</f>
        <v>430000</v>
      </c>
      <c r="M214" s="1065" t="s">
        <v>1762</v>
      </c>
    </row>
    <row r="215" spans="1:13" ht="30" customHeight="1" x14ac:dyDescent="0.2">
      <c r="A215" s="7656"/>
      <c r="B215" s="7704"/>
      <c r="C215" s="7747"/>
      <c r="D215" s="7704"/>
      <c r="E215" s="7676"/>
      <c r="F215" s="7586"/>
      <c r="G215" s="1066">
        <v>20000000</v>
      </c>
      <c r="H215" s="500" t="s">
        <v>1749</v>
      </c>
      <c r="I215" s="507" t="s">
        <v>1768</v>
      </c>
      <c r="J215" s="33" t="s">
        <v>1769</v>
      </c>
      <c r="K215" s="7586"/>
      <c r="L215" s="7586"/>
      <c r="M215" s="1079" t="s">
        <v>1770</v>
      </c>
    </row>
    <row r="216" spans="1:13" ht="30" customHeight="1" x14ac:dyDescent="0.2">
      <c r="A216" s="7656"/>
      <c r="B216" s="7704"/>
      <c r="C216" s="7747"/>
      <c r="D216" s="7704"/>
      <c r="E216" s="7676"/>
      <c r="F216" s="7586"/>
      <c r="G216" s="1066">
        <v>7200000</v>
      </c>
      <c r="H216" s="1064" t="s">
        <v>1266</v>
      </c>
      <c r="I216" s="1089"/>
      <c r="J216" s="909"/>
      <c r="K216" s="7586"/>
      <c r="L216" s="7586"/>
      <c r="M216" s="1079"/>
    </row>
    <row r="217" spans="1:13" ht="30" customHeight="1" x14ac:dyDescent="0.2">
      <c r="A217" s="7656"/>
      <c r="B217" s="7704"/>
      <c r="C217" s="7747"/>
      <c r="D217" s="7704"/>
      <c r="E217" s="7676"/>
      <c r="F217" s="7586"/>
      <c r="G217" s="1066">
        <v>42000000</v>
      </c>
      <c r="H217" s="1064" t="s">
        <v>508</v>
      </c>
      <c r="I217" s="1089"/>
      <c r="J217" s="909"/>
      <c r="K217" s="7586"/>
      <c r="L217" s="7586"/>
      <c r="M217" s="1079"/>
    </row>
    <row r="218" spans="1:13" ht="30" customHeight="1" x14ac:dyDescent="0.2">
      <c r="A218" s="7656"/>
      <c r="B218" s="7704"/>
      <c r="C218" s="7747"/>
      <c r="D218" s="7704"/>
      <c r="E218" s="7676"/>
      <c r="F218" s="7586"/>
      <c r="G218" s="1066">
        <v>5000000</v>
      </c>
      <c r="H218" s="1064" t="s">
        <v>904</v>
      </c>
      <c r="I218" s="1089"/>
      <c r="J218" s="909"/>
      <c r="K218" s="7586"/>
      <c r="L218" s="7586"/>
      <c r="M218" s="1079"/>
    </row>
    <row r="219" spans="1:13" ht="30" customHeight="1" x14ac:dyDescent="0.2">
      <c r="A219" s="7656"/>
      <c r="B219" s="7704"/>
      <c r="C219" s="7747"/>
      <c r="D219" s="7704"/>
      <c r="E219" s="7676"/>
      <c r="F219" s="7586"/>
      <c r="G219" s="1066">
        <v>5000000</v>
      </c>
      <c r="H219" s="1064" t="s">
        <v>734</v>
      </c>
      <c r="I219" s="1089"/>
      <c r="J219" s="909"/>
      <c r="K219" s="7586"/>
      <c r="L219" s="7586"/>
      <c r="M219" s="1079"/>
    </row>
    <row r="220" spans="1:13" ht="30" customHeight="1" x14ac:dyDescent="0.2">
      <c r="A220" s="7656"/>
      <c r="B220" s="7704"/>
      <c r="C220" s="7747"/>
      <c r="D220" s="7704"/>
      <c r="E220" s="7676"/>
      <c r="F220" s="7586"/>
      <c r="G220" s="1066">
        <v>10000000</v>
      </c>
      <c r="H220" s="1064" t="s">
        <v>734</v>
      </c>
      <c r="I220" s="1089"/>
      <c r="J220" s="909"/>
      <c r="K220" s="7586"/>
      <c r="L220" s="7586"/>
      <c r="M220" s="1079"/>
    </row>
    <row r="221" spans="1:13" ht="30" customHeight="1" x14ac:dyDescent="0.2">
      <c r="A221" s="7656"/>
      <c r="B221" s="7704"/>
      <c r="C221" s="7747"/>
      <c r="D221" s="7704"/>
      <c r="E221" s="7676"/>
      <c r="F221" s="7586"/>
      <c r="G221" s="1066">
        <v>1000000</v>
      </c>
      <c r="H221" s="1064" t="s">
        <v>323</v>
      </c>
      <c r="I221" s="1089"/>
      <c r="J221" s="909"/>
      <c r="K221" s="7586"/>
      <c r="L221" s="7586"/>
      <c r="M221" s="1079"/>
    </row>
    <row r="222" spans="1:13" ht="30" customHeight="1" x14ac:dyDescent="0.2">
      <c r="A222" s="7656"/>
      <c r="B222" s="7704"/>
      <c r="C222" s="7747"/>
      <c r="D222" s="7704"/>
      <c r="E222" s="7676"/>
      <c r="F222" s="7586"/>
      <c r="G222" s="1066">
        <v>30000000</v>
      </c>
      <c r="H222" s="598" t="s">
        <v>379</v>
      </c>
      <c r="I222" s="602" t="s">
        <v>1921</v>
      </c>
      <c r="J222" s="33" t="s">
        <v>1922</v>
      </c>
      <c r="K222" s="7586"/>
      <c r="L222" s="7586"/>
      <c r="M222" s="7797" t="s">
        <v>1579</v>
      </c>
    </row>
    <row r="223" spans="1:13" ht="30" customHeight="1" x14ac:dyDescent="0.2">
      <c r="A223" s="7656"/>
      <c r="B223" s="7704"/>
      <c r="C223" s="7747"/>
      <c r="D223" s="7704"/>
      <c r="E223" s="7676"/>
      <c r="F223" s="7586"/>
      <c r="G223" s="1066">
        <v>1000000</v>
      </c>
      <c r="H223" s="609" t="s">
        <v>1881</v>
      </c>
      <c r="I223" s="618" t="s">
        <v>1935</v>
      </c>
      <c r="J223" s="33" t="s">
        <v>1937</v>
      </c>
      <c r="K223" s="7586"/>
      <c r="L223" s="7586"/>
      <c r="M223" s="7797"/>
    </row>
    <row r="224" spans="1:13" ht="30" customHeight="1" x14ac:dyDescent="0.2">
      <c r="A224" s="7656"/>
      <c r="B224" s="7704"/>
      <c r="C224" s="7747"/>
      <c r="D224" s="7704"/>
      <c r="E224" s="7676"/>
      <c r="F224" s="7586"/>
      <c r="G224" s="1066">
        <v>14000000</v>
      </c>
      <c r="H224" s="609" t="s">
        <v>1881</v>
      </c>
      <c r="I224" s="618" t="s">
        <v>1934</v>
      </c>
      <c r="J224" s="33" t="s">
        <v>1937</v>
      </c>
      <c r="K224" s="7586"/>
      <c r="L224" s="7586"/>
      <c r="M224" s="7797"/>
    </row>
    <row r="225" spans="1:13" ht="30" customHeight="1" x14ac:dyDescent="0.2">
      <c r="A225" s="7656"/>
      <c r="B225" s="7704"/>
      <c r="C225" s="7747"/>
      <c r="D225" s="7704"/>
      <c r="E225" s="7676"/>
      <c r="F225" s="7586"/>
      <c r="G225" s="1066">
        <v>20000000</v>
      </c>
      <c r="H225" s="609" t="s">
        <v>1881</v>
      </c>
      <c r="I225" s="618" t="s">
        <v>1936</v>
      </c>
      <c r="J225" s="33" t="s">
        <v>1937</v>
      </c>
      <c r="K225" s="7586"/>
      <c r="L225" s="7586"/>
      <c r="M225" s="7797"/>
    </row>
    <row r="226" spans="1:13" ht="30" customHeight="1" x14ac:dyDescent="0.2">
      <c r="A226" s="7656"/>
      <c r="B226" s="7704"/>
      <c r="C226" s="7747"/>
      <c r="D226" s="7704"/>
      <c r="E226" s="7676"/>
      <c r="F226" s="7586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7586"/>
      <c r="L226" s="7586"/>
      <c r="M226" s="7797"/>
    </row>
    <row r="227" spans="1:13" ht="30" customHeight="1" x14ac:dyDescent="0.2">
      <c r="A227" s="7656"/>
      <c r="B227" s="7704"/>
      <c r="C227" s="7747"/>
      <c r="D227" s="7704"/>
      <c r="E227" s="7676"/>
      <c r="F227" s="7586"/>
      <c r="G227" s="1066">
        <v>2000000</v>
      </c>
      <c r="H227" s="1067"/>
      <c r="I227" s="1089"/>
      <c r="J227" s="909"/>
      <c r="K227" s="7586"/>
      <c r="L227" s="7586"/>
      <c r="M227" s="7797"/>
    </row>
    <row r="228" spans="1:13" ht="30" customHeight="1" x14ac:dyDescent="0.2">
      <c r="A228" s="7656"/>
      <c r="B228" s="7704"/>
      <c r="C228" s="7747"/>
      <c r="D228" s="7704"/>
      <c r="E228" s="7676"/>
      <c r="F228" s="7586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7586"/>
      <c r="L228" s="7586"/>
      <c r="M228" s="7797"/>
    </row>
    <row r="229" spans="1:13" ht="30" customHeight="1" x14ac:dyDescent="0.2">
      <c r="A229" s="7655"/>
      <c r="B229" s="7705"/>
      <c r="C229" s="7724"/>
      <c r="D229" s="7705"/>
      <c r="E229" s="7660"/>
      <c r="F229" s="7564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7564"/>
      <c r="L229" s="7564"/>
      <c r="M229" s="7714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7654">
        <v>148</v>
      </c>
      <c r="B235" s="7652" t="s">
        <v>13</v>
      </c>
      <c r="C235" s="7723" t="s">
        <v>1497</v>
      </c>
      <c r="D235" s="7563">
        <v>55000000</v>
      </c>
      <c r="E235" s="7659">
        <v>0.05</v>
      </c>
      <c r="F235" s="7563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7563">
        <f>G235+G236</f>
        <v>2750000</v>
      </c>
      <c r="L235" s="7563">
        <f t="shared" si="11"/>
        <v>0</v>
      </c>
      <c r="M235" s="7703"/>
    </row>
    <row r="236" spans="1:13" ht="30" customHeight="1" x14ac:dyDescent="0.2">
      <c r="A236" s="7655"/>
      <c r="B236" s="7653"/>
      <c r="C236" s="7724"/>
      <c r="D236" s="7564"/>
      <c r="E236" s="7660"/>
      <c r="F236" s="7564"/>
      <c r="G236" s="548">
        <v>2250000</v>
      </c>
      <c r="H236" s="548" t="s">
        <v>1782</v>
      </c>
      <c r="I236" s="556" t="s">
        <v>1865</v>
      </c>
      <c r="J236" s="384" t="s">
        <v>386</v>
      </c>
      <c r="K236" s="7564"/>
      <c r="L236" s="7564"/>
      <c r="M236" s="7705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7654">
        <v>158</v>
      </c>
      <c r="B246" s="7652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7563">
        <v>6600000</v>
      </c>
      <c r="H246" s="7494" t="s">
        <v>2404</v>
      </c>
      <c r="I246" s="7495"/>
      <c r="J246" s="7495"/>
      <c r="K246" s="7768"/>
      <c r="L246" s="7563">
        <f>(F246+F247)-K246</f>
        <v>6600000</v>
      </c>
      <c r="M246" s="41" t="s">
        <v>2204</v>
      </c>
    </row>
    <row r="247" spans="1:13" ht="30" customHeight="1" x14ac:dyDescent="0.2">
      <c r="A247" s="7656"/>
      <c r="B247" s="7665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7564"/>
      <c r="H247" s="7769"/>
      <c r="I247" s="7805"/>
      <c r="J247" s="7805"/>
      <c r="K247" s="7770"/>
      <c r="L247" s="7564"/>
      <c r="M247" s="41" t="s">
        <v>2213</v>
      </c>
    </row>
    <row r="248" spans="1:13" ht="30" customHeight="1" x14ac:dyDescent="0.2">
      <c r="A248" s="7656"/>
      <c r="B248" s="7665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7832" t="s">
        <v>2205</v>
      </c>
      <c r="H248" s="7833"/>
      <c r="I248" s="7833"/>
      <c r="J248" s="7833"/>
      <c r="K248" s="7834"/>
      <c r="L248" s="7563"/>
      <c r="M248" s="7703"/>
    </row>
    <row r="249" spans="1:13" ht="30" customHeight="1" x14ac:dyDescent="0.2">
      <c r="A249" s="7655"/>
      <c r="B249" s="7653"/>
      <c r="C249" s="715" t="s">
        <v>1306</v>
      </c>
      <c r="D249" s="714">
        <v>22000000</v>
      </c>
      <c r="E249" s="716">
        <v>5.5E-2</v>
      </c>
      <c r="F249" s="714">
        <v>1200000</v>
      </c>
      <c r="G249" s="7835"/>
      <c r="H249" s="7836"/>
      <c r="I249" s="7836"/>
      <c r="J249" s="7836"/>
      <c r="K249" s="7837"/>
      <c r="L249" s="7564"/>
      <c r="M249" s="7705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7654">
        <v>169</v>
      </c>
      <c r="B260" s="7652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7655"/>
      <c r="B261" s="7653"/>
      <c r="C261" s="839"/>
      <c r="D261" s="836">
        <v>2000000</v>
      </c>
      <c r="E261" s="845"/>
      <c r="F261" s="836"/>
      <c r="G261" s="7806" t="s">
        <v>2207</v>
      </c>
      <c r="H261" s="7807"/>
      <c r="I261" s="7807"/>
      <c r="J261" s="7807"/>
      <c r="K261" s="7808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7654">
        <v>174</v>
      </c>
      <c r="B266" s="7652" t="s">
        <v>34</v>
      </c>
      <c r="C266" s="7723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7655"/>
      <c r="B267" s="7653"/>
      <c r="C267" s="7724"/>
      <c r="D267" s="779">
        <v>4545000000</v>
      </c>
      <c r="E267" s="782">
        <v>7.0000000000000007E-2</v>
      </c>
      <c r="F267" s="779">
        <v>318000000</v>
      </c>
      <c r="G267" s="7806" t="s">
        <v>2322</v>
      </c>
      <c r="H267" s="7807"/>
      <c r="I267" s="7807"/>
      <c r="J267" s="7807"/>
      <c r="K267" s="7808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7654">
        <v>179</v>
      </c>
      <c r="B272" s="7652" t="s">
        <v>40</v>
      </c>
      <c r="C272" s="7723"/>
      <c r="D272" s="7677"/>
      <c r="E272" s="7691"/>
      <c r="F272" s="7677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7563">
        <f>G272+G273</f>
        <v>81000000</v>
      </c>
      <c r="L272" s="7677">
        <f t="shared" si="17"/>
        <v>-81000000</v>
      </c>
      <c r="M272" s="7703"/>
    </row>
    <row r="273" spans="1:13" ht="30" customHeight="1" x14ac:dyDescent="0.2">
      <c r="A273" s="7655"/>
      <c r="B273" s="7653"/>
      <c r="C273" s="7724"/>
      <c r="D273" s="7678"/>
      <c r="E273" s="7693"/>
      <c r="F273" s="7678"/>
      <c r="G273" s="819">
        <v>16000000</v>
      </c>
      <c r="H273" s="819" t="s">
        <v>2368</v>
      </c>
      <c r="I273" s="832" t="s">
        <v>2395</v>
      </c>
      <c r="J273" s="21" t="s">
        <v>1090</v>
      </c>
      <c r="K273" s="7564"/>
      <c r="L273" s="7678"/>
      <c r="M273" s="7705"/>
    </row>
    <row r="274" spans="1:13" ht="30" customHeight="1" x14ac:dyDescent="0.2">
      <c r="A274" s="7654">
        <v>180</v>
      </c>
      <c r="B274" s="7652" t="s">
        <v>41</v>
      </c>
      <c r="C274" s="7679" t="s">
        <v>2403</v>
      </c>
      <c r="D274" s="7563">
        <v>300000000</v>
      </c>
      <c r="E274" s="7659">
        <v>5.7000000000000002E-2</v>
      </c>
      <c r="F274" s="7563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7563">
        <f>G274+G275</f>
        <v>17000000</v>
      </c>
      <c r="L274" s="7563">
        <f t="shared" si="17"/>
        <v>0</v>
      </c>
      <c r="M274" s="7703"/>
    </row>
    <row r="275" spans="1:13" ht="30" customHeight="1" x14ac:dyDescent="0.2">
      <c r="A275" s="7655"/>
      <c r="B275" s="7653"/>
      <c r="C275" s="7680"/>
      <c r="D275" s="7564"/>
      <c r="E275" s="7660"/>
      <c r="F275" s="7564"/>
      <c r="G275" s="819">
        <v>10000000</v>
      </c>
      <c r="H275" s="819" t="s">
        <v>2368</v>
      </c>
      <c r="I275" s="832" t="s">
        <v>2392</v>
      </c>
      <c r="J275" s="21" t="s">
        <v>2260</v>
      </c>
      <c r="K275" s="7564"/>
      <c r="L275" s="7564"/>
      <c r="M275" s="7705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7654">
        <v>190</v>
      </c>
      <c r="B285" s="7652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7563">
        <v>14000000</v>
      </c>
      <c r="H285" s="7563" t="s">
        <v>2484</v>
      </c>
      <c r="I285" s="7748" t="s">
        <v>2485</v>
      </c>
      <c r="J285" s="7561" t="s">
        <v>2456</v>
      </c>
      <c r="K285" s="7563">
        <f>G285</f>
        <v>14000000</v>
      </c>
      <c r="L285" s="7563">
        <f>(F285+F286)-K285</f>
        <v>0</v>
      </c>
      <c r="M285" s="7703"/>
    </row>
    <row r="286" spans="1:13" ht="30" customHeight="1" x14ac:dyDescent="0.2">
      <c r="A286" s="7655"/>
      <c r="B286" s="7653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7564"/>
      <c r="H286" s="7564"/>
      <c r="I286" s="7749"/>
      <c r="J286" s="7562"/>
      <c r="K286" s="7564"/>
      <c r="L286" s="7564"/>
      <c r="M286" s="7705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7654">
        <v>192</v>
      </c>
      <c r="B288" s="7652" t="s">
        <v>53</v>
      </c>
      <c r="C288" s="7723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7563" t="s">
        <v>2005</v>
      </c>
      <c r="I288" s="7748" t="s">
        <v>2006</v>
      </c>
      <c r="J288" s="7561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7656"/>
      <c r="B289" s="7665"/>
      <c r="C289" s="7747"/>
      <c r="D289" s="7494" t="s">
        <v>2281</v>
      </c>
      <c r="E289" s="7495"/>
      <c r="F289" s="7768"/>
      <c r="G289" s="796">
        <v>5000000</v>
      </c>
      <c r="H289" s="7564"/>
      <c r="I289" s="7749"/>
      <c r="J289" s="7562"/>
      <c r="K289" s="7563">
        <f>G289+G290+G291</f>
        <v>95000000</v>
      </c>
      <c r="L289" s="7563">
        <f>100000000-K289</f>
        <v>5000000</v>
      </c>
      <c r="M289" s="765" t="s">
        <v>2288</v>
      </c>
    </row>
    <row r="290" spans="1:13" ht="30" customHeight="1" x14ac:dyDescent="0.2">
      <c r="A290" s="7656"/>
      <c r="B290" s="7665"/>
      <c r="C290" s="7747"/>
      <c r="D290" s="7877"/>
      <c r="E290" s="7524"/>
      <c r="F290" s="7878"/>
      <c r="G290" s="796">
        <v>50000000</v>
      </c>
      <c r="H290" s="796" t="s">
        <v>2165</v>
      </c>
      <c r="I290" s="802" t="s">
        <v>2166</v>
      </c>
      <c r="J290" s="21" t="s">
        <v>861</v>
      </c>
      <c r="K290" s="7586"/>
      <c r="L290" s="7586"/>
      <c r="M290" s="180" t="s">
        <v>2289</v>
      </c>
    </row>
    <row r="291" spans="1:13" ht="30" customHeight="1" x14ac:dyDescent="0.2">
      <c r="A291" s="7656"/>
      <c r="B291" s="7665"/>
      <c r="C291" s="7747"/>
      <c r="D291" s="7877"/>
      <c r="E291" s="7524"/>
      <c r="F291" s="7878"/>
      <c r="G291" s="796">
        <v>40000000</v>
      </c>
      <c r="H291" s="796" t="s">
        <v>2319</v>
      </c>
      <c r="I291" s="802" t="s">
        <v>2343</v>
      </c>
      <c r="J291" s="21" t="s">
        <v>861</v>
      </c>
      <c r="K291" s="7564"/>
      <c r="L291" s="7564"/>
      <c r="M291" s="7797" t="s">
        <v>2287</v>
      </c>
    </row>
    <row r="292" spans="1:13" ht="30" customHeight="1" x14ac:dyDescent="0.2">
      <c r="A292" s="7656"/>
      <c r="B292" s="7665"/>
      <c r="C292" s="7747"/>
      <c r="D292" s="7769"/>
      <c r="E292" s="7805"/>
      <c r="F292" s="7770"/>
      <c r="G292" s="800"/>
      <c r="H292" s="803"/>
      <c r="I292" s="818"/>
      <c r="J292" s="542"/>
      <c r="K292" s="801"/>
      <c r="L292" s="796"/>
      <c r="M292" s="7797"/>
    </row>
    <row r="293" spans="1:13" ht="30" customHeight="1" x14ac:dyDescent="0.2">
      <c r="A293" s="7655"/>
      <c r="B293" s="7653"/>
      <c r="C293" s="7724"/>
      <c r="D293" s="796">
        <v>1400000000</v>
      </c>
      <c r="E293" s="804">
        <v>7.0000000000000007E-2</v>
      </c>
      <c r="F293" s="796">
        <f>D293*E293</f>
        <v>98000000.000000015</v>
      </c>
      <c r="G293" s="7732" t="s">
        <v>1991</v>
      </c>
      <c r="H293" s="7733"/>
      <c r="I293" s="7733"/>
      <c r="J293" s="7733"/>
      <c r="K293" s="7734"/>
      <c r="L293" s="796"/>
      <c r="M293" s="7714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7654">
        <v>194</v>
      </c>
      <c r="B295" s="7703" t="s">
        <v>55</v>
      </c>
      <c r="C295" s="7723"/>
      <c r="D295" s="7677"/>
      <c r="E295" s="7750"/>
      <c r="F295" s="7677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7563">
        <f>G295+G296</f>
        <v>6500000</v>
      </c>
      <c r="L295" s="7677">
        <f t="shared" si="17"/>
        <v>-6500000</v>
      </c>
      <c r="M295" s="7703"/>
    </row>
    <row r="296" spans="1:13" ht="30" customHeight="1" x14ac:dyDescent="0.2">
      <c r="A296" s="7655"/>
      <c r="B296" s="7705"/>
      <c r="C296" s="7724"/>
      <c r="D296" s="7678"/>
      <c r="E296" s="7751"/>
      <c r="F296" s="7678"/>
      <c r="G296" s="796">
        <v>500000</v>
      </c>
      <c r="H296" s="796" t="s">
        <v>2345</v>
      </c>
      <c r="I296" s="802" t="s">
        <v>2352</v>
      </c>
      <c r="J296" s="806" t="s">
        <v>2351</v>
      </c>
      <c r="K296" s="7564"/>
      <c r="L296" s="7678"/>
      <c r="M296" s="7705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7654">
        <v>196</v>
      </c>
      <c r="B298" s="7652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7655"/>
      <c r="B299" s="7653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7806" t="s">
        <v>2002</v>
      </c>
      <c r="H299" s="7807"/>
      <c r="I299" s="7807"/>
      <c r="J299" s="7807"/>
      <c r="K299" s="7808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7654">
        <v>207</v>
      </c>
      <c r="B310" s="7652" t="s">
        <v>68</v>
      </c>
      <c r="C310" s="7723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7561"/>
      <c r="K310" s="7563"/>
      <c r="L310" s="7563">
        <f>(F310+F311)-K310</f>
        <v>3800000</v>
      </c>
      <c r="M310" s="7703"/>
    </row>
    <row r="311" spans="1:13" ht="30" customHeight="1" x14ac:dyDescent="0.2">
      <c r="A311" s="7655"/>
      <c r="B311" s="7653"/>
      <c r="C311" s="7724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7562"/>
      <c r="K311" s="7564"/>
      <c r="L311" s="7564"/>
      <c r="M311" s="7705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7654">
        <v>217</v>
      </c>
      <c r="B321" s="7652" t="s">
        <v>79</v>
      </c>
      <c r="C321" s="344"/>
      <c r="D321" s="7563">
        <v>160000000</v>
      </c>
      <c r="E321" s="7659">
        <v>0.05</v>
      </c>
      <c r="F321" s="7563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7563">
        <f>G321+G322</f>
        <v>2000000</v>
      </c>
      <c r="L321" s="7563">
        <f t="shared" si="21"/>
        <v>6000000</v>
      </c>
      <c r="M321" s="7713" t="s">
        <v>2495</v>
      </c>
    </row>
    <row r="322" spans="1:13" ht="30" customHeight="1" x14ac:dyDescent="0.2">
      <c r="A322" s="7655"/>
      <c r="B322" s="7653"/>
      <c r="C322" s="927"/>
      <c r="D322" s="7564"/>
      <c r="E322" s="7660"/>
      <c r="F322" s="7564"/>
      <c r="G322" s="922">
        <v>1000000</v>
      </c>
      <c r="H322" s="922" t="s">
        <v>2484</v>
      </c>
      <c r="I322" s="930" t="s">
        <v>2507</v>
      </c>
      <c r="J322" s="83" t="s">
        <v>2494</v>
      </c>
      <c r="K322" s="7564"/>
      <c r="L322" s="7564"/>
      <c r="M322" s="7714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7654">
        <v>222</v>
      </c>
      <c r="B327" s="7703" t="s">
        <v>1818</v>
      </c>
      <c r="C327" s="7723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7656"/>
      <c r="B328" s="7704"/>
      <c r="C328" s="7747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7656"/>
      <c r="B329" s="7704"/>
      <c r="C329" s="7747"/>
      <c r="D329" s="7820">
        <v>700000000</v>
      </c>
      <c r="E329" s="7826">
        <v>0.06</v>
      </c>
      <c r="F329" s="7820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7820">
        <f>G329+G330+G331+G332+G333+G334</f>
        <v>39500000</v>
      </c>
      <c r="L329" s="7820">
        <f>F329-K329</f>
        <v>2500000</v>
      </c>
      <c r="M329" s="7838" t="s">
        <v>2201</v>
      </c>
    </row>
    <row r="330" spans="1:13" ht="30" customHeight="1" x14ac:dyDescent="0.2">
      <c r="A330" s="7656"/>
      <c r="B330" s="7704"/>
      <c r="C330" s="7747"/>
      <c r="D330" s="7821"/>
      <c r="E330" s="7827"/>
      <c r="F330" s="7821"/>
      <c r="G330" s="561">
        <v>10000000</v>
      </c>
      <c r="H330" s="561" t="s">
        <v>1994</v>
      </c>
      <c r="I330" s="562" t="s">
        <v>2008</v>
      </c>
      <c r="J330" s="563" t="s">
        <v>2144</v>
      </c>
      <c r="K330" s="7821"/>
      <c r="L330" s="7821"/>
      <c r="M330" s="7839"/>
    </row>
    <row r="331" spans="1:13" ht="30" customHeight="1" x14ac:dyDescent="0.2">
      <c r="A331" s="7656"/>
      <c r="B331" s="7704"/>
      <c r="C331" s="7747"/>
      <c r="D331" s="7821"/>
      <c r="E331" s="7827"/>
      <c r="F331" s="7821"/>
      <c r="G331" s="659">
        <v>5000000</v>
      </c>
      <c r="H331" s="659" t="s">
        <v>2005</v>
      </c>
      <c r="I331" s="562" t="s">
        <v>2029</v>
      </c>
      <c r="J331" s="563" t="s">
        <v>2144</v>
      </c>
      <c r="K331" s="7821"/>
      <c r="L331" s="7821"/>
      <c r="M331" s="7839"/>
    </row>
    <row r="332" spans="1:13" ht="30" customHeight="1" x14ac:dyDescent="0.2">
      <c r="A332" s="7656"/>
      <c r="B332" s="7704"/>
      <c r="C332" s="7747"/>
      <c r="D332" s="7821"/>
      <c r="E332" s="7827"/>
      <c r="F332" s="7821"/>
      <c r="G332" s="659">
        <v>10000000</v>
      </c>
      <c r="H332" s="659" t="s">
        <v>2054</v>
      </c>
      <c r="I332" s="562" t="s">
        <v>2071</v>
      </c>
      <c r="J332" s="563" t="s">
        <v>2144</v>
      </c>
      <c r="K332" s="7821"/>
      <c r="L332" s="7821"/>
      <c r="M332" s="7839"/>
    </row>
    <row r="333" spans="1:13" ht="30" customHeight="1" x14ac:dyDescent="0.2">
      <c r="A333" s="7656"/>
      <c r="B333" s="7704"/>
      <c r="C333" s="7747"/>
      <c r="D333" s="7821"/>
      <c r="E333" s="7827"/>
      <c r="F333" s="7821"/>
      <c r="G333" s="700">
        <v>8500000</v>
      </c>
      <c r="H333" s="700" t="s">
        <v>2072</v>
      </c>
      <c r="I333" s="562" t="s">
        <v>2143</v>
      </c>
      <c r="J333" s="563" t="s">
        <v>2144</v>
      </c>
      <c r="K333" s="7821"/>
      <c r="L333" s="7821"/>
      <c r="M333" s="7839"/>
    </row>
    <row r="334" spans="1:13" ht="30" customHeight="1" x14ac:dyDescent="0.2">
      <c r="A334" s="7655"/>
      <c r="B334" s="7705"/>
      <c r="C334" s="7724"/>
      <c r="D334" s="7822"/>
      <c r="E334" s="7828"/>
      <c r="F334" s="7822"/>
      <c r="G334" s="700">
        <v>1000000</v>
      </c>
      <c r="H334" s="700" t="s">
        <v>2165</v>
      </c>
      <c r="I334" s="562" t="s">
        <v>2200</v>
      </c>
      <c r="J334" s="563" t="s">
        <v>2144</v>
      </c>
      <c r="K334" s="7822"/>
      <c r="L334" s="7822"/>
      <c r="M334" s="7840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7654">
        <v>226</v>
      </c>
      <c r="B338" s="7652" t="s">
        <v>86</v>
      </c>
      <c r="C338" s="7723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7656"/>
      <c r="B339" s="7665"/>
      <c r="C339" s="7747"/>
      <c r="D339" s="7494" t="s">
        <v>2417</v>
      </c>
      <c r="E339" s="7495"/>
      <c r="F339" s="7768"/>
      <c r="G339" s="836">
        <v>40000000</v>
      </c>
      <c r="H339" s="836" t="s">
        <v>2414</v>
      </c>
      <c r="I339" s="841" t="s">
        <v>2418</v>
      </c>
      <c r="J339" s="21" t="s">
        <v>2391</v>
      </c>
      <c r="K339" s="7563">
        <f>G339+G340</f>
        <v>90000000</v>
      </c>
      <c r="L339" s="7563">
        <f>90000000-K339</f>
        <v>0</v>
      </c>
      <c r="M339" s="7801"/>
    </row>
    <row r="340" spans="1:13" ht="30" customHeight="1" x14ac:dyDescent="0.2">
      <c r="A340" s="7656"/>
      <c r="B340" s="7665"/>
      <c r="C340" s="7747"/>
      <c r="D340" s="7769"/>
      <c r="E340" s="7805"/>
      <c r="F340" s="7770"/>
      <c r="G340" s="836">
        <v>50000000</v>
      </c>
      <c r="H340" s="836" t="s">
        <v>2441</v>
      </c>
      <c r="I340" s="841" t="s">
        <v>2457</v>
      </c>
      <c r="J340" s="21" t="s">
        <v>2391</v>
      </c>
      <c r="K340" s="7564"/>
      <c r="L340" s="7564"/>
      <c r="M340" s="7801"/>
    </row>
    <row r="341" spans="1:13" ht="30" customHeight="1" x14ac:dyDescent="0.2">
      <c r="A341" s="7655"/>
      <c r="B341" s="7653"/>
      <c r="C341" s="7724"/>
      <c r="D341" s="840">
        <v>410000000</v>
      </c>
      <c r="E341" s="845">
        <v>0.06</v>
      </c>
      <c r="F341" s="840">
        <f>D341*E341</f>
        <v>24600000</v>
      </c>
      <c r="G341" s="7802" t="s">
        <v>2458</v>
      </c>
      <c r="H341" s="7803"/>
      <c r="I341" s="7803"/>
      <c r="J341" s="7803"/>
      <c r="K341" s="7804"/>
      <c r="L341" s="836"/>
      <c r="M341" s="7680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7652" t="s">
        <v>2274</v>
      </c>
      <c r="C355" s="7723" t="s">
        <v>990</v>
      </c>
      <c r="D355" s="7563">
        <v>100000000</v>
      </c>
      <c r="E355" s="7659">
        <v>0.04</v>
      </c>
      <c r="F355" s="7563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7653"/>
      <c r="C356" s="7724"/>
      <c r="D356" s="7564"/>
      <c r="E356" s="7660"/>
      <c r="F356" s="7564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7654">
        <v>241</v>
      </c>
      <c r="B357" s="7652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7561"/>
    </row>
    <row r="358" spans="1:15" ht="30" customHeight="1" x14ac:dyDescent="0.2">
      <c r="A358" s="7656"/>
      <c r="B358" s="7665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7672"/>
    </row>
    <row r="359" spans="1:15" ht="30" customHeight="1" x14ac:dyDescent="0.2">
      <c r="A359" s="7655"/>
      <c r="B359" s="7653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7562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6" t="s">
        <v>3995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4057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7">
        <v>90000000</v>
      </c>
      <c r="E369" s="2606">
        <v>0.06</v>
      </c>
      <c r="F369" s="2597">
        <f t="shared" si="22"/>
        <v>5400000</v>
      </c>
      <c r="G369" s="2597">
        <v>5400000</v>
      </c>
      <c r="H369" s="2597" t="s">
        <v>1782</v>
      </c>
      <c r="I369" s="2601" t="s">
        <v>1832</v>
      </c>
      <c r="J369" s="21" t="s">
        <v>1831</v>
      </c>
      <c r="K369" s="2597">
        <f t="shared" si="24"/>
        <v>5400000</v>
      </c>
      <c r="L369" s="2597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7654">
        <v>253</v>
      </c>
      <c r="B371" s="7652" t="s">
        <v>110</v>
      </c>
      <c r="C371" s="7723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7655"/>
      <c r="B372" s="7653"/>
      <c r="C372" s="7724"/>
      <c r="D372" s="548">
        <v>20000000</v>
      </c>
      <c r="E372" s="559"/>
      <c r="F372" s="548"/>
      <c r="G372" s="7802" t="s">
        <v>1869</v>
      </c>
      <c r="H372" s="7803"/>
      <c r="I372" s="7803"/>
      <c r="J372" s="7803"/>
      <c r="K372" s="7804"/>
      <c r="L372" s="548"/>
      <c r="M372" s="41"/>
    </row>
    <row r="373" spans="1:15" ht="30" customHeight="1" x14ac:dyDescent="0.2">
      <c r="A373" s="7654">
        <v>254</v>
      </c>
      <c r="B373" s="7652" t="s">
        <v>1893</v>
      </c>
      <c r="C373" s="7723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7732" t="s">
        <v>1894</v>
      </c>
      <c r="N373" s="7733"/>
      <c r="O373" s="7734"/>
    </row>
    <row r="374" spans="1:15" ht="30" customHeight="1" x14ac:dyDescent="0.2">
      <c r="A374" s="7656"/>
      <c r="B374" s="7665"/>
      <c r="C374" s="7747"/>
      <c r="D374" s="7470" t="s">
        <v>1236</v>
      </c>
      <c r="E374" s="7493"/>
      <c r="F374" s="7510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7655"/>
      <c r="B375" s="7653"/>
      <c r="C375" s="7724"/>
      <c r="D375" s="705">
        <v>195000000</v>
      </c>
      <c r="E375" s="708"/>
      <c r="F375" s="705"/>
      <c r="G375" s="7802" t="s">
        <v>2203</v>
      </c>
      <c r="H375" s="7803"/>
      <c r="I375" s="7803"/>
      <c r="J375" s="7803"/>
      <c r="K375" s="7804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7563">
        <v>1600000</v>
      </c>
      <c r="H379" s="7563" t="s">
        <v>1881</v>
      </c>
      <c r="I379" s="7748" t="s">
        <v>1886</v>
      </c>
      <c r="J379" s="7772" t="s">
        <v>475</v>
      </c>
      <c r="K379" s="7563">
        <f>G379</f>
        <v>1600000</v>
      </c>
      <c r="L379" s="7563">
        <f>(F379+F380)-K379</f>
        <v>0</v>
      </c>
      <c r="M379" s="7703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7564"/>
      <c r="H380" s="7564"/>
      <c r="I380" s="7749"/>
      <c r="J380" s="7773"/>
      <c r="K380" s="7564"/>
      <c r="L380" s="7564"/>
      <c r="M380" s="7705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7654">
        <v>262</v>
      </c>
      <c r="B382" s="7652" t="s">
        <v>118</v>
      </c>
      <c r="C382" s="7723"/>
      <c r="D382" s="7563">
        <v>7000000</v>
      </c>
      <c r="E382" s="7659">
        <v>0.04</v>
      </c>
      <c r="F382" s="7563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7809" t="s">
        <v>1391</v>
      </c>
    </row>
    <row r="383" spans="1:15" ht="30" customHeight="1" x14ac:dyDescent="0.2">
      <c r="A383" s="7655"/>
      <c r="B383" s="7653"/>
      <c r="C383" s="7724"/>
      <c r="D383" s="7564"/>
      <c r="E383" s="7660"/>
      <c r="F383" s="7564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7810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7654">
        <v>265</v>
      </c>
      <c r="B386" s="7710" t="s">
        <v>121</v>
      </c>
      <c r="C386" s="7813"/>
      <c r="D386" s="7677">
        <v>800000000</v>
      </c>
      <c r="E386" s="7691">
        <v>7.0000000000000007E-2</v>
      </c>
      <c r="F386" s="7677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7677">
        <f>G386+G387+G388+G389</f>
        <v>113000000</v>
      </c>
      <c r="L386" s="7677">
        <f t="shared" si="25"/>
        <v>-56999999.999999993</v>
      </c>
      <c r="M386" s="7798" t="s">
        <v>2335</v>
      </c>
    </row>
    <row r="387" spans="1:13" ht="30" customHeight="1" x14ac:dyDescent="0.2">
      <c r="A387" s="7656"/>
      <c r="B387" s="7711"/>
      <c r="C387" s="7814"/>
      <c r="D387" s="7690"/>
      <c r="E387" s="7692"/>
      <c r="F387" s="7690"/>
      <c r="G387" s="792">
        <v>50000000</v>
      </c>
      <c r="H387" s="792" t="s">
        <v>1994</v>
      </c>
      <c r="I387" s="111" t="s">
        <v>2007</v>
      </c>
      <c r="J387" s="56" t="s">
        <v>501</v>
      </c>
      <c r="K387" s="7690"/>
      <c r="L387" s="7690"/>
      <c r="M387" s="7799"/>
    </row>
    <row r="388" spans="1:13" ht="30" customHeight="1" x14ac:dyDescent="0.2">
      <c r="A388" s="7656"/>
      <c r="B388" s="7711"/>
      <c r="C388" s="7814"/>
      <c r="D388" s="7690"/>
      <c r="E388" s="7692"/>
      <c r="F388" s="7690"/>
      <c r="G388" s="792">
        <v>5000000</v>
      </c>
      <c r="H388" s="792" t="s">
        <v>2005</v>
      </c>
      <c r="I388" s="111" t="s">
        <v>2031</v>
      </c>
      <c r="J388" s="56" t="s">
        <v>501</v>
      </c>
      <c r="K388" s="7690"/>
      <c r="L388" s="7690"/>
      <c r="M388" s="7799"/>
    </row>
    <row r="389" spans="1:13" ht="30" customHeight="1" x14ac:dyDescent="0.2">
      <c r="A389" s="7656"/>
      <c r="B389" s="7711"/>
      <c r="C389" s="7814"/>
      <c r="D389" s="7690"/>
      <c r="E389" s="7693"/>
      <c r="F389" s="7678"/>
      <c r="G389" s="792">
        <v>2000000</v>
      </c>
      <c r="H389" s="792" t="s">
        <v>2005</v>
      </c>
      <c r="I389" s="111" t="s">
        <v>2032</v>
      </c>
      <c r="J389" s="56" t="s">
        <v>2033</v>
      </c>
      <c r="K389" s="7678"/>
      <c r="L389" s="7678"/>
      <c r="M389" s="7800"/>
    </row>
    <row r="390" spans="1:13" ht="30" customHeight="1" x14ac:dyDescent="0.2">
      <c r="A390" s="7655"/>
      <c r="B390" s="7712"/>
      <c r="C390" s="7815"/>
      <c r="D390" s="813">
        <v>961000000</v>
      </c>
      <c r="E390" s="812">
        <v>7.0000000000000007E-2</v>
      </c>
      <c r="F390" s="811">
        <f>D390*E390</f>
        <v>67270000</v>
      </c>
      <c r="G390" s="7806" t="s">
        <v>2357</v>
      </c>
      <c r="H390" s="7807"/>
      <c r="I390" s="7807"/>
      <c r="J390" s="7807"/>
      <c r="K390" s="7808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7732" t="s">
        <v>2889</v>
      </c>
      <c r="H392" s="7733"/>
      <c r="I392" s="7733"/>
      <c r="J392" s="7733"/>
      <c r="K392" s="7734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7654">
        <v>272</v>
      </c>
      <c r="B397" s="7652" t="s">
        <v>126</v>
      </c>
      <c r="C397" s="7723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7482">
        <f>G397+G398</f>
        <v>35000000</v>
      </c>
      <c r="L397" s="7482">
        <f>(F397+F398+F399+F400)-K397</f>
        <v>3400000</v>
      </c>
      <c r="M397" s="345" t="s">
        <v>2423</v>
      </c>
    </row>
    <row r="398" spans="1:13" ht="30" customHeight="1" x14ac:dyDescent="0.2">
      <c r="A398" s="7656"/>
      <c r="B398" s="7665"/>
      <c r="C398" s="7747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7482"/>
      <c r="L398" s="7482"/>
      <c r="M398" s="735" t="s">
        <v>2422</v>
      </c>
    </row>
    <row r="399" spans="1:13" ht="30" customHeight="1" x14ac:dyDescent="0.2">
      <c r="A399" s="7656"/>
      <c r="B399" s="7665"/>
      <c r="C399" s="7747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7656"/>
      <c r="B400" s="7665"/>
      <c r="C400" s="7747"/>
      <c r="D400" s="7470" t="s">
        <v>1787</v>
      </c>
      <c r="E400" s="7510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7656"/>
      <c r="B401" s="7665"/>
      <c r="C401" s="7747"/>
      <c r="D401" s="7470" t="s">
        <v>2426</v>
      </c>
      <c r="E401" s="7493"/>
      <c r="F401" s="7493"/>
      <c r="G401" s="7493"/>
      <c r="H401" s="7493"/>
      <c r="I401" s="7493"/>
      <c r="J401" s="7510"/>
      <c r="K401" s="178"/>
      <c r="L401" s="178"/>
      <c r="M401" s="735"/>
    </row>
    <row r="402" spans="1:13" ht="30" customHeight="1" x14ac:dyDescent="0.2">
      <c r="A402" s="7656"/>
      <c r="B402" s="7665"/>
      <c r="C402" s="7747"/>
      <c r="D402" s="332">
        <v>45000000</v>
      </c>
      <c r="E402" s="331">
        <v>0.06</v>
      </c>
      <c r="F402" s="332">
        <f>D402*E402</f>
        <v>2700000</v>
      </c>
      <c r="G402" s="7802" t="s">
        <v>2002</v>
      </c>
      <c r="H402" s="7803"/>
      <c r="I402" s="7803"/>
      <c r="J402" s="7804"/>
      <c r="K402" s="7"/>
      <c r="L402" s="7"/>
      <c r="M402" s="710"/>
    </row>
    <row r="403" spans="1:13" ht="30" customHeight="1" x14ac:dyDescent="0.2">
      <c r="A403" s="7655"/>
      <c r="B403" s="7653"/>
      <c r="C403" s="7724"/>
      <c r="D403" s="836">
        <v>100000000</v>
      </c>
      <c r="E403" s="835">
        <v>0.06</v>
      </c>
      <c r="F403" s="836">
        <f>D403*E403</f>
        <v>6000000</v>
      </c>
      <c r="G403" s="7802" t="s">
        <v>2424</v>
      </c>
      <c r="H403" s="7803"/>
      <c r="I403" s="7803"/>
      <c r="J403" s="7804"/>
      <c r="K403" s="7"/>
      <c r="L403" s="7"/>
      <c r="M403" s="710" t="s">
        <v>2429</v>
      </c>
    </row>
    <row r="404" spans="1:13" ht="30" customHeight="1" x14ac:dyDescent="0.2">
      <c r="A404" s="7654"/>
      <c r="B404" s="7652" t="s">
        <v>2425</v>
      </c>
      <c r="C404" s="7723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7823" t="s">
        <v>2427</v>
      </c>
    </row>
    <row r="405" spans="1:13" ht="30" customHeight="1" x14ac:dyDescent="0.2">
      <c r="A405" s="7656"/>
      <c r="B405" s="7665"/>
      <c r="C405" s="7747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7824"/>
    </row>
    <row r="406" spans="1:13" ht="30" customHeight="1" x14ac:dyDescent="0.2">
      <c r="A406" s="7656"/>
      <c r="B406" s="7665"/>
      <c r="C406" s="7747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7824"/>
    </row>
    <row r="407" spans="1:13" ht="30" customHeight="1" x14ac:dyDescent="0.2">
      <c r="A407" s="7656"/>
      <c r="B407" s="7665"/>
      <c r="C407" s="7747"/>
      <c r="D407" s="7883" t="s">
        <v>1787</v>
      </c>
      <c r="E407" s="7884"/>
      <c r="F407" s="863">
        <v>1300000</v>
      </c>
      <c r="G407" s="865"/>
      <c r="H407" s="865"/>
      <c r="I407" s="865"/>
      <c r="J407" s="865"/>
      <c r="K407" s="866"/>
      <c r="L407" s="866"/>
      <c r="M407" s="7825"/>
    </row>
    <row r="408" spans="1:13" ht="30" customHeight="1" x14ac:dyDescent="0.2">
      <c r="A408" s="7655"/>
      <c r="B408" s="7653"/>
      <c r="C408" s="7724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7654">
        <v>278</v>
      </c>
      <c r="B414" s="7652" t="s">
        <v>620</v>
      </c>
      <c r="C414" s="7723"/>
      <c r="D414" s="668">
        <v>30000000</v>
      </c>
      <c r="E414" s="675">
        <v>4.4999999999999998E-2</v>
      </c>
      <c r="F414" s="668">
        <f>D414*E414</f>
        <v>1350000</v>
      </c>
      <c r="G414" s="7563">
        <v>1750000</v>
      </c>
      <c r="H414" s="7563" t="s">
        <v>2054</v>
      </c>
      <c r="I414" s="7748" t="s">
        <v>2065</v>
      </c>
      <c r="J414" s="7561" t="s">
        <v>2066</v>
      </c>
      <c r="K414" s="7563">
        <f t="shared" si="27"/>
        <v>1750000</v>
      </c>
      <c r="L414" s="7563">
        <f>(F414+F415)-K414</f>
        <v>0</v>
      </c>
      <c r="M414" s="7703"/>
    </row>
    <row r="415" spans="1:13" ht="30" customHeight="1" x14ac:dyDescent="0.2">
      <c r="A415" s="7655"/>
      <c r="B415" s="7653"/>
      <c r="C415" s="7724"/>
      <c r="D415" s="668">
        <v>10000000</v>
      </c>
      <c r="E415" s="675">
        <v>0.04</v>
      </c>
      <c r="F415" s="668">
        <f>D415*E415</f>
        <v>400000</v>
      </c>
      <c r="G415" s="7564"/>
      <c r="H415" s="7564"/>
      <c r="I415" s="7749"/>
      <c r="J415" s="7562"/>
      <c r="K415" s="7564"/>
      <c r="L415" s="7564"/>
      <c r="M415" s="7705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7652" t="s">
        <v>458</v>
      </c>
      <c r="C417" s="7723"/>
      <c r="D417" s="7677"/>
      <c r="E417" s="7691"/>
      <c r="F417" s="7677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7563">
        <f>G417+G418</f>
        <v>3000000</v>
      </c>
      <c r="L417" s="7677">
        <f t="shared" si="25"/>
        <v>-3000000</v>
      </c>
      <c r="M417" s="7703"/>
    </row>
    <row r="418" spans="1:13" ht="30" customHeight="1" x14ac:dyDescent="0.2">
      <c r="A418" s="688"/>
      <c r="B418" s="7653"/>
      <c r="C418" s="7724"/>
      <c r="D418" s="7678"/>
      <c r="E418" s="7693"/>
      <c r="F418" s="7678"/>
      <c r="G418" s="689">
        <v>2000000</v>
      </c>
      <c r="H418" s="689" t="s">
        <v>2165</v>
      </c>
      <c r="I418" s="699" t="s">
        <v>2178</v>
      </c>
      <c r="J418" s="24" t="s">
        <v>2177</v>
      </c>
      <c r="K418" s="7564"/>
      <c r="L418" s="7678"/>
      <c r="M418" s="7705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7654">
        <v>283</v>
      </c>
      <c r="B421" s="7652" t="s">
        <v>134</v>
      </c>
      <c r="C421" s="7723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7655"/>
      <c r="B422" s="7653"/>
      <c r="C422" s="7724"/>
      <c r="D422" s="757">
        <v>37093000</v>
      </c>
      <c r="E422" s="755">
        <v>0.05</v>
      </c>
      <c r="F422" s="757">
        <f>D422*E422</f>
        <v>1854650</v>
      </c>
      <c r="G422" s="7867" t="s">
        <v>2203</v>
      </c>
      <c r="H422" s="7868"/>
      <c r="I422" s="7868"/>
      <c r="J422" s="7868"/>
      <c r="K422" s="7868"/>
      <c r="L422" s="7869"/>
      <c r="M422" s="522" t="s">
        <v>2273</v>
      </c>
    </row>
    <row r="423" spans="1:13" ht="30" customHeight="1" x14ac:dyDescent="0.2">
      <c r="A423" s="7654">
        <v>284</v>
      </c>
      <c r="B423" s="7864" t="s">
        <v>1158</v>
      </c>
      <c r="C423" s="7723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7563">
        <v>8175000</v>
      </c>
      <c r="H423" s="7563" t="s">
        <v>2214</v>
      </c>
      <c r="I423" s="7748" t="s">
        <v>2218</v>
      </c>
      <c r="J423" s="7561" t="s">
        <v>2219</v>
      </c>
      <c r="K423" s="7482">
        <f>G423</f>
        <v>8175000</v>
      </c>
      <c r="L423" s="7563">
        <f>(F423+F424)-K423</f>
        <v>0</v>
      </c>
      <c r="M423" s="7757"/>
    </row>
    <row r="424" spans="1:13" ht="30" customHeight="1" x14ac:dyDescent="0.2">
      <c r="A424" s="7655"/>
      <c r="B424" s="7865"/>
      <c r="C424" s="7747"/>
      <c r="D424" s="332">
        <v>60000000</v>
      </c>
      <c r="E424" s="17">
        <v>0.05</v>
      </c>
      <c r="F424" s="332">
        <f t="shared" si="26"/>
        <v>3000000</v>
      </c>
      <c r="G424" s="7564"/>
      <c r="H424" s="7586"/>
      <c r="I424" s="7774"/>
      <c r="J424" s="7672"/>
      <c r="K424" s="7482"/>
      <c r="L424" s="7564"/>
      <c r="M424" s="7758"/>
    </row>
    <row r="425" spans="1:13" ht="30" customHeight="1" x14ac:dyDescent="0.2">
      <c r="A425" s="722"/>
      <c r="B425" s="7866"/>
      <c r="C425" s="7724"/>
      <c r="D425" s="7470" t="s">
        <v>1236</v>
      </c>
      <c r="E425" s="7493"/>
      <c r="F425" s="7510"/>
      <c r="G425" s="723">
        <v>5000000</v>
      </c>
      <c r="H425" s="7564"/>
      <c r="I425" s="7749"/>
      <c r="J425" s="7562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7654">
        <v>286</v>
      </c>
      <c r="B427" s="7652" t="s">
        <v>1622</v>
      </c>
      <c r="C427" s="7723"/>
      <c r="D427" s="7563">
        <v>35000000</v>
      </c>
      <c r="E427" s="7659">
        <v>0.04</v>
      </c>
      <c r="F427" s="7563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7563">
        <f>G427+G428</f>
        <v>1400000</v>
      </c>
      <c r="L427" s="7563">
        <f t="shared" si="25"/>
        <v>0</v>
      </c>
      <c r="M427" s="7703"/>
    </row>
    <row r="428" spans="1:13" ht="30" customHeight="1" x14ac:dyDescent="0.2">
      <c r="A428" s="7655"/>
      <c r="B428" s="7653"/>
      <c r="C428" s="7724"/>
      <c r="D428" s="7564"/>
      <c r="E428" s="7660"/>
      <c r="F428" s="7564"/>
      <c r="G428" s="454">
        <v>1000000</v>
      </c>
      <c r="H428" s="454" t="s">
        <v>1616</v>
      </c>
      <c r="I428" s="459" t="s">
        <v>1627</v>
      </c>
      <c r="J428" s="96" t="s">
        <v>1628</v>
      </c>
      <c r="K428" s="7564"/>
      <c r="L428" s="7564"/>
      <c r="M428" s="7705"/>
    </row>
    <row r="429" spans="1:13" ht="30" customHeight="1" x14ac:dyDescent="0.2">
      <c r="A429" s="7654">
        <v>287</v>
      </c>
      <c r="B429" s="7652" t="s">
        <v>137</v>
      </c>
      <c r="C429" s="7723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7563">
        <f>2475000-G429</f>
        <v>0</v>
      </c>
      <c r="M429" s="7657"/>
    </row>
    <row r="430" spans="1:13" ht="30" customHeight="1" x14ac:dyDescent="0.2">
      <c r="A430" s="7655"/>
      <c r="B430" s="7653"/>
      <c r="C430" s="7724"/>
      <c r="D430" s="1229">
        <v>45000000</v>
      </c>
      <c r="E430" s="1234">
        <v>0.05</v>
      </c>
      <c r="F430" s="1229">
        <f>D430*E430</f>
        <v>2250000</v>
      </c>
      <c r="G430" s="7732" t="s">
        <v>2980</v>
      </c>
      <c r="H430" s="7733"/>
      <c r="I430" s="7733"/>
      <c r="J430" s="7733"/>
      <c r="K430" s="7734"/>
      <c r="L430" s="7564"/>
      <c r="M430" s="7658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7654">
        <v>291</v>
      </c>
      <c r="B434" s="7703" t="s">
        <v>1788</v>
      </c>
      <c r="C434" s="7723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7656"/>
      <c r="B435" s="7704"/>
      <c r="C435" s="7747"/>
      <c r="D435" s="7563">
        <v>15000000</v>
      </c>
      <c r="E435" s="7735" t="s">
        <v>857</v>
      </c>
      <c r="F435" s="7737"/>
      <c r="G435" s="7563">
        <v>15000000</v>
      </c>
      <c r="H435" s="7563" t="s">
        <v>2005</v>
      </c>
      <c r="I435" s="7748" t="s">
        <v>2025</v>
      </c>
      <c r="J435" s="7561" t="s">
        <v>2026</v>
      </c>
      <c r="K435" s="7563">
        <f t="shared" si="28"/>
        <v>15000000</v>
      </c>
      <c r="L435" s="7563">
        <f>D435-K435</f>
        <v>0</v>
      </c>
      <c r="M435" s="7757" t="s">
        <v>2027</v>
      </c>
    </row>
    <row r="436" spans="1:13" ht="30" customHeight="1" x14ac:dyDescent="0.2">
      <c r="A436" s="7656"/>
      <c r="B436" s="7704"/>
      <c r="C436" s="7747"/>
      <c r="D436" s="7564"/>
      <c r="E436" s="7736"/>
      <c r="F436" s="7740"/>
      <c r="G436" s="7564"/>
      <c r="H436" s="7564"/>
      <c r="I436" s="7749"/>
      <c r="J436" s="7562"/>
      <c r="K436" s="7564"/>
      <c r="L436" s="7564"/>
      <c r="M436" s="7758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7563">
        <v>5500000</v>
      </c>
      <c r="H439" s="7494" t="s">
        <v>2481</v>
      </c>
      <c r="I439" s="7495"/>
      <c r="J439" s="7495"/>
      <c r="K439" s="7768"/>
      <c r="L439" s="7563">
        <f>(F439+F440)-G439</f>
        <v>0</v>
      </c>
      <c r="M439" s="7757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7564"/>
      <c r="H440" s="7769"/>
      <c r="I440" s="7805"/>
      <c r="J440" s="7805"/>
      <c r="K440" s="7770"/>
      <c r="L440" s="7564"/>
      <c r="M440" s="7758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7654">
        <v>303</v>
      </c>
      <c r="B448" s="7652" t="s">
        <v>150</v>
      </c>
      <c r="C448" s="7723" t="s">
        <v>1796</v>
      </c>
      <c r="D448" s="7563">
        <v>1776000000</v>
      </c>
      <c r="E448" s="7659">
        <v>7.0999999999999994E-2</v>
      </c>
      <c r="F448" s="7563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7563">
        <f>G448+G449</f>
        <v>127140000</v>
      </c>
      <c r="L448" s="7563">
        <f t="shared" si="29"/>
        <v>0</v>
      </c>
      <c r="M448" s="882" t="s">
        <v>1985</v>
      </c>
    </row>
    <row r="449" spans="1:13" ht="30" customHeight="1" x14ac:dyDescent="0.2">
      <c r="A449" s="7656"/>
      <c r="B449" s="7665"/>
      <c r="C449" s="7747"/>
      <c r="D449" s="7564"/>
      <c r="E449" s="7660"/>
      <c r="F449" s="7564"/>
      <c r="G449" s="872">
        <v>47140000</v>
      </c>
      <c r="H449" s="7732" t="s">
        <v>2404</v>
      </c>
      <c r="I449" s="7733"/>
      <c r="J449" s="7734"/>
      <c r="K449" s="7564"/>
      <c r="L449" s="7564"/>
      <c r="M449" s="735" t="s">
        <v>2437</v>
      </c>
    </row>
    <row r="450" spans="1:13" ht="30" customHeight="1" x14ac:dyDescent="0.2">
      <c r="A450" s="7656"/>
      <c r="B450" s="7665"/>
      <c r="C450" s="7747"/>
      <c r="D450" s="872">
        <v>1876000000</v>
      </c>
      <c r="E450" s="876"/>
      <c r="F450" s="872">
        <v>137480000</v>
      </c>
      <c r="G450" s="7732" t="s">
        <v>2438</v>
      </c>
      <c r="H450" s="7733"/>
      <c r="I450" s="7733"/>
      <c r="J450" s="7734"/>
      <c r="K450" s="872"/>
      <c r="L450" s="872"/>
      <c r="M450" s="735"/>
    </row>
    <row r="451" spans="1:13" ht="30" customHeight="1" x14ac:dyDescent="0.2">
      <c r="A451" s="7656"/>
      <c r="B451" s="7665"/>
      <c r="C451" s="7747"/>
      <c r="D451" s="227">
        <v>1816000000</v>
      </c>
      <c r="E451" s="936">
        <f>F451/D451</f>
        <v>7.306167400881057E-2</v>
      </c>
      <c r="F451" s="227">
        <v>132680000</v>
      </c>
      <c r="G451" s="7861" t="s">
        <v>2436</v>
      </c>
      <c r="H451" s="7862"/>
      <c r="I451" s="7862"/>
      <c r="J451" s="7862"/>
      <c r="K451" s="7862"/>
      <c r="L451" s="7863"/>
      <c r="M451" s="710"/>
    </row>
    <row r="452" spans="1:13" ht="30" customHeight="1" x14ac:dyDescent="0.2">
      <c r="A452" s="7656"/>
      <c r="B452" s="7665"/>
      <c r="C452" s="7747"/>
      <c r="D452" s="7482" t="s">
        <v>2496</v>
      </c>
      <c r="E452" s="7482"/>
      <c r="F452" s="7482"/>
      <c r="G452" s="891">
        <v>5000000</v>
      </c>
      <c r="H452" s="891" t="s">
        <v>2441</v>
      </c>
      <c r="I452" s="892" t="s">
        <v>2459</v>
      </c>
      <c r="J452" s="893" t="s">
        <v>2460</v>
      </c>
      <c r="K452" s="7563">
        <f>G452+G453</f>
        <v>8400000</v>
      </c>
      <c r="L452" s="7563">
        <f>(G452+G453)-K452</f>
        <v>0</v>
      </c>
      <c r="M452" s="735" t="s">
        <v>857</v>
      </c>
    </row>
    <row r="453" spans="1:13" ht="30" customHeight="1" x14ac:dyDescent="0.2">
      <c r="A453" s="7655"/>
      <c r="B453" s="7653"/>
      <c r="C453" s="7724"/>
      <c r="D453" s="7482"/>
      <c r="E453" s="7482"/>
      <c r="F453" s="7482"/>
      <c r="G453" s="922">
        <v>3400000</v>
      </c>
      <c r="H453" s="922" t="s">
        <v>2484</v>
      </c>
      <c r="I453" s="935" t="s">
        <v>2497</v>
      </c>
      <c r="J453" s="21" t="s">
        <v>2498</v>
      </c>
      <c r="K453" s="7564"/>
      <c r="L453" s="7564"/>
      <c r="M453" s="735"/>
    </row>
    <row r="454" spans="1:13" ht="30" customHeight="1" x14ac:dyDescent="0.2">
      <c r="A454" s="7654">
        <v>304</v>
      </c>
      <c r="B454" s="7652" t="s">
        <v>151</v>
      </c>
      <c r="C454" s="7723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7713" t="s">
        <v>2079</v>
      </c>
    </row>
    <row r="455" spans="1:13" ht="30" customHeight="1" x14ac:dyDescent="0.2">
      <c r="A455" s="7655"/>
      <c r="B455" s="7653"/>
      <c r="C455" s="7724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7714"/>
    </row>
    <row r="456" spans="1:13" ht="30" customHeight="1" x14ac:dyDescent="0.2">
      <c r="A456" s="7654">
        <v>305</v>
      </c>
      <c r="B456" s="7652" t="s">
        <v>152</v>
      </c>
      <c r="C456" s="7723"/>
      <c r="D456" s="7563">
        <v>650000000</v>
      </c>
      <c r="E456" s="7870">
        <f>F456/D456</f>
        <v>5.7692307692307696E-2</v>
      </c>
      <c r="F456" s="7482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7563">
        <f>G456+G457</f>
        <v>18000000</v>
      </c>
      <c r="L456" s="7563">
        <f t="shared" si="29"/>
        <v>19500000</v>
      </c>
      <c r="M456" s="7818" t="s">
        <v>1456</v>
      </c>
    </row>
    <row r="457" spans="1:13" ht="30" customHeight="1" x14ac:dyDescent="0.2">
      <c r="A457" s="7655"/>
      <c r="B457" s="7653"/>
      <c r="C457" s="7724"/>
      <c r="D457" s="7564"/>
      <c r="E457" s="7870"/>
      <c r="F457" s="7482"/>
      <c r="G457" s="819">
        <v>10000000</v>
      </c>
      <c r="H457" s="819" t="s">
        <v>2368</v>
      </c>
      <c r="I457" s="828" t="s">
        <v>2393</v>
      </c>
      <c r="J457" s="21" t="s">
        <v>2394</v>
      </c>
      <c r="K457" s="7564"/>
      <c r="L457" s="7564"/>
      <c r="M457" s="7819"/>
    </row>
    <row r="458" spans="1:13" ht="30" customHeight="1" x14ac:dyDescent="0.2">
      <c r="A458" s="7654">
        <v>306</v>
      </c>
      <c r="B458" s="7652" t="s">
        <v>153</v>
      </c>
      <c r="C458" s="7723"/>
      <c r="D458" s="7563">
        <v>30000000</v>
      </c>
      <c r="E458" s="7494" t="s">
        <v>1326</v>
      </c>
      <c r="F458" s="7768"/>
      <c r="G458" s="332">
        <v>20000000</v>
      </c>
      <c r="H458" s="350" t="s">
        <v>897</v>
      </c>
      <c r="I458" s="340" t="s">
        <v>1327</v>
      </c>
      <c r="J458" s="361" t="s">
        <v>1271</v>
      </c>
      <c r="K458" s="7563">
        <f>G458+G459</f>
        <v>30000000</v>
      </c>
      <c r="L458" s="7563">
        <f>D458-K458</f>
        <v>0</v>
      </c>
      <c r="M458" s="7713" t="s">
        <v>1356</v>
      </c>
    </row>
    <row r="459" spans="1:13" ht="30" customHeight="1" x14ac:dyDescent="0.2">
      <c r="A459" s="7655"/>
      <c r="B459" s="7653"/>
      <c r="C459" s="7724"/>
      <c r="D459" s="7564"/>
      <c r="E459" s="7769"/>
      <c r="F459" s="7770"/>
      <c r="G459" s="332">
        <v>10000000</v>
      </c>
      <c r="H459" s="332" t="s">
        <v>1022</v>
      </c>
      <c r="I459" s="363" t="s">
        <v>1355</v>
      </c>
      <c r="J459" s="361" t="s">
        <v>1271</v>
      </c>
      <c r="K459" s="7564"/>
      <c r="L459" s="7564"/>
      <c r="M459" s="7714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7563">
        <v>24000000</v>
      </c>
      <c r="H461" s="7563" t="s">
        <v>1782</v>
      </c>
      <c r="I461" s="7748" t="s">
        <v>1872</v>
      </c>
      <c r="J461" s="7772" t="s">
        <v>1873</v>
      </c>
      <c r="K461" s="7563">
        <f>G461</f>
        <v>24000000</v>
      </c>
      <c r="L461" s="7563">
        <f>(F461+F462)-K461</f>
        <v>0</v>
      </c>
      <c r="M461" s="7703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7564"/>
      <c r="H462" s="7564"/>
      <c r="I462" s="7749"/>
      <c r="J462" s="7773"/>
      <c r="K462" s="7564"/>
      <c r="L462" s="7564"/>
      <c r="M462" s="7705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7654">
        <v>315</v>
      </c>
      <c r="B468" s="7652" t="s">
        <v>163</v>
      </c>
      <c r="C468" s="7723" t="s">
        <v>1176</v>
      </c>
      <c r="D468" s="7563">
        <v>400000000</v>
      </c>
      <c r="E468" s="7659">
        <v>6.3E-2</v>
      </c>
      <c r="F468" s="7563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7563">
        <f>G468+G469</f>
        <v>25000000</v>
      </c>
      <c r="L468" s="7563">
        <f t="shared" si="29"/>
        <v>0</v>
      </c>
      <c r="M468" s="7703"/>
    </row>
    <row r="469" spans="1:13" ht="30" customHeight="1" x14ac:dyDescent="0.2">
      <c r="A469" s="7655"/>
      <c r="B469" s="7653"/>
      <c r="C469" s="7724"/>
      <c r="D469" s="7564"/>
      <c r="E469" s="7660"/>
      <c r="F469" s="7564"/>
      <c r="G469" s="528">
        <v>5000000</v>
      </c>
      <c r="H469" s="528" t="s">
        <v>1749</v>
      </c>
      <c r="I469" s="536" t="s">
        <v>1805</v>
      </c>
      <c r="J469" s="21" t="s">
        <v>1806</v>
      </c>
      <c r="K469" s="7564"/>
      <c r="L469" s="7564"/>
      <c r="M469" s="7705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7654">
        <v>322</v>
      </c>
      <c r="B476" s="7703" t="s">
        <v>1378</v>
      </c>
      <c r="C476" s="7723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7655"/>
      <c r="B477" s="7705"/>
      <c r="C477" s="7724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7654">
        <v>325</v>
      </c>
      <c r="B480" s="7652" t="s">
        <v>270</v>
      </c>
      <c r="C480" s="7723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7655"/>
      <c r="B481" s="7653"/>
      <c r="C481" s="7724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7654">
        <v>328</v>
      </c>
      <c r="B484" s="7652" t="s">
        <v>2675</v>
      </c>
      <c r="C484" s="7723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7655"/>
      <c r="B485" s="7653"/>
      <c r="C485" s="7724"/>
      <c r="D485" s="1109">
        <f>D484+F484</f>
        <v>726100000</v>
      </c>
      <c r="E485" s="1112">
        <v>0.06</v>
      </c>
      <c r="F485" s="1109">
        <f>D485*E485</f>
        <v>43566000</v>
      </c>
      <c r="G485" s="7732" t="s">
        <v>2677</v>
      </c>
      <c r="H485" s="7733"/>
      <c r="I485" s="7733"/>
      <c r="J485" s="7733"/>
      <c r="K485" s="7734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7654">
        <v>333</v>
      </c>
      <c r="B490" s="7652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7482"/>
      <c r="L490" s="7482"/>
      <c r="M490" s="7703"/>
    </row>
    <row r="491" spans="1:13" ht="30" customHeight="1" x14ac:dyDescent="0.2">
      <c r="A491" s="7655"/>
      <c r="B491" s="7653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7482"/>
      <c r="L491" s="7482"/>
      <c r="M491" s="7705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7654">
        <v>338</v>
      </c>
      <c r="B496" s="7652" t="s">
        <v>1677</v>
      </c>
      <c r="C496" s="7723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7732" t="s">
        <v>1489</v>
      </c>
      <c r="I496" s="7733"/>
      <c r="J496" s="7733"/>
      <c r="K496" s="7734"/>
      <c r="L496" s="7563">
        <f>(F496+F497)-K497</f>
        <v>0</v>
      </c>
      <c r="M496" s="7703"/>
    </row>
    <row r="497" spans="1:18" ht="30" customHeight="1" x14ac:dyDescent="0.2">
      <c r="A497" s="7656"/>
      <c r="B497" s="7665"/>
      <c r="C497" s="7747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7564"/>
      <c r="M497" s="7705"/>
    </row>
    <row r="498" spans="1:18" ht="30" customHeight="1" x14ac:dyDescent="0.2">
      <c r="A498" s="7656"/>
      <c r="B498" s="7665"/>
      <c r="C498" s="7747"/>
      <c r="D498" s="332">
        <v>30000000</v>
      </c>
      <c r="E498" s="17">
        <v>7.0000000000000007E-2</v>
      </c>
      <c r="F498" s="438">
        <f t="shared" si="36"/>
        <v>2100000</v>
      </c>
      <c r="G498" s="7732" t="s">
        <v>1485</v>
      </c>
      <c r="H498" s="7733"/>
      <c r="I498" s="7733"/>
      <c r="J498" s="7733"/>
      <c r="K498" s="7734"/>
      <c r="L498" s="332"/>
      <c r="M498" s="41"/>
    </row>
    <row r="499" spans="1:18" ht="30" customHeight="1" x14ac:dyDescent="0.2">
      <c r="A499" s="7656"/>
      <c r="B499" s="7665"/>
      <c r="C499" s="7747"/>
      <c r="D499" s="505">
        <v>20000000</v>
      </c>
      <c r="E499" s="501">
        <v>7.0000000000000007E-2</v>
      </c>
      <c r="F499" s="516">
        <f>D499*E499</f>
        <v>1400000.0000000002</v>
      </c>
      <c r="G499" s="7732" t="s">
        <v>1487</v>
      </c>
      <c r="H499" s="7733"/>
      <c r="I499" s="7733"/>
      <c r="J499" s="7733"/>
      <c r="K499" s="7734"/>
      <c r="L499" s="499"/>
      <c r="M499" s="41"/>
    </row>
    <row r="500" spans="1:18" ht="30" customHeight="1" x14ac:dyDescent="0.2">
      <c r="A500" s="7655"/>
      <c r="B500" s="7653"/>
      <c r="C500" s="7724"/>
      <c r="D500" s="423">
        <v>12000000</v>
      </c>
      <c r="E500" s="418">
        <v>7.0000000000000007E-2</v>
      </c>
      <c r="F500" s="439">
        <f>D500*E500</f>
        <v>840000.00000000012</v>
      </c>
      <c r="G500" s="7732" t="s">
        <v>1485</v>
      </c>
      <c r="H500" s="7733"/>
      <c r="I500" s="7733"/>
      <c r="J500" s="7733"/>
      <c r="K500" s="7734"/>
      <c r="L500" s="423"/>
      <c r="M500" s="385" t="s">
        <v>1488</v>
      </c>
    </row>
    <row r="501" spans="1:18" ht="30" customHeight="1" x14ac:dyDescent="0.2">
      <c r="A501" s="7654">
        <v>339</v>
      </c>
      <c r="B501" s="7652" t="s">
        <v>170</v>
      </c>
      <c r="C501" s="7723" t="s">
        <v>1306</v>
      </c>
      <c r="D501" s="7563">
        <v>300000000</v>
      </c>
      <c r="E501" s="7659">
        <v>7.0000000000000007E-2</v>
      </c>
      <c r="F501" s="7563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7563">
        <f>G501+G502+G503</f>
        <v>125000000</v>
      </c>
      <c r="L501" s="7563">
        <f>125000000-K501</f>
        <v>0</v>
      </c>
      <c r="M501" s="7674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7656"/>
      <c r="B502" s="7665"/>
      <c r="C502" s="7747"/>
      <c r="D502" s="7586"/>
      <c r="E502" s="7676"/>
      <c r="F502" s="7586"/>
      <c r="G502" s="373">
        <v>50000000</v>
      </c>
      <c r="H502" s="373" t="s">
        <v>1359</v>
      </c>
      <c r="I502" s="373">
        <v>173</v>
      </c>
      <c r="J502" s="373" t="s">
        <v>1342</v>
      </c>
      <c r="K502" s="7586"/>
      <c r="L502" s="7564"/>
      <c r="M502" s="7675"/>
      <c r="N502" s="248"/>
      <c r="O502" s="248"/>
      <c r="P502" s="248"/>
      <c r="Q502" s="248"/>
      <c r="R502" s="248"/>
    </row>
    <row r="503" spans="1:18" ht="30" customHeight="1" x14ac:dyDescent="0.2">
      <c r="A503" s="7656"/>
      <c r="B503" s="7665"/>
      <c r="C503" s="7747"/>
      <c r="D503" s="7564"/>
      <c r="E503" s="7660"/>
      <c r="F503" s="7564"/>
      <c r="G503" s="373">
        <v>25000000</v>
      </c>
      <c r="H503" s="373" t="s">
        <v>1405</v>
      </c>
      <c r="I503" s="391">
        <v>3010</v>
      </c>
      <c r="J503" s="373" t="s">
        <v>1427</v>
      </c>
      <c r="K503" s="7564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7655"/>
      <c r="B504" s="7653"/>
      <c r="C504" s="7724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7654">
        <v>340</v>
      </c>
      <c r="B505" s="7652" t="s">
        <v>67</v>
      </c>
      <c r="C505" s="7723" t="s">
        <v>1138</v>
      </c>
      <c r="D505" s="7563">
        <v>40000000</v>
      </c>
      <c r="E505" s="7659">
        <v>0.05</v>
      </c>
      <c r="F505" s="7563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7656"/>
      <c r="B506" s="7665"/>
      <c r="C506" s="7747"/>
      <c r="D506" s="7564"/>
      <c r="E506" s="7660"/>
      <c r="F506" s="7564"/>
      <c r="G506" s="7732" t="s">
        <v>2439</v>
      </c>
      <c r="H506" s="7733"/>
      <c r="I506" s="7733"/>
      <c r="J506" s="7733"/>
      <c r="K506" s="7734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7655"/>
      <c r="B507" s="7653"/>
      <c r="C507" s="7724"/>
      <c r="D507" s="872">
        <v>60000000</v>
      </c>
      <c r="E507" s="880">
        <v>0.05</v>
      </c>
      <c r="F507" s="872">
        <f>D507*E507</f>
        <v>3000000</v>
      </c>
      <c r="G507" s="7802" t="s">
        <v>2207</v>
      </c>
      <c r="H507" s="7803"/>
      <c r="I507" s="7803"/>
      <c r="J507" s="7803"/>
      <c r="K507" s="7804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7654">
        <v>343</v>
      </c>
      <c r="B510" s="7652" t="s">
        <v>1365</v>
      </c>
      <c r="C510" s="7723"/>
      <c r="D510" s="7677"/>
      <c r="E510" s="7691"/>
      <c r="F510" s="7677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7816"/>
      <c r="N510" s="386"/>
      <c r="O510" s="386"/>
      <c r="P510" s="386"/>
      <c r="Q510" s="386"/>
      <c r="R510" s="386"/>
    </row>
    <row r="511" spans="1:18" ht="30" customHeight="1" x14ac:dyDescent="0.2">
      <c r="A511" s="7655"/>
      <c r="B511" s="7653"/>
      <c r="C511" s="7724"/>
      <c r="D511" s="7678"/>
      <c r="E511" s="7693"/>
      <c r="F511" s="7678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7817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7654">
        <v>348</v>
      </c>
      <c r="B516" s="7652" t="s">
        <v>1408</v>
      </c>
      <c r="C516" s="7723" t="s">
        <v>1306</v>
      </c>
      <c r="D516" s="7563">
        <v>50000000</v>
      </c>
      <c r="E516" s="7659">
        <v>0.04</v>
      </c>
      <c r="F516" s="7563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7655"/>
      <c r="B517" s="7653"/>
      <c r="C517" s="7724"/>
      <c r="D517" s="7564"/>
      <c r="E517" s="7660"/>
      <c r="F517" s="7564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4190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7880" t="s">
        <v>1556</v>
      </c>
      <c r="F519" s="7881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4022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7654">
        <v>359</v>
      </c>
      <c r="B528" s="7652" t="s">
        <v>1599</v>
      </c>
      <c r="C528" s="7723"/>
      <c r="D528" s="7677"/>
      <c r="E528" s="7691"/>
      <c r="F528" s="7677"/>
      <c r="G528" s="454">
        <v>500000</v>
      </c>
      <c r="H528" s="454" t="s">
        <v>1594</v>
      </c>
      <c r="I528" s="391">
        <v>489571</v>
      </c>
      <c r="J528" s="472" t="s">
        <v>1600</v>
      </c>
      <c r="K528" s="7563">
        <f>G528+G529</f>
        <v>1500000</v>
      </c>
      <c r="L528" s="7841">
        <f t="shared" si="40"/>
        <v>-1500000</v>
      </c>
      <c r="M528" s="7816"/>
      <c r="N528" s="386"/>
      <c r="O528" s="386"/>
      <c r="P528" s="386"/>
      <c r="Q528" s="386"/>
      <c r="R528" s="386"/>
    </row>
    <row r="529" spans="1:18" ht="30" customHeight="1" x14ac:dyDescent="0.2">
      <c r="A529" s="7655"/>
      <c r="B529" s="7653"/>
      <c r="C529" s="7724"/>
      <c r="D529" s="7678"/>
      <c r="E529" s="7693"/>
      <c r="F529" s="7678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7564"/>
      <c r="L529" s="7842"/>
      <c r="M529" s="7817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7654">
        <v>361</v>
      </c>
      <c r="B531" s="7652" t="s">
        <v>1612</v>
      </c>
      <c r="C531" s="7723"/>
      <c r="D531" s="7563"/>
      <c r="E531" s="7659"/>
      <c r="F531" s="7563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7563">
        <f>G531+G532+G533+G534+G535</f>
        <v>103600000</v>
      </c>
      <c r="L531" s="7816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7656"/>
      <c r="B532" s="7665"/>
      <c r="C532" s="7747"/>
      <c r="D532" s="7586"/>
      <c r="E532" s="7676"/>
      <c r="F532" s="7586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7586"/>
      <c r="L532" s="7882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7656"/>
      <c r="B533" s="7665"/>
      <c r="C533" s="7747"/>
      <c r="D533" s="7586"/>
      <c r="E533" s="7676"/>
      <c r="F533" s="7586"/>
      <c r="G533" s="730">
        <v>18000000</v>
      </c>
      <c r="H533" s="730"/>
      <c r="I533" s="391"/>
      <c r="J533" s="472"/>
      <c r="K533" s="7586"/>
      <c r="L533" s="7882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7656"/>
      <c r="B534" s="7665"/>
      <c r="C534" s="7747"/>
      <c r="D534" s="7586"/>
      <c r="E534" s="7676"/>
      <c r="F534" s="7586"/>
      <c r="G534" s="730">
        <v>40000000</v>
      </c>
      <c r="H534" s="730"/>
      <c r="I534" s="391"/>
      <c r="J534" s="472"/>
      <c r="K534" s="7586"/>
      <c r="L534" s="7882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7656"/>
      <c r="B535" s="7665"/>
      <c r="C535" s="7747"/>
      <c r="D535" s="7586"/>
      <c r="E535" s="7676"/>
      <c r="F535" s="7586"/>
      <c r="G535" s="819">
        <v>10600000</v>
      </c>
      <c r="H535" s="819" t="s">
        <v>2262</v>
      </c>
      <c r="I535" s="391">
        <v>891695712</v>
      </c>
      <c r="J535" s="472" t="s">
        <v>2291</v>
      </c>
      <c r="K535" s="7564"/>
      <c r="L535" s="7817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7656"/>
      <c r="B536" s="7665"/>
      <c r="C536" s="7747"/>
      <c r="D536" s="7586"/>
      <c r="E536" s="7676"/>
      <c r="F536" s="7586"/>
      <c r="G536" s="916">
        <v>5000000</v>
      </c>
      <c r="H536" s="916" t="s">
        <v>2368</v>
      </c>
      <c r="I536" s="920">
        <v>942173</v>
      </c>
      <c r="J536" s="921" t="s">
        <v>2369</v>
      </c>
      <c r="K536" s="7820">
        <f>G536+G537</f>
        <v>10000000</v>
      </c>
      <c r="L536" s="7841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7655"/>
      <c r="B537" s="7653"/>
      <c r="C537" s="7724"/>
      <c r="D537" s="7564"/>
      <c r="E537" s="7660"/>
      <c r="F537" s="7564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7822"/>
      <c r="L537" s="7842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7654">
        <v>370</v>
      </c>
      <c r="B546" s="7652" t="s">
        <v>1696</v>
      </c>
      <c r="C546" s="7723" t="s">
        <v>3323</v>
      </c>
      <c r="D546" s="7563">
        <v>200000000</v>
      </c>
      <c r="E546" s="7659">
        <v>0.05</v>
      </c>
      <c r="F546" s="7563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6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7655"/>
      <c r="B547" s="7653"/>
      <c r="C547" s="7724"/>
      <c r="D547" s="7564"/>
      <c r="E547" s="7660"/>
      <c r="F547" s="7564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6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7654">
        <v>379</v>
      </c>
      <c r="B556" s="7652" t="s">
        <v>1753</v>
      </c>
      <c r="C556" s="7723"/>
      <c r="D556" s="7563">
        <v>50000000</v>
      </c>
      <c r="E556" s="7659">
        <v>0.04</v>
      </c>
      <c r="F556" s="7563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7563">
        <f>G556+G557</f>
        <v>2000000</v>
      </c>
      <c r="L556" s="7816">
        <f t="shared" si="42"/>
        <v>0</v>
      </c>
      <c r="M556" s="7816"/>
      <c r="N556" s="386"/>
      <c r="O556" s="386"/>
      <c r="P556" s="386"/>
      <c r="Q556" s="386"/>
      <c r="R556" s="386"/>
    </row>
    <row r="557" spans="1:18" ht="30" customHeight="1" x14ac:dyDescent="0.2">
      <c r="A557" s="7655"/>
      <c r="B557" s="7653"/>
      <c r="C557" s="7724"/>
      <c r="D557" s="7564"/>
      <c r="E557" s="7660"/>
      <c r="F557" s="7564"/>
      <c r="G557" s="528">
        <v>400000</v>
      </c>
      <c r="H557" s="528" t="s">
        <v>1944</v>
      </c>
      <c r="I557" s="391">
        <v>656296949744</v>
      </c>
      <c r="J557" s="472" t="s">
        <v>1951</v>
      </c>
      <c r="K557" s="7564"/>
      <c r="L557" s="7817"/>
      <c r="M557" s="7817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7654">
        <v>387</v>
      </c>
      <c r="B564" s="7652" t="s">
        <v>1923</v>
      </c>
      <c r="C564" s="7723"/>
      <c r="D564" s="7677"/>
      <c r="E564" s="7691"/>
      <c r="F564" s="7677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7655"/>
      <c r="B565" s="7653"/>
      <c r="C565" s="7724"/>
      <c r="D565" s="7678"/>
      <c r="E565" s="7693"/>
      <c r="F565" s="7678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7654">
        <v>391</v>
      </c>
      <c r="B569" s="7652" t="s">
        <v>2003</v>
      </c>
      <c r="C569" s="7723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7811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7655"/>
      <c r="B570" s="7653"/>
      <c r="C570" s="7724"/>
      <c r="D570" s="7470" t="s">
        <v>2364</v>
      </c>
      <c r="E570" s="7493"/>
      <c r="F570" s="7510"/>
      <c r="G570" s="7470" t="s">
        <v>2366</v>
      </c>
      <c r="H570" s="7493"/>
      <c r="I570" s="7493"/>
      <c r="J570" s="7493"/>
      <c r="K570" s="7510"/>
      <c r="L570" s="815"/>
      <c r="M570" s="7812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7654"/>
      <c r="B579" s="7652" t="s">
        <v>2069</v>
      </c>
      <c r="C579" s="7723"/>
      <c r="D579" s="7563">
        <v>200000000</v>
      </c>
      <c r="E579" s="7659">
        <v>7.0000000000000007E-2</v>
      </c>
      <c r="F579" s="7563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7563">
        <f>G579+G580</f>
        <v>14000000</v>
      </c>
      <c r="L579" s="7816">
        <f>F579-K579</f>
        <v>0</v>
      </c>
      <c r="M579" s="7816"/>
      <c r="N579" s="386"/>
      <c r="O579" s="386"/>
      <c r="P579" s="386"/>
      <c r="Q579" s="386"/>
      <c r="R579" s="386"/>
    </row>
    <row r="580" spans="1:18" ht="30" customHeight="1" x14ac:dyDescent="0.2">
      <c r="A580" s="7655"/>
      <c r="B580" s="7653"/>
      <c r="C580" s="7724"/>
      <c r="D580" s="7564"/>
      <c r="E580" s="7660"/>
      <c r="F580" s="7564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7564"/>
      <c r="L580" s="7817"/>
      <c r="M580" s="7817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7806" t="s">
        <v>2207</v>
      </c>
      <c r="H584" s="7807"/>
      <c r="I584" s="7807"/>
      <c r="J584" s="7807"/>
      <c r="K584" s="7807"/>
      <c r="L584" s="7808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7806" t="s">
        <v>2207</v>
      </c>
      <c r="H585" s="7807"/>
      <c r="I585" s="7807"/>
      <c r="J585" s="7807"/>
      <c r="K585" s="7807"/>
      <c r="L585" s="7808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4031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7470" t="s">
        <v>4744</v>
      </c>
      <c r="E591" s="7493"/>
      <c r="F591" s="7510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39"/>
      <c r="M591" s="385" t="s">
        <v>4277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7470"/>
      <c r="H592" s="7493"/>
      <c r="I592" s="7493"/>
      <c r="J592" s="7493"/>
      <c r="K592" s="7510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7654"/>
      <c r="B594" s="7652" t="s">
        <v>2471</v>
      </c>
      <c r="C594" s="7723" t="s">
        <v>889</v>
      </c>
      <c r="D594" s="901">
        <v>51000000</v>
      </c>
      <c r="E594" s="907">
        <v>0.06</v>
      </c>
      <c r="F594" s="901">
        <f>D594*E594</f>
        <v>3060000</v>
      </c>
      <c r="G594" s="7732" t="s">
        <v>2514</v>
      </c>
      <c r="H594" s="7733"/>
      <c r="I594" s="7733"/>
      <c r="J594" s="7733"/>
      <c r="K594" s="7733"/>
      <c r="L594" s="7734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7655"/>
      <c r="B595" s="7653"/>
      <c r="C595" s="7724"/>
      <c r="D595" s="948">
        <v>57000000</v>
      </c>
      <c r="E595" s="954">
        <v>0.06</v>
      </c>
      <c r="F595" s="948">
        <f>D595*E595</f>
        <v>3420000</v>
      </c>
      <c r="G595" s="7732" t="s">
        <v>2515</v>
      </c>
      <c r="H595" s="7733"/>
      <c r="I595" s="7733"/>
      <c r="J595" s="7733"/>
      <c r="K595" s="7734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7802" t="s">
        <v>2205</v>
      </c>
      <c r="H596" s="7803"/>
      <c r="I596" s="7803"/>
      <c r="J596" s="7803"/>
      <c r="K596" s="7803"/>
      <c r="L596" s="7804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6" t="s">
        <v>4030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topLeftCell="B1" zoomScale="60" zoomScaleNormal="60" workbookViewId="0">
      <pane ySplit="1" topLeftCell="A695" activePane="bottomLeft" state="frozen"/>
      <selection activeCell="B1" sqref="B1"/>
      <selection pane="bottomLeft" activeCell="B709" sqref="B70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7654">
        <v>1</v>
      </c>
      <c r="B2" s="7652" t="s">
        <v>1496</v>
      </c>
      <c r="C2" s="7723" t="s">
        <v>372</v>
      </c>
      <c r="D2" s="7563">
        <v>600000000</v>
      </c>
      <c r="E2" s="7659">
        <v>0.06</v>
      </c>
      <c r="F2" s="7563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7563">
        <f>G2+G3</f>
        <v>36000000</v>
      </c>
      <c r="L2" s="7563">
        <f t="shared" ref="L2:L11" si="0">F2-K2</f>
        <v>0</v>
      </c>
      <c r="M2" s="7703"/>
    </row>
    <row r="3" spans="1:13" ht="30" customHeight="1" x14ac:dyDescent="0.2">
      <c r="A3" s="7655"/>
      <c r="B3" s="7653"/>
      <c r="C3" s="7724"/>
      <c r="D3" s="7564"/>
      <c r="E3" s="7660"/>
      <c r="F3" s="7564"/>
      <c r="G3" s="1229">
        <v>20000000</v>
      </c>
      <c r="H3" s="1229" t="s">
        <v>2897</v>
      </c>
      <c r="I3" s="1232" t="s">
        <v>3017</v>
      </c>
      <c r="J3" s="21" t="s">
        <v>1803</v>
      </c>
      <c r="K3" s="7564"/>
      <c r="L3" s="7564"/>
      <c r="M3" s="7705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7654">
        <v>11</v>
      </c>
      <c r="B13" s="7717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7563">
        <f>G13+G14</f>
        <v>1300000</v>
      </c>
      <c r="L13" s="7563">
        <f>(F13+F14)-K13</f>
        <v>0</v>
      </c>
      <c r="M13" s="7679"/>
    </row>
    <row r="14" spans="1:13" ht="30" customHeight="1" x14ac:dyDescent="0.2">
      <c r="A14" s="7656"/>
      <c r="B14" s="7717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7564"/>
      <c r="L14" s="7564"/>
      <c r="M14" s="7680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7654">
        <v>13</v>
      </c>
      <c r="B16" s="7652" t="s">
        <v>420</v>
      </c>
      <c r="C16" s="7723" t="s">
        <v>359</v>
      </c>
      <c r="D16" s="967">
        <v>80000000</v>
      </c>
      <c r="E16" s="1153">
        <f>F16/D16</f>
        <v>0.06</v>
      </c>
      <c r="F16" s="967">
        <v>4800000</v>
      </c>
      <c r="G16" s="7470" t="s">
        <v>2404</v>
      </c>
      <c r="H16" s="7493"/>
      <c r="I16" s="7493"/>
      <c r="J16" s="7510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7656"/>
      <c r="B17" s="7665"/>
      <c r="C17" s="7747"/>
      <c r="D17" s="7563"/>
      <c r="E17" s="7659"/>
      <c r="F17" s="7563"/>
      <c r="G17" s="7494" t="s">
        <v>2730</v>
      </c>
      <c r="H17" s="7495"/>
      <c r="I17" s="7495"/>
      <c r="J17" s="7768"/>
      <c r="K17" s="1150"/>
      <c r="L17" s="1150"/>
      <c r="M17" s="1151"/>
    </row>
    <row r="18" spans="1:13" ht="30" customHeight="1" x14ac:dyDescent="0.2">
      <c r="A18" s="7656"/>
      <c r="B18" s="7665"/>
      <c r="C18" s="7747"/>
      <c r="D18" s="7564"/>
      <c r="E18" s="7660"/>
      <c r="F18" s="7564"/>
      <c r="G18" s="7769"/>
      <c r="H18" s="7805"/>
      <c r="I18" s="7805"/>
      <c r="J18" s="7770"/>
      <c r="K18" s="1150"/>
      <c r="L18" s="1150"/>
      <c r="M18" s="1151"/>
    </row>
    <row r="19" spans="1:13" ht="30" customHeight="1" x14ac:dyDescent="0.2">
      <c r="A19" s="7656"/>
      <c r="B19" s="7665"/>
      <c r="C19" s="7747"/>
      <c r="D19" s="1150">
        <v>80000000</v>
      </c>
      <c r="E19" s="1153">
        <v>0.06</v>
      </c>
      <c r="F19" s="1150">
        <f t="shared" ref="F19:F24" si="3">D19*E19</f>
        <v>4800000</v>
      </c>
      <c r="G19" s="7934" t="s">
        <v>2731</v>
      </c>
      <c r="H19" s="7935"/>
      <c r="I19" s="7935"/>
      <c r="J19" s="7936"/>
      <c r="K19" s="1150"/>
      <c r="L19" s="1150"/>
      <c r="M19" s="1151"/>
    </row>
    <row r="20" spans="1:13" ht="30" customHeight="1" x14ac:dyDescent="0.2">
      <c r="A20" s="7655"/>
      <c r="B20" s="7653"/>
      <c r="C20" s="7724"/>
      <c r="D20" s="1150">
        <v>100000000</v>
      </c>
      <c r="E20" s="1153">
        <v>7.0000000000000007E-2</v>
      </c>
      <c r="F20" s="1150">
        <f t="shared" si="3"/>
        <v>7000000.0000000009</v>
      </c>
      <c r="G20" s="7937"/>
      <c r="H20" s="7938"/>
      <c r="I20" s="7938"/>
      <c r="J20" s="7939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7652" t="s">
        <v>487</v>
      </c>
      <c r="C23" s="7723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7563" t="s">
        <v>2553</v>
      </c>
      <c r="I23" s="7748" t="s">
        <v>2559</v>
      </c>
      <c r="J23" s="7762" t="s">
        <v>2560</v>
      </c>
      <c r="K23" s="7563">
        <f>G23+G24</f>
        <v>6400000</v>
      </c>
      <c r="L23" s="7563">
        <f>(F23+F24)-K23</f>
        <v>0</v>
      </c>
      <c r="M23" s="1035"/>
    </row>
    <row r="24" spans="1:13" ht="30" customHeight="1" x14ac:dyDescent="0.2">
      <c r="A24" s="1032"/>
      <c r="B24" s="7653"/>
      <c r="C24" s="7724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7564"/>
      <c r="I24" s="7749"/>
      <c r="J24" s="7763"/>
      <c r="K24" s="7564"/>
      <c r="L24" s="7564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7654">
        <v>19</v>
      </c>
      <c r="B27" s="7652" t="s">
        <v>560</v>
      </c>
      <c r="C27" s="7723"/>
      <c r="D27" s="973">
        <v>5000000</v>
      </c>
      <c r="E27" s="974"/>
      <c r="F27" s="973">
        <v>200000</v>
      </c>
      <c r="G27" s="7563"/>
      <c r="H27" s="7563"/>
      <c r="I27" s="7748"/>
      <c r="J27" s="7762"/>
      <c r="K27" s="7563"/>
      <c r="L27" s="7563">
        <f>(F27+F28)-K27</f>
        <v>300000</v>
      </c>
      <c r="M27" s="7679" t="s">
        <v>1209</v>
      </c>
    </row>
    <row r="28" spans="1:13" ht="30" customHeight="1" x14ac:dyDescent="0.2">
      <c r="A28" s="7656"/>
      <c r="B28" s="7665"/>
      <c r="C28" s="7747"/>
      <c r="D28" s="973">
        <v>2500000</v>
      </c>
      <c r="E28" s="974"/>
      <c r="F28" s="973">
        <v>100000</v>
      </c>
      <c r="G28" s="7564"/>
      <c r="H28" s="7564"/>
      <c r="I28" s="7749"/>
      <c r="J28" s="7763"/>
      <c r="K28" s="7564"/>
      <c r="L28" s="7564"/>
      <c r="M28" s="7680"/>
    </row>
    <row r="29" spans="1:13" ht="30" customHeight="1" x14ac:dyDescent="0.2">
      <c r="A29" s="7656"/>
      <c r="B29" s="7665"/>
      <c r="C29" s="7747"/>
      <c r="D29" s="973">
        <v>50000000</v>
      </c>
      <c r="E29" s="974"/>
      <c r="F29" s="973"/>
      <c r="G29" s="7806" t="s">
        <v>1995</v>
      </c>
      <c r="H29" s="7807"/>
      <c r="I29" s="7807"/>
      <c r="J29" s="7807"/>
      <c r="K29" s="7808"/>
      <c r="L29" s="966"/>
      <c r="M29" s="969"/>
    </row>
    <row r="30" spans="1:13" ht="30" customHeight="1" x14ac:dyDescent="0.2">
      <c r="A30" s="7655"/>
      <c r="B30" s="7653"/>
      <c r="C30" s="7724"/>
      <c r="D30" s="1222">
        <v>15000000</v>
      </c>
      <c r="E30" s="1223"/>
      <c r="F30" s="1222"/>
      <c r="G30" s="7806" t="s">
        <v>2912</v>
      </c>
      <c r="H30" s="7807"/>
      <c r="I30" s="7807"/>
      <c r="J30" s="7807"/>
      <c r="K30" s="7808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7654">
        <v>26</v>
      </c>
      <c r="B34" s="7703" t="s">
        <v>803</v>
      </c>
      <c r="C34" s="7723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7656"/>
      <c r="B35" s="7704"/>
      <c r="C35" s="7747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7656"/>
      <c r="B36" s="7704"/>
      <c r="C36" s="7747"/>
      <c r="D36" s="7928" t="s">
        <v>3472</v>
      </c>
      <c r="E36" s="7929"/>
      <c r="F36" s="7930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7656"/>
      <c r="B37" s="7704"/>
      <c r="C37" s="7747"/>
      <c r="D37" s="7931"/>
      <c r="E37" s="7932"/>
      <c r="F37" s="7933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7655"/>
      <c r="B38" s="7705"/>
      <c r="C38" s="7724"/>
      <c r="D38" s="438">
        <f>D35-G36</f>
        <v>386000000</v>
      </c>
      <c r="E38" s="1337"/>
      <c r="F38" s="1337"/>
      <c r="G38" s="7732" t="s">
        <v>3157</v>
      </c>
      <c r="H38" s="7733"/>
      <c r="I38" s="7733"/>
      <c r="J38" s="7733"/>
      <c r="K38" s="7734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7656">
        <v>28</v>
      </c>
      <c r="B40" s="7703" t="s">
        <v>819</v>
      </c>
      <c r="C40" s="7723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7656"/>
      <c r="B41" s="7704"/>
      <c r="C41" s="7747"/>
      <c r="D41" s="1282"/>
      <c r="E41" s="1281"/>
      <c r="F41" s="1283"/>
      <c r="G41" s="7732" t="s">
        <v>3069</v>
      </c>
      <c r="H41" s="7733"/>
      <c r="I41" s="7733"/>
      <c r="J41" s="7733"/>
      <c r="K41" s="7734"/>
      <c r="L41" s="1274"/>
      <c r="M41" s="1292"/>
    </row>
    <row r="42" spans="1:13" ht="30" customHeight="1" x14ac:dyDescent="0.2">
      <c r="A42" s="7656"/>
      <c r="B42" s="7704"/>
      <c r="C42" s="7747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7656"/>
      <c r="B43" s="7704"/>
      <c r="C43" s="7747"/>
      <c r="D43" s="7494" t="s">
        <v>3070</v>
      </c>
      <c r="E43" s="7495"/>
      <c r="F43" s="7768"/>
      <c r="G43" s="1252">
        <v>35000000</v>
      </c>
      <c r="H43" s="1258" t="s">
        <v>3004</v>
      </c>
      <c r="I43" s="1262">
        <v>183433</v>
      </c>
      <c r="J43" s="64" t="s">
        <v>3043</v>
      </c>
      <c r="K43" s="7563">
        <f>G43+G44</f>
        <v>50000000</v>
      </c>
      <c r="L43" s="7563">
        <f>50000000-K43</f>
        <v>0</v>
      </c>
      <c r="M43" s="7679"/>
    </row>
    <row r="44" spans="1:13" ht="30" customHeight="1" x14ac:dyDescent="0.2">
      <c r="A44" s="7656"/>
      <c r="B44" s="7704"/>
      <c r="C44" s="7747"/>
      <c r="D44" s="7769"/>
      <c r="E44" s="7805"/>
      <c r="F44" s="7770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7564"/>
      <c r="L44" s="7564"/>
      <c r="M44" s="7680"/>
    </row>
    <row r="45" spans="1:13" ht="30" customHeight="1" x14ac:dyDescent="0.2">
      <c r="A45" s="7656"/>
      <c r="B45" s="7704"/>
      <c r="C45" s="7747"/>
      <c r="D45" s="7470" t="s">
        <v>3237</v>
      </c>
      <c r="E45" s="7493"/>
      <c r="F45" s="7510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7655"/>
      <c r="B46" s="7705"/>
      <c r="C46" s="7724"/>
      <c r="D46" s="1285">
        <v>700000000</v>
      </c>
      <c r="E46" s="1290">
        <v>0.06</v>
      </c>
      <c r="F46" s="1285">
        <f>D46*E46</f>
        <v>42000000</v>
      </c>
      <c r="G46" s="7806" t="s">
        <v>2685</v>
      </c>
      <c r="H46" s="7807"/>
      <c r="I46" s="7807"/>
      <c r="J46" s="7807"/>
      <c r="K46" s="7808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7563">
        <f>G48+G49</f>
        <v>1200000</v>
      </c>
      <c r="L48" s="7563">
        <f>(F48+F49)-K48</f>
        <v>0</v>
      </c>
      <c r="M48" s="637"/>
    </row>
    <row r="49" spans="1:13" ht="30" customHeight="1" x14ac:dyDescent="0.2">
      <c r="A49" s="7654"/>
      <c r="B49" s="7652" t="s">
        <v>3006</v>
      </c>
      <c r="C49" s="7723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7564"/>
      <c r="L49" s="7564"/>
      <c r="M49" s="29" t="s">
        <v>3147</v>
      </c>
    </row>
    <row r="50" spans="1:13" ht="30" customHeight="1" x14ac:dyDescent="0.2">
      <c r="A50" s="7655"/>
      <c r="B50" s="7653"/>
      <c r="C50" s="7724"/>
      <c r="D50" s="7470" t="s">
        <v>3342</v>
      </c>
      <c r="E50" s="7493"/>
      <c r="F50" s="7510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7654">
        <v>32</v>
      </c>
      <c r="B52" s="7703" t="s">
        <v>982</v>
      </c>
      <c r="C52" s="7723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7563">
        <v>7450000</v>
      </c>
      <c r="H52" s="7563" t="s">
        <v>3214</v>
      </c>
      <c r="I52" s="7765">
        <v>278416</v>
      </c>
      <c r="J52" s="7762" t="s">
        <v>2377</v>
      </c>
      <c r="K52" s="7563">
        <f t="shared" si="6"/>
        <v>7450000</v>
      </c>
      <c r="L52" s="7563">
        <f>(F52+F53)-K52</f>
        <v>0</v>
      </c>
      <c r="M52" s="7713"/>
    </row>
    <row r="53" spans="1:13" ht="30" customHeight="1" x14ac:dyDescent="0.2">
      <c r="A53" s="7656"/>
      <c r="B53" s="7704"/>
      <c r="C53" s="7724"/>
      <c r="D53" s="967">
        <v>35000000</v>
      </c>
      <c r="E53" s="964">
        <v>7.0000000000000007E-2</v>
      </c>
      <c r="F53" s="967">
        <f t="shared" si="7"/>
        <v>2450000.0000000005</v>
      </c>
      <c r="G53" s="7564"/>
      <c r="H53" s="7564"/>
      <c r="I53" s="7766"/>
      <c r="J53" s="7763"/>
      <c r="K53" s="7564"/>
      <c r="L53" s="7564"/>
      <c r="M53" s="7714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7654">
        <v>35</v>
      </c>
      <c r="B56" s="7652" t="s">
        <v>1150</v>
      </c>
      <c r="C56" s="7723" t="s">
        <v>1138</v>
      </c>
      <c r="D56" s="1351">
        <v>150000000</v>
      </c>
      <c r="E56" s="1356">
        <v>0.06</v>
      </c>
      <c r="F56" s="1351">
        <f>D56*E56</f>
        <v>9000000</v>
      </c>
      <c r="G56" s="7470" t="s">
        <v>3262</v>
      </c>
      <c r="H56" s="7493"/>
      <c r="I56" s="7493"/>
      <c r="J56" s="7493"/>
      <c r="K56" s="7510"/>
      <c r="L56" s="967">
        <f t="shared" si="8"/>
        <v>9000000</v>
      </c>
      <c r="M56" s="7713" t="s">
        <v>2991</v>
      </c>
    </row>
    <row r="57" spans="1:13" ht="30" customHeight="1" x14ac:dyDescent="0.2">
      <c r="A57" s="7655"/>
      <c r="B57" s="7653"/>
      <c r="C57" s="7724"/>
      <c r="D57" s="1355">
        <v>175000000</v>
      </c>
      <c r="E57" s="1361">
        <v>0.06</v>
      </c>
      <c r="F57" s="1355">
        <f>D57*E57</f>
        <v>10500000</v>
      </c>
      <c r="G57" s="7470" t="s">
        <v>3263</v>
      </c>
      <c r="H57" s="7493"/>
      <c r="I57" s="7493"/>
      <c r="J57" s="7493"/>
      <c r="K57" s="7510"/>
      <c r="L57" s="1344">
        <f t="shared" si="8"/>
        <v>10500000</v>
      </c>
      <c r="M57" s="7714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7732" t="s">
        <v>3265</v>
      </c>
      <c r="H58" s="7733"/>
      <c r="I58" s="7733"/>
      <c r="J58" s="7733"/>
      <c r="K58" s="7734"/>
      <c r="L58" s="1344">
        <f t="shared" si="8"/>
        <v>4000000</v>
      </c>
      <c r="M58" s="1346"/>
    </row>
    <row r="59" spans="1:13" ht="30" customHeight="1" x14ac:dyDescent="0.2">
      <c r="A59" s="7654">
        <v>36</v>
      </c>
      <c r="B59" s="7703" t="s">
        <v>1155</v>
      </c>
      <c r="C59" s="7723" t="s">
        <v>1081</v>
      </c>
      <c r="D59" s="7563">
        <v>50000000</v>
      </c>
      <c r="E59" s="7659">
        <v>7.0000000000000007E-2</v>
      </c>
      <c r="F59" s="7563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7655"/>
      <c r="B60" s="7705"/>
      <c r="C60" s="7724"/>
      <c r="D60" s="7564"/>
      <c r="E60" s="7660"/>
      <c r="F60" s="7564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7563">
        <v>3500000</v>
      </c>
      <c r="H65" s="7563" t="s">
        <v>2803</v>
      </c>
      <c r="I65" s="7748" t="s">
        <v>2819</v>
      </c>
      <c r="J65" s="7775" t="s">
        <v>2820</v>
      </c>
      <c r="K65" s="7563">
        <f>G65</f>
        <v>3500000</v>
      </c>
      <c r="L65" s="7563">
        <f>(F65+F66)-K65</f>
        <v>0</v>
      </c>
      <c r="M65" s="7703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7564"/>
      <c r="H66" s="7564"/>
      <c r="I66" s="7749"/>
      <c r="J66" s="7777"/>
      <c r="K66" s="7564"/>
      <c r="L66" s="7564"/>
      <c r="M66" s="7705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7654">
        <v>45</v>
      </c>
      <c r="B68" s="7652" t="s">
        <v>185</v>
      </c>
      <c r="C68" s="7723" t="s">
        <v>1295</v>
      </c>
      <c r="D68" s="7563">
        <v>1190000000</v>
      </c>
      <c r="E68" s="7659">
        <v>7.0000000000000007E-2</v>
      </c>
      <c r="F68" s="7563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7563">
        <f>G68+G69</f>
        <v>83300000</v>
      </c>
      <c r="L68" s="7563">
        <f>F68-K68</f>
        <v>0</v>
      </c>
      <c r="M68" s="7703"/>
    </row>
    <row r="69" spans="1:13" ht="30" customHeight="1" x14ac:dyDescent="0.2">
      <c r="A69" s="7655"/>
      <c r="B69" s="7653"/>
      <c r="C69" s="7724"/>
      <c r="D69" s="7564"/>
      <c r="E69" s="7660"/>
      <c r="F69" s="7564"/>
      <c r="G69" s="1091">
        <v>13300000</v>
      </c>
      <c r="H69" s="1091" t="s">
        <v>2689</v>
      </c>
      <c r="I69" s="1105" t="s">
        <v>2695</v>
      </c>
      <c r="J69" s="21" t="s">
        <v>2696</v>
      </c>
      <c r="K69" s="7564"/>
      <c r="L69" s="7564"/>
      <c r="M69" s="7705"/>
    </row>
    <row r="70" spans="1:13" ht="30" customHeight="1" x14ac:dyDescent="0.2">
      <c r="A70" s="7654">
        <v>46</v>
      </c>
      <c r="B70" s="7913" t="s">
        <v>186</v>
      </c>
      <c r="C70" s="7916" t="s">
        <v>1081</v>
      </c>
      <c r="D70" s="7820">
        <v>1200000000</v>
      </c>
      <c r="E70" s="7826">
        <v>0.08</v>
      </c>
      <c r="F70" s="7820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7656"/>
      <c r="B71" s="7914"/>
      <c r="C71" s="7917"/>
      <c r="D71" s="7821"/>
      <c r="E71" s="7827"/>
      <c r="F71" s="7821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7655"/>
      <c r="B72" s="7914"/>
      <c r="C72" s="7917"/>
      <c r="D72" s="7821"/>
      <c r="E72" s="7827"/>
      <c r="F72" s="7821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7915"/>
      <c r="C73" s="7918"/>
      <c r="D73" s="7822"/>
      <c r="E73" s="7828"/>
      <c r="F73" s="7822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7879">
        <v>48</v>
      </c>
      <c r="B75" s="7652" t="s">
        <v>1615</v>
      </c>
      <c r="C75" s="7723" t="s">
        <v>1081</v>
      </c>
      <c r="D75" s="7563">
        <v>100000000</v>
      </c>
      <c r="E75" s="7659">
        <v>0.05</v>
      </c>
      <c r="F75" s="7563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7879"/>
      <c r="B76" s="7653"/>
      <c r="C76" s="7724"/>
      <c r="D76" s="7564"/>
      <c r="E76" s="7660"/>
      <c r="F76" s="7564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7654">
        <v>50</v>
      </c>
      <c r="B78" s="7652" t="s">
        <v>190</v>
      </c>
      <c r="C78" s="7723" t="s">
        <v>889</v>
      </c>
      <c r="D78" s="7563">
        <v>350000000</v>
      </c>
      <c r="E78" s="7659">
        <v>0.05</v>
      </c>
      <c r="F78" s="7563">
        <f t="shared" si="9"/>
        <v>17500000</v>
      </c>
      <c r="G78" s="7946" t="s">
        <v>2518</v>
      </c>
      <c r="H78" s="7947"/>
      <c r="I78" s="7947"/>
      <c r="J78" s="7947"/>
      <c r="K78" s="7947"/>
      <c r="L78" s="7948"/>
      <c r="M78" s="97"/>
    </row>
    <row r="79" spans="1:13" ht="30" customHeight="1" x14ac:dyDescent="0.2">
      <c r="A79" s="7655"/>
      <c r="B79" s="7653"/>
      <c r="C79" s="7724"/>
      <c r="D79" s="7564"/>
      <c r="E79" s="7660"/>
      <c r="F79" s="7564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7654">
        <v>51</v>
      </c>
      <c r="B80" s="7652" t="s">
        <v>191</v>
      </c>
      <c r="C80" s="7723" t="s">
        <v>889</v>
      </c>
      <c r="D80" s="7563">
        <v>260000000</v>
      </c>
      <c r="E80" s="7659">
        <f>F80/D80</f>
        <v>5.5769230769230772E-2</v>
      </c>
      <c r="F80" s="7563">
        <v>14500000</v>
      </c>
      <c r="G80" s="7934" t="s">
        <v>2431</v>
      </c>
      <c r="H80" s="7935"/>
      <c r="I80" s="7935"/>
      <c r="J80" s="7935"/>
      <c r="K80" s="7935"/>
      <c r="L80" s="7936"/>
      <c r="M80" s="958" t="s">
        <v>2469</v>
      </c>
    </row>
    <row r="81" spans="1:13" ht="30" customHeight="1" x14ac:dyDescent="0.2">
      <c r="A81" s="7655"/>
      <c r="B81" s="7653"/>
      <c r="C81" s="7724"/>
      <c r="D81" s="7564"/>
      <c r="E81" s="7660"/>
      <c r="F81" s="7564"/>
      <c r="G81" s="7937"/>
      <c r="H81" s="7938"/>
      <c r="I81" s="7938"/>
      <c r="J81" s="7938"/>
      <c r="K81" s="7938"/>
      <c r="L81" s="7939"/>
      <c r="M81" s="960" t="s">
        <v>2432</v>
      </c>
    </row>
    <row r="82" spans="1:13" ht="30" customHeight="1" x14ac:dyDescent="0.2">
      <c r="A82" s="7654">
        <v>52</v>
      </c>
      <c r="B82" s="7652" t="s">
        <v>192</v>
      </c>
      <c r="C82" s="7723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7470" t="s">
        <v>2020</v>
      </c>
      <c r="H82" s="7493"/>
      <c r="I82" s="7493"/>
      <c r="J82" s="7493"/>
      <c r="K82" s="7510"/>
      <c r="L82" s="1195">
        <f t="shared" si="11"/>
        <v>4200000</v>
      </c>
      <c r="M82" s="999" t="s">
        <v>1495</v>
      </c>
    </row>
    <row r="83" spans="1:13" ht="30" customHeight="1" x14ac:dyDescent="0.2">
      <c r="A83" s="7656"/>
      <c r="B83" s="7665"/>
      <c r="C83" s="7747"/>
      <c r="D83" s="1195">
        <v>20000000</v>
      </c>
      <c r="E83" s="1203"/>
      <c r="F83" s="1195"/>
      <c r="G83" s="7732" t="s">
        <v>2021</v>
      </c>
      <c r="H83" s="7733"/>
      <c r="I83" s="7733"/>
      <c r="J83" s="7733"/>
      <c r="K83" s="7733"/>
      <c r="L83" s="7734"/>
      <c r="M83" s="999"/>
    </row>
    <row r="84" spans="1:13" ht="30" customHeight="1" x14ac:dyDescent="0.2">
      <c r="A84" s="7656"/>
      <c r="B84" s="7665"/>
      <c r="C84" s="7747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7655"/>
      <c r="B85" s="7653"/>
      <c r="C85" s="7724"/>
      <c r="D85" s="1449">
        <v>10000000</v>
      </c>
      <c r="E85" s="1298">
        <v>7.0000000000000007E-2</v>
      </c>
      <c r="F85" s="1449">
        <f>D85*E85</f>
        <v>700000.00000000012</v>
      </c>
      <c r="G85" s="7891" t="s">
        <v>2884</v>
      </c>
      <c r="H85" s="7892"/>
      <c r="I85" s="7892"/>
      <c r="J85" s="7892"/>
      <c r="K85" s="7893"/>
      <c r="L85" s="1199"/>
      <c r="M85" s="763" t="s">
        <v>2883</v>
      </c>
    </row>
    <row r="86" spans="1:13" ht="30" customHeight="1" x14ac:dyDescent="0.2">
      <c r="A86" s="7654">
        <v>53</v>
      </c>
      <c r="B86" s="7703" t="s">
        <v>193</v>
      </c>
      <c r="C86" s="7723" t="s">
        <v>1294</v>
      </c>
      <c r="D86" s="7563">
        <v>350000000</v>
      </c>
      <c r="E86" s="7659">
        <v>7.0000000000000007E-2</v>
      </c>
      <c r="F86" s="7563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7563">
        <f>G86+G87</f>
        <v>24500000</v>
      </c>
      <c r="L86" s="7563">
        <f>F86-K86</f>
        <v>0</v>
      </c>
      <c r="M86" s="763"/>
    </row>
    <row r="87" spans="1:13" ht="30" customHeight="1" x14ac:dyDescent="0.2">
      <c r="A87" s="7656"/>
      <c r="B87" s="7704"/>
      <c r="C87" s="7747"/>
      <c r="D87" s="7564"/>
      <c r="E87" s="7660"/>
      <c r="F87" s="7564"/>
      <c r="G87" s="1259">
        <v>4500000</v>
      </c>
      <c r="H87" s="1251" t="s">
        <v>3004</v>
      </c>
      <c r="I87" s="1260" t="s">
        <v>3044</v>
      </c>
      <c r="J87" s="1257" t="s">
        <v>281</v>
      </c>
      <c r="K87" s="7564"/>
      <c r="L87" s="7564"/>
      <c r="M87" s="522"/>
    </row>
    <row r="88" spans="1:13" ht="30" customHeight="1" x14ac:dyDescent="0.2">
      <c r="A88" s="7655"/>
      <c r="B88" s="7705"/>
      <c r="C88" s="7724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7654">
        <v>54</v>
      </c>
      <c r="B89" s="7652" t="s">
        <v>1060</v>
      </c>
      <c r="C89" s="7723"/>
      <c r="D89" s="967">
        <v>35000000</v>
      </c>
      <c r="E89" s="964">
        <v>7.1999999999999995E-2</v>
      </c>
      <c r="F89" s="967">
        <v>2500000</v>
      </c>
      <c r="G89" s="7924"/>
      <c r="H89" s="7924"/>
      <c r="I89" s="7949"/>
      <c r="J89" s="7926"/>
      <c r="K89" s="7924">
        <f>G89</f>
        <v>0</v>
      </c>
      <c r="L89" s="7924">
        <f>(F89+F90)-K89</f>
        <v>3500000</v>
      </c>
      <c r="M89" s="7703"/>
    </row>
    <row r="90" spans="1:13" ht="30" customHeight="1" x14ac:dyDescent="0.2">
      <c r="A90" s="7656"/>
      <c r="B90" s="7653"/>
      <c r="C90" s="7724"/>
      <c r="D90" s="967">
        <v>13000000</v>
      </c>
      <c r="E90" s="995">
        <v>7.6999999999999999E-2</v>
      </c>
      <c r="F90" s="967">
        <v>1000000</v>
      </c>
      <c r="G90" s="7925"/>
      <c r="H90" s="7925"/>
      <c r="I90" s="7950"/>
      <c r="J90" s="7927"/>
      <c r="K90" s="7925"/>
      <c r="L90" s="7925"/>
      <c r="M90" s="7705"/>
    </row>
    <row r="91" spans="1:13" ht="30" customHeight="1" x14ac:dyDescent="0.2">
      <c r="A91" s="7654">
        <v>55</v>
      </c>
      <c r="B91" s="7652" t="s">
        <v>1247</v>
      </c>
      <c r="C91" s="7723" t="s">
        <v>1295</v>
      </c>
      <c r="D91" s="982">
        <v>175000000</v>
      </c>
      <c r="E91" s="995">
        <v>0.52</v>
      </c>
      <c r="F91" s="982">
        <v>9000000</v>
      </c>
      <c r="G91" s="7482">
        <v>17400000</v>
      </c>
      <c r="H91" s="7482" t="s">
        <v>2553</v>
      </c>
      <c r="I91" s="7856" t="s">
        <v>2572</v>
      </c>
      <c r="J91" s="7857" t="s">
        <v>1063</v>
      </c>
      <c r="K91" s="7482">
        <f>G91</f>
        <v>17400000</v>
      </c>
      <c r="L91" s="7482">
        <f>(F91+F92+F93)-K91</f>
        <v>850000</v>
      </c>
      <c r="M91" s="180" t="s">
        <v>1931</v>
      </c>
    </row>
    <row r="92" spans="1:13" ht="30" customHeight="1" x14ac:dyDescent="0.2">
      <c r="A92" s="7656"/>
      <c r="B92" s="7665"/>
      <c r="C92" s="7747"/>
      <c r="D92" s="965">
        <f>85000000+20000000</f>
        <v>105000000</v>
      </c>
      <c r="E92" s="963">
        <v>7.0000000000000007E-2</v>
      </c>
      <c r="F92" s="965">
        <v>7500000</v>
      </c>
      <c r="G92" s="7482"/>
      <c r="H92" s="7482"/>
      <c r="I92" s="7856"/>
      <c r="J92" s="7857"/>
      <c r="K92" s="7482"/>
      <c r="L92" s="7482"/>
      <c r="M92" s="180" t="s">
        <v>1932</v>
      </c>
    </row>
    <row r="93" spans="1:13" ht="30" customHeight="1" x14ac:dyDescent="0.2">
      <c r="A93" s="7655"/>
      <c r="B93" s="7653"/>
      <c r="C93" s="7724"/>
      <c r="D93" s="982">
        <v>35000000</v>
      </c>
      <c r="E93" s="995">
        <v>0.05</v>
      </c>
      <c r="F93" s="982">
        <f>D93*E93</f>
        <v>1750000</v>
      </c>
      <c r="G93" s="7482"/>
      <c r="H93" s="7482"/>
      <c r="I93" s="7856"/>
      <c r="J93" s="7857"/>
      <c r="K93" s="7482"/>
      <c r="L93" s="7482"/>
      <c r="M93" s="972" t="s">
        <v>2519</v>
      </c>
    </row>
    <row r="94" spans="1:13" ht="30" customHeight="1" x14ac:dyDescent="0.2">
      <c r="A94" s="7654">
        <v>56</v>
      </c>
      <c r="B94" s="7652" t="s">
        <v>35</v>
      </c>
      <c r="C94" s="7723" t="s">
        <v>1295</v>
      </c>
      <c r="D94" s="7563">
        <v>3284000000</v>
      </c>
      <c r="E94" s="7659">
        <v>7.0000000000000007E-2</v>
      </c>
      <c r="F94" s="7563">
        <v>229880000</v>
      </c>
      <c r="G94" s="982">
        <v>2140000</v>
      </c>
      <c r="H94" s="7563" t="s">
        <v>2689</v>
      </c>
      <c r="I94" s="7853" t="s">
        <v>2690</v>
      </c>
      <c r="J94" s="7561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7656"/>
      <c r="B95" s="7665"/>
      <c r="C95" s="7747"/>
      <c r="D95" s="7586"/>
      <c r="E95" s="7676"/>
      <c r="F95" s="7586"/>
      <c r="G95" s="967">
        <v>29880000</v>
      </c>
      <c r="H95" s="7564"/>
      <c r="I95" s="7854"/>
      <c r="J95" s="7562"/>
      <c r="K95" s="7482">
        <f>G95+G96+G97+G98+G99+G100</f>
        <v>229880000</v>
      </c>
      <c r="L95" s="7482">
        <f>F94-K95</f>
        <v>0</v>
      </c>
      <c r="M95" s="7919" t="s">
        <v>2991</v>
      </c>
    </row>
    <row r="96" spans="1:13" ht="30" customHeight="1" x14ac:dyDescent="0.2">
      <c r="A96" s="7656"/>
      <c r="B96" s="7665"/>
      <c r="C96" s="7747"/>
      <c r="D96" s="7586"/>
      <c r="E96" s="7676"/>
      <c r="F96" s="7586"/>
      <c r="G96" s="967">
        <v>50000000</v>
      </c>
      <c r="H96" s="967" t="s">
        <v>2713</v>
      </c>
      <c r="I96" s="983" t="s">
        <v>2797</v>
      </c>
      <c r="J96" s="21" t="s">
        <v>678</v>
      </c>
      <c r="K96" s="7482"/>
      <c r="L96" s="7482"/>
      <c r="M96" s="7920"/>
    </row>
    <row r="97" spans="1:13" ht="30" customHeight="1" x14ac:dyDescent="0.2">
      <c r="A97" s="7656"/>
      <c r="B97" s="7665"/>
      <c r="C97" s="7747"/>
      <c r="D97" s="7586"/>
      <c r="E97" s="7676"/>
      <c r="F97" s="7586"/>
      <c r="G97" s="967">
        <v>20000000</v>
      </c>
      <c r="H97" s="967" t="s">
        <v>2916</v>
      </c>
      <c r="I97" s="983" t="s">
        <v>2940</v>
      </c>
      <c r="J97" s="21" t="s">
        <v>678</v>
      </c>
      <c r="K97" s="7482"/>
      <c r="L97" s="7482"/>
      <c r="M97" s="7920"/>
    </row>
    <row r="98" spans="1:13" ht="30" customHeight="1" x14ac:dyDescent="0.2">
      <c r="A98" s="7656"/>
      <c r="B98" s="7665"/>
      <c r="C98" s="7747"/>
      <c r="D98" s="7586"/>
      <c r="E98" s="7676"/>
      <c r="F98" s="7586"/>
      <c r="G98" s="967">
        <v>30000000</v>
      </c>
      <c r="H98" s="967" t="s">
        <v>2916</v>
      </c>
      <c r="I98" s="983" t="s">
        <v>2941</v>
      </c>
      <c r="J98" s="21" t="s">
        <v>678</v>
      </c>
      <c r="K98" s="7482"/>
      <c r="L98" s="7482"/>
      <c r="M98" s="7920"/>
    </row>
    <row r="99" spans="1:13" ht="30" customHeight="1" x14ac:dyDescent="0.2">
      <c r="A99" s="7656"/>
      <c r="B99" s="7665"/>
      <c r="C99" s="7747"/>
      <c r="D99" s="7586"/>
      <c r="E99" s="7676"/>
      <c r="F99" s="7586"/>
      <c r="G99" s="967">
        <v>50000000</v>
      </c>
      <c r="H99" s="967" t="s">
        <v>2897</v>
      </c>
      <c r="I99" s="983" t="s">
        <v>3016</v>
      </c>
      <c r="J99" s="21" t="s">
        <v>678</v>
      </c>
      <c r="K99" s="7482"/>
      <c r="L99" s="7482"/>
      <c r="M99" s="7920"/>
    </row>
    <row r="100" spans="1:13" ht="30" customHeight="1" x14ac:dyDescent="0.2">
      <c r="A100" s="7656"/>
      <c r="B100" s="7665"/>
      <c r="C100" s="7747"/>
      <c r="D100" s="7586"/>
      <c r="E100" s="7676"/>
      <c r="F100" s="7586"/>
      <c r="G100" s="967">
        <v>50000000</v>
      </c>
      <c r="H100" s="967" t="s">
        <v>3144</v>
      </c>
      <c r="I100" s="992" t="s">
        <v>3368</v>
      </c>
      <c r="J100" s="21" t="s">
        <v>678</v>
      </c>
      <c r="K100" s="7482"/>
      <c r="L100" s="7482"/>
      <c r="M100" s="7921"/>
    </row>
    <row r="101" spans="1:13" ht="30" customHeight="1" x14ac:dyDescent="0.2">
      <c r="A101" s="7654">
        <v>57</v>
      </c>
      <c r="B101" s="7652" t="s">
        <v>1077</v>
      </c>
      <c r="C101" s="7723" t="s">
        <v>1298</v>
      </c>
      <c r="D101" s="7563">
        <v>317000000</v>
      </c>
      <c r="E101" s="7659">
        <v>7.0000000000000007E-2</v>
      </c>
      <c r="F101" s="7563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7563">
        <f>G101+G102</f>
        <v>22190000</v>
      </c>
      <c r="L101" s="7563">
        <f>F101-K101</f>
        <v>0</v>
      </c>
      <c r="M101" s="7809" t="s">
        <v>2991</v>
      </c>
    </row>
    <row r="102" spans="1:13" ht="30" customHeight="1" x14ac:dyDescent="0.2">
      <c r="A102" s="7655"/>
      <c r="B102" s="7653"/>
      <c r="C102" s="7724"/>
      <c r="D102" s="7564"/>
      <c r="E102" s="7660"/>
      <c r="F102" s="7564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7564"/>
      <c r="L102" s="7564"/>
      <c r="M102" s="7810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7654">
        <v>59</v>
      </c>
      <c r="B104" s="7703" t="s">
        <v>194</v>
      </c>
      <c r="C104" s="7723" t="s">
        <v>1295</v>
      </c>
      <c r="D104" s="967">
        <v>90000000</v>
      </c>
      <c r="E104" s="995">
        <v>0.05</v>
      </c>
      <c r="F104" s="967">
        <f t="shared" si="9"/>
        <v>4500000</v>
      </c>
      <c r="G104" s="7482">
        <v>5200000</v>
      </c>
      <c r="H104" s="7482" t="s">
        <v>2553</v>
      </c>
      <c r="I104" s="7922" t="s">
        <v>2564</v>
      </c>
      <c r="J104" s="7923" t="s">
        <v>2565</v>
      </c>
      <c r="K104" s="7563">
        <f>G104</f>
        <v>5200000</v>
      </c>
      <c r="L104" s="7563">
        <f>(F104+F105)-K104</f>
        <v>0</v>
      </c>
      <c r="M104" s="7713"/>
    </row>
    <row r="105" spans="1:13" ht="30" customHeight="1" x14ac:dyDescent="0.2">
      <c r="A105" s="7656"/>
      <c r="B105" s="7704"/>
      <c r="C105" s="7747"/>
      <c r="D105" s="967">
        <v>10000000</v>
      </c>
      <c r="E105" s="995">
        <v>7.0000000000000007E-2</v>
      </c>
      <c r="F105" s="967">
        <f t="shared" si="9"/>
        <v>700000.00000000012</v>
      </c>
      <c r="G105" s="7482"/>
      <c r="H105" s="7482"/>
      <c r="I105" s="7922"/>
      <c r="J105" s="7923"/>
      <c r="K105" s="7564"/>
      <c r="L105" s="7564"/>
      <c r="M105" s="7714"/>
    </row>
    <row r="106" spans="1:13" ht="30" customHeight="1" x14ac:dyDescent="0.2">
      <c r="A106" s="7655"/>
      <c r="B106" s="7705"/>
      <c r="C106" s="7724"/>
      <c r="D106" s="1449">
        <v>115000000</v>
      </c>
      <c r="E106" s="1298"/>
      <c r="F106" s="1449"/>
      <c r="G106" s="7858" t="s">
        <v>3355</v>
      </c>
      <c r="H106" s="7859"/>
      <c r="I106" s="7859"/>
      <c r="J106" s="7859"/>
      <c r="K106" s="7860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7654">
        <v>62</v>
      </c>
      <c r="B109" s="7652" t="s">
        <v>197</v>
      </c>
      <c r="C109" s="7723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7655"/>
      <c r="B110" s="7653"/>
      <c r="C110" s="7724"/>
      <c r="D110" s="7470"/>
      <c r="E110" s="7493"/>
      <c r="F110" s="7510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7654">
        <v>63</v>
      </c>
      <c r="B111" s="7652" t="s">
        <v>198</v>
      </c>
      <c r="C111" s="7723" t="s">
        <v>889</v>
      </c>
      <c r="D111" s="7563">
        <v>1600000000</v>
      </c>
      <c r="E111" s="7659">
        <v>6.5000000000000002E-2</v>
      </c>
      <c r="F111" s="7563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7563">
        <f>G111+G112</f>
        <v>24000000</v>
      </c>
      <c r="L111" s="7563">
        <f>24000000-K111</f>
        <v>0</v>
      </c>
      <c r="M111" s="7713" t="s">
        <v>2513</v>
      </c>
    </row>
    <row r="112" spans="1:13" ht="30" customHeight="1" x14ac:dyDescent="0.2">
      <c r="A112" s="7655"/>
      <c r="B112" s="7653"/>
      <c r="C112" s="7724"/>
      <c r="D112" s="7564"/>
      <c r="E112" s="7660"/>
      <c r="F112" s="7564"/>
      <c r="G112" s="1050">
        <v>4000000</v>
      </c>
      <c r="H112" s="1050" t="s">
        <v>2577</v>
      </c>
      <c r="I112" s="1050">
        <v>277218</v>
      </c>
      <c r="J112" s="1052" t="s">
        <v>2582</v>
      </c>
      <c r="K112" s="7564"/>
      <c r="L112" s="7564"/>
      <c r="M112" s="7714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7679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7806" t="s">
        <v>2764</v>
      </c>
      <c r="H119" s="7807"/>
      <c r="I119" s="7807"/>
      <c r="J119" s="7807"/>
      <c r="K119" s="7808"/>
      <c r="L119" s="1150"/>
      <c r="M119" s="7680"/>
    </row>
    <row r="120" spans="1:13" ht="30" customHeight="1" x14ac:dyDescent="0.2">
      <c r="A120" s="7654">
        <v>72</v>
      </c>
      <c r="B120" s="7652" t="s">
        <v>1023</v>
      </c>
      <c r="C120" s="7723"/>
      <c r="D120" s="7563">
        <v>1685000000</v>
      </c>
      <c r="E120" s="7659">
        <v>0.06</v>
      </c>
      <c r="F120" s="7563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7563">
        <f>G120+G121</f>
        <v>100000000</v>
      </c>
      <c r="L120" s="7563">
        <f t="shared" si="11"/>
        <v>1100000</v>
      </c>
      <c r="M120" s="7703"/>
    </row>
    <row r="121" spans="1:13" ht="30" customHeight="1" x14ac:dyDescent="0.2">
      <c r="A121" s="7655"/>
      <c r="B121" s="7653"/>
      <c r="C121" s="7724"/>
      <c r="D121" s="7564"/>
      <c r="E121" s="7660"/>
      <c r="F121" s="7564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7564"/>
      <c r="L121" s="7564"/>
      <c r="M121" s="7705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7654">
        <v>77</v>
      </c>
      <c r="B126" s="7652" t="s">
        <v>210</v>
      </c>
      <c r="C126" s="7723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7563">
        <v>3675000</v>
      </c>
      <c r="H126" s="7563" t="s">
        <v>2634</v>
      </c>
      <c r="I126" s="7748" t="s">
        <v>2652</v>
      </c>
      <c r="J126" s="7752" t="s">
        <v>1570</v>
      </c>
      <c r="K126" s="7563">
        <f>G126</f>
        <v>3675000</v>
      </c>
      <c r="L126" s="7563">
        <f>(F126+F127)-K126</f>
        <v>0</v>
      </c>
      <c r="M126" s="7713" t="s">
        <v>953</v>
      </c>
    </row>
    <row r="127" spans="1:13" ht="30" customHeight="1" x14ac:dyDescent="0.2">
      <c r="A127" s="7655"/>
      <c r="B127" s="7653"/>
      <c r="C127" s="7724"/>
      <c r="D127" s="967">
        <v>35000000</v>
      </c>
      <c r="E127" s="995">
        <v>4.4999999999999998E-2</v>
      </c>
      <c r="F127" s="967">
        <f t="shared" si="9"/>
        <v>1575000</v>
      </c>
      <c r="G127" s="7564"/>
      <c r="H127" s="7564"/>
      <c r="I127" s="7749"/>
      <c r="J127" s="7753"/>
      <c r="K127" s="7564"/>
      <c r="L127" s="7564"/>
      <c r="M127" s="7714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7654">
        <v>85</v>
      </c>
      <c r="B135" s="7652" t="s">
        <v>975</v>
      </c>
      <c r="C135" s="7723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7563">
        <f>G136+G135</f>
        <v>10000000</v>
      </c>
      <c r="L135" s="7563">
        <f>F139-K135</f>
        <v>32600000</v>
      </c>
      <c r="M135" s="7818"/>
    </row>
    <row r="136" spans="1:13" ht="30" customHeight="1" x14ac:dyDescent="0.2">
      <c r="A136" s="7656"/>
      <c r="B136" s="7665"/>
      <c r="C136" s="7747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7586"/>
      <c r="L136" s="7586"/>
      <c r="M136" s="7855"/>
    </row>
    <row r="137" spans="1:13" ht="30" customHeight="1" x14ac:dyDescent="0.2">
      <c r="A137" s="7656"/>
      <c r="B137" s="7665"/>
      <c r="C137" s="7747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7586"/>
      <c r="L137" s="7586"/>
      <c r="M137" s="7855"/>
    </row>
    <row r="138" spans="1:13" ht="30" customHeight="1" x14ac:dyDescent="0.2">
      <c r="A138" s="7656"/>
      <c r="B138" s="7665"/>
      <c r="C138" s="7747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7586"/>
      <c r="L138" s="7586"/>
      <c r="M138" s="1058" t="s">
        <v>1751</v>
      </c>
    </row>
    <row r="139" spans="1:13" ht="30" customHeight="1" x14ac:dyDescent="0.2">
      <c r="A139" s="7655"/>
      <c r="B139" s="7665"/>
      <c r="C139" s="7747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7586"/>
      <c r="L139" s="7586"/>
      <c r="M139" s="1058"/>
    </row>
    <row r="140" spans="1:13" ht="30" customHeight="1" x14ac:dyDescent="0.2">
      <c r="A140" s="1107"/>
      <c r="B140" s="7665"/>
      <c r="C140" s="7747"/>
      <c r="D140" s="1118">
        <f>D139+107400000</f>
        <v>817400000</v>
      </c>
      <c r="E140" s="1119"/>
      <c r="F140" s="1118"/>
      <c r="G140" s="7732" t="s">
        <v>2679</v>
      </c>
      <c r="H140" s="7733"/>
      <c r="I140" s="7733"/>
      <c r="J140" s="7734"/>
      <c r="K140" s="1108"/>
      <c r="L140" s="1108"/>
      <c r="M140" s="1111"/>
    </row>
    <row r="141" spans="1:13" ht="30" customHeight="1" x14ac:dyDescent="0.2">
      <c r="A141" s="1107"/>
      <c r="B141" s="7665"/>
      <c r="C141" s="7747"/>
      <c r="D141" s="1118">
        <f>D140+L135</f>
        <v>850000000</v>
      </c>
      <c r="E141" s="1119"/>
      <c r="F141" s="1118"/>
      <c r="G141" s="7732" t="s">
        <v>2680</v>
      </c>
      <c r="H141" s="7733"/>
      <c r="I141" s="7733"/>
      <c r="J141" s="7734"/>
      <c r="K141" s="1108"/>
      <c r="L141" s="1108"/>
      <c r="M141" s="1111"/>
    </row>
    <row r="142" spans="1:13" ht="30" customHeight="1" x14ac:dyDescent="0.2">
      <c r="A142" s="1107"/>
      <c r="B142" s="7653"/>
      <c r="C142" s="7724"/>
      <c r="D142" s="1118">
        <v>850000000</v>
      </c>
      <c r="E142" s="1119">
        <f>F142/D142</f>
        <v>6.1647058823529409E-2</v>
      </c>
      <c r="F142" s="1118">
        <v>52400000</v>
      </c>
      <c r="G142" s="7802" t="s">
        <v>2734</v>
      </c>
      <c r="H142" s="7803"/>
      <c r="I142" s="7803"/>
      <c r="J142" s="7804"/>
      <c r="K142" s="1108"/>
      <c r="L142" s="1108"/>
      <c r="M142" s="1111"/>
    </row>
    <row r="143" spans="1:13" ht="30" customHeight="1" x14ac:dyDescent="0.2">
      <c r="A143" s="1000">
        <v>86</v>
      </c>
      <c r="B143" s="7652" t="s">
        <v>217</v>
      </c>
      <c r="C143" s="7723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7653"/>
      <c r="C144" s="7724"/>
      <c r="D144" s="1551">
        <v>108000000</v>
      </c>
      <c r="E144" s="1554">
        <v>0.05</v>
      </c>
      <c r="F144" s="1551">
        <f>D144*E144</f>
        <v>5400000</v>
      </c>
      <c r="G144" s="7732" t="s">
        <v>3397</v>
      </c>
      <c r="H144" s="7733"/>
      <c r="I144" s="7733"/>
      <c r="J144" s="7733"/>
      <c r="K144" s="7734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7829" t="s">
        <v>2360</v>
      </c>
      <c r="N145" s="7830"/>
      <c r="O145" s="7830"/>
      <c r="P145" s="7830"/>
      <c r="Q145" s="7831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7654">
        <v>89</v>
      </c>
      <c r="B147" s="7652" t="s">
        <v>219</v>
      </c>
      <c r="C147" s="7723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7563">
        <f>G147+G148</f>
        <v>22500000</v>
      </c>
      <c r="L147" s="7563">
        <f>(F147+F148)-K147</f>
        <v>0</v>
      </c>
      <c r="M147" s="7703"/>
    </row>
    <row r="148" spans="1:17" ht="30" customHeight="1" x14ac:dyDescent="0.2">
      <c r="A148" s="7656"/>
      <c r="B148" s="7665"/>
      <c r="C148" s="7747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7564"/>
      <c r="L148" s="7564"/>
      <c r="M148" s="7705"/>
    </row>
    <row r="149" spans="1:17" ht="30" customHeight="1" x14ac:dyDescent="0.2">
      <c r="A149" s="7656"/>
      <c r="B149" s="7665"/>
      <c r="C149" s="7747"/>
      <c r="D149" s="1437">
        <v>100000000</v>
      </c>
      <c r="E149" s="1324"/>
      <c r="F149" s="1311"/>
      <c r="G149" s="7806" t="s">
        <v>3165</v>
      </c>
      <c r="H149" s="7807"/>
      <c r="I149" s="7807"/>
      <c r="J149" s="7808"/>
      <c r="K149" s="1314"/>
      <c r="L149" s="1314"/>
      <c r="M149" s="1325"/>
    </row>
    <row r="150" spans="1:17" ht="30" customHeight="1" x14ac:dyDescent="0.2">
      <c r="A150" s="7656"/>
      <c r="B150" s="7665"/>
      <c r="C150" s="7747"/>
      <c r="D150" s="1311"/>
      <c r="E150" s="1324"/>
      <c r="F150" s="1311"/>
      <c r="G150" s="7867" t="s">
        <v>3318</v>
      </c>
      <c r="H150" s="7868"/>
      <c r="I150" s="7868"/>
      <c r="J150" s="7869"/>
      <c r="K150" s="1314"/>
      <c r="L150" s="1314"/>
      <c r="M150" s="1325"/>
    </row>
    <row r="151" spans="1:17" ht="30" customHeight="1" x14ac:dyDescent="0.2">
      <c r="A151" s="7656"/>
      <c r="B151" s="7665"/>
      <c r="C151" s="7747"/>
      <c r="D151" s="1400">
        <v>93000000</v>
      </c>
      <c r="E151" s="1432">
        <v>7.0000000000000007E-2</v>
      </c>
      <c r="F151" s="1419">
        <v>6500000</v>
      </c>
      <c r="G151" s="7940" t="s">
        <v>3319</v>
      </c>
      <c r="H151" s="7941"/>
      <c r="I151" s="7941"/>
      <c r="J151" s="7942"/>
      <c r="K151" s="1405"/>
      <c r="L151" s="1405"/>
      <c r="M151" s="1429"/>
    </row>
    <row r="152" spans="1:17" ht="30" customHeight="1" x14ac:dyDescent="0.2">
      <c r="A152" s="7655"/>
      <c r="B152" s="7653"/>
      <c r="C152" s="7724"/>
      <c r="D152" s="1400">
        <v>450000000</v>
      </c>
      <c r="E152" s="1432">
        <v>0.05</v>
      </c>
      <c r="F152" s="1406">
        <f>D152*E152</f>
        <v>22500000</v>
      </c>
      <c r="G152" s="7943"/>
      <c r="H152" s="7944"/>
      <c r="I152" s="7944"/>
      <c r="J152" s="7945"/>
      <c r="K152" s="1405"/>
      <c r="L152" s="1405"/>
      <c r="M152" s="1429"/>
    </row>
    <row r="153" spans="1:17" ht="30" customHeight="1" x14ac:dyDescent="0.2">
      <c r="A153" s="7654">
        <v>90</v>
      </c>
      <c r="B153" s="7652" t="s">
        <v>220</v>
      </c>
      <c r="C153" s="7723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7563">
        <v>14460000</v>
      </c>
      <c r="H153" s="7563" t="s">
        <v>2713</v>
      </c>
      <c r="I153" s="7779" t="s">
        <v>2775</v>
      </c>
      <c r="J153" s="7561" t="s">
        <v>762</v>
      </c>
      <c r="K153" s="7563">
        <f>G153</f>
        <v>14460000</v>
      </c>
      <c r="L153" s="7563">
        <f>(F153+F154)-K153</f>
        <v>0</v>
      </c>
      <c r="M153" s="7703"/>
    </row>
    <row r="154" spans="1:17" ht="30" customHeight="1" x14ac:dyDescent="0.2">
      <c r="A154" s="7655"/>
      <c r="B154" s="7653"/>
      <c r="C154" s="7724"/>
      <c r="D154" s="967">
        <v>100000000</v>
      </c>
      <c r="E154" s="995">
        <v>5.3999999999999999E-2</v>
      </c>
      <c r="F154" s="967">
        <v>5360000</v>
      </c>
      <c r="G154" s="7564"/>
      <c r="H154" s="7564"/>
      <c r="I154" s="7780"/>
      <c r="J154" s="7562"/>
      <c r="K154" s="7564"/>
      <c r="L154" s="7564"/>
      <c r="M154" s="7705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7654">
        <v>92</v>
      </c>
      <c r="B156" s="7717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7563">
        <f>G156+G157</f>
        <v>24400000</v>
      </c>
      <c r="L156" s="7563">
        <f t="shared" si="11"/>
        <v>0</v>
      </c>
      <c r="M156" s="1001" t="s">
        <v>2022</v>
      </c>
    </row>
    <row r="157" spans="1:17" ht="30" customHeight="1" x14ac:dyDescent="0.2">
      <c r="A157" s="7656"/>
      <c r="B157" s="7717"/>
      <c r="C157" s="1268"/>
      <c r="D157" s="1252"/>
      <c r="E157" s="1255"/>
      <c r="F157" s="1252"/>
      <c r="G157" s="1252">
        <v>250000</v>
      </c>
      <c r="H157" s="7563" t="s">
        <v>2897</v>
      </c>
      <c r="I157" s="7748">
        <v>37557</v>
      </c>
      <c r="J157" s="7561" t="s">
        <v>3009</v>
      </c>
      <c r="K157" s="7564"/>
      <c r="L157" s="7564"/>
      <c r="M157" s="1266"/>
    </row>
    <row r="158" spans="1:17" ht="30" customHeight="1" x14ac:dyDescent="0.2">
      <c r="A158" s="7655"/>
      <c r="B158" s="7717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7564"/>
      <c r="I158" s="7749"/>
      <c r="J158" s="7562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7654">
        <v>93</v>
      </c>
      <c r="B159" s="7652" t="s">
        <v>222</v>
      </c>
      <c r="C159" s="7723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7563" t="s">
        <v>2553</v>
      </c>
      <c r="I159" s="7748" t="s">
        <v>2681</v>
      </c>
      <c r="J159" s="7561" t="s">
        <v>2682</v>
      </c>
      <c r="K159" s="1116">
        <f>G159</f>
        <v>16500000</v>
      </c>
      <c r="L159" s="967">
        <f t="shared" si="11"/>
        <v>0</v>
      </c>
      <c r="M159" s="7703"/>
    </row>
    <row r="160" spans="1:17" ht="30" customHeight="1" x14ac:dyDescent="0.2">
      <c r="A160" s="7656"/>
      <c r="B160" s="7665"/>
      <c r="C160" s="7747"/>
      <c r="D160" s="7494" t="s">
        <v>2684</v>
      </c>
      <c r="E160" s="7495"/>
      <c r="F160" s="7768"/>
      <c r="G160" s="1115">
        <v>75000000</v>
      </c>
      <c r="H160" s="7564"/>
      <c r="I160" s="7749"/>
      <c r="J160" s="7562"/>
      <c r="K160" s="7482">
        <f>G160+G161</f>
        <v>150000000</v>
      </c>
      <c r="L160" s="7563"/>
      <c r="M160" s="7704"/>
    </row>
    <row r="161" spans="1:13" ht="30" customHeight="1" x14ac:dyDescent="0.2">
      <c r="A161" s="7656"/>
      <c r="B161" s="7665"/>
      <c r="C161" s="7747"/>
      <c r="D161" s="7769"/>
      <c r="E161" s="7805"/>
      <c r="F161" s="7770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7482"/>
      <c r="L161" s="7564"/>
      <c r="M161" s="7704"/>
    </row>
    <row r="162" spans="1:13" ht="30" customHeight="1" x14ac:dyDescent="0.2">
      <c r="A162" s="7655"/>
      <c r="B162" s="7653"/>
      <c r="C162" s="7724"/>
      <c r="D162" s="1116">
        <v>150000000</v>
      </c>
      <c r="E162" s="2960">
        <v>5.5E-2</v>
      </c>
      <c r="F162" s="1116">
        <f>D162*E162</f>
        <v>8250000</v>
      </c>
      <c r="G162" s="1115"/>
      <c r="H162" s="7806" t="s">
        <v>2685</v>
      </c>
      <c r="I162" s="7807"/>
      <c r="J162" s="7807"/>
      <c r="K162" s="7808"/>
      <c r="L162" s="1115"/>
      <c r="M162" s="7705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7879">
        <v>101</v>
      </c>
      <c r="B170" s="7990" t="s">
        <v>177</v>
      </c>
      <c r="C170" s="7873" t="s">
        <v>1080</v>
      </c>
      <c r="D170" s="7482">
        <v>80000000</v>
      </c>
      <c r="E170" s="7870">
        <v>0.06</v>
      </c>
      <c r="F170" s="7563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7563">
        <f>G170+G171</f>
        <v>4800000</v>
      </c>
      <c r="L170" s="7563">
        <f t="shared" si="11"/>
        <v>0</v>
      </c>
      <c r="M170" s="7818" t="s">
        <v>1712</v>
      </c>
    </row>
    <row r="171" spans="1:13" ht="30" customHeight="1" x14ac:dyDescent="0.2">
      <c r="A171" s="7879"/>
      <c r="B171" s="7990"/>
      <c r="C171" s="7873"/>
      <c r="D171" s="7482"/>
      <c r="E171" s="7870"/>
      <c r="F171" s="7564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7564"/>
      <c r="L171" s="7564"/>
      <c r="M171" s="7819"/>
    </row>
    <row r="172" spans="1:13" ht="30" customHeight="1" x14ac:dyDescent="0.2">
      <c r="A172" s="7879"/>
      <c r="B172" s="7990"/>
      <c r="C172" s="7873"/>
      <c r="D172" s="1382">
        <v>13000000</v>
      </c>
      <c r="E172" s="1298">
        <v>0.05</v>
      </c>
      <c r="F172" s="1395">
        <f>D172*E172</f>
        <v>650000</v>
      </c>
      <c r="G172" s="1399"/>
      <c r="H172" s="7806" t="s">
        <v>3303</v>
      </c>
      <c r="I172" s="7807"/>
      <c r="J172" s="7807"/>
      <c r="K172" s="7808"/>
      <c r="L172" s="1393"/>
      <c r="M172" s="1397"/>
    </row>
    <row r="173" spans="1:13" ht="30" customHeight="1" x14ac:dyDescent="0.2">
      <c r="A173" s="7879"/>
      <c r="B173" s="7990"/>
      <c r="C173" s="7873"/>
      <c r="D173" s="1382">
        <v>80000000</v>
      </c>
      <c r="E173" s="1298">
        <v>0.06</v>
      </c>
      <c r="F173" s="1395">
        <f>D173*E173</f>
        <v>4800000</v>
      </c>
      <c r="G173" s="1393"/>
      <c r="H173" s="7806" t="s">
        <v>3344</v>
      </c>
      <c r="I173" s="7807"/>
      <c r="J173" s="7807"/>
      <c r="K173" s="7808"/>
      <c r="L173" s="1393"/>
      <c r="M173" s="1397"/>
    </row>
    <row r="174" spans="1:13" ht="30" customHeight="1" x14ac:dyDescent="0.2">
      <c r="A174" s="7879"/>
      <c r="B174" s="7990"/>
      <c r="C174" s="7873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7654">
        <v>102</v>
      </c>
      <c r="B176" s="7652" t="s">
        <v>229</v>
      </c>
      <c r="C176" s="7723"/>
      <c r="D176" s="7563">
        <v>30000000</v>
      </c>
      <c r="E176" s="7659">
        <v>0.05</v>
      </c>
      <c r="F176" s="7563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7818" t="s">
        <v>3307</v>
      </c>
    </row>
    <row r="177" spans="1:13" ht="30" customHeight="1" x14ac:dyDescent="0.2">
      <c r="A177" s="7656"/>
      <c r="B177" s="7665"/>
      <c r="C177" s="7747"/>
      <c r="D177" s="7564"/>
      <c r="E177" s="7660"/>
      <c r="F177" s="7564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7855"/>
    </row>
    <row r="178" spans="1:13" ht="30" customHeight="1" x14ac:dyDescent="0.2">
      <c r="A178" s="7655"/>
      <c r="B178" s="7653"/>
      <c r="C178" s="7724"/>
      <c r="D178" s="967">
        <v>30000000</v>
      </c>
      <c r="E178" s="995">
        <v>4.4999999999999998E-2</v>
      </c>
      <c r="F178" s="967">
        <f t="shared" si="9"/>
        <v>1350000</v>
      </c>
      <c r="G178" s="7470" t="s">
        <v>3304</v>
      </c>
      <c r="H178" s="7493"/>
      <c r="I178" s="7493"/>
      <c r="J178" s="7493"/>
      <c r="K178" s="7510"/>
      <c r="L178" s="1406"/>
      <c r="M178" s="7819"/>
    </row>
    <row r="179" spans="1:13" ht="30" customHeight="1" x14ac:dyDescent="0.2">
      <c r="A179" s="7654">
        <v>103</v>
      </c>
      <c r="B179" s="7652" t="s">
        <v>230</v>
      </c>
      <c r="C179" s="7723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7655"/>
      <c r="B180" s="7653"/>
      <c r="C180" s="7724"/>
      <c r="D180" s="1080">
        <v>37000000</v>
      </c>
      <c r="E180" s="1081">
        <v>5.5E-2</v>
      </c>
      <c r="F180" s="1080">
        <f>D180*E180</f>
        <v>2035000</v>
      </c>
      <c r="G180" s="7802" t="s">
        <v>2628</v>
      </c>
      <c r="H180" s="7803"/>
      <c r="I180" s="7803"/>
      <c r="J180" s="7803"/>
      <c r="K180" s="7804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7654">
        <v>108</v>
      </c>
      <c r="B185" s="7652" t="s">
        <v>235</v>
      </c>
      <c r="C185" s="7723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7482">
        <f>G185+G186+G187</f>
        <v>61800000</v>
      </c>
      <c r="L185" s="7677">
        <f t="shared" si="14"/>
        <v>-61800000</v>
      </c>
      <c r="M185" s="7951" t="s">
        <v>2079</v>
      </c>
    </row>
    <row r="186" spans="1:13" ht="30" customHeight="1" x14ac:dyDescent="0.2">
      <c r="A186" s="7656"/>
      <c r="B186" s="7665"/>
      <c r="C186" s="7747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7482"/>
      <c r="L186" s="7690"/>
      <c r="M186" s="7952"/>
    </row>
    <row r="187" spans="1:13" ht="30" customHeight="1" x14ac:dyDescent="0.2">
      <c r="A187" s="7656"/>
      <c r="B187" s="7665"/>
      <c r="C187" s="7747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7482"/>
      <c r="L187" s="7678"/>
      <c r="M187" s="7953"/>
    </row>
    <row r="188" spans="1:13" ht="30" customHeight="1" x14ac:dyDescent="0.2">
      <c r="A188" s="7655"/>
      <c r="B188" s="7653"/>
      <c r="C188" s="7724"/>
      <c r="D188" s="1150">
        <v>35000000</v>
      </c>
      <c r="E188" s="1153"/>
      <c r="F188" s="1150"/>
      <c r="G188" s="1150"/>
      <c r="H188" s="7806" t="s">
        <v>2769</v>
      </c>
      <c r="I188" s="7807"/>
      <c r="J188" s="7807"/>
      <c r="K188" s="7808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7654">
        <v>113</v>
      </c>
      <c r="B193" s="7703" t="s">
        <v>239</v>
      </c>
      <c r="C193" s="7723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7461" t="s">
        <v>2772</v>
      </c>
      <c r="H193" s="7481"/>
      <c r="I193" s="7481"/>
      <c r="J193" s="7481"/>
      <c r="K193" s="7520"/>
      <c r="L193" s="967">
        <f t="shared" si="14"/>
        <v>11340000</v>
      </c>
      <c r="M193" s="7703"/>
    </row>
    <row r="194" spans="1:13" ht="30" customHeight="1" x14ac:dyDescent="0.2">
      <c r="A194" s="7656"/>
      <c r="B194" s="7704"/>
      <c r="C194" s="7747"/>
      <c r="D194" s="7563"/>
      <c r="E194" s="7659"/>
      <c r="F194" s="7563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7563">
        <f>G194+G195</f>
        <v>25840000</v>
      </c>
      <c r="L194" s="7563">
        <f>F194-K194</f>
        <v>0</v>
      </c>
      <c r="M194" s="7704"/>
    </row>
    <row r="195" spans="1:13" ht="30" customHeight="1" x14ac:dyDescent="0.2">
      <c r="A195" s="7656"/>
      <c r="B195" s="7704"/>
      <c r="C195" s="7747"/>
      <c r="D195" s="7564"/>
      <c r="E195" s="7660"/>
      <c r="F195" s="7564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7564"/>
      <c r="L195" s="7564"/>
      <c r="M195" s="7704"/>
    </row>
    <row r="196" spans="1:13" ht="30" customHeight="1" x14ac:dyDescent="0.2">
      <c r="A196" s="7655"/>
      <c r="B196" s="7705"/>
      <c r="C196" s="7724"/>
      <c r="D196" s="1150">
        <v>250000000</v>
      </c>
      <c r="E196" s="1163">
        <v>0.05</v>
      </c>
      <c r="F196" s="1150">
        <f>D196*E196</f>
        <v>12500000</v>
      </c>
      <c r="G196" s="7802" t="s">
        <v>2773</v>
      </c>
      <c r="H196" s="7803"/>
      <c r="I196" s="7803"/>
      <c r="J196" s="7803"/>
      <c r="K196" s="7804"/>
      <c r="L196" s="1150"/>
      <c r="M196" s="7705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7654">
        <v>117</v>
      </c>
      <c r="B199" s="7652" t="s">
        <v>243</v>
      </c>
      <c r="C199" s="7723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7563" t="s">
        <v>2634</v>
      </c>
      <c r="I199" s="7748" t="s">
        <v>2645</v>
      </c>
      <c r="J199" s="7561" t="s">
        <v>2646</v>
      </c>
      <c r="K199" s="7563">
        <f>G199+G200</f>
        <v>20000000</v>
      </c>
      <c r="L199" s="7563">
        <f>(G199+G200)-K199</f>
        <v>0</v>
      </c>
      <c r="M199" s="7713" t="s">
        <v>2991</v>
      </c>
    </row>
    <row r="200" spans="1:13" ht="30" customHeight="1" x14ac:dyDescent="0.2">
      <c r="A200" s="7656"/>
      <c r="B200" s="7665"/>
      <c r="C200" s="7747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7564"/>
      <c r="I200" s="7749"/>
      <c r="J200" s="7562"/>
      <c r="K200" s="7564"/>
      <c r="L200" s="7564"/>
      <c r="M200" s="7714"/>
    </row>
    <row r="201" spans="1:13" ht="30" customHeight="1" x14ac:dyDescent="0.2">
      <c r="A201" s="7655"/>
      <c r="B201" s="7653"/>
      <c r="C201" s="7724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7654">
        <v>119</v>
      </c>
      <c r="B203" s="7652" t="s">
        <v>245</v>
      </c>
      <c r="C203" s="7723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7655"/>
      <c r="B204" s="7653"/>
      <c r="C204" s="7724"/>
      <c r="D204" s="7470" t="s">
        <v>1326</v>
      </c>
      <c r="E204" s="7493"/>
      <c r="F204" s="7510"/>
      <c r="G204" s="7732" t="s">
        <v>2823</v>
      </c>
      <c r="H204" s="7733"/>
      <c r="I204" s="7733"/>
      <c r="J204" s="7733"/>
      <c r="K204" s="7734"/>
      <c r="L204" s="1150"/>
      <c r="M204" s="1152"/>
    </row>
    <row r="205" spans="1:13" ht="30" customHeight="1" x14ac:dyDescent="0.2">
      <c r="A205" s="7654">
        <v>120</v>
      </c>
      <c r="B205" s="7652" t="s">
        <v>246</v>
      </c>
      <c r="C205" s="7723" t="s">
        <v>371</v>
      </c>
      <c r="D205" s="7563">
        <v>617000000</v>
      </c>
      <c r="E205" s="7659">
        <v>7.0000000000000007E-2</v>
      </c>
      <c r="F205" s="7563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7563">
        <f>G205+G206</f>
        <v>43200000</v>
      </c>
      <c r="L205" s="7563">
        <f>F205-K205</f>
        <v>0</v>
      </c>
      <c r="M205" s="7703"/>
    </row>
    <row r="206" spans="1:13" ht="30" customHeight="1" x14ac:dyDescent="0.2">
      <c r="A206" s="7655"/>
      <c r="B206" s="7653"/>
      <c r="C206" s="7724"/>
      <c r="D206" s="7564"/>
      <c r="E206" s="7660"/>
      <c r="F206" s="7564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7564"/>
      <c r="L206" s="7564"/>
      <c r="M206" s="7705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7654">
        <v>123</v>
      </c>
      <c r="B208" s="7652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7563">
        <v>4400000</v>
      </c>
      <c r="H208" s="7563" t="s">
        <v>2713</v>
      </c>
      <c r="I208" s="7748" t="s">
        <v>2786</v>
      </c>
      <c r="J208" s="7561" t="s">
        <v>574</v>
      </c>
      <c r="K208" s="7563">
        <f t="shared" si="16"/>
        <v>4400000</v>
      </c>
      <c r="L208" s="7563">
        <f>(F208+F209)-K208</f>
        <v>0</v>
      </c>
      <c r="M208" s="7703"/>
    </row>
    <row r="209" spans="1:13" ht="30" customHeight="1" x14ac:dyDescent="0.2">
      <c r="A209" s="7655"/>
      <c r="B209" s="7653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7564"/>
      <c r="H209" s="7564"/>
      <c r="I209" s="7749"/>
      <c r="J209" s="7562"/>
      <c r="K209" s="7564"/>
      <c r="L209" s="7564"/>
      <c r="M209" s="7705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7654">
        <v>127</v>
      </c>
      <c r="B213" s="7652" t="s">
        <v>253</v>
      </c>
      <c r="C213" s="7723"/>
      <c r="D213" s="7563">
        <v>800000000</v>
      </c>
      <c r="E213" s="7659">
        <v>0.05</v>
      </c>
      <c r="F213" s="7563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7563">
        <f>G213+G214</f>
        <v>40000000</v>
      </c>
      <c r="L213" s="7563">
        <f t="shared" si="14"/>
        <v>0</v>
      </c>
      <c r="M213" s="7703"/>
    </row>
    <row r="214" spans="1:13" ht="30" customHeight="1" x14ac:dyDescent="0.2">
      <c r="A214" s="7655"/>
      <c r="B214" s="7653"/>
      <c r="C214" s="7724"/>
      <c r="D214" s="7564"/>
      <c r="E214" s="7660"/>
      <c r="F214" s="7564"/>
      <c r="G214" s="967">
        <v>20000000</v>
      </c>
      <c r="H214" s="967" t="s">
        <v>2553</v>
      </c>
      <c r="I214" s="988" t="s">
        <v>2554</v>
      </c>
      <c r="J214" s="21" t="s">
        <v>2540</v>
      </c>
      <c r="K214" s="7564"/>
      <c r="L214" s="7564"/>
      <c r="M214" s="7705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7654">
        <v>129</v>
      </c>
      <c r="B216" s="7652" t="s">
        <v>255</v>
      </c>
      <c r="C216" s="7723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7656"/>
      <c r="B217" s="7653"/>
      <c r="C217" s="7724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7654">
        <v>130</v>
      </c>
      <c r="B218" s="7652" t="s">
        <v>1171</v>
      </c>
      <c r="C218" s="7723" t="s">
        <v>1299</v>
      </c>
      <c r="D218" s="7563">
        <v>200000000</v>
      </c>
      <c r="E218" s="7659">
        <v>0.05</v>
      </c>
      <c r="F218" s="7563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7656"/>
      <c r="B219" s="7665"/>
      <c r="C219" s="7747"/>
      <c r="D219" s="7564"/>
      <c r="E219" s="7660"/>
      <c r="F219" s="7564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7655"/>
      <c r="B220" s="7653"/>
      <c r="C220" s="7724"/>
      <c r="D220" s="1050">
        <v>150000000</v>
      </c>
      <c r="E220" s="1049">
        <v>0.05</v>
      </c>
      <c r="F220" s="1050">
        <f>D220*E220</f>
        <v>7500000</v>
      </c>
      <c r="G220" s="7732" t="s">
        <v>2591</v>
      </c>
      <c r="H220" s="7733"/>
      <c r="I220" s="7733"/>
      <c r="J220" s="7733"/>
      <c r="K220" s="7733"/>
      <c r="L220" s="7734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7654">
        <v>132</v>
      </c>
      <c r="B222" s="7987" t="s">
        <v>1218</v>
      </c>
      <c r="C222" s="7723" t="s">
        <v>1652</v>
      </c>
      <c r="D222" s="7563"/>
      <c r="E222" s="7659"/>
      <c r="F222" s="7563"/>
      <c r="G222" s="7482"/>
      <c r="H222" s="7482"/>
      <c r="I222" s="7482"/>
      <c r="J222" s="7482"/>
      <c r="K222" s="7482"/>
      <c r="L222" s="7563"/>
      <c r="M222" s="97" t="s">
        <v>1884</v>
      </c>
    </row>
    <row r="223" spans="1:13" ht="30" customHeight="1" x14ac:dyDescent="0.2">
      <c r="A223" s="7656"/>
      <c r="B223" s="7988"/>
      <c r="C223" s="7747"/>
      <c r="D223" s="7564"/>
      <c r="E223" s="7660"/>
      <c r="F223" s="7564"/>
      <c r="G223" s="7482"/>
      <c r="H223" s="7482"/>
      <c r="I223" s="7482"/>
      <c r="J223" s="7482"/>
      <c r="K223" s="7482"/>
      <c r="L223" s="7564"/>
      <c r="M223" s="97" t="s">
        <v>2522</v>
      </c>
    </row>
    <row r="224" spans="1:13" ht="30" customHeight="1" x14ac:dyDescent="0.2">
      <c r="A224" s="7655"/>
      <c r="B224" s="7989"/>
      <c r="C224" s="7724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7654">
        <v>134</v>
      </c>
      <c r="B226" s="7652" t="s">
        <v>166</v>
      </c>
      <c r="C226" s="7723"/>
      <c r="D226" s="7563">
        <v>110000000</v>
      </c>
      <c r="E226" s="7659">
        <v>0.04</v>
      </c>
      <c r="F226" s="7563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7563">
        <f>G226+G227</f>
        <v>4400000</v>
      </c>
      <c r="L226" s="7563">
        <f t="shared" si="18"/>
        <v>0</v>
      </c>
      <c r="M226" s="7703"/>
    </row>
    <row r="227" spans="1:13" ht="30" customHeight="1" x14ac:dyDescent="0.2">
      <c r="A227" s="7655"/>
      <c r="B227" s="7653"/>
      <c r="C227" s="7724"/>
      <c r="D227" s="7564"/>
      <c r="E227" s="7660"/>
      <c r="F227" s="7564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7564"/>
      <c r="L227" s="7564"/>
      <c r="M227" s="7705"/>
    </row>
    <row r="228" spans="1:13" ht="30" customHeight="1" x14ac:dyDescent="0.2">
      <c r="A228" s="7654">
        <v>135</v>
      </c>
      <c r="B228" s="7652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7563">
        <f>G228+G229</f>
        <v>11000000</v>
      </c>
      <c r="L228" s="7563">
        <f>(F228+F229)-K228</f>
        <v>0</v>
      </c>
      <c r="M228" s="7703"/>
    </row>
    <row r="229" spans="1:13" ht="30" customHeight="1" x14ac:dyDescent="0.2">
      <c r="A229" s="7655"/>
      <c r="B229" s="7653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7564"/>
      <c r="L229" s="7564"/>
      <c r="M229" s="7705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7654">
        <v>138</v>
      </c>
      <c r="B232" s="7652" t="s">
        <v>259</v>
      </c>
      <c r="C232" s="7723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7656"/>
      <c r="B233" s="7665"/>
      <c r="C233" s="7747"/>
      <c r="D233" s="1468">
        <v>200000000</v>
      </c>
      <c r="E233" s="1515"/>
      <c r="F233" s="1468"/>
      <c r="G233" s="7802" t="s">
        <v>2894</v>
      </c>
      <c r="H233" s="7803"/>
      <c r="I233" s="7803"/>
      <c r="J233" s="7804"/>
      <c r="K233" s="1468"/>
      <c r="L233" s="1468"/>
      <c r="M233" s="1516"/>
    </row>
    <row r="234" spans="1:13" ht="30" customHeight="1" x14ac:dyDescent="0.2">
      <c r="A234" s="7656"/>
      <c r="B234" s="7665"/>
      <c r="C234" s="7747"/>
      <c r="D234" s="1468">
        <v>280000000</v>
      </c>
      <c r="E234" s="1515"/>
      <c r="F234" s="1468"/>
      <c r="G234" s="7802" t="s">
        <v>2895</v>
      </c>
      <c r="H234" s="7803"/>
      <c r="I234" s="7803"/>
      <c r="J234" s="7804"/>
      <c r="K234" s="1468"/>
      <c r="L234" s="1468"/>
      <c r="M234" s="1516"/>
    </row>
    <row r="235" spans="1:13" ht="30" customHeight="1" x14ac:dyDescent="0.2">
      <c r="A235" s="7655"/>
      <c r="B235" s="7665"/>
      <c r="C235" s="7747"/>
      <c r="D235" s="1468">
        <v>980000000</v>
      </c>
      <c r="E235" s="1515"/>
      <c r="F235" s="1468"/>
      <c r="G235" s="7802" t="s">
        <v>2896</v>
      </c>
      <c r="H235" s="7803"/>
      <c r="I235" s="7803"/>
      <c r="J235" s="7804"/>
      <c r="K235" s="1468"/>
      <c r="L235" s="1468"/>
      <c r="M235" s="1516"/>
    </row>
    <row r="236" spans="1:13" ht="30" customHeight="1" x14ac:dyDescent="0.2">
      <c r="A236" s="1463"/>
      <c r="B236" s="7665"/>
      <c r="C236" s="7747"/>
      <c r="D236" s="1468"/>
      <c r="E236" s="1515"/>
      <c r="F236" s="1468"/>
      <c r="G236" s="7802" t="s">
        <v>3005</v>
      </c>
      <c r="H236" s="7803"/>
      <c r="I236" s="7803"/>
      <c r="J236" s="7804"/>
      <c r="K236" s="1468"/>
      <c r="L236" s="1468"/>
      <c r="M236" s="1516"/>
    </row>
    <row r="237" spans="1:13" ht="30" customHeight="1" x14ac:dyDescent="0.2">
      <c r="A237" s="1463"/>
      <c r="B237" s="7653"/>
      <c r="C237" s="7724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7654">
        <v>142</v>
      </c>
      <c r="B242" s="7703" t="s">
        <v>8</v>
      </c>
      <c r="C242" s="7723"/>
      <c r="D242" s="7563">
        <v>2000000000</v>
      </c>
      <c r="E242" s="7659"/>
      <c r="F242" s="7563">
        <f>D243*E242</f>
        <v>0</v>
      </c>
      <c r="G242" s="7732" t="s">
        <v>2606</v>
      </c>
      <c r="H242" s="7733"/>
      <c r="I242" s="7733"/>
      <c r="J242" s="7734"/>
      <c r="K242" s="7563">
        <f>G243+G244+G245</f>
        <v>160000000</v>
      </c>
      <c r="L242" s="7563">
        <f>160000000-K242</f>
        <v>0</v>
      </c>
      <c r="M242" s="97" t="s">
        <v>1762</v>
      </c>
    </row>
    <row r="243" spans="1:13" ht="30" customHeight="1" x14ac:dyDescent="0.2">
      <c r="A243" s="7656"/>
      <c r="B243" s="7704"/>
      <c r="C243" s="7747"/>
      <c r="D243" s="7586"/>
      <c r="E243" s="7676"/>
      <c r="F243" s="7586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7586"/>
      <c r="L243" s="7586"/>
      <c r="M243" s="97" t="s">
        <v>1770</v>
      </c>
    </row>
    <row r="244" spans="1:13" ht="30" customHeight="1" x14ac:dyDescent="0.2">
      <c r="A244" s="7656"/>
      <c r="B244" s="7704"/>
      <c r="C244" s="7747"/>
      <c r="D244" s="7586"/>
      <c r="E244" s="7676"/>
      <c r="F244" s="7586"/>
      <c r="G244" s="1468">
        <v>90400000</v>
      </c>
      <c r="H244" s="7732" t="s">
        <v>3019</v>
      </c>
      <c r="I244" s="7733"/>
      <c r="J244" s="7734"/>
      <c r="K244" s="7586"/>
      <c r="L244" s="7586"/>
      <c r="M244" s="7713" t="s">
        <v>2607</v>
      </c>
    </row>
    <row r="245" spans="1:13" ht="30" customHeight="1" x14ac:dyDescent="0.2">
      <c r="A245" s="7656"/>
      <c r="B245" s="7704"/>
      <c r="C245" s="7747"/>
      <c r="D245" s="7586"/>
      <c r="E245" s="7676"/>
      <c r="F245" s="7586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7586"/>
      <c r="L245" s="7586"/>
      <c r="M245" s="7797"/>
    </row>
    <row r="246" spans="1:13" ht="30" customHeight="1" x14ac:dyDescent="0.2">
      <c r="A246" s="7656"/>
      <c r="B246" s="7704"/>
      <c r="C246" s="7747"/>
      <c r="D246" s="7586"/>
      <c r="E246" s="7676"/>
      <c r="F246" s="7586"/>
      <c r="G246" s="1468"/>
      <c r="H246" s="1468"/>
      <c r="I246" s="1490"/>
      <c r="J246" s="1512"/>
      <c r="K246" s="7586"/>
      <c r="L246" s="7586"/>
      <c r="M246" s="7797"/>
    </row>
    <row r="247" spans="1:13" ht="30" customHeight="1" x14ac:dyDescent="0.2">
      <c r="A247" s="7656"/>
      <c r="B247" s="7704"/>
      <c r="C247" s="7747"/>
      <c r="D247" s="7586"/>
      <c r="E247" s="7676"/>
      <c r="F247" s="7586"/>
      <c r="G247" s="1468"/>
      <c r="H247" s="1468"/>
      <c r="I247" s="1490"/>
      <c r="J247" s="1512"/>
      <c r="K247" s="7586"/>
      <c r="L247" s="7586"/>
      <c r="M247" s="7797"/>
    </row>
    <row r="248" spans="1:13" ht="30" customHeight="1" x14ac:dyDescent="0.2">
      <c r="A248" s="7656"/>
      <c r="B248" s="7704"/>
      <c r="C248" s="7747"/>
      <c r="D248" s="7586"/>
      <c r="E248" s="7676"/>
      <c r="F248" s="7586"/>
      <c r="G248" s="1468"/>
      <c r="H248" s="1468"/>
      <c r="I248" s="1490"/>
      <c r="J248" s="384"/>
      <c r="K248" s="7586"/>
      <c r="L248" s="7586"/>
      <c r="M248" s="7797"/>
    </row>
    <row r="249" spans="1:13" ht="30" customHeight="1" x14ac:dyDescent="0.2">
      <c r="A249" s="7656"/>
      <c r="B249" s="7704"/>
      <c r="C249" s="7747"/>
      <c r="D249" s="7586"/>
      <c r="E249" s="7676"/>
      <c r="F249" s="7586"/>
      <c r="G249" s="1468"/>
      <c r="H249" s="1468"/>
      <c r="I249" s="1490"/>
      <c r="J249" s="1512"/>
      <c r="K249" s="7586"/>
      <c r="L249" s="7586"/>
      <c r="M249" s="7797"/>
    </row>
    <row r="250" spans="1:13" ht="30" customHeight="1" x14ac:dyDescent="0.2">
      <c r="A250" s="7656"/>
      <c r="B250" s="7704"/>
      <c r="C250" s="7747"/>
      <c r="D250" s="7586"/>
      <c r="E250" s="7676"/>
      <c r="F250" s="7586"/>
      <c r="G250" s="1468"/>
      <c r="H250" s="1468"/>
      <c r="I250" s="1490"/>
      <c r="J250" s="1512"/>
      <c r="K250" s="7586"/>
      <c r="L250" s="7586"/>
      <c r="M250" s="7797"/>
    </row>
    <row r="251" spans="1:13" ht="30" customHeight="1" x14ac:dyDescent="0.2">
      <c r="A251" s="7655"/>
      <c r="B251" s="7705"/>
      <c r="C251" s="7724"/>
      <c r="D251" s="7564"/>
      <c r="E251" s="7660"/>
      <c r="F251" s="7564"/>
      <c r="G251" s="1468"/>
      <c r="H251" s="1468"/>
      <c r="I251" s="1490"/>
      <c r="J251" s="1512"/>
      <c r="K251" s="7564"/>
      <c r="L251" s="7564"/>
      <c r="M251" s="7714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7656"/>
      <c r="B267" s="7652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7563">
        <v>9200000</v>
      </c>
      <c r="H267" s="7563" t="s">
        <v>3127</v>
      </c>
      <c r="I267" s="7748" t="s">
        <v>3128</v>
      </c>
      <c r="J267" s="7563" t="s">
        <v>3129</v>
      </c>
      <c r="K267" s="7563">
        <f>G267</f>
        <v>9200000</v>
      </c>
      <c r="L267" s="7563">
        <f>(F267+F268)-K267</f>
        <v>0</v>
      </c>
      <c r="M267" s="7887" t="s">
        <v>2205</v>
      </c>
      <c r="N267" s="7887"/>
      <c r="O267" s="7887"/>
      <c r="P267" s="7887"/>
      <c r="Q267" s="7887"/>
    </row>
    <row r="268" spans="1:17" ht="30" customHeight="1" x14ac:dyDescent="0.2">
      <c r="A268" s="7655"/>
      <c r="B268" s="7653"/>
      <c r="C268" s="1487" t="s">
        <v>1306</v>
      </c>
      <c r="D268" s="1468">
        <v>22000000</v>
      </c>
      <c r="E268" s="1515">
        <v>5.5E-2</v>
      </c>
      <c r="F268" s="1468">
        <v>1200000</v>
      </c>
      <c r="G268" s="7564"/>
      <c r="H268" s="7564"/>
      <c r="I268" s="7749"/>
      <c r="J268" s="7564"/>
      <c r="K268" s="7564"/>
      <c r="L268" s="7564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7654">
        <v>169</v>
      </c>
      <c r="B279" s="7703" t="s">
        <v>29</v>
      </c>
      <c r="C279" s="7723"/>
      <c r="D279" s="1468">
        <v>18000000</v>
      </c>
      <c r="E279" s="1515">
        <v>4.4999999999999998E-2</v>
      </c>
      <c r="F279" s="1468">
        <f t="shared" si="17"/>
        <v>810000</v>
      </c>
      <c r="G279" s="7563">
        <v>1000000</v>
      </c>
      <c r="H279" s="7563" t="s">
        <v>3083</v>
      </c>
      <c r="I279" s="7748" t="s">
        <v>3089</v>
      </c>
      <c r="J279" s="7563" t="s">
        <v>3090</v>
      </c>
      <c r="K279" s="7563">
        <f t="shared" si="21"/>
        <v>1000000</v>
      </c>
      <c r="L279" s="7563">
        <f>F281-K279</f>
        <v>0</v>
      </c>
      <c r="M279" s="1525"/>
    </row>
    <row r="280" spans="1:17" ht="30" customHeight="1" x14ac:dyDescent="0.2">
      <c r="A280" s="7656"/>
      <c r="B280" s="7704"/>
      <c r="C280" s="7747"/>
      <c r="D280" s="1468">
        <v>2000000</v>
      </c>
      <c r="E280" s="1515">
        <v>4.4999999999999998E-2</v>
      </c>
      <c r="F280" s="1468">
        <f>D280*E280</f>
        <v>90000</v>
      </c>
      <c r="G280" s="7586"/>
      <c r="H280" s="7586"/>
      <c r="I280" s="7774"/>
      <c r="J280" s="7586"/>
      <c r="K280" s="7586"/>
      <c r="L280" s="7586"/>
      <c r="M280" s="7732"/>
      <c r="N280" s="7733"/>
      <c r="O280" s="7733"/>
      <c r="P280" s="7733"/>
      <c r="Q280" s="7734"/>
    </row>
    <row r="281" spans="1:17" ht="30" customHeight="1" x14ac:dyDescent="0.2">
      <c r="A281" s="7655"/>
      <c r="B281" s="7705"/>
      <c r="C281" s="7724"/>
      <c r="D281" s="1499">
        <v>20000000</v>
      </c>
      <c r="E281" s="1298">
        <v>0.05</v>
      </c>
      <c r="F281" s="1499">
        <f>D281*E281</f>
        <v>1000000</v>
      </c>
      <c r="G281" s="7564"/>
      <c r="H281" s="7564"/>
      <c r="I281" s="7749"/>
      <c r="J281" s="7564"/>
      <c r="K281" s="7564"/>
      <c r="L281" s="7564"/>
      <c r="M281" s="7806" t="s">
        <v>2207</v>
      </c>
      <c r="N281" s="7807"/>
      <c r="O281" s="7807"/>
      <c r="P281" s="7807"/>
      <c r="Q281" s="7808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7654">
        <v>172</v>
      </c>
      <c r="B284" s="7652" t="s">
        <v>32</v>
      </c>
      <c r="C284" s="7873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7655"/>
      <c r="B285" s="7653"/>
      <c r="C285" s="7873"/>
      <c r="D285" s="1477"/>
      <c r="E285" s="40"/>
      <c r="F285" s="1477"/>
      <c r="G285" s="7806" t="s">
        <v>3258</v>
      </c>
      <c r="H285" s="7807"/>
      <c r="I285" s="7807"/>
      <c r="J285" s="7807"/>
      <c r="K285" s="7808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7654">
        <v>174</v>
      </c>
      <c r="B287" s="7652" t="s">
        <v>34</v>
      </c>
      <c r="C287" s="7723" t="s">
        <v>1287</v>
      </c>
      <c r="D287" s="7563">
        <v>4545000000</v>
      </c>
      <c r="E287" s="7659">
        <v>7.0000000000000007E-2</v>
      </c>
      <c r="F287" s="7563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7563">
        <f>G287+G288</f>
        <v>30000000</v>
      </c>
      <c r="L287" s="7563">
        <f>F287-K287</f>
        <v>288000000</v>
      </c>
      <c r="M287" s="1458"/>
    </row>
    <row r="288" spans="1:17" ht="30" customHeight="1" x14ac:dyDescent="0.2">
      <c r="A288" s="7656"/>
      <c r="B288" s="7665"/>
      <c r="C288" s="7747"/>
      <c r="D288" s="7586"/>
      <c r="E288" s="7676"/>
      <c r="F288" s="7586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7564"/>
      <c r="L288" s="7586"/>
      <c r="M288" s="1459" t="s">
        <v>2888</v>
      </c>
    </row>
    <row r="289" spans="1:13" ht="30" customHeight="1" x14ac:dyDescent="0.2">
      <c r="A289" s="7656"/>
      <c r="B289" s="7665"/>
      <c r="C289" s="7747"/>
      <c r="D289" s="7564"/>
      <c r="E289" s="7660"/>
      <c r="F289" s="7564"/>
      <c r="G289" s="7806" t="s">
        <v>2806</v>
      </c>
      <c r="H289" s="7807"/>
      <c r="I289" s="7807"/>
      <c r="J289" s="7807"/>
      <c r="K289" s="7808"/>
      <c r="L289" s="7564"/>
      <c r="M289" s="1460" t="s">
        <v>2324</v>
      </c>
    </row>
    <row r="290" spans="1:13" ht="30" customHeight="1" x14ac:dyDescent="0.2">
      <c r="A290" s="7656"/>
      <c r="B290" s="7665"/>
      <c r="C290" s="7747"/>
      <c r="D290" s="1468"/>
      <c r="E290" s="1465"/>
      <c r="F290" s="1468"/>
      <c r="G290" s="7806" t="s">
        <v>2885</v>
      </c>
      <c r="H290" s="7807"/>
      <c r="I290" s="7807"/>
      <c r="J290" s="7807"/>
      <c r="K290" s="7808"/>
      <c r="L290" s="1468"/>
      <c r="M290" s="1460" t="s">
        <v>2886</v>
      </c>
    </row>
    <row r="291" spans="1:13" ht="30" customHeight="1" x14ac:dyDescent="0.2">
      <c r="A291" s="7656"/>
      <c r="B291" s="7665"/>
      <c r="C291" s="7747"/>
      <c r="D291" s="1468"/>
      <c r="E291" s="1465"/>
      <c r="F291" s="1468"/>
      <c r="G291" s="7806" t="s">
        <v>4267</v>
      </c>
      <c r="H291" s="7807"/>
      <c r="I291" s="7807"/>
      <c r="J291" s="7807"/>
      <c r="K291" s="7808"/>
      <c r="L291" s="1468"/>
      <c r="M291" s="1460"/>
    </row>
    <row r="292" spans="1:13" ht="30" customHeight="1" x14ac:dyDescent="0.2">
      <c r="A292" s="7655"/>
      <c r="B292" s="7653"/>
      <c r="C292" s="7724"/>
      <c r="D292" s="1468">
        <v>5000000000</v>
      </c>
      <c r="E292" s="1465">
        <v>0.08</v>
      </c>
      <c r="F292" s="1468">
        <f>D292*E292</f>
        <v>400000000</v>
      </c>
      <c r="G292" s="7806" t="s">
        <v>2887</v>
      </c>
      <c r="H292" s="7807"/>
      <c r="I292" s="7807"/>
      <c r="J292" s="7807"/>
      <c r="K292" s="7808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7654">
        <v>180</v>
      </c>
      <c r="B298" s="7652" t="s">
        <v>41</v>
      </c>
      <c r="C298" s="7679" t="s">
        <v>2403</v>
      </c>
      <c r="D298" s="7563">
        <v>300000000</v>
      </c>
      <c r="E298" s="7659">
        <v>5.7000000000000002E-2</v>
      </c>
      <c r="F298" s="7563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7563">
        <f>G298+G299</f>
        <v>17000000</v>
      </c>
      <c r="L298" s="7563">
        <f t="shared" si="18"/>
        <v>0</v>
      </c>
      <c r="M298" s="7703"/>
    </row>
    <row r="299" spans="1:13" ht="30" customHeight="1" x14ac:dyDescent="0.2">
      <c r="A299" s="7655"/>
      <c r="B299" s="7653"/>
      <c r="C299" s="7680"/>
      <c r="D299" s="7564"/>
      <c r="E299" s="7660"/>
      <c r="F299" s="7564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7564"/>
      <c r="L299" s="7564"/>
      <c r="M299" s="7705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7654">
        <v>182</v>
      </c>
      <c r="B301" s="7652" t="s">
        <v>43</v>
      </c>
      <c r="C301" s="7723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7470" t="s">
        <v>2733</v>
      </c>
      <c r="H301" s="7493"/>
      <c r="I301" s="7493"/>
      <c r="J301" s="7493"/>
      <c r="K301" s="7510"/>
      <c r="L301" s="1468"/>
      <c r="M301" s="1516"/>
    </row>
    <row r="302" spans="1:13" ht="30" customHeight="1" x14ac:dyDescent="0.2">
      <c r="A302" s="7656"/>
      <c r="B302" s="7665"/>
      <c r="C302" s="7747"/>
      <c r="D302" s="1468">
        <v>100000000</v>
      </c>
      <c r="E302" s="1515">
        <v>0.05</v>
      </c>
      <c r="F302" s="1468">
        <f>D302*E302</f>
        <v>5000000</v>
      </c>
      <c r="G302" s="7806" t="s">
        <v>2765</v>
      </c>
      <c r="H302" s="7807"/>
      <c r="I302" s="7807"/>
      <c r="J302" s="7807"/>
      <c r="K302" s="7808"/>
      <c r="L302" s="1468"/>
      <c r="M302" s="1516"/>
    </row>
    <row r="303" spans="1:13" ht="30" customHeight="1" x14ac:dyDescent="0.2">
      <c r="A303" s="7656"/>
      <c r="B303" s="7665"/>
      <c r="C303" s="7747"/>
      <c r="D303" s="1499">
        <v>125000000</v>
      </c>
      <c r="E303" s="1298">
        <v>0.05</v>
      </c>
      <c r="F303" s="1499">
        <f>D303*E303</f>
        <v>6250000</v>
      </c>
      <c r="G303" s="7806" t="s">
        <v>3167</v>
      </c>
      <c r="H303" s="7807"/>
      <c r="I303" s="7807"/>
      <c r="J303" s="7807"/>
      <c r="K303" s="7808"/>
      <c r="L303" s="1468"/>
      <c r="M303" s="1516"/>
    </row>
    <row r="304" spans="1:13" ht="30" customHeight="1" x14ac:dyDescent="0.2">
      <c r="A304" s="7655"/>
      <c r="B304" s="7653"/>
      <c r="C304" s="7724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7654">
        <v>187</v>
      </c>
      <c r="B309" s="7652" t="s">
        <v>2470</v>
      </c>
      <c r="C309" s="7723" t="s">
        <v>1138</v>
      </c>
      <c r="D309" s="7563">
        <v>200000000</v>
      </c>
      <c r="E309" s="7659">
        <v>0.05</v>
      </c>
      <c r="F309" s="7563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7655"/>
      <c r="B310" s="7653"/>
      <c r="C310" s="7724"/>
      <c r="D310" s="7564"/>
      <c r="E310" s="7660"/>
      <c r="F310" s="7564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7654">
        <v>190</v>
      </c>
      <c r="B313" s="7652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7563">
        <v>14000000</v>
      </c>
      <c r="H313" s="7563" t="s">
        <v>3227</v>
      </c>
      <c r="I313" s="7748" t="s">
        <v>3250</v>
      </c>
      <c r="J313" s="7561" t="s">
        <v>2967</v>
      </c>
      <c r="K313" s="7563">
        <f>G313</f>
        <v>14000000</v>
      </c>
      <c r="L313" s="7563">
        <f>(F313+F314)-K313</f>
        <v>0</v>
      </c>
      <c r="M313" s="7703"/>
    </row>
    <row r="314" spans="1:13" ht="30" customHeight="1" x14ac:dyDescent="0.2">
      <c r="A314" s="7655"/>
      <c r="B314" s="7653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7564"/>
      <c r="H314" s="7564"/>
      <c r="I314" s="7749"/>
      <c r="J314" s="7562"/>
      <c r="K314" s="7564"/>
      <c r="L314" s="7564"/>
      <c r="M314" s="7705"/>
    </row>
    <row r="315" spans="1:13" ht="30" customHeight="1" x14ac:dyDescent="0.2">
      <c r="A315" s="7879">
        <v>191</v>
      </c>
      <c r="B315" s="7717" t="s">
        <v>52</v>
      </c>
      <c r="C315" s="7723" t="s">
        <v>262</v>
      </c>
      <c r="D315" s="7563">
        <v>700000000</v>
      </c>
      <c r="E315" s="7659">
        <v>7.6999999999999999E-2</v>
      </c>
      <c r="F315" s="7563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7563">
        <f>G315+G316</f>
        <v>54000000</v>
      </c>
      <c r="L315" s="7563">
        <f t="shared" si="25"/>
        <v>0</v>
      </c>
      <c r="M315" s="1505" t="s">
        <v>2523</v>
      </c>
    </row>
    <row r="316" spans="1:13" ht="30" customHeight="1" x14ac:dyDescent="0.2">
      <c r="A316" s="7879"/>
      <c r="B316" s="7717"/>
      <c r="C316" s="7724"/>
      <c r="D316" s="7564"/>
      <c r="E316" s="7660"/>
      <c r="F316" s="7564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7564"/>
      <c r="L316" s="7564"/>
      <c r="M316" s="1506"/>
    </row>
    <row r="317" spans="1:13" ht="30" customHeight="1" x14ac:dyDescent="0.2">
      <c r="A317" s="7654">
        <v>192</v>
      </c>
      <c r="B317" s="7652" t="s">
        <v>53</v>
      </c>
      <c r="C317" s="7723" t="s">
        <v>1287</v>
      </c>
      <c r="D317" s="7482">
        <v>1400000000</v>
      </c>
      <c r="E317" s="7870">
        <v>7.0000000000000007E-2</v>
      </c>
      <c r="F317" s="7482">
        <f>D317*E317</f>
        <v>98000000.000000015</v>
      </c>
      <c r="G317" s="7887" t="s">
        <v>1991</v>
      </c>
      <c r="H317" s="7887"/>
      <c r="I317" s="7887"/>
      <c r="J317" s="7887"/>
      <c r="K317" s="7563"/>
      <c r="L317" s="7563"/>
      <c r="M317" s="180" t="s">
        <v>1992</v>
      </c>
    </row>
    <row r="318" spans="1:13" ht="30" customHeight="1" x14ac:dyDescent="0.2">
      <c r="A318" s="7656"/>
      <c r="B318" s="7665"/>
      <c r="C318" s="7724"/>
      <c r="D318" s="7482"/>
      <c r="E318" s="7870"/>
      <c r="F318" s="7482"/>
      <c r="G318" s="7887"/>
      <c r="H318" s="7887"/>
      <c r="I318" s="7887"/>
      <c r="J318" s="7887"/>
      <c r="K318" s="7564"/>
      <c r="L318" s="7564"/>
      <c r="M318" s="180" t="s">
        <v>2287</v>
      </c>
    </row>
    <row r="319" spans="1:13" ht="30" customHeight="1" x14ac:dyDescent="0.2">
      <c r="A319" s="7656"/>
      <c r="B319" s="7665"/>
      <c r="C319" s="7723"/>
      <c r="D319" s="7677">
        <f>D317+150000000</f>
        <v>1550000000</v>
      </c>
      <c r="E319" s="7659"/>
      <c r="F319" s="7563"/>
      <c r="G319" s="7806" t="s">
        <v>2914</v>
      </c>
      <c r="H319" s="7807"/>
      <c r="I319" s="7807"/>
      <c r="J319" s="7808"/>
      <c r="K319" s="1468"/>
      <c r="L319" s="1468"/>
      <c r="M319" s="180" t="s">
        <v>2915</v>
      </c>
    </row>
    <row r="320" spans="1:13" ht="30" customHeight="1" x14ac:dyDescent="0.2">
      <c r="A320" s="7656"/>
      <c r="B320" s="7665"/>
      <c r="C320" s="7747"/>
      <c r="D320" s="7678"/>
      <c r="E320" s="7660"/>
      <c r="F320" s="7564"/>
      <c r="G320" s="7806" t="s">
        <v>2913</v>
      </c>
      <c r="H320" s="7807"/>
      <c r="I320" s="7807"/>
      <c r="J320" s="7808"/>
      <c r="K320" s="1468"/>
      <c r="L320" s="1468"/>
      <c r="M320" s="180"/>
    </row>
    <row r="321" spans="1:17" ht="30" customHeight="1" x14ac:dyDescent="0.2">
      <c r="A321" s="7656"/>
      <c r="B321" s="7665"/>
      <c r="C321" s="7747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7655"/>
      <c r="B322" s="7653"/>
      <c r="C322" s="7724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7654">
        <v>196</v>
      </c>
      <c r="B326" s="7652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7655"/>
      <c r="B327" s="7653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7806" t="s">
        <v>2002</v>
      </c>
      <c r="N327" s="7807"/>
      <c r="O327" s="7807"/>
      <c r="P327" s="7807"/>
      <c r="Q327" s="7808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7885">
        <v>202</v>
      </c>
      <c r="B333" s="7652" t="s">
        <v>63</v>
      </c>
      <c r="C333" s="7723" t="s">
        <v>1081</v>
      </c>
      <c r="D333" s="7563">
        <v>100000000</v>
      </c>
      <c r="E333" s="7659">
        <v>4.4999999999999998E-2</v>
      </c>
      <c r="F333" s="7563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7886"/>
      <c r="B334" s="7653"/>
      <c r="C334" s="7724"/>
      <c r="D334" s="7564"/>
      <c r="E334" s="7660"/>
      <c r="F334" s="7564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7654">
        <v>207</v>
      </c>
      <c r="B339" s="7652" t="s">
        <v>2676</v>
      </c>
      <c r="C339" s="7723" t="s">
        <v>681</v>
      </c>
      <c r="D339" s="1468">
        <v>45000000</v>
      </c>
      <c r="E339" s="1515">
        <v>0.04</v>
      </c>
      <c r="F339" s="1468">
        <f t="shared" si="24"/>
        <v>1800000</v>
      </c>
      <c r="G339" s="7563">
        <v>3800000</v>
      </c>
      <c r="H339" s="7563" t="s">
        <v>2705</v>
      </c>
      <c r="I339" s="7748" t="s">
        <v>2721</v>
      </c>
      <c r="J339" s="7561" t="s">
        <v>1119</v>
      </c>
      <c r="K339" s="7563">
        <f>G339</f>
        <v>3800000</v>
      </c>
      <c r="L339" s="7563">
        <f>(F339+F340)-K339</f>
        <v>0</v>
      </c>
      <c r="M339" s="7713" t="s">
        <v>1307</v>
      </c>
    </row>
    <row r="340" spans="1:13" ht="30" customHeight="1" x14ac:dyDescent="0.2">
      <c r="A340" s="7656"/>
      <c r="B340" s="7665"/>
      <c r="C340" s="7747"/>
      <c r="D340" s="1468">
        <v>50000000</v>
      </c>
      <c r="E340" s="1515">
        <v>0.04</v>
      </c>
      <c r="F340" s="1468">
        <f t="shared" si="24"/>
        <v>2000000</v>
      </c>
      <c r="G340" s="7564"/>
      <c r="H340" s="7564"/>
      <c r="I340" s="7749"/>
      <c r="J340" s="7562"/>
      <c r="K340" s="7564"/>
      <c r="L340" s="7564"/>
      <c r="M340" s="7714"/>
    </row>
    <row r="341" spans="1:13" ht="30" customHeight="1" x14ac:dyDescent="0.2">
      <c r="A341" s="7656"/>
      <c r="B341" s="7665"/>
      <c r="C341" s="7747"/>
      <c r="D341" s="1468">
        <v>45000000</v>
      </c>
      <c r="E341" s="1515">
        <v>0.04</v>
      </c>
      <c r="F341" s="1468">
        <f t="shared" si="24"/>
        <v>1800000</v>
      </c>
      <c r="G341" s="7563">
        <v>3800000</v>
      </c>
      <c r="H341" s="7563" t="s">
        <v>3189</v>
      </c>
      <c r="I341" s="7748" t="s">
        <v>3194</v>
      </c>
      <c r="J341" s="7561" t="s">
        <v>1119</v>
      </c>
      <c r="K341" s="7563">
        <f>G341</f>
        <v>3800000</v>
      </c>
      <c r="L341" s="7563">
        <f>(F341+F342)-K341</f>
        <v>0</v>
      </c>
      <c r="M341" s="7713" t="s">
        <v>2468</v>
      </c>
    </row>
    <row r="342" spans="1:13" ht="30" customHeight="1" x14ac:dyDescent="0.2">
      <c r="A342" s="7655"/>
      <c r="B342" s="7653"/>
      <c r="C342" s="7724"/>
      <c r="D342" s="1468">
        <v>50000000</v>
      </c>
      <c r="E342" s="1515">
        <v>0.04</v>
      </c>
      <c r="F342" s="1468">
        <f t="shared" si="24"/>
        <v>2000000</v>
      </c>
      <c r="G342" s="7564"/>
      <c r="H342" s="7564"/>
      <c r="I342" s="7749"/>
      <c r="J342" s="7562"/>
      <c r="K342" s="7564"/>
      <c r="L342" s="7564"/>
      <c r="M342" s="7714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7652" t="s">
        <v>1818</v>
      </c>
      <c r="C357" s="7723" t="s">
        <v>1287</v>
      </c>
      <c r="D357" s="7563">
        <v>700000000</v>
      </c>
      <c r="E357" s="7659">
        <v>0.06</v>
      </c>
      <c r="F357" s="7563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7653"/>
      <c r="C358" s="7724"/>
      <c r="D358" s="7564"/>
      <c r="E358" s="7660"/>
      <c r="F358" s="7564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7802" t="s">
        <v>2458</v>
      </c>
      <c r="H362" s="7803"/>
      <c r="I362" s="7803"/>
      <c r="J362" s="7803"/>
      <c r="K362" s="7804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7652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7653"/>
      <c r="C367" s="710"/>
      <c r="D367" s="1468">
        <v>30000000</v>
      </c>
      <c r="E367" s="1515">
        <v>0.05</v>
      </c>
      <c r="F367" s="1468">
        <f t="shared" si="24"/>
        <v>1500000</v>
      </c>
      <c r="G367" s="7858" t="s">
        <v>2905</v>
      </c>
      <c r="H367" s="7859"/>
      <c r="I367" s="7859"/>
      <c r="J367" s="7859"/>
      <c r="K367" s="7860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3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7879">
        <v>241</v>
      </c>
      <c r="B378" s="7717" t="s">
        <v>559</v>
      </c>
      <c r="C378" s="7873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7563">
        <v>2300000</v>
      </c>
      <c r="H378" s="7563" t="s">
        <v>3189</v>
      </c>
      <c r="I378" s="7748" t="s">
        <v>3206</v>
      </c>
      <c r="J378" s="96" t="s">
        <v>557</v>
      </c>
      <c r="K378" s="7563">
        <f t="shared" si="29"/>
        <v>2300000</v>
      </c>
      <c r="L378" s="7563">
        <f>(F378+F379)-K378</f>
        <v>0</v>
      </c>
      <c r="M378" s="7672"/>
    </row>
    <row r="379" spans="1:15" ht="30" customHeight="1" x14ac:dyDescent="0.2">
      <c r="A379" s="7879"/>
      <c r="B379" s="7717"/>
      <c r="C379" s="7873"/>
      <c r="D379" s="1488">
        <v>10000000</v>
      </c>
      <c r="E379" s="1515">
        <v>0.09</v>
      </c>
      <c r="F379" s="1488">
        <f>D379*E379</f>
        <v>900000</v>
      </c>
      <c r="G379" s="7564"/>
      <c r="H379" s="7564"/>
      <c r="I379" s="7749"/>
      <c r="J379" s="96" t="s">
        <v>557</v>
      </c>
      <c r="K379" s="7564"/>
      <c r="L379" s="7564"/>
      <c r="M379" s="7562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6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4057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6">
        <v>251</v>
      </c>
      <c r="B389" s="2605" t="s">
        <v>1830</v>
      </c>
      <c r="C389" s="2599" t="s">
        <v>371</v>
      </c>
      <c r="D389" s="2597">
        <v>90000000</v>
      </c>
      <c r="E389" s="2606">
        <v>0.06</v>
      </c>
      <c r="F389" s="2597">
        <f t="shared" si="30"/>
        <v>5400000</v>
      </c>
      <c r="G389" s="2597">
        <v>5400000</v>
      </c>
      <c r="H389" s="2597" t="s">
        <v>1916</v>
      </c>
      <c r="I389" s="2601" t="s">
        <v>2837</v>
      </c>
      <c r="J389" s="21" t="s">
        <v>2838</v>
      </c>
      <c r="K389" s="2597">
        <f t="shared" si="29"/>
        <v>5400000</v>
      </c>
      <c r="L389" s="2597">
        <f t="shared" si="28"/>
        <v>0</v>
      </c>
      <c r="M389" s="1516"/>
    </row>
    <row r="390" spans="1:16" ht="30" customHeight="1" x14ac:dyDescent="0.2">
      <c r="A390" s="1518">
        <v>252</v>
      </c>
      <c r="B390" s="2608" t="s">
        <v>109</v>
      </c>
      <c r="C390" s="2607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7654">
        <v>253</v>
      </c>
      <c r="B391" s="7652" t="s">
        <v>110</v>
      </c>
      <c r="C391" s="7723" t="s">
        <v>262</v>
      </c>
      <c r="D391" s="1468">
        <v>20000000</v>
      </c>
      <c r="E391" s="1515">
        <v>0.05</v>
      </c>
      <c r="F391" s="1468">
        <f t="shared" si="30"/>
        <v>1000000</v>
      </c>
      <c r="G391" s="7563">
        <v>2000000</v>
      </c>
      <c r="H391" s="7563" t="s">
        <v>2713</v>
      </c>
      <c r="I391" s="7748" t="s">
        <v>2789</v>
      </c>
      <c r="J391" s="7775" t="s">
        <v>810</v>
      </c>
      <c r="K391" s="7563">
        <f t="shared" si="29"/>
        <v>2000000</v>
      </c>
      <c r="L391" s="7563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7655"/>
      <c r="B392" s="7653"/>
      <c r="C392" s="7724"/>
      <c r="D392" s="1468">
        <v>20000000</v>
      </c>
      <c r="E392" s="1515">
        <v>0.05</v>
      </c>
      <c r="F392" s="1468">
        <f t="shared" si="30"/>
        <v>1000000</v>
      </c>
      <c r="G392" s="7564"/>
      <c r="H392" s="7564"/>
      <c r="I392" s="7749"/>
      <c r="J392" s="7777"/>
      <c r="K392" s="7564"/>
      <c r="L392" s="7564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7802" t="s">
        <v>2203</v>
      </c>
      <c r="N393" s="7803"/>
      <c r="O393" s="7803"/>
      <c r="P393" s="7803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7563">
        <v>1600000</v>
      </c>
      <c r="H397" s="7563" t="s">
        <v>2965</v>
      </c>
      <c r="I397" s="7748" t="s">
        <v>2981</v>
      </c>
      <c r="J397" s="7772" t="s">
        <v>475</v>
      </c>
      <c r="K397" s="7563">
        <f>G397</f>
        <v>1600000</v>
      </c>
      <c r="L397" s="7563">
        <f>(F397+F398)-K397</f>
        <v>0</v>
      </c>
      <c r="M397" s="7703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7564"/>
      <c r="H398" s="7564"/>
      <c r="I398" s="7749"/>
      <c r="J398" s="7773"/>
      <c r="K398" s="7564"/>
      <c r="L398" s="7564"/>
      <c r="M398" s="7705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7654">
        <v>263</v>
      </c>
      <c r="B400" s="7652" t="s">
        <v>572</v>
      </c>
      <c r="C400" s="7723"/>
      <c r="D400" s="7677"/>
      <c r="E400" s="7691"/>
      <c r="F400" s="7677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7563">
        <f>G400+G401</f>
        <v>4000000</v>
      </c>
      <c r="L400" s="7677">
        <f t="shared" si="31"/>
        <v>-4000000</v>
      </c>
      <c r="M400" s="7657"/>
    </row>
    <row r="401" spans="1:13" ht="30" customHeight="1" x14ac:dyDescent="0.2">
      <c r="A401" s="7655"/>
      <c r="B401" s="7653"/>
      <c r="C401" s="7724"/>
      <c r="D401" s="7678"/>
      <c r="E401" s="7693"/>
      <c r="F401" s="7678"/>
      <c r="G401" s="1468">
        <v>2000000</v>
      </c>
      <c r="H401" s="1468" t="s">
        <v>2875</v>
      </c>
      <c r="I401" s="1489" t="s">
        <v>2958</v>
      </c>
      <c r="J401" s="21" t="s">
        <v>451</v>
      </c>
      <c r="K401" s="7564"/>
      <c r="L401" s="7678"/>
      <c r="M401" s="7658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5">
        <v>100000000</v>
      </c>
      <c r="E402" s="1844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7654">
        <v>265</v>
      </c>
      <c r="B403" s="7959" t="s">
        <v>121</v>
      </c>
      <c r="C403" s="7723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7806" t="s">
        <v>2357</v>
      </c>
      <c r="H403" s="7807"/>
      <c r="I403" s="7807"/>
      <c r="J403" s="7807"/>
      <c r="K403" s="7808"/>
      <c r="L403" s="1477"/>
      <c r="M403" s="1497" t="s">
        <v>2356</v>
      </c>
    </row>
    <row r="404" spans="1:13" ht="30" customHeight="1" x14ac:dyDescent="0.2">
      <c r="A404" s="7656"/>
      <c r="B404" s="7960"/>
      <c r="C404" s="7747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7910" t="s">
        <v>2968</v>
      </c>
    </row>
    <row r="405" spans="1:13" ht="30" customHeight="1" x14ac:dyDescent="0.2">
      <c r="A405" s="7656"/>
      <c r="B405" s="7960"/>
      <c r="C405" s="7747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7911"/>
    </row>
    <row r="406" spans="1:13" ht="30" customHeight="1" x14ac:dyDescent="0.2">
      <c r="A406" s="7656"/>
      <c r="B406" s="7960"/>
      <c r="C406" s="7747"/>
      <c r="D406" s="1468">
        <v>1000000000</v>
      </c>
      <c r="E406" s="1465">
        <v>7.0000000000000007E-2</v>
      </c>
      <c r="F406" s="1468">
        <f>D406*E406</f>
        <v>70000000</v>
      </c>
      <c r="G406" s="7732" t="s">
        <v>3283</v>
      </c>
      <c r="H406" s="7733"/>
      <c r="I406" s="7733"/>
      <c r="J406" s="7733"/>
      <c r="K406" s="7733"/>
      <c r="L406" s="7734"/>
      <c r="M406" s="1497"/>
    </row>
    <row r="407" spans="1:13" ht="30" customHeight="1" x14ac:dyDescent="0.2">
      <c r="A407" s="7655"/>
      <c r="B407" s="7961"/>
      <c r="C407" s="7724"/>
      <c r="D407" s="7470" t="s">
        <v>3288</v>
      </c>
      <c r="E407" s="7493"/>
      <c r="F407" s="7510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7654">
        <v>267</v>
      </c>
      <c r="B409" s="7652" t="s">
        <v>497</v>
      </c>
      <c r="C409" s="7723" t="s">
        <v>371</v>
      </c>
      <c r="D409" s="967">
        <v>250000000</v>
      </c>
      <c r="E409" s="995">
        <v>0.04</v>
      </c>
      <c r="F409" s="967">
        <f t="shared" si="32"/>
        <v>10000000</v>
      </c>
      <c r="G409" s="7732" t="s">
        <v>2890</v>
      </c>
      <c r="H409" s="7733"/>
      <c r="I409" s="7733"/>
      <c r="J409" s="7733"/>
      <c r="K409" s="7734"/>
      <c r="L409" s="967">
        <f t="shared" si="33"/>
        <v>10000000</v>
      </c>
      <c r="M409" s="1201" t="s">
        <v>2891</v>
      </c>
    </row>
    <row r="410" spans="1:13" ht="30" customHeight="1" x14ac:dyDescent="0.2">
      <c r="A410" s="7655"/>
      <c r="B410" s="7653"/>
      <c r="C410" s="7724"/>
      <c r="D410" s="1195">
        <v>300000000</v>
      </c>
      <c r="E410" s="1203">
        <v>0.04</v>
      </c>
      <c r="F410" s="1195">
        <f t="shared" si="32"/>
        <v>12000000</v>
      </c>
      <c r="G410" s="7806" t="s">
        <v>2892</v>
      </c>
      <c r="H410" s="7807"/>
      <c r="I410" s="7807"/>
      <c r="J410" s="7807"/>
      <c r="K410" s="7808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7654"/>
      <c r="B415" s="7652" t="s">
        <v>2524</v>
      </c>
      <c r="C415" s="7723" t="s">
        <v>1287</v>
      </c>
      <c r="D415" s="863">
        <v>520000000</v>
      </c>
      <c r="E415" s="864">
        <v>5.5E-2</v>
      </c>
      <c r="F415" s="863">
        <f>D415*E415</f>
        <v>28600000</v>
      </c>
      <c r="G415" s="7912">
        <v>38900000</v>
      </c>
      <c r="H415" s="7906" t="s">
        <v>2916</v>
      </c>
      <c r="I415" s="7903" t="s">
        <v>2918</v>
      </c>
      <c r="J415" s="7906" t="s">
        <v>815</v>
      </c>
      <c r="K415" s="7906">
        <f>G415+G417</f>
        <v>50000000</v>
      </c>
      <c r="L415" s="7906"/>
      <c r="M415" s="1236" t="s">
        <v>2427</v>
      </c>
    </row>
    <row r="416" spans="1:13" ht="30" customHeight="1" x14ac:dyDescent="0.2">
      <c r="A416" s="7656"/>
      <c r="B416" s="7665"/>
      <c r="C416" s="7747"/>
      <c r="D416" s="863">
        <v>65000000</v>
      </c>
      <c r="E416" s="864">
        <v>0.06</v>
      </c>
      <c r="F416" s="863">
        <f>D416*E416</f>
        <v>3900000</v>
      </c>
      <c r="G416" s="7912"/>
      <c r="H416" s="7907"/>
      <c r="I416" s="7904"/>
      <c r="J416" s="7907"/>
      <c r="K416" s="7907"/>
      <c r="L416" s="7907"/>
      <c r="M416" s="1237" t="s">
        <v>2919</v>
      </c>
    </row>
    <row r="417" spans="1:13" ht="30" customHeight="1" x14ac:dyDescent="0.2">
      <c r="A417" s="7656"/>
      <c r="B417" s="7665"/>
      <c r="C417" s="7747"/>
      <c r="D417" s="863">
        <v>85000000</v>
      </c>
      <c r="E417" s="864">
        <v>0.06</v>
      </c>
      <c r="F417" s="863">
        <f>D417*E417</f>
        <v>5100000</v>
      </c>
      <c r="G417" s="7906">
        <v>11100000</v>
      </c>
      <c r="H417" s="7907"/>
      <c r="I417" s="7904"/>
      <c r="J417" s="7907"/>
      <c r="K417" s="7907"/>
      <c r="L417" s="7907"/>
      <c r="M417" s="7909" t="s">
        <v>3000</v>
      </c>
    </row>
    <row r="418" spans="1:13" ht="30" customHeight="1" x14ac:dyDescent="0.2">
      <c r="A418" s="7656"/>
      <c r="B418" s="7665"/>
      <c r="C418" s="7747"/>
      <c r="D418" s="7883" t="s">
        <v>1787</v>
      </c>
      <c r="E418" s="7884"/>
      <c r="F418" s="863">
        <v>1300000</v>
      </c>
      <c r="G418" s="7908"/>
      <c r="H418" s="7908"/>
      <c r="I418" s="7905"/>
      <c r="J418" s="7908"/>
      <c r="K418" s="7908"/>
      <c r="L418" s="7908"/>
      <c r="M418" s="7909"/>
    </row>
    <row r="419" spans="1:13" ht="30" customHeight="1" x14ac:dyDescent="0.2">
      <c r="A419" s="7655"/>
      <c r="B419" s="7653"/>
      <c r="C419" s="7724"/>
      <c r="D419" s="1015">
        <v>100000000</v>
      </c>
      <c r="E419" s="1021">
        <v>0.06</v>
      </c>
      <c r="F419" s="1015">
        <f>D419*E419</f>
        <v>6000000</v>
      </c>
      <c r="G419" s="7806" t="s">
        <v>2424</v>
      </c>
      <c r="H419" s="7807"/>
      <c r="I419" s="7807"/>
      <c r="J419" s="7808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7900" t="s">
        <v>3354</v>
      </c>
      <c r="H420" s="7901"/>
      <c r="I420" s="7901"/>
      <c r="J420" s="7901"/>
      <c r="K420" s="7902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7654">
        <v>274</v>
      </c>
      <c r="B422" s="7652" t="s">
        <v>128</v>
      </c>
      <c r="C422" s="7723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7655"/>
      <c r="B423" s="7653"/>
      <c r="C423" s="7724"/>
      <c r="D423" s="1300">
        <v>50000000</v>
      </c>
      <c r="E423" s="1305">
        <v>0.05</v>
      </c>
      <c r="F423" s="1300">
        <f>D423*E423</f>
        <v>2500000</v>
      </c>
      <c r="G423" s="7806" t="s">
        <v>3122</v>
      </c>
      <c r="H423" s="7807"/>
      <c r="I423" s="7807"/>
      <c r="J423" s="7807"/>
      <c r="K423" s="7808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7654">
        <v>278</v>
      </c>
      <c r="B427" s="7652" t="s">
        <v>620</v>
      </c>
      <c r="C427" s="7723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7563">
        <v>1750000</v>
      </c>
      <c r="H427" s="7563" t="s">
        <v>2897</v>
      </c>
      <c r="I427" s="7748" t="s">
        <v>3008</v>
      </c>
      <c r="J427" s="7561" t="s">
        <v>2066</v>
      </c>
      <c r="K427" s="7563">
        <f t="shared" si="34"/>
        <v>1750000</v>
      </c>
      <c r="L427" s="7563">
        <f>(F427+F428)-K427</f>
        <v>0</v>
      </c>
      <c r="M427" s="7703"/>
    </row>
    <row r="428" spans="1:13" ht="30" customHeight="1" x14ac:dyDescent="0.2">
      <c r="A428" s="7655"/>
      <c r="B428" s="7653"/>
      <c r="C428" s="7724"/>
      <c r="D428" s="967">
        <v>10000000</v>
      </c>
      <c r="E428" s="995">
        <v>0.04</v>
      </c>
      <c r="F428" s="967">
        <f>D428*E428</f>
        <v>400000</v>
      </c>
      <c r="G428" s="7564"/>
      <c r="H428" s="7564"/>
      <c r="I428" s="7749"/>
      <c r="J428" s="7562"/>
      <c r="K428" s="7564"/>
      <c r="L428" s="7564"/>
      <c r="M428" s="7705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7552" t="s">
        <v>3097</v>
      </c>
      <c r="H430" s="7843"/>
      <c r="I430" s="7843"/>
      <c r="J430" s="7844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7654">
        <v>283</v>
      </c>
      <c r="B433" s="7652" t="s">
        <v>134</v>
      </c>
      <c r="C433" s="7723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7656"/>
      <c r="B434" s="7665"/>
      <c r="C434" s="7747"/>
      <c r="D434" s="1209"/>
      <c r="E434" s="1210"/>
      <c r="F434" s="1209"/>
      <c r="G434" s="7806" t="s">
        <v>2910</v>
      </c>
      <c r="H434" s="7807"/>
      <c r="I434" s="7807"/>
      <c r="J434" s="7808"/>
      <c r="K434" s="1208"/>
      <c r="L434" s="1208"/>
      <c r="M434" s="763"/>
    </row>
    <row r="435" spans="1:13" ht="30" customHeight="1" x14ac:dyDescent="0.2">
      <c r="A435" s="7656"/>
      <c r="B435" s="7665"/>
      <c r="C435" s="7747"/>
      <c r="D435" s="1703">
        <f>D433+3730000</f>
        <v>40823000</v>
      </c>
      <c r="E435" s="1704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7656"/>
      <c r="B436" s="7665"/>
      <c r="C436" s="7747"/>
      <c r="D436" s="1703"/>
      <c r="E436" s="1704"/>
      <c r="F436" s="1703"/>
      <c r="G436" s="7806" t="s">
        <v>3666</v>
      </c>
      <c r="H436" s="7807"/>
      <c r="I436" s="7807"/>
      <c r="J436" s="7808"/>
      <c r="K436" s="1702"/>
      <c r="L436" s="1702"/>
      <c r="M436" s="763"/>
    </row>
    <row r="437" spans="1:13" ht="30" customHeight="1" x14ac:dyDescent="0.2">
      <c r="A437" s="7655"/>
      <c r="B437" s="7653"/>
      <c r="C437" s="7724"/>
      <c r="D437" s="1703">
        <f>40823000+3800000</f>
        <v>44623000</v>
      </c>
      <c r="E437" s="1704">
        <v>0.05</v>
      </c>
      <c r="F437" s="1703">
        <f>D437*E437</f>
        <v>2231150</v>
      </c>
      <c r="G437" s="233"/>
      <c r="H437" s="233"/>
      <c r="I437" s="233"/>
      <c r="J437" s="21"/>
      <c r="K437" s="1702"/>
      <c r="L437" s="1702"/>
      <c r="M437" s="763"/>
    </row>
    <row r="438" spans="1:13" ht="30" customHeight="1" x14ac:dyDescent="0.2">
      <c r="A438" s="7654">
        <v>284</v>
      </c>
      <c r="B438" s="7652" t="s">
        <v>1158</v>
      </c>
      <c r="C438" s="7723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7563">
        <v>7925000</v>
      </c>
      <c r="H438" s="7563" t="s">
        <v>2897</v>
      </c>
      <c r="I438" s="7748" t="s">
        <v>3010</v>
      </c>
      <c r="J438" s="7561" t="s">
        <v>2219</v>
      </c>
      <c r="K438" s="7563">
        <f>G438</f>
        <v>7925000</v>
      </c>
      <c r="L438" s="7563">
        <f>(F438+F439)-K438</f>
        <v>25000</v>
      </c>
      <c r="M438" s="7757"/>
    </row>
    <row r="439" spans="1:13" ht="30" customHeight="1" x14ac:dyDescent="0.2">
      <c r="A439" s="7656"/>
      <c r="B439" s="7665"/>
      <c r="C439" s="7747"/>
      <c r="D439" s="967">
        <v>60000000</v>
      </c>
      <c r="E439" s="995">
        <v>0.05</v>
      </c>
      <c r="F439" s="967">
        <f t="shared" si="32"/>
        <v>3000000</v>
      </c>
      <c r="G439" s="7564"/>
      <c r="H439" s="7564"/>
      <c r="I439" s="7749"/>
      <c r="J439" s="7562"/>
      <c r="K439" s="7564"/>
      <c r="L439" s="7564"/>
      <c r="M439" s="7758"/>
    </row>
    <row r="440" spans="1:13" ht="30" customHeight="1" x14ac:dyDescent="0.2">
      <c r="A440" s="7655"/>
      <c r="B440" s="7653"/>
      <c r="C440" s="7724"/>
      <c r="D440" s="1195">
        <v>30000000</v>
      </c>
      <c r="E440" s="1203"/>
      <c r="F440" s="1195"/>
      <c r="G440" s="7806" t="s">
        <v>2893</v>
      </c>
      <c r="H440" s="7807"/>
      <c r="I440" s="7807"/>
      <c r="J440" s="7808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7654">
        <v>287</v>
      </c>
      <c r="B443" s="7652" t="s">
        <v>137</v>
      </c>
      <c r="C443" s="7723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7563">
        <f>G443+G444</f>
        <v>3000000</v>
      </c>
      <c r="L443" s="7563">
        <f>(F443+F444)-K443</f>
        <v>0</v>
      </c>
      <c r="M443" s="7657"/>
    </row>
    <row r="444" spans="1:13" ht="30" customHeight="1" x14ac:dyDescent="0.2">
      <c r="A444" s="7655"/>
      <c r="B444" s="7653"/>
      <c r="C444" s="7724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7564"/>
      <c r="L444" s="7564"/>
      <c r="M444" s="7658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7654"/>
      <c r="B450" s="7652" t="s">
        <v>142</v>
      </c>
      <c r="C450" s="7962" t="s">
        <v>2778</v>
      </c>
      <c r="D450" s="7963"/>
      <c r="E450" s="7963"/>
      <c r="F450" s="7964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7563">
        <f>G450+G451+G452+G453</f>
        <v>300000000</v>
      </c>
      <c r="L450" s="7563">
        <f>300000000-K450</f>
        <v>0</v>
      </c>
      <c r="M450" s="7703"/>
    </row>
    <row r="451" spans="1:13" ht="33.75" customHeight="1" x14ac:dyDescent="0.2">
      <c r="A451" s="7656"/>
      <c r="B451" s="7665"/>
      <c r="C451" s="7965"/>
      <c r="D451" s="7966"/>
      <c r="E451" s="7966"/>
      <c r="F451" s="7967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7586"/>
      <c r="L451" s="7586"/>
      <c r="M451" s="7704"/>
    </row>
    <row r="452" spans="1:13" ht="33.75" customHeight="1" x14ac:dyDescent="0.2">
      <c r="A452" s="7656"/>
      <c r="B452" s="7665"/>
      <c r="C452" s="7965"/>
      <c r="D452" s="7966"/>
      <c r="E452" s="7966"/>
      <c r="F452" s="7967"/>
      <c r="G452" s="1252">
        <v>200000000</v>
      </c>
      <c r="H452" s="1252"/>
      <c r="I452" s="1261"/>
      <c r="J452" s="18"/>
      <c r="K452" s="7586"/>
      <c r="L452" s="7586"/>
      <c r="M452" s="7704"/>
    </row>
    <row r="453" spans="1:13" ht="33.75" customHeight="1" x14ac:dyDescent="0.2">
      <c r="A453" s="7656"/>
      <c r="B453" s="7665"/>
      <c r="C453" s="7968"/>
      <c r="D453" s="7969"/>
      <c r="E453" s="7969"/>
      <c r="F453" s="7970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7564"/>
      <c r="L453" s="7564"/>
      <c r="M453" s="7705"/>
    </row>
    <row r="454" spans="1:13" ht="30" customHeight="1" x14ac:dyDescent="0.2">
      <c r="A454" s="7655"/>
      <c r="B454" s="7653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7563">
        <v>5500000</v>
      </c>
      <c r="H454" s="7563" t="s">
        <v>3004</v>
      </c>
      <c r="I454" s="7748" t="s">
        <v>3059</v>
      </c>
      <c r="J454" s="7563" t="s">
        <v>2780</v>
      </c>
      <c r="K454" s="7563">
        <f>G454</f>
        <v>5500000</v>
      </c>
      <c r="L454" s="7563">
        <f>(F454+F455)-G454</f>
        <v>0</v>
      </c>
      <c r="M454" s="7757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7564"/>
      <c r="H455" s="7564"/>
      <c r="I455" s="7749"/>
      <c r="J455" s="7564"/>
      <c r="K455" s="7564"/>
      <c r="L455" s="7564"/>
      <c r="M455" s="7758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7552" t="s">
        <v>3050</v>
      </c>
      <c r="E457" s="7843"/>
      <c r="F457" s="7844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7954" t="s">
        <v>3120</v>
      </c>
      <c r="H459" s="7955"/>
      <c r="I459" s="7955"/>
      <c r="J459" s="7955"/>
      <c r="K459" s="7956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7654">
        <v>303</v>
      </c>
      <c r="B462" s="7652" t="s">
        <v>150</v>
      </c>
      <c r="C462" s="7723" t="s">
        <v>1796</v>
      </c>
      <c r="D462" s="7563">
        <v>1816000000</v>
      </c>
      <c r="E462" s="7659">
        <f t="shared" ref="E462" si="37">F462/D462</f>
        <v>7.306167400881057E-2</v>
      </c>
      <c r="F462" s="7563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7563">
        <f>G462+G463+G464</f>
        <v>132680000</v>
      </c>
      <c r="L462" s="7563">
        <f>F462-K462</f>
        <v>0</v>
      </c>
      <c r="M462" s="1385" t="s">
        <v>2436</v>
      </c>
    </row>
    <row r="463" spans="1:13" ht="30" customHeight="1" x14ac:dyDescent="0.2">
      <c r="A463" s="7656"/>
      <c r="B463" s="7665"/>
      <c r="C463" s="7747"/>
      <c r="D463" s="7586"/>
      <c r="E463" s="7676"/>
      <c r="F463" s="7586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7586"/>
      <c r="L463" s="7586"/>
      <c r="M463" s="1385"/>
    </row>
    <row r="464" spans="1:13" ht="30" customHeight="1" x14ac:dyDescent="0.2">
      <c r="A464" s="7656"/>
      <c r="B464" s="7665"/>
      <c r="C464" s="7747"/>
      <c r="D464" s="7586"/>
      <c r="E464" s="7676"/>
      <c r="F464" s="7586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7564"/>
      <c r="L464" s="7564"/>
      <c r="M464" s="1385"/>
    </row>
    <row r="465" spans="1:13" ht="30" customHeight="1" x14ac:dyDescent="0.2">
      <c r="A465" s="7656"/>
      <c r="B465" s="7665"/>
      <c r="C465" s="7747"/>
      <c r="D465" s="7564"/>
      <c r="E465" s="7660"/>
      <c r="F465" s="7564"/>
      <c r="G465" s="7887" t="s">
        <v>3335</v>
      </c>
      <c r="H465" s="7887"/>
      <c r="I465" s="7887"/>
      <c r="J465" s="7887"/>
      <c r="K465" s="7887"/>
      <c r="L465" s="1405"/>
      <c r="M465" s="1385"/>
    </row>
    <row r="466" spans="1:13" ht="30" customHeight="1" x14ac:dyDescent="0.2">
      <c r="A466" s="7655"/>
      <c r="B466" s="7653"/>
      <c r="C466" s="7724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7887" t="s">
        <v>3316</v>
      </c>
      <c r="H466" s="7887"/>
      <c r="I466" s="7887"/>
      <c r="J466" s="7887"/>
      <c r="K466" s="7887"/>
      <c r="L466" s="1405"/>
      <c r="M466" s="1385"/>
    </row>
    <row r="467" spans="1:13" ht="30" customHeight="1" x14ac:dyDescent="0.2">
      <c r="A467" s="7654">
        <v>305</v>
      </c>
      <c r="B467" s="7652" t="s">
        <v>152</v>
      </c>
      <c r="C467" s="7723"/>
      <c r="D467" s="7563">
        <v>750000000</v>
      </c>
      <c r="E467" s="7870">
        <v>6.5000000000000002E-2</v>
      </c>
      <c r="F467" s="7482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7563">
        <f>G467+G468</f>
        <v>24000000</v>
      </c>
      <c r="L467" s="7563">
        <f t="shared" si="36"/>
        <v>24000000</v>
      </c>
      <c r="M467" s="345" t="s">
        <v>2687</v>
      </c>
    </row>
    <row r="468" spans="1:13" ht="30" customHeight="1" x14ac:dyDescent="0.2">
      <c r="A468" s="7656"/>
      <c r="B468" s="7665"/>
      <c r="C468" s="7747"/>
      <c r="D468" s="7564"/>
      <c r="E468" s="7870"/>
      <c r="F468" s="7482"/>
      <c r="G468" s="967">
        <v>20000000</v>
      </c>
      <c r="H468" s="967" t="s">
        <v>2705</v>
      </c>
      <c r="I468" s="988" t="s">
        <v>2720</v>
      </c>
      <c r="J468" s="21" t="s">
        <v>2394</v>
      </c>
      <c r="K468" s="7564"/>
      <c r="L468" s="7564"/>
      <c r="M468" s="710" t="s">
        <v>3282</v>
      </c>
    </row>
    <row r="469" spans="1:13" ht="30" customHeight="1" x14ac:dyDescent="0.2">
      <c r="A469" s="7656"/>
      <c r="B469" s="7665"/>
      <c r="C469" s="7747"/>
      <c r="D469" s="7563">
        <v>750000000</v>
      </c>
      <c r="E469" s="7659">
        <v>6.5000000000000002E-2</v>
      </c>
      <c r="F469" s="7563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7563">
        <f>G469+G470+G471+G472</f>
        <v>22000000</v>
      </c>
      <c r="L469" s="7563">
        <f>F469-10000000-K469</f>
        <v>16000000</v>
      </c>
      <c r="M469" s="7818" t="s">
        <v>3350</v>
      </c>
    </row>
    <row r="470" spans="1:13" ht="30" customHeight="1" x14ac:dyDescent="0.2">
      <c r="A470" s="7656"/>
      <c r="B470" s="7665"/>
      <c r="C470" s="7747"/>
      <c r="D470" s="7586"/>
      <c r="E470" s="7676"/>
      <c r="F470" s="7586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7586"/>
      <c r="L470" s="7586"/>
      <c r="M470" s="7855"/>
    </row>
    <row r="471" spans="1:13" ht="30" customHeight="1" x14ac:dyDescent="0.2">
      <c r="A471" s="7656"/>
      <c r="B471" s="7665"/>
      <c r="C471" s="7747"/>
      <c r="D471" s="7586"/>
      <c r="E471" s="7676"/>
      <c r="F471" s="7586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7586"/>
      <c r="L471" s="7586"/>
      <c r="M471" s="7855"/>
    </row>
    <row r="472" spans="1:13" ht="30" customHeight="1" x14ac:dyDescent="0.2">
      <c r="A472" s="7655"/>
      <c r="B472" s="7653"/>
      <c r="C472" s="7724"/>
      <c r="D472" s="7564"/>
      <c r="E472" s="7660"/>
      <c r="F472" s="7564"/>
      <c r="G472" s="1406"/>
      <c r="H472" s="1406"/>
      <c r="I472" s="1423"/>
      <c r="J472" s="21"/>
      <c r="K472" s="7564"/>
      <c r="L472" s="7564"/>
      <c r="M472" s="7819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7563">
        <v>24000000</v>
      </c>
      <c r="H474" s="7563" t="s">
        <v>2897</v>
      </c>
      <c r="I474" s="7748" t="s">
        <v>2992</v>
      </c>
      <c r="J474" s="7772" t="s">
        <v>1873</v>
      </c>
      <c r="K474" s="7563">
        <f>G474</f>
        <v>24000000</v>
      </c>
      <c r="L474" s="7563">
        <f>(F474+F475)-K474</f>
        <v>0</v>
      </c>
      <c r="M474" s="7703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7564"/>
      <c r="H475" s="7564"/>
      <c r="I475" s="7749"/>
      <c r="J475" s="7773"/>
      <c r="K475" s="7564"/>
      <c r="L475" s="7564"/>
      <c r="M475" s="7705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7654">
        <v>317</v>
      </c>
      <c r="B483" s="7652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7656"/>
      <c r="B484" s="7665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7655"/>
      <c r="B485" s="7653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7654">
        <v>322</v>
      </c>
      <c r="B490" s="7652" t="s">
        <v>1378</v>
      </c>
      <c r="C490" s="7723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7655"/>
      <c r="B491" s="7653"/>
      <c r="C491" s="7724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7654">
        <v>325</v>
      </c>
      <c r="B494" s="7652" t="s">
        <v>270</v>
      </c>
      <c r="C494" s="7723"/>
      <c r="D494" s="967">
        <v>300000000</v>
      </c>
      <c r="E494" s="995">
        <v>0.1</v>
      </c>
      <c r="F494" s="967">
        <v>30750000</v>
      </c>
      <c r="G494" s="7563">
        <v>40550000</v>
      </c>
      <c r="H494" s="7563" t="s">
        <v>2916</v>
      </c>
      <c r="I494" s="7779" t="s">
        <v>2926</v>
      </c>
      <c r="J494" s="7561" t="s">
        <v>2927</v>
      </c>
      <c r="K494" s="7563">
        <f>G494</f>
        <v>40550000</v>
      </c>
      <c r="L494" s="7563">
        <f>(F494+F495)-K494</f>
        <v>0</v>
      </c>
      <c r="M494" s="7723"/>
    </row>
    <row r="495" spans="1:13" ht="30" customHeight="1" x14ac:dyDescent="0.2">
      <c r="A495" s="7655"/>
      <c r="B495" s="7653"/>
      <c r="C495" s="7724"/>
      <c r="D495" s="967">
        <v>140000000</v>
      </c>
      <c r="E495" s="995">
        <v>7.0000000000000007E-2</v>
      </c>
      <c r="F495" s="967">
        <v>9800000</v>
      </c>
      <c r="G495" s="7564"/>
      <c r="H495" s="7564"/>
      <c r="I495" s="7780"/>
      <c r="J495" s="7562"/>
      <c r="K495" s="7564"/>
      <c r="L495" s="7564"/>
      <c r="M495" s="7724"/>
    </row>
    <row r="496" spans="1:13" ht="30" customHeight="1" x14ac:dyDescent="0.2">
      <c r="A496" s="7654">
        <v>326</v>
      </c>
      <c r="B496" s="7652" t="s">
        <v>176</v>
      </c>
      <c r="C496" s="7723"/>
      <c r="D496" s="7563">
        <v>500000000</v>
      </c>
      <c r="E496" s="7659">
        <v>0.05</v>
      </c>
      <c r="F496" s="7563">
        <f>D496*E496</f>
        <v>25000000</v>
      </c>
      <c r="G496" s="7802" t="s">
        <v>2826</v>
      </c>
      <c r="H496" s="7803"/>
      <c r="I496" s="7803"/>
      <c r="J496" s="7803"/>
      <c r="K496" s="7804"/>
      <c r="L496" s="1184">
        <f>F496-K496</f>
        <v>25000000</v>
      </c>
      <c r="M496" s="763"/>
    </row>
    <row r="497" spans="1:13" ht="30" customHeight="1" x14ac:dyDescent="0.2">
      <c r="A497" s="7656"/>
      <c r="B497" s="7665"/>
      <c r="C497" s="7747"/>
      <c r="D497" s="7586"/>
      <c r="E497" s="7676"/>
      <c r="F497" s="7586"/>
      <c r="G497" s="7802" t="s">
        <v>2827</v>
      </c>
      <c r="H497" s="7803"/>
      <c r="I497" s="7803"/>
      <c r="J497" s="7803"/>
      <c r="K497" s="7804"/>
      <c r="L497" s="1178"/>
      <c r="M497" s="1336"/>
    </row>
    <row r="498" spans="1:13" ht="30" customHeight="1" x14ac:dyDescent="0.2">
      <c r="A498" s="7656"/>
      <c r="B498" s="7665"/>
      <c r="C498" s="7747"/>
      <c r="D498" s="7586"/>
      <c r="E498" s="7676"/>
      <c r="F498" s="7586"/>
      <c r="G498" s="7802" t="s">
        <v>2828</v>
      </c>
      <c r="H498" s="7803"/>
      <c r="I498" s="7803"/>
      <c r="J498" s="7803"/>
      <c r="K498" s="7804"/>
      <c r="L498" s="1178"/>
      <c r="M498" s="1336"/>
    </row>
    <row r="499" spans="1:13" ht="30" customHeight="1" x14ac:dyDescent="0.2">
      <c r="A499" s="7656"/>
      <c r="B499" s="7665"/>
      <c r="C499" s="7747"/>
      <c r="D499" s="7586"/>
      <c r="E499" s="7676"/>
      <c r="F499" s="7586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7655"/>
      <c r="B500" s="7653"/>
      <c r="C500" s="7724"/>
      <c r="D500" s="7564"/>
      <c r="E500" s="7660"/>
      <c r="F500" s="7564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7652" t="s">
        <v>2675</v>
      </c>
      <c r="C502" s="7723" t="s">
        <v>942</v>
      </c>
      <c r="D502" s="967">
        <v>726100000</v>
      </c>
      <c r="E502" s="995">
        <v>0.06</v>
      </c>
      <c r="F502" s="967">
        <f>D502*E502</f>
        <v>43566000</v>
      </c>
      <c r="G502" s="7954" t="s">
        <v>2678</v>
      </c>
      <c r="H502" s="7955"/>
      <c r="I502" s="7955"/>
      <c r="J502" s="7955"/>
      <c r="K502" s="7956"/>
      <c r="L502" s="967"/>
      <c r="M502" s="97"/>
    </row>
    <row r="503" spans="1:13" ht="30" customHeight="1" x14ac:dyDescent="0.2">
      <c r="A503" s="1106"/>
      <c r="B503" s="7665"/>
      <c r="C503" s="7747"/>
      <c r="D503" s="2649">
        <f>D502+18900000</f>
        <v>745000000</v>
      </c>
      <c r="E503" s="896">
        <v>0.06</v>
      </c>
      <c r="F503" s="2649">
        <f>D503*E503</f>
        <v>44700000</v>
      </c>
      <c r="G503" s="7732" t="s">
        <v>4666</v>
      </c>
      <c r="H503" s="7733"/>
      <c r="I503" s="7733"/>
      <c r="J503" s="7734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7654">
        <v>331</v>
      </c>
      <c r="B506" s="7652" t="s">
        <v>339</v>
      </c>
      <c r="C506" s="7723" t="s">
        <v>371</v>
      </c>
      <c r="D506" s="7563">
        <v>280000000</v>
      </c>
      <c r="E506" s="7659">
        <v>0.06</v>
      </c>
      <c r="F506" s="7563">
        <f t="shared" ref="F506:F513" si="42">D506*E506</f>
        <v>16800000</v>
      </c>
      <c r="G506" s="7470" t="s">
        <v>2710</v>
      </c>
      <c r="H506" s="7493"/>
      <c r="I506" s="7493"/>
      <c r="J506" s="7510"/>
      <c r="K506" s="7482">
        <f>10000000+G507</f>
        <v>16800000</v>
      </c>
      <c r="L506" s="7482">
        <f>F506-K506</f>
        <v>0</v>
      </c>
      <c r="M506" s="7703"/>
    </row>
    <row r="507" spans="1:13" ht="30" customHeight="1" x14ac:dyDescent="0.2">
      <c r="A507" s="7656"/>
      <c r="B507" s="7665"/>
      <c r="C507" s="7747"/>
      <c r="D507" s="7564"/>
      <c r="E507" s="7660"/>
      <c r="F507" s="7564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7482"/>
      <c r="L507" s="7482"/>
      <c r="M507" s="7704"/>
    </row>
    <row r="508" spans="1:13" ht="30" customHeight="1" x14ac:dyDescent="0.2">
      <c r="A508" s="7655"/>
      <c r="B508" s="7653"/>
      <c r="C508" s="7724"/>
      <c r="D508" s="1168">
        <v>290000000</v>
      </c>
      <c r="E508" s="1172">
        <v>0.06</v>
      </c>
      <c r="F508" s="1168">
        <f>D508*E508</f>
        <v>17400000</v>
      </c>
      <c r="G508" s="7802" t="s">
        <v>2812</v>
      </c>
      <c r="H508" s="7803"/>
      <c r="I508" s="7803"/>
      <c r="J508" s="7804"/>
      <c r="K508" s="1167"/>
      <c r="L508" s="1167"/>
      <c r="M508" s="7705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7654">
        <v>333</v>
      </c>
      <c r="B510" s="7652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7563">
        <v>21000000</v>
      </c>
      <c r="H510" s="7563" t="s">
        <v>2713</v>
      </c>
      <c r="I510" s="7871" t="s">
        <v>3065</v>
      </c>
      <c r="J510" s="7561" t="s">
        <v>1323</v>
      </c>
      <c r="K510" s="7482">
        <f>G510</f>
        <v>21000000</v>
      </c>
      <c r="L510" s="7482">
        <f>(F510+F511)-K510</f>
        <v>0</v>
      </c>
      <c r="M510" s="7703"/>
    </row>
    <row r="511" spans="1:13" ht="30" customHeight="1" x14ac:dyDescent="0.2">
      <c r="A511" s="7655"/>
      <c r="B511" s="7653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7564"/>
      <c r="H511" s="7564"/>
      <c r="I511" s="7872"/>
      <c r="J511" s="7562"/>
      <c r="K511" s="7482"/>
      <c r="L511" s="7482"/>
      <c r="M511" s="7705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7654">
        <v>335</v>
      </c>
      <c r="B513" s="7652" t="s">
        <v>1276</v>
      </c>
      <c r="C513" s="7723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7655"/>
      <c r="B514" s="7653"/>
      <c r="C514" s="7724"/>
      <c r="D514" s="1406">
        <v>5000000</v>
      </c>
      <c r="E514" s="1432"/>
      <c r="F514" s="1406"/>
      <c r="G514" s="7802" t="s">
        <v>3317</v>
      </c>
      <c r="H514" s="7803"/>
      <c r="I514" s="7803"/>
      <c r="J514" s="7804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7654">
        <v>338</v>
      </c>
      <c r="B517" s="7795" t="s">
        <v>1677</v>
      </c>
      <c r="C517" s="7787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7563">
        <f>(F517+F518)-K518</f>
        <v>32775000.000000004</v>
      </c>
      <c r="M517" s="7703"/>
    </row>
    <row r="518" spans="1:18" ht="30" customHeight="1" x14ac:dyDescent="0.2">
      <c r="A518" s="7656"/>
      <c r="B518" s="7958"/>
      <c r="C518" s="7894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7564"/>
      <c r="M518" s="7705"/>
    </row>
    <row r="519" spans="1:18" ht="30" customHeight="1" x14ac:dyDescent="0.2">
      <c r="A519" s="7656"/>
      <c r="B519" s="7958"/>
      <c r="C519" s="7894"/>
      <c r="D519" s="1406">
        <v>30000000</v>
      </c>
      <c r="E519" s="1432">
        <v>7.0000000000000007E-2</v>
      </c>
      <c r="F519" s="1406">
        <f t="shared" si="43"/>
        <v>2100000</v>
      </c>
      <c r="G519" s="7806" t="s">
        <v>1485</v>
      </c>
      <c r="H519" s="7807"/>
      <c r="I519" s="7807"/>
      <c r="J519" s="7807"/>
      <c r="K519" s="7807"/>
      <c r="L519" s="7808"/>
      <c r="M519" s="7811" t="s">
        <v>1488</v>
      </c>
    </row>
    <row r="520" spans="1:18" ht="30" customHeight="1" x14ac:dyDescent="0.2">
      <c r="A520" s="7656"/>
      <c r="B520" s="7958"/>
      <c r="C520" s="7894"/>
      <c r="D520" s="1419">
        <v>20000000</v>
      </c>
      <c r="E520" s="1402">
        <v>7.0000000000000007E-2</v>
      </c>
      <c r="F520" s="1419">
        <f>D520*E520</f>
        <v>1400000.0000000002</v>
      </c>
      <c r="G520" s="7832" t="s">
        <v>1487</v>
      </c>
      <c r="H520" s="7833"/>
      <c r="I520" s="7833"/>
      <c r="J520" s="7833"/>
      <c r="K520" s="7833"/>
      <c r="L520" s="7834"/>
      <c r="M520" s="7897"/>
    </row>
    <row r="521" spans="1:18" ht="30" customHeight="1" x14ac:dyDescent="0.2">
      <c r="A521" s="7656"/>
      <c r="B521" s="7958"/>
      <c r="C521" s="7894"/>
      <c r="D521" s="1419">
        <v>12000000</v>
      </c>
      <c r="E521" s="1402">
        <v>7.0000000000000007E-2</v>
      </c>
      <c r="F521" s="1419">
        <f>D521*E521</f>
        <v>840000.00000000012</v>
      </c>
      <c r="G521" s="7887" t="s">
        <v>1485</v>
      </c>
      <c r="H521" s="7887"/>
      <c r="I521" s="7887"/>
      <c r="J521" s="7887"/>
      <c r="K521" s="7887"/>
      <c r="L521" s="7887"/>
      <c r="M521" s="7897"/>
    </row>
    <row r="522" spans="1:18" ht="30" customHeight="1" x14ac:dyDescent="0.2">
      <c r="A522" s="7656"/>
      <c r="B522" s="7958"/>
      <c r="C522" s="7894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7897"/>
    </row>
    <row r="523" spans="1:18" ht="30" customHeight="1" x14ac:dyDescent="0.2">
      <c r="A523" s="7656"/>
      <c r="B523" s="7958"/>
      <c r="C523" s="7894"/>
      <c r="D523" s="7545">
        <f>D517+D522</f>
        <v>597500000</v>
      </c>
      <c r="E523" s="7957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7897"/>
    </row>
    <row r="524" spans="1:18" ht="30" customHeight="1" x14ac:dyDescent="0.2">
      <c r="A524" s="7656"/>
      <c r="B524" s="7958"/>
      <c r="C524" s="7894"/>
      <c r="D524" s="1400">
        <v>45000000</v>
      </c>
      <c r="E524" s="1407">
        <v>7.0000000000000007E-2</v>
      </c>
      <c r="F524" s="1400">
        <f>D524*E524</f>
        <v>3150000.0000000005</v>
      </c>
      <c r="G524" s="7806" t="s">
        <v>3312</v>
      </c>
      <c r="H524" s="7807"/>
      <c r="I524" s="7807"/>
      <c r="J524" s="7807"/>
      <c r="K524" s="7807"/>
      <c r="L524" s="7808"/>
      <c r="M524" s="7897"/>
    </row>
    <row r="525" spans="1:18" ht="30" customHeight="1" x14ac:dyDescent="0.2">
      <c r="A525" s="7655"/>
      <c r="B525" s="7796"/>
      <c r="C525" s="7788"/>
      <c r="D525" s="7545">
        <f>D523+D524</f>
        <v>642500000</v>
      </c>
      <c r="E525" s="7957"/>
      <c r="F525" s="1400">
        <f>F523+F524</f>
        <v>40265000</v>
      </c>
      <c r="G525" s="7806" t="s">
        <v>3315</v>
      </c>
      <c r="H525" s="7807"/>
      <c r="I525" s="7807"/>
      <c r="J525" s="7807"/>
      <c r="K525" s="7807"/>
      <c r="L525" s="7808"/>
      <c r="M525" s="7812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7898" t="s">
        <v>1556</v>
      </c>
      <c r="F537" s="7899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7654">
        <v>351</v>
      </c>
      <c r="B538" s="7652" t="s">
        <v>1558</v>
      </c>
      <c r="C538" s="7723" t="s">
        <v>1172</v>
      </c>
      <c r="D538" s="7563">
        <v>560000000</v>
      </c>
      <c r="E538" s="7659">
        <v>7.0000000000000007E-2</v>
      </c>
      <c r="F538" s="7563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7563">
        <f>G538+G539</f>
        <v>39200000</v>
      </c>
      <c r="L538" s="7816">
        <f t="shared" si="45"/>
        <v>0</v>
      </c>
      <c r="M538" s="7811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7656"/>
      <c r="B539" s="7665"/>
      <c r="C539" s="7747"/>
      <c r="D539" s="7564"/>
      <c r="E539" s="7660"/>
      <c r="F539" s="7564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7564"/>
      <c r="L539" s="7817"/>
      <c r="M539" s="7897"/>
      <c r="N539" s="386"/>
      <c r="O539" s="386"/>
      <c r="P539" s="386"/>
      <c r="Q539" s="386"/>
      <c r="R539" s="386"/>
    </row>
    <row r="540" spans="1:18" ht="30" customHeight="1" x14ac:dyDescent="0.2">
      <c r="A540" s="7656"/>
      <c r="B540" s="7665"/>
      <c r="C540" s="7747"/>
      <c r="D540" s="7552"/>
      <c r="E540" s="7843"/>
      <c r="F540" s="7844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7897"/>
      <c r="N540" s="386"/>
      <c r="O540" s="386"/>
      <c r="P540" s="386"/>
      <c r="Q540" s="386"/>
      <c r="R540" s="386"/>
    </row>
    <row r="541" spans="1:18" ht="30" customHeight="1" x14ac:dyDescent="0.2">
      <c r="A541" s="7655"/>
      <c r="B541" s="7653"/>
      <c r="C541" s="7724"/>
      <c r="D541" s="1150">
        <v>680000000</v>
      </c>
      <c r="E541" s="1153">
        <v>7.0000000000000007E-2</v>
      </c>
      <c r="F541" s="1150">
        <f>D541*E541</f>
        <v>47600000.000000007</v>
      </c>
      <c r="G541" s="7802" t="s">
        <v>2732</v>
      </c>
      <c r="H541" s="7803"/>
      <c r="I541" s="7803"/>
      <c r="J541" s="7803"/>
      <c r="K541" s="7804"/>
      <c r="L541" s="1162"/>
      <c r="M541" s="7812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7654">
        <v>353</v>
      </c>
      <c r="B543" s="7652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7656"/>
      <c r="B544" s="7665"/>
      <c r="C544" s="1212" t="s">
        <v>1299</v>
      </c>
      <c r="D544" s="1209">
        <v>20000000</v>
      </c>
      <c r="E544" s="1214"/>
      <c r="F544" s="1209"/>
      <c r="G544" s="7867" t="s">
        <v>2909</v>
      </c>
      <c r="H544" s="7868"/>
      <c r="I544" s="7868"/>
      <c r="J544" s="7868"/>
      <c r="K544" s="7869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7655"/>
      <c r="B545" s="7653"/>
      <c r="C545" s="1280"/>
      <c r="D545" s="1275">
        <v>70000000</v>
      </c>
      <c r="E545" s="1290">
        <v>0.05</v>
      </c>
      <c r="F545" s="1275">
        <f>D545*E545</f>
        <v>3500000</v>
      </c>
      <c r="G545" s="7867" t="s">
        <v>2685</v>
      </c>
      <c r="H545" s="7868"/>
      <c r="I545" s="7868"/>
      <c r="J545" s="7868"/>
      <c r="K545" s="7869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7654">
        <v>358</v>
      </c>
      <c r="B549" s="7652" t="s">
        <v>1597</v>
      </c>
      <c r="C549" s="7723"/>
      <c r="D549" s="7677"/>
      <c r="E549" s="7691"/>
      <c r="F549" s="7677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7655"/>
      <c r="B550" s="7653"/>
      <c r="C550" s="7724"/>
      <c r="D550" s="7678"/>
      <c r="E550" s="7693"/>
      <c r="F550" s="7678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7654">
        <v>359</v>
      </c>
      <c r="B551" s="7652" t="s">
        <v>1599</v>
      </c>
      <c r="C551" s="7723"/>
      <c r="D551" s="7677"/>
      <c r="E551" s="7691"/>
      <c r="F551" s="7677"/>
      <c r="G551" s="967"/>
      <c r="H551" s="967"/>
      <c r="I551" s="391"/>
      <c r="J551" s="472" t="s">
        <v>1600</v>
      </c>
      <c r="K551" s="7563">
        <f>G551+G552</f>
        <v>0</v>
      </c>
      <c r="L551" s="7841">
        <f t="shared" si="47"/>
        <v>0</v>
      </c>
      <c r="M551" s="7816"/>
      <c r="N551" s="386"/>
      <c r="O551" s="386"/>
      <c r="P551" s="386"/>
      <c r="Q551" s="386"/>
      <c r="R551" s="386"/>
    </row>
    <row r="552" spans="1:18" ht="30" customHeight="1" x14ac:dyDescent="0.2">
      <c r="A552" s="7655"/>
      <c r="B552" s="7653"/>
      <c r="C552" s="7724"/>
      <c r="D552" s="7678"/>
      <c r="E552" s="7693"/>
      <c r="F552" s="7678"/>
      <c r="G552" s="967"/>
      <c r="H552" s="967"/>
      <c r="I552" s="391"/>
      <c r="J552" s="472" t="s">
        <v>1600</v>
      </c>
      <c r="K552" s="7564"/>
      <c r="L552" s="7842"/>
      <c r="M552" s="7817"/>
      <c r="N552" s="386"/>
      <c r="O552" s="386"/>
      <c r="P552" s="386"/>
      <c r="Q552" s="386"/>
      <c r="R552" s="386"/>
    </row>
    <row r="553" spans="1:18" ht="30" customHeight="1" x14ac:dyDescent="0.2">
      <c r="A553" s="7654">
        <v>360</v>
      </c>
      <c r="B553" s="7652" t="s">
        <v>1614</v>
      </c>
      <c r="C553" s="7723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7563">
        <f>G553+G554</f>
        <v>27100000</v>
      </c>
      <c r="L553" s="7816">
        <f t="shared" si="47"/>
        <v>-12600000</v>
      </c>
      <c r="M553" s="7816"/>
      <c r="N553" s="386"/>
      <c r="O553" s="386"/>
      <c r="P553" s="386"/>
      <c r="Q553" s="386"/>
      <c r="R553" s="386"/>
    </row>
    <row r="554" spans="1:18" ht="30" customHeight="1" x14ac:dyDescent="0.2">
      <c r="A554" s="7655"/>
      <c r="B554" s="7653"/>
      <c r="C554" s="7724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7564"/>
      <c r="L554" s="7817"/>
      <c r="M554" s="7817"/>
      <c r="N554" s="386"/>
      <c r="O554" s="386"/>
      <c r="P554" s="386"/>
      <c r="Q554" s="386"/>
      <c r="R554" s="386"/>
    </row>
    <row r="555" spans="1:18" ht="30" customHeight="1" x14ac:dyDescent="0.2">
      <c r="A555" s="7654">
        <v>361</v>
      </c>
      <c r="B555" s="7652" t="s">
        <v>1612</v>
      </c>
      <c r="C555" s="7723"/>
      <c r="D555" s="7563">
        <v>3045000000</v>
      </c>
      <c r="E555" s="7659"/>
      <c r="F555" s="7563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7563">
        <f>G555+G556+G557+G558+G559+G560+G561+G562+G563+G564+G565</f>
        <v>84000000</v>
      </c>
      <c r="L555" s="7816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7656"/>
      <c r="B556" s="7665"/>
      <c r="C556" s="7747"/>
      <c r="D556" s="7586"/>
      <c r="E556" s="7676"/>
      <c r="F556" s="7586"/>
      <c r="G556" s="1050">
        <v>2000000</v>
      </c>
      <c r="H556" s="1050" t="s">
        <v>2689</v>
      </c>
      <c r="I556" s="391">
        <v>422985</v>
      </c>
      <c r="J556" s="472" t="s">
        <v>3152</v>
      </c>
      <c r="K556" s="7586"/>
      <c r="L556" s="7882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7656"/>
      <c r="B557" s="7665"/>
      <c r="C557" s="7747"/>
      <c r="D557" s="7586"/>
      <c r="E557" s="7676"/>
      <c r="F557" s="7586"/>
      <c r="G557" s="1050">
        <v>5000000</v>
      </c>
      <c r="H557" s="1050" t="s">
        <v>2875</v>
      </c>
      <c r="I557" s="391">
        <v>182287</v>
      </c>
      <c r="J557" s="472" t="s">
        <v>3152</v>
      </c>
      <c r="K557" s="7586"/>
      <c r="L557" s="7882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7656"/>
      <c r="B558" s="7665"/>
      <c r="C558" s="7747"/>
      <c r="D558" s="7586"/>
      <c r="E558" s="7676"/>
      <c r="F558" s="7586"/>
      <c r="G558" s="1050">
        <v>50000000</v>
      </c>
      <c r="H558" s="1050"/>
      <c r="I558" s="391"/>
      <c r="J558" s="472"/>
      <c r="K558" s="7586"/>
      <c r="L558" s="7882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7656"/>
      <c r="B559" s="7665"/>
      <c r="C559" s="7747"/>
      <c r="D559" s="7586"/>
      <c r="E559" s="7676"/>
      <c r="F559" s="7586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7586"/>
      <c r="L559" s="7882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7656"/>
      <c r="B560" s="7665"/>
      <c r="C560" s="7747"/>
      <c r="D560" s="7586"/>
      <c r="E560" s="7676"/>
      <c r="F560" s="7586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7586"/>
      <c r="L560" s="7882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7655"/>
      <c r="B561" s="7665"/>
      <c r="C561" s="7747"/>
      <c r="D561" s="7586"/>
      <c r="E561" s="7676"/>
      <c r="F561" s="7586"/>
      <c r="G561" s="1050">
        <v>1000000</v>
      </c>
      <c r="H561" s="1050" t="s">
        <v>3214</v>
      </c>
      <c r="I561" s="391">
        <v>93940</v>
      </c>
      <c r="J561" s="472" t="s">
        <v>3152</v>
      </c>
      <c r="K561" s="7586"/>
      <c r="L561" s="7882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7665"/>
      <c r="C562" s="7747"/>
      <c r="D562" s="7586"/>
      <c r="E562" s="7676"/>
      <c r="F562" s="7586"/>
      <c r="G562" s="1406">
        <v>1000000</v>
      </c>
      <c r="H562" s="1406" t="s">
        <v>3298</v>
      </c>
      <c r="I562" s="1438">
        <v>843434</v>
      </c>
      <c r="J562" s="472" t="s">
        <v>3152</v>
      </c>
      <c r="K562" s="7586"/>
      <c r="L562" s="7882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7665"/>
      <c r="C563" s="7747"/>
      <c r="D563" s="7586"/>
      <c r="E563" s="7676"/>
      <c r="F563" s="7586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7586"/>
      <c r="L563" s="7882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7665"/>
      <c r="C564" s="7747"/>
      <c r="D564" s="7586"/>
      <c r="E564" s="7676"/>
      <c r="F564" s="7586"/>
      <c r="G564" s="1406"/>
      <c r="H564" s="1406"/>
      <c r="I564" s="1438"/>
      <c r="J564" s="472"/>
      <c r="K564" s="7586"/>
      <c r="L564" s="7882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7653"/>
      <c r="C565" s="7724"/>
      <c r="D565" s="7564"/>
      <c r="E565" s="7660"/>
      <c r="F565" s="7564"/>
      <c r="G565" s="1406"/>
      <c r="H565" s="1406"/>
      <c r="I565" s="1438"/>
      <c r="J565" s="472"/>
      <c r="K565" s="7564"/>
      <c r="L565" s="7817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7654">
        <v>365</v>
      </c>
      <c r="B569" s="7652" t="s">
        <v>1639</v>
      </c>
      <c r="C569" s="7723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7563">
        <f>G569+G570</f>
        <v>65000000</v>
      </c>
      <c r="L569" s="7816">
        <f>(15000000+50000000)-K569</f>
        <v>0</v>
      </c>
      <c r="M569" s="7816"/>
      <c r="N569" s="386"/>
      <c r="O569" s="386"/>
      <c r="P569" s="386"/>
      <c r="Q569" s="386"/>
      <c r="R569" s="386"/>
    </row>
    <row r="570" spans="1:18" ht="30" customHeight="1" x14ac:dyDescent="0.2">
      <c r="A570" s="7656"/>
      <c r="B570" s="7665"/>
      <c r="C570" s="7747"/>
      <c r="D570" s="7470" t="s">
        <v>2740</v>
      </c>
      <c r="E570" s="7493"/>
      <c r="F570" s="7510"/>
      <c r="G570" s="1150">
        <v>40000000</v>
      </c>
      <c r="H570" s="1150" t="s">
        <v>2803</v>
      </c>
      <c r="I570" s="391">
        <v>23223</v>
      </c>
      <c r="J570" s="472" t="s">
        <v>2808</v>
      </c>
      <c r="K570" s="7564"/>
      <c r="L570" s="7817"/>
      <c r="M570" s="7882"/>
      <c r="N570" s="386"/>
      <c r="O570" s="386"/>
      <c r="P570" s="386"/>
      <c r="Q570" s="386"/>
      <c r="R570" s="386"/>
    </row>
    <row r="571" spans="1:18" ht="30" customHeight="1" x14ac:dyDescent="0.2">
      <c r="A571" s="7655"/>
      <c r="B571" s="7653"/>
      <c r="C571" s="7724"/>
      <c r="D571" s="1150">
        <v>250000000</v>
      </c>
      <c r="E571" s="1163">
        <v>0.05</v>
      </c>
      <c r="F571" s="1150">
        <f>D571*E571</f>
        <v>12500000</v>
      </c>
      <c r="G571" s="7802" t="s">
        <v>2741</v>
      </c>
      <c r="H571" s="7803"/>
      <c r="I571" s="7803"/>
      <c r="J571" s="7803"/>
      <c r="K571" s="7804"/>
      <c r="L571" s="1162"/>
      <c r="M571" s="7817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7654">
        <v>368</v>
      </c>
      <c r="B574" s="7652" t="s">
        <v>1793</v>
      </c>
      <c r="C574" s="7723"/>
      <c r="D574" s="7563">
        <v>800000000</v>
      </c>
      <c r="E574" s="7659">
        <v>7.0000000000000007E-2</v>
      </c>
      <c r="F574" s="7563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7563">
        <f>G574+G575+G576</f>
        <v>56000000</v>
      </c>
      <c r="L574" s="7816">
        <f t="shared" si="48"/>
        <v>0</v>
      </c>
      <c r="M574" s="7816"/>
      <c r="N574" s="386"/>
      <c r="O574" s="386"/>
      <c r="P574" s="386"/>
      <c r="Q574" s="386"/>
      <c r="R574" s="386"/>
    </row>
    <row r="575" spans="1:18" ht="30" customHeight="1" x14ac:dyDescent="0.2">
      <c r="A575" s="7656"/>
      <c r="B575" s="7665"/>
      <c r="C575" s="7747"/>
      <c r="D575" s="7586"/>
      <c r="E575" s="7676"/>
      <c r="F575" s="7586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7586"/>
      <c r="L575" s="7882"/>
      <c r="M575" s="7882"/>
      <c r="N575" s="386"/>
      <c r="O575" s="386"/>
      <c r="P575" s="386"/>
      <c r="Q575" s="386"/>
      <c r="R575" s="386"/>
    </row>
    <row r="576" spans="1:18" ht="30" customHeight="1" x14ac:dyDescent="0.2">
      <c r="A576" s="7656"/>
      <c r="B576" s="7665"/>
      <c r="C576" s="7747"/>
      <c r="D576" s="7564"/>
      <c r="E576" s="7660"/>
      <c r="F576" s="7564"/>
      <c r="G576" s="1131">
        <v>11000000</v>
      </c>
      <c r="H576" s="1131" t="s">
        <v>2706</v>
      </c>
      <c r="I576" s="391">
        <v>772288</v>
      </c>
      <c r="J576" s="472" t="s">
        <v>2707</v>
      </c>
      <c r="K576" s="7564"/>
      <c r="L576" s="7817"/>
      <c r="M576" s="7817"/>
      <c r="N576" s="386"/>
      <c r="O576" s="386"/>
      <c r="P576" s="386"/>
      <c r="Q576" s="386"/>
      <c r="R576" s="386"/>
    </row>
    <row r="577" spans="1:18" ht="30" customHeight="1" x14ac:dyDescent="0.2">
      <c r="A577" s="7655"/>
      <c r="B577" s="7653"/>
      <c r="C577" s="7724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2">
        <v>370</v>
      </c>
      <c r="B579" s="19" t="s">
        <v>1696</v>
      </c>
      <c r="C579" s="1958"/>
      <c r="D579" s="1951">
        <v>200000000</v>
      </c>
      <c r="E579" s="1957">
        <v>0.05</v>
      </c>
      <c r="F579" s="1951">
        <f>D579*E579</f>
        <v>10000000</v>
      </c>
      <c r="G579" s="1951"/>
      <c r="H579" s="1951"/>
      <c r="I579" s="1029"/>
      <c r="J579" s="1029" t="s">
        <v>1697</v>
      </c>
      <c r="K579" s="1951">
        <f t="shared" ref="K579:K587" si="49">G579</f>
        <v>0</v>
      </c>
      <c r="L579" s="1950">
        <f t="shared" si="48"/>
        <v>10000000</v>
      </c>
      <c r="M579" s="1955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3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7654">
        <v>373</v>
      </c>
      <c r="B582" s="7652" t="s">
        <v>1725</v>
      </c>
      <c r="C582" s="7723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7655"/>
      <c r="B583" s="7653"/>
      <c r="C583" s="7724"/>
      <c r="D583" s="1150">
        <v>20000000</v>
      </c>
      <c r="E583" s="1163"/>
      <c r="F583" s="1150"/>
      <c r="G583" s="7802" t="s">
        <v>2771</v>
      </c>
      <c r="H583" s="7803"/>
      <c r="I583" s="7803"/>
      <c r="J583" s="7803"/>
      <c r="K583" s="7804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7654">
        <v>379</v>
      </c>
      <c r="B589" s="7652" t="s">
        <v>1753</v>
      </c>
      <c r="C589" s="7723" t="s">
        <v>372</v>
      </c>
      <c r="D589" s="7563">
        <v>50000000</v>
      </c>
      <c r="E589" s="7659">
        <v>0.04</v>
      </c>
      <c r="F589" s="7563">
        <f>D589*E589</f>
        <v>2000000</v>
      </c>
      <c r="G589" s="7563">
        <v>2000000</v>
      </c>
      <c r="H589" s="7563" t="s">
        <v>2803</v>
      </c>
      <c r="I589" s="7889">
        <v>904832</v>
      </c>
      <c r="J589" s="7889" t="s">
        <v>1836</v>
      </c>
      <c r="K589" s="7563">
        <f>G589+G590</f>
        <v>2000000</v>
      </c>
      <c r="L589" s="7816">
        <f t="shared" si="50"/>
        <v>0</v>
      </c>
      <c r="M589" s="7816"/>
      <c r="N589" s="386"/>
      <c r="O589" s="386"/>
      <c r="P589" s="386"/>
      <c r="Q589" s="386"/>
      <c r="R589" s="386"/>
    </row>
    <row r="590" spans="1:18" ht="30" customHeight="1" x14ac:dyDescent="0.2">
      <c r="A590" s="7655"/>
      <c r="B590" s="7653"/>
      <c r="C590" s="7724"/>
      <c r="D590" s="7564"/>
      <c r="E590" s="7660"/>
      <c r="F590" s="7564"/>
      <c r="G590" s="7564"/>
      <c r="H590" s="7564"/>
      <c r="I590" s="7890"/>
      <c r="J590" s="7890"/>
      <c r="K590" s="7564"/>
      <c r="L590" s="7817"/>
      <c r="M590" s="7817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7654">
        <v>386</v>
      </c>
      <c r="B597" s="7652" t="s">
        <v>3092</v>
      </c>
      <c r="C597" s="7723" t="s">
        <v>1306</v>
      </c>
      <c r="D597" s="7563">
        <v>200000000</v>
      </c>
      <c r="E597" s="7659">
        <v>0.06</v>
      </c>
      <c r="F597" s="7563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7563">
        <f>G597+G598</f>
        <v>12000000</v>
      </c>
      <c r="L597" s="7816">
        <f>F597-K597</f>
        <v>0</v>
      </c>
      <c r="M597" s="7816"/>
      <c r="N597" s="386"/>
      <c r="O597" s="386"/>
      <c r="P597" s="386"/>
      <c r="Q597" s="386"/>
      <c r="R597" s="386"/>
    </row>
    <row r="598" spans="1:18" ht="30" customHeight="1" x14ac:dyDescent="0.2">
      <c r="A598" s="7656"/>
      <c r="B598" s="7665"/>
      <c r="C598" s="7747"/>
      <c r="D598" s="7586"/>
      <c r="E598" s="7676"/>
      <c r="F598" s="7586"/>
      <c r="G598" s="1091">
        <v>7000000</v>
      </c>
      <c r="H598" s="1091" t="s">
        <v>2656</v>
      </c>
      <c r="I598" s="391">
        <v>536161</v>
      </c>
      <c r="J598" s="472" t="s">
        <v>2664</v>
      </c>
      <c r="K598" s="7564"/>
      <c r="L598" s="7817"/>
      <c r="M598" s="7817"/>
      <c r="N598" s="386"/>
      <c r="O598" s="386"/>
      <c r="P598" s="386"/>
      <c r="Q598" s="386"/>
      <c r="R598" s="386"/>
    </row>
    <row r="599" spans="1:18" ht="30" customHeight="1" x14ac:dyDescent="0.2">
      <c r="A599" s="7655"/>
      <c r="B599" s="7653"/>
      <c r="C599" s="7724"/>
      <c r="D599" s="7564"/>
      <c r="E599" s="7660"/>
      <c r="F599" s="7564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7654">
        <v>387</v>
      </c>
      <c r="B600" s="7652" t="s">
        <v>1923</v>
      </c>
      <c r="C600" s="7723"/>
      <c r="D600" s="7563">
        <v>60000000</v>
      </c>
      <c r="E600" s="7659">
        <v>0.04</v>
      </c>
      <c r="F600" s="7563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7563">
        <f>G600+G601</f>
        <v>2400000</v>
      </c>
      <c r="L600" s="7816">
        <f>F600-K600</f>
        <v>0</v>
      </c>
      <c r="M600" s="7816"/>
      <c r="N600" s="386"/>
      <c r="O600" s="386"/>
      <c r="P600" s="386"/>
      <c r="Q600" s="386"/>
      <c r="R600" s="386"/>
    </row>
    <row r="601" spans="1:18" ht="30" customHeight="1" x14ac:dyDescent="0.2">
      <c r="A601" s="7655"/>
      <c r="B601" s="7653"/>
      <c r="C601" s="7724"/>
      <c r="D601" s="7564"/>
      <c r="E601" s="7660"/>
      <c r="F601" s="7564"/>
      <c r="G601" s="1311">
        <v>400000</v>
      </c>
      <c r="H601" s="1311" t="s">
        <v>3227</v>
      </c>
      <c r="I601" s="1329">
        <v>242557</v>
      </c>
      <c r="J601" s="472" t="s">
        <v>3246</v>
      </c>
      <c r="K601" s="7564"/>
      <c r="L601" s="7817"/>
      <c r="M601" s="7817"/>
      <c r="N601" s="386"/>
      <c r="O601" s="386"/>
      <c r="P601" s="386"/>
      <c r="Q601" s="386"/>
      <c r="R601" s="386"/>
    </row>
    <row r="602" spans="1:18" ht="30" customHeight="1" x14ac:dyDescent="0.2">
      <c r="A602" s="7654">
        <v>389</v>
      </c>
      <c r="B602" s="7652" t="s">
        <v>1953</v>
      </c>
      <c r="C602" s="7723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7656"/>
      <c r="B603" s="7665"/>
      <c r="C603" s="7747"/>
      <c r="D603" s="1333">
        <v>110000000</v>
      </c>
      <c r="E603" s="1335"/>
      <c r="F603" s="1333"/>
      <c r="G603" s="7802" t="s">
        <v>3210</v>
      </c>
      <c r="H603" s="7803"/>
      <c r="I603" s="7803"/>
      <c r="J603" s="7803"/>
      <c r="K603" s="7804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7655"/>
      <c r="B604" s="7653"/>
      <c r="C604" s="7724"/>
      <c r="D604" s="1393">
        <v>150000000</v>
      </c>
      <c r="E604" s="1398">
        <v>0.05</v>
      </c>
      <c r="F604" s="1393">
        <f>D604*E604</f>
        <v>7500000</v>
      </c>
      <c r="G604" s="7891" t="s">
        <v>3300</v>
      </c>
      <c r="H604" s="7892"/>
      <c r="I604" s="7892"/>
      <c r="J604" s="7892"/>
      <c r="K604" s="7893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7654">
        <v>391</v>
      </c>
      <c r="B606" s="7652" t="s">
        <v>2003</v>
      </c>
      <c r="C606" s="7723" t="s">
        <v>2004</v>
      </c>
      <c r="D606" s="967">
        <v>1158000000</v>
      </c>
      <c r="E606" s="995">
        <v>0.05</v>
      </c>
      <c r="F606" s="967">
        <v>58000000</v>
      </c>
      <c r="G606" s="7832" t="s">
        <v>2366</v>
      </c>
      <c r="H606" s="7833"/>
      <c r="I606" s="7833"/>
      <c r="J606" s="7833"/>
      <c r="K606" s="7833"/>
      <c r="L606" s="7834"/>
      <c r="M606" s="7811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7656"/>
      <c r="B607" s="7665"/>
      <c r="C607" s="7747"/>
      <c r="D607" s="7494" t="s">
        <v>3203</v>
      </c>
      <c r="E607" s="7495"/>
      <c r="F607" s="7768"/>
      <c r="G607" s="7835"/>
      <c r="H607" s="7836"/>
      <c r="I607" s="7836"/>
      <c r="J607" s="7836"/>
      <c r="K607" s="7836"/>
      <c r="L607" s="7837"/>
      <c r="M607" s="7812"/>
      <c r="N607" s="386"/>
      <c r="O607" s="386"/>
      <c r="P607" s="386"/>
      <c r="Q607" s="386"/>
      <c r="R607" s="386"/>
    </row>
    <row r="608" spans="1:18" ht="30" customHeight="1" x14ac:dyDescent="0.2">
      <c r="A608" s="7656"/>
      <c r="B608" s="7665"/>
      <c r="C608" s="7747"/>
      <c r="D608" s="7877"/>
      <c r="E608" s="7524"/>
      <c r="F608" s="7878"/>
      <c r="G608" s="7971" t="s">
        <v>3199</v>
      </c>
      <c r="H608" s="7972"/>
      <c r="I608" s="7972"/>
      <c r="J608" s="7972"/>
      <c r="K608" s="7972"/>
      <c r="L608" s="7778">
        <f>200000000+K609</f>
        <v>216000000</v>
      </c>
      <c r="M608" s="7811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7656"/>
      <c r="B609" s="7665"/>
      <c r="C609" s="7747"/>
      <c r="D609" s="7769"/>
      <c r="E609" s="7805"/>
      <c r="F609" s="7770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7778"/>
      <c r="M609" s="7812"/>
      <c r="N609" s="386"/>
      <c r="O609" s="386"/>
      <c r="P609" s="386"/>
      <c r="Q609" s="386"/>
      <c r="R609" s="386"/>
    </row>
    <row r="610" spans="1:18" ht="30" customHeight="1" x14ac:dyDescent="0.2">
      <c r="A610" s="7655"/>
      <c r="B610" s="7653"/>
      <c r="C610" s="7724"/>
      <c r="D610" s="1319">
        <v>1000000000</v>
      </c>
      <c r="E610" s="40">
        <v>0.05</v>
      </c>
      <c r="F610" s="1317"/>
      <c r="G610" s="7806" t="s">
        <v>3202</v>
      </c>
      <c r="H610" s="7807"/>
      <c r="I610" s="7807"/>
      <c r="J610" s="7807"/>
      <c r="K610" s="7807"/>
      <c r="L610" s="7808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7654"/>
      <c r="B622" s="7652" t="s">
        <v>2129</v>
      </c>
      <c r="C622" s="7723"/>
      <c r="D622" s="7563">
        <v>100000000</v>
      </c>
      <c r="E622" s="7659">
        <v>0.05</v>
      </c>
      <c r="F622" s="7563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7563">
        <f>G622+G623</f>
        <v>5000000</v>
      </c>
      <c r="L622" s="7816">
        <f>F622-K622</f>
        <v>0</v>
      </c>
      <c r="M622" s="7816"/>
      <c r="N622" s="386"/>
      <c r="O622" s="386"/>
      <c r="P622" s="386"/>
      <c r="Q622" s="386"/>
      <c r="R622" s="386"/>
    </row>
    <row r="623" spans="1:18" ht="30" customHeight="1" x14ac:dyDescent="0.2">
      <c r="A623" s="7655"/>
      <c r="B623" s="7653"/>
      <c r="C623" s="7724"/>
      <c r="D623" s="7564"/>
      <c r="E623" s="7660"/>
      <c r="F623" s="7564"/>
      <c r="G623" s="1229">
        <v>1000000</v>
      </c>
      <c r="H623" s="1229" t="s">
        <v>2965</v>
      </c>
      <c r="I623" s="1235">
        <v>903059</v>
      </c>
      <c r="J623" s="472" t="s">
        <v>2972</v>
      </c>
      <c r="K623" s="7564"/>
      <c r="L623" s="7817"/>
      <c r="M623" s="7817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7654"/>
      <c r="B631" s="7652" t="s">
        <v>2647</v>
      </c>
      <c r="C631" s="7723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7656"/>
      <c r="B632" s="7665"/>
      <c r="C632" s="7747"/>
      <c r="D632" s="1344">
        <v>220000000</v>
      </c>
      <c r="E632" s="1356">
        <v>0.05</v>
      </c>
      <c r="F632" s="1344">
        <f>D632*E632</f>
        <v>11000000</v>
      </c>
      <c r="G632" s="7732" t="s">
        <v>3212</v>
      </c>
      <c r="H632" s="7733"/>
      <c r="I632" s="7733"/>
      <c r="J632" s="7734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7655"/>
      <c r="B633" s="7653"/>
      <c r="C633" s="7724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7654"/>
      <c r="B635" s="7652" t="s">
        <v>2471</v>
      </c>
      <c r="C635" s="7723" t="s">
        <v>889</v>
      </c>
      <c r="D635" s="967">
        <v>51000000</v>
      </c>
      <c r="E635" s="995">
        <v>0.06</v>
      </c>
      <c r="F635" s="967">
        <f>D635*E635</f>
        <v>3060000</v>
      </c>
      <c r="G635" s="7732" t="s">
        <v>2514</v>
      </c>
      <c r="H635" s="7733"/>
      <c r="I635" s="7733"/>
      <c r="J635" s="7733"/>
      <c r="K635" s="7733"/>
      <c r="L635" s="7734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7656"/>
      <c r="B636" s="7665"/>
      <c r="C636" s="7747"/>
      <c r="D636" s="967">
        <f>D635+F635+F635</f>
        <v>57120000</v>
      </c>
      <c r="E636" s="995">
        <v>0.06</v>
      </c>
      <c r="F636" s="967">
        <v>3425000</v>
      </c>
      <c r="G636" s="7732" t="s">
        <v>2515</v>
      </c>
      <c r="H636" s="7733"/>
      <c r="I636" s="7733"/>
      <c r="J636" s="7733"/>
      <c r="K636" s="7734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7655"/>
      <c r="B637" s="7653"/>
      <c r="C637" s="7724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7802" t="s">
        <v>2205</v>
      </c>
      <c r="H638" s="7803"/>
      <c r="I638" s="7803"/>
      <c r="J638" s="7803"/>
      <c r="K638" s="7803"/>
      <c r="L638" s="7804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7654"/>
      <c r="B639" s="7652" t="s">
        <v>2633</v>
      </c>
      <c r="C639" s="7723"/>
      <c r="D639" s="7677"/>
      <c r="E639" s="7691"/>
      <c r="F639" s="7677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7563">
        <f>G639+G640+G641</f>
        <v>77500000</v>
      </c>
      <c r="L639" s="7677">
        <f>F639-K639</f>
        <v>-77500000</v>
      </c>
      <c r="M639" s="7816"/>
      <c r="N639" s="386"/>
      <c r="O639" s="386"/>
      <c r="P639" s="386"/>
      <c r="Q639" s="386"/>
      <c r="R639" s="386"/>
    </row>
    <row r="640" spans="1:18" ht="30" customHeight="1" x14ac:dyDescent="0.2">
      <c r="A640" s="7656"/>
      <c r="B640" s="7665"/>
      <c r="C640" s="7747"/>
      <c r="D640" s="7690"/>
      <c r="E640" s="7692"/>
      <c r="F640" s="7690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7586"/>
      <c r="L640" s="7690"/>
      <c r="M640" s="7882"/>
      <c r="N640" s="386"/>
      <c r="O640" s="386"/>
      <c r="P640" s="386"/>
      <c r="Q640" s="386"/>
      <c r="R640" s="386"/>
    </row>
    <row r="641" spans="1:18" ht="30" customHeight="1" x14ac:dyDescent="0.2">
      <c r="A641" s="7655"/>
      <c r="B641" s="7653"/>
      <c r="C641" s="7724"/>
      <c r="D641" s="7678"/>
      <c r="E641" s="7693"/>
      <c r="F641" s="7678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7564"/>
      <c r="L641" s="7678"/>
      <c r="M641" s="7817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7654"/>
      <c r="B643" s="7652" t="s">
        <v>2714</v>
      </c>
      <c r="C643" s="7723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7656"/>
      <c r="B644" s="7665"/>
      <c r="C644" s="7747"/>
      <c r="D644" s="1209">
        <v>2000000</v>
      </c>
      <c r="E644" s="1214"/>
      <c r="F644" s="1209"/>
      <c r="G644" s="7789" t="s">
        <v>2911</v>
      </c>
      <c r="H644" s="7790"/>
      <c r="I644" s="7790"/>
      <c r="J644" s="7790"/>
      <c r="K644" s="7791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7656"/>
      <c r="B645" s="7665"/>
      <c r="C645" s="7747"/>
      <c r="D645" s="1195">
        <v>5000000</v>
      </c>
      <c r="E645" s="1203"/>
      <c r="F645" s="1195"/>
      <c r="G645" s="7789" t="s">
        <v>2880</v>
      </c>
      <c r="H645" s="7790"/>
      <c r="I645" s="7790"/>
      <c r="J645" s="7790"/>
      <c r="K645" s="7791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7656"/>
      <c r="B646" s="7665"/>
      <c r="C646" s="7747"/>
      <c r="D646" s="1195">
        <v>5000000</v>
      </c>
      <c r="E646" s="1203"/>
      <c r="F646" s="1195"/>
      <c r="G646" s="7789" t="s">
        <v>2881</v>
      </c>
      <c r="H646" s="7790"/>
      <c r="I646" s="7790"/>
      <c r="J646" s="7790"/>
      <c r="K646" s="7791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7656"/>
      <c r="B647" s="7665"/>
      <c r="C647" s="7747"/>
      <c r="D647" s="1195">
        <v>5000000</v>
      </c>
      <c r="E647" s="1203"/>
      <c r="F647" s="1195"/>
      <c r="G647" s="7789" t="s">
        <v>2754</v>
      </c>
      <c r="H647" s="7790"/>
      <c r="I647" s="7790"/>
      <c r="J647" s="7790"/>
      <c r="K647" s="7791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7656"/>
      <c r="B648" s="7665"/>
      <c r="C648" s="7747"/>
      <c r="D648" s="1195">
        <v>95000000</v>
      </c>
      <c r="E648" s="1203"/>
      <c r="F648" s="1195"/>
      <c r="G648" s="7789" t="s">
        <v>2754</v>
      </c>
      <c r="H648" s="7790"/>
      <c r="I648" s="7790"/>
      <c r="J648" s="7790"/>
      <c r="K648" s="7791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7656"/>
      <c r="B649" s="7665"/>
      <c r="C649" s="7747"/>
      <c r="D649" s="1150">
        <v>5000000</v>
      </c>
      <c r="E649" s="1163"/>
      <c r="F649" s="1150"/>
      <c r="G649" s="7789" t="s">
        <v>2882</v>
      </c>
      <c r="H649" s="7790"/>
      <c r="I649" s="7790"/>
      <c r="J649" s="7790"/>
      <c r="K649" s="7791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7656"/>
      <c r="B650" s="7665"/>
      <c r="C650" s="7747"/>
      <c r="D650" s="1311">
        <v>13800000</v>
      </c>
      <c r="E650" s="1324"/>
      <c r="F650" s="1311"/>
      <c r="G650" s="7789" t="s">
        <v>3142</v>
      </c>
      <c r="H650" s="7790"/>
      <c r="I650" s="7790"/>
      <c r="J650" s="7790"/>
      <c r="K650" s="7791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7656"/>
      <c r="B651" s="7665"/>
      <c r="C651" s="7747"/>
      <c r="D651" s="1311">
        <v>5200000</v>
      </c>
      <c r="E651" s="1324"/>
      <c r="F651" s="1311"/>
      <c r="G651" s="7789" t="s">
        <v>3143</v>
      </c>
      <c r="H651" s="7790"/>
      <c r="I651" s="7790"/>
      <c r="J651" s="7790"/>
      <c r="K651" s="7791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7656"/>
      <c r="B652" s="7665"/>
      <c r="C652" s="7747"/>
      <c r="D652" s="1365">
        <v>20000000</v>
      </c>
      <c r="E652" s="1375"/>
      <c r="F652" s="1365"/>
      <c r="G652" s="7789" t="s">
        <v>3281</v>
      </c>
      <c r="H652" s="7790"/>
      <c r="I652" s="7790"/>
      <c r="J652" s="7790"/>
      <c r="K652" s="7791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7656"/>
      <c r="B653" s="7665"/>
      <c r="C653" s="7747"/>
      <c r="D653" s="1365">
        <v>5000000</v>
      </c>
      <c r="E653" s="1375"/>
      <c r="F653" s="1365"/>
      <c r="G653" s="7789" t="s">
        <v>3281</v>
      </c>
      <c r="H653" s="7790"/>
      <c r="I653" s="7790"/>
      <c r="J653" s="7790"/>
      <c r="K653" s="7791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7656"/>
      <c r="B654" s="7665"/>
      <c r="C654" s="7747"/>
      <c r="D654" s="1406">
        <v>2000000</v>
      </c>
      <c r="E654" s="1432"/>
      <c r="F654" s="1406"/>
      <c r="G654" s="7789" t="s">
        <v>3310</v>
      </c>
      <c r="H654" s="7790"/>
      <c r="I654" s="7790"/>
      <c r="J654" s="7790"/>
      <c r="K654" s="7791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7656"/>
      <c r="B655" s="7665"/>
      <c r="C655" s="7747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7656"/>
      <c r="B656" s="7665"/>
      <c r="C656" s="7747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7655"/>
      <c r="B657" s="7653"/>
      <c r="C657" s="7724"/>
      <c r="D657" s="7470" t="s">
        <v>3104</v>
      </c>
      <c r="E657" s="7493"/>
      <c r="F657" s="7510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7654"/>
      <c r="B660" s="7652" t="s">
        <v>2611</v>
      </c>
      <c r="C660" s="7723"/>
      <c r="D660" s="1828">
        <v>4215000000</v>
      </c>
      <c r="E660" s="1829">
        <v>0.05</v>
      </c>
      <c r="F660" s="1828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8">
        <f>G660</f>
        <v>30250000</v>
      </c>
      <c r="L660" s="387"/>
      <c r="M660" s="7888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7656"/>
      <c r="B661" s="7665"/>
      <c r="C661" s="7747"/>
      <c r="D661" s="1828">
        <v>2000000000</v>
      </c>
      <c r="E661" s="1829">
        <v>7.0000000000000007E-2</v>
      </c>
      <c r="F661" s="1828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7888"/>
      <c r="N661" s="386"/>
      <c r="O661" s="386"/>
      <c r="P661" s="386"/>
      <c r="Q661" s="386"/>
      <c r="R661" s="386"/>
    </row>
    <row r="662" spans="1:18" ht="30" customHeight="1" x14ac:dyDescent="0.2">
      <c r="A662" s="7656"/>
      <c r="B662" s="7665"/>
      <c r="C662" s="7747"/>
      <c r="D662" s="1828">
        <v>3785000000</v>
      </c>
      <c r="E662" s="1829">
        <v>0.06</v>
      </c>
      <c r="F662" s="1828">
        <f t="shared" si="56"/>
        <v>227100000</v>
      </c>
      <c r="G662" s="1344">
        <v>200000000</v>
      </c>
      <c r="H662" s="1344" t="s">
        <v>3214</v>
      </c>
      <c r="I662" s="7985" t="s">
        <v>3220</v>
      </c>
      <c r="J662" s="7986"/>
      <c r="K662" s="7563">
        <f>G662+G663-47350000</f>
        <v>162650000</v>
      </c>
      <c r="L662" s="7882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7656"/>
      <c r="B663" s="7665"/>
      <c r="C663" s="7747"/>
      <c r="D663" s="1828">
        <v>1685000000</v>
      </c>
      <c r="E663" s="1829">
        <v>0.08</v>
      </c>
      <c r="F663" s="1828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8" t="s">
        <v>3366</v>
      </c>
      <c r="K663" s="7564"/>
      <c r="L663" s="7817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7655"/>
      <c r="B664" s="7653"/>
      <c r="C664" s="7724"/>
      <c r="D664" s="1854">
        <f>SUM(D660:D663)</f>
        <v>11685000000</v>
      </c>
      <c r="E664" s="1867"/>
      <c r="F664" s="1854">
        <f>SUM(F660:F663)</f>
        <v>712650000</v>
      </c>
      <c r="G664" s="7732" t="s">
        <v>3835</v>
      </c>
      <c r="H664" s="7733"/>
      <c r="I664" s="7733"/>
      <c r="J664" s="7733"/>
      <c r="K664" s="7734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2634</v>
      </c>
      <c r="I666" s="1970">
        <v>620521</v>
      </c>
      <c r="J666" s="472" t="s">
        <v>2640</v>
      </c>
      <c r="K666" s="1967">
        <f t="shared" si="54"/>
        <v>2800000</v>
      </c>
      <c r="L666" s="1968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7802" t="s">
        <v>2701</v>
      </c>
      <c r="H669" s="7803"/>
      <c r="I669" s="7803"/>
      <c r="J669" s="7803"/>
      <c r="K669" s="7804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7802" t="s">
        <v>2728</v>
      </c>
      <c r="H670" s="7803"/>
      <c r="I670" s="7803"/>
      <c r="J670" s="7803"/>
      <c r="K670" s="7804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7802" t="s">
        <v>2737</v>
      </c>
      <c r="H672" s="7803"/>
      <c r="I672" s="7803"/>
      <c r="J672" s="7803"/>
      <c r="K672" s="7804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7802" t="s">
        <v>2737</v>
      </c>
      <c r="H673" s="7803"/>
      <c r="I673" s="7803"/>
      <c r="J673" s="7803"/>
      <c r="K673" s="7804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7802" t="s">
        <v>2768</v>
      </c>
      <c r="H674" s="7803"/>
      <c r="I674" s="7803"/>
      <c r="J674" s="7803"/>
      <c r="K674" s="7804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7802" t="s">
        <v>2800</v>
      </c>
      <c r="H675" s="7803"/>
      <c r="I675" s="7803"/>
      <c r="J675" s="7803"/>
      <c r="K675" s="7804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7802" t="s">
        <v>2801</v>
      </c>
      <c r="H676" s="7803"/>
      <c r="I676" s="7803"/>
      <c r="J676" s="7803"/>
      <c r="K676" s="7804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7654"/>
      <c r="B677" s="7652" t="s">
        <v>2904</v>
      </c>
      <c r="C677" s="7723" t="s">
        <v>1081</v>
      </c>
      <c r="D677" s="7563">
        <v>40000000</v>
      </c>
      <c r="E677" s="7659">
        <v>0.04</v>
      </c>
      <c r="F677" s="7563">
        <f>D677*E677</f>
        <v>1600000</v>
      </c>
      <c r="G677" s="7802" t="s">
        <v>2824</v>
      </c>
      <c r="H677" s="7803"/>
      <c r="I677" s="7803"/>
      <c r="J677" s="7803"/>
      <c r="K677" s="7804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7655"/>
      <c r="B678" s="7653"/>
      <c r="C678" s="7724"/>
      <c r="D678" s="7564"/>
      <c r="E678" s="7660"/>
      <c r="F678" s="7564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7654"/>
      <c r="B680" s="7973" t="s">
        <v>2867</v>
      </c>
      <c r="C680" s="7975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7656"/>
      <c r="B681" s="7977"/>
      <c r="C681" s="7978"/>
      <c r="D681" s="7982" t="s">
        <v>2901</v>
      </c>
      <c r="E681" s="7983"/>
      <c r="F681" s="7984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7655"/>
      <c r="B682" s="7974"/>
      <c r="C682" s="7976"/>
      <c r="D682" s="7979" t="s">
        <v>2900</v>
      </c>
      <c r="E682" s="7980"/>
      <c r="F682" s="7981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7654"/>
      <c r="B683" s="7973" t="s">
        <v>2899</v>
      </c>
      <c r="C683" s="7975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7655"/>
      <c r="B684" s="7974"/>
      <c r="C684" s="7976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7879"/>
      <c r="B687" s="7717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7879"/>
      <c r="B688" s="7717"/>
      <c r="C688" s="1182" t="s">
        <v>2849</v>
      </c>
      <c r="D688" s="1178">
        <v>100000000</v>
      </c>
      <c r="E688" s="1187"/>
      <c r="F688" s="1178"/>
      <c r="G688" s="7802" t="s">
        <v>2871</v>
      </c>
      <c r="H688" s="7803"/>
      <c r="I688" s="7803"/>
      <c r="J688" s="7803"/>
      <c r="K688" s="7804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6" t="s">
        <v>4030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7806" t="s">
        <v>3038</v>
      </c>
      <c r="H696" s="7807"/>
      <c r="I696" s="7807"/>
      <c r="J696" s="7807"/>
      <c r="K696" s="7808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7806" t="s">
        <v>3072</v>
      </c>
      <c r="N698" s="7807"/>
      <c r="O698" s="7807"/>
      <c r="P698" s="7807"/>
      <c r="Q698" s="7808"/>
      <c r="R698" s="386"/>
    </row>
    <row r="699" spans="1:18" ht="30" customHeight="1" x14ac:dyDescent="0.2">
      <c r="A699" s="7654"/>
      <c r="B699" s="7652" t="s">
        <v>3119</v>
      </c>
      <c r="C699" s="7723"/>
      <c r="D699" s="7563">
        <v>30000000</v>
      </c>
      <c r="E699" s="7659">
        <v>7.0000000000000007E-2</v>
      </c>
      <c r="F699" s="7563">
        <f>D699*E699</f>
        <v>2100000</v>
      </c>
      <c r="G699" s="7832" t="s">
        <v>3121</v>
      </c>
      <c r="H699" s="7833"/>
      <c r="I699" s="7833"/>
      <c r="J699" s="7833"/>
      <c r="K699" s="7834"/>
      <c r="L699" s="7816"/>
      <c r="M699" s="7816"/>
      <c r="N699" s="386"/>
      <c r="O699" s="386"/>
      <c r="P699" s="386"/>
      <c r="Q699" s="386"/>
      <c r="R699" s="386"/>
    </row>
    <row r="700" spans="1:18" ht="30" customHeight="1" x14ac:dyDescent="0.2">
      <c r="A700" s="7655"/>
      <c r="B700" s="7653"/>
      <c r="C700" s="7724"/>
      <c r="D700" s="7564"/>
      <c r="E700" s="7660"/>
      <c r="F700" s="7564"/>
      <c r="G700" s="7835"/>
      <c r="H700" s="7836"/>
      <c r="I700" s="7836"/>
      <c r="J700" s="7836"/>
      <c r="K700" s="7837"/>
      <c r="L700" s="7817"/>
      <c r="M700" s="7817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7806" t="s">
        <v>3160</v>
      </c>
      <c r="H701" s="7807"/>
      <c r="I701" s="7807"/>
      <c r="J701" s="7807"/>
      <c r="K701" s="7808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7806" t="s">
        <v>3161</v>
      </c>
      <c r="H702" s="7807"/>
      <c r="I702" s="7807"/>
      <c r="J702" s="7807"/>
      <c r="K702" s="7808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7806" t="s">
        <v>2912</v>
      </c>
      <c r="H703" s="7807"/>
      <c r="I703" s="7807"/>
      <c r="J703" s="7807"/>
      <c r="K703" s="7808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7654"/>
      <c r="B705" s="7661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7655"/>
      <c r="B706" s="7663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7806" t="s">
        <v>3217</v>
      </c>
      <c r="H707" s="7807"/>
      <c r="I707" s="7807"/>
      <c r="J707" s="7807"/>
      <c r="K707" s="7808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7806" t="s">
        <v>3217</v>
      </c>
      <c r="H708" s="7807"/>
      <c r="I708" s="7807"/>
      <c r="J708" s="7807"/>
      <c r="K708" s="7808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7806" t="s">
        <v>3217</v>
      </c>
      <c r="H709" s="7807"/>
      <c r="I709" s="7807"/>
      <c r="J709" s="7807"/>
      <c r="K709" s="7808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7806" t="s">
        <v>3294</v>
      </c>
      <c r="H711" s="7807"/>
      <c r="I711" s="7807"/>
      <c r="J711" s="7807"/>
      <c r="K711" s="7808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7470"/>
      <c r="H712" s="7493"/>
      <c r="I712" s="7493"/>
      <c r="J712" s="7493"/>
      <c r="K712" s="7510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7806" t="s">
        <v>3309</v>
      </c>
      <c r="H714" s="7807"/>
      <c r="I714" s="7807"/>
      <c r="J714" s="7807"/>
      <c r="K714" s="7808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7732" t="s">
        <v>3325</v>
      </c>
      <c r="H715" s="7733"/>
      <c r="I715" s="7733"/>
      <c r="J715" s="7733"/>
      <c r="K715" s="7734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7895" t="s">
        <v>2527</v>
      </c>
      <c r="B718" s="7896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691" activePane="bottomLeft" state="frozen"/>
      <selection pane="bottomLeft" activeCell="D702" sqref="D702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8">
        <v>1</v>
      </c>
      <c r="B2" s="19" t="s">
        <v>1496</v>
      </c>
      <c r="C2" s="1776" t="s">
        <v>372</v>
      </c>
      <c r="D2" s="1773">
        <v>600000000</v>
      </c>
      <c r="E2" s="1774">
        <v>0.06</v>
      </c>
      <c r="F2" s="1773">
        <f>D2*E2</f>
        <v>36000000</v>
      </c>
      <c r="G2" s="1773">
        <v>36000000</v>
      </c>
      <c r="H2" s="1773" t="s">
        <v>3660</v>
      </c>
      <c r="I2" s="1779" t="s">
        <v>1810</v>
      </c>
      <c r="J2" s="1773">
        <f>G2</f>
        <v>36000000</v>
      </c>
      <c r="K2" s="1773">
        <f>F2-J2</f>
        <v>0</v>
      </c>
      <c r="L2" s="1772"/>
    </row>
    <row r="3" spans="1:12" ht="30" customHeight="1" x14ac:dyDescent="0.2">
      <c r="A3" s="1518">
        <v>2</v>
      </c>
      <c r="B3" s="1778" t="s">
        <v>282</v>
      </c>
      <c r="C3" s="1487"/>
      <c r="D3" s="1468">
        <v>300000000</v>
      </c>
      <c r="E3" s="1769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7654">
        <v>4</v>
      </c>
      <c r="B5" s="7652" t="s">
        <v>310</v>
      </c>
      <c r="C5" s="7723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7656"/>
      <c r="B6" s="7665"/>
      <c r="C6" s="7747"/>
      <c r="D6" s="1557"/>
      <c r="E6" s="1567"/>
      <c r="F6" s="1557"/>
      <c r="G6" s="7732" t="s">
        <v>3415</v>
      </c>
      <c r="H6" s="7733"/>
      <c r="I6" s="7733"/>
      <c r="J6" s="7734"/>
      <c r="K6" s="1557"/>
      <c r="L6" s="1569"/>
    </row>
    <row r="7" spans="1:12" ht="30" customHeight="1" x14ac:dyDescent="0.2">
      <c r="A7" s="7655"/>
      <c r="B7" s="7653"/>
      <c r="C7" s="7724"/>
      <c r="D7" s="1557"/>
      <c r="E7" s="1567"/>
      <c r="F7" s="1557"/>
      <c r="G7" s="7732" t="s">
        <v>3416</v>
      </c>
      <c r="H7" s="7733"/>
      <c r="I7" s="7733"/>
      <c r="J7" s="7734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7732" t="s">
        <v>3476</v>
      </c>
      <c r="H8" s="7733"/>
      <c r="I8" s="7733"/>
      <c r="J8" s="7734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7654">
        <v>11</v>
      </c>
      <c r="B15" s="7717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7563">
        <f>G15+G16</f>
        <v>1050000</v>
      </c>
      <c r="K15" s="7563">
        <f>(F15+F16)-J15</f>
        <v>250000</v>
      </c>
      <c r="L15" s="7679"/>
    </row>
    <row r="16" spans="1:12" ht="30" customHeight="1" x14ac:dyDescent="0.2">
      <c r="A16" s="7656"/>
      <c r="B16" s="7717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7564"/>
      <c r="K16" s="7564"/>
      <c r="L16" s="7680"/>
    </row>
    <row r="17" spans="1:12" ht="30" customHeight="1" x14ac:dyDescent="0.2">
      <c r="A17" s="7879">
        <v>12</v>
      </c>
      <c r="B17" s="7652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0" t="s">
        <v>3714</v>
      </c>
    </row>
    <row r="18" spans="1:12" ht="30" customHeight="1" x14ac:dyDescent="0.2">
      <c r="A18" s="7879"/>
      <c r="B18" s="7653"/>
      <c r="C18" s="1776"/>
      <c r="D18" s="7552"/>
      <c r="E18" s="7843"/>
      <c r="F18" s="7844"/>
      <c r="G18" s="1770">
        <v>22000000</v>
      </c>
      <c r="H18" s="1770" t="s">
        <v>2599</v>
      </c>
      <c r="I18" s="1792" t="s">
        <v>3728</v>
      </c>
      <c r="J18" s="1770">
        <f>G18</f>
        <v>22000000</v>
      </c>
      <c r="K18" s="1770"/>
      <c r="L18" s="1781"/>
    </row>
    <row r="19" spans="1:12" ht="30" customHeight="1" x14ac:dyDescent="0.2">
      <c r="A19" s="7656"/>
      <c r="B19" s="7652" t="s">
        <v>420</v>
      </c>
      <c r="C19" s="7747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7924">
        <v>11800000</v>
      </c>
      <c r="H19" s="7924" t="s">
        <v>3583</v>
      </c>
      <c r="I19" s="7924" t="s">
        <v>1946</v>
      </c>
      <c r="J19" s="7563">
        <f>G19</f>
        <v>11800000</v>
      </c>
      <c r="K19" s="7563">
        <f>(F19+F20)-J19</f>
        <v>0</v>
      </c>
      <c r="L19" s="7713" t="s">
        <v>2731</v>
      </c>
    </row>
    <row r="20" spans="1:12" ht="30" customHeight="1" x14ac:dyDescent="0.2">
      <c r="A20" s="7655"/>
      <c r="B20" s="7653"/>
      <c r="C20" s="7724"/>
      <c r="D20" s="1468">
        <v>100000000</v>
      </c>
      <c r="E20" s="1465">
        <v>7.0000000000000007E-2</v>
      </c>
      <c r="F20" s="1468">
        <f t="shared" si="3"/>
        <v>7000000.0000000009</v>
      </c>
      <c r="G20" s="7925"/>
      <c r="H20" s="7925"/>
      <c r="I20" s="7925"/>
      <c r="J20" s="7564"/>
      <c r="K20" s="7564"/>
      <c r="L20" s="7714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7654">
        <v>19</v>
      </c>
      <c r="B26" s="7717" t="s">
        <v>560</v>
      </c>
      <c r="C26" s="7873"/>
      <c r="D26" s="1718">
        <v>50000000</v>
      </c>
      <c r="E26" s="7683">
        <f>F26/(D26+D27)</f>
        <v>0.05</v>
      </c>
      <c r="F26" s="7559">
        <v>3250000</v>
      </c>
      <c r="G26" s="7563">
        <v>3250000</v>
      </c>
      <c r="H26" s="7563" t="s">
        <v>3660</v>
      </c>
      <c r="I26" s="7762" t="s">
        <v>3669</v>
      </c>
      <c r="J26" s="7563">
        <f t="shared" si="4"/>
        <v>3250000</v>
      </c>
      <c r="K26" s="7563">
        <f t="shared" si="5"/>
        <v>0</v>
      </c>
      <c r="L26" s="1732" t="s">
        <v>1995</v>
      </c>
    </row>
    <row r="27" spans="1:12" ht="30" customHeight="1" x14ac:dyDescent="0.2">
      <c r="A27" s="7656"/>
      <c r="B27" s="7717"/>
      <c r="C27" s="7873"/>
      <c r="D27" s="1718">
        <v>15000000</v>
      </c>
      <c r="E27" s="7684"/>
      <c r="F27" s="7560"/>
      <c r="G27" s="7564"/>
      <c r="H27" s="7564"/>
      <c r="I27" s="7763"/>
      <c r="J27" s="7564"/>
      <c r="K27" s="7564"/>
      <c r="L27" s="1732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7563"/>
      <c r="H28" s="7563"/>
      <c r="I28" s="7762"/>
      <c r="J28" s="7563">
        <f>G28</f>
        <v>0</v>
      </c>
      <c r="K28" s="7563">
        <f>(F28+F29)-J28</f>
        <v>2050000</v>
      </c>
      <c r="L28" s="7798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7564"/>
      <c r="H29" s="7564"/>
      <c r="I29" s="7763"/>
      <c r="J29" s="7564"/>
      <c r="K29" s="7564"/>
      <c r="L29" s="7800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8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1">
        <v>10500000</v>
      </c>
      <c r="H31" s="1754" t="s">
        <v>3692</v>
      </c>
      <c r="I31" s="64" t="s">
        <v>3704</v>
      </c>
      <c r="J31" s="1755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8" t="s">
        <v>2004</v>
      </c>
      <c r="D32" s="1678">
        <v>70000000</v>
      </c>
      <c r="E32" s="1679">
        <v>0.06</v>
      </c>
      <c r="F32" s="1678">
        <f>D32*E32</f>
        <v>4200000</v>
      </c>
      <c r="G32" s="1751">
        <v>950000</v>
      </c>
      <c r="H32" s="1754" t="s">
        <v>3692</v>
      </c>
      <c r="I32" s="64" t="s">
        <v>3705</v>
      </c>
      <c r="J32" s="1755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7879">
        <v>26</v>
      </c>
      <c r="B34" s="8078" t="s">
        <v>803</v>
      </c>
      <c r="C34" s="7873" t="s">
        <v>1718</v>
      </c>
      <c r="D34" s="1715">
        <v>500000000</v>
      </c>
      <c r="E34" s="435">
        <v>4.4999999999999998E-2</v>
      </c>
      <c r="F34" s="1715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7879"/>
      <c r="B35" s="8078"/>
      <c r="C35" s="7873"/>
      <c r="D35" s="1722">
        <v>386000000</v>
      </c>
      <c r="E35" s="1725">
        <v>0.05</v>
      </c>
      <c r="F35" s="1722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7879"/>
      <c r="B36" s="8078"/>
      <c r="C36" s="7873"/>
      <c r="D36" s="1715">
        <v>350000000</v>
      </c>
      <c r="E36" s="435">
        <v>0.05</v>
      </c>
      <c r="F36" s="1715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7654"/>
      <c r="B37" s="8021" t="s">
        <v>803</v>
      </c>
      <c r="C37" s="7723" t="s">
        <v>1718</v>
      </c>
      <c r="D37" s="7494" t="s">
        <v>3727</v>
      </c>
      <c r="E37" s="7495"/>
      <c r="F37" s="7768"/>
      <c r="G37" s="233">
        <v>37500000</v>
      </c>
      <c r="H37" s="1773" t="s">
        <v>2599</v>
      </c>
      <c r="I37" s="639" t="s">
        <v>3156</v>
      </c>
      <c r="J37" s="7846">
        <f>G37+G38</f>
        <v>57500000</v>
      </c>
      <c r="K37" s="7563">
        <f>57500000-J37</f>
        <v>0</v>
      </c>
      <c r="L37" s="180"/>
    </row>
    <row r="38" spans="1:14" ht="30" customHeight="1" x14ac:dyDescent="0.2">
      <c r="A38" s="7655"/>
      <c r="B38" s="8022"/>
      <c r="C38" s="7724"/>
      <c r="D38" s="7769"/>
      <c r="E38" s="7805"/>
      <c r="F38" s="7770"/>
      <c r="G38" s="233">
        <v>20000000</v>
      </c>
      <c r="H38" s="1773" t="s">
        <v>2472</v>
      </c>
      <c r="I38" s="639" t="s">
        <v>3470</v>
      </c>
      <c r="J38" s="7848"/>
      <c r="K38" s="7564"/>
      <c r="L38" s="180"/>
    </row>
    <row r="39" spans="1:14" ht="30" customHeight="1" x14ac:dyDescent="0.2">
      <c r="A39" s="1717"/>
      <c r="B39" s="1790" t="s">
        <v>803</v>
      </c>
      <c r="C39" s="1723" t="s">
        <v>359</v>
      </c>
      <c r="D39" s="1783">
        <v>700000000</v>
      </c>
      <c r="E39" s="1791">
        <v>0.05</v>
      </c>
      <c r="F39" s="1783">
        <f t="shared" si="6"/>
        <v>35000000</v>
      </c>
      <c r="G39" s="8045" t="s">
        <v>3686</v>
      </c>
      <c r="H39" s="8046"/>
      <c r="I39" s="8046"/>
      <c r="J39" s="8047"/>
      <c r="K39" s="1770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7879">
        <v>32</v>
      </c>
      <c r="B45" s="7652" t="s">
        <v>982</v>
      </c>
      <c r="C45" s="7723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7563">
        <v>7450000</v>
      </c>
      <c r="H45" s="7494" t="s">
        <v>1189</v>
      </c>
      <c r="I45" s="8048" t="s">
        <v>2377</v>
      </c>
      <c r="J45" s="7563">
        <f t="shared" si="9"/>
        <v>7450000</v>
      </c>
      <c r="K45" s="7563">
        <f>(F45+F46)-J45</f>
        <v>0</v>
      </c>
      <c r="L45" s="7713"/>
    </row>
    <row r="46" spans="1:14" ht="30" customHeight="1" x14ac:dyDescent="0.2">
      <c r="A46" s="7879"/>
      <c r="B46" s="7665"/>
      <c r="C46" s="7747"/>
      <c r="D46" s="1468">
        <v>35000000</v>
      </c>
      <c r="E46" s="1465">
        <v>7.0000000000000007E-2</v>
      </c>
      <c r="F46" s="1468">
        <f t="shared" si="10"/>
        <v>2450000.0000000005</v>
      </c>
      <c r="G46" s="7564"/>
      <c r="H46" s="7877"/>
      <c r="I46" s="8048"/>
      <c r="J46" s="7586"/>
      <c r="K46" s="7586"/>
      <c r="L46" s="7714"/>
    </row>
    <row r="47" spans="1:14" ht="30" customHeight="1" x14ac:dyDescent="0.2">
      <c r="A47" s="1761"/>
      <c r="B47" s="7665"/>
      <c r="C47" s="7747"/>
      <c r="D47" s="7563">
        <v>20000000</v>
      </c>
      <c r="E47" s="7659">
        <v>7.0000000000000007E-2</v>
      </c>
      <c r="F47" s="7563">
        <f t="shared" si="10"/>
        <v>1400000.0000000002</v>
      </c>
      <c r="G47" s="7563">
        <v>800000</v>
      </c>
      <c r="H47" s="7769"/>
      <c r="I47" s="8048"/>
      <c r="J47" s="7564"/>
      <c r="K47" s="7564"/>
      <c r="L47" s="7732" t="s">
        <v>3720</v>
      </c>
      <c r="M47" s="7733"/>
      <c r="N47" s="7734"/>
    </row>
    <row r="48" spans="1:14" ht="30" customHeight="1" x14ac:dyDescent="0.2">
      <c r="A48" s="1761"/>
      <c r="B48" s="7665"/>
      <c r="C48" s="7747"/>
      <c r="D48" s="7586"/>
      <c r="E48" s="7676"/>
      <c r="F48" s="7586"/>
      <c r="G48" s="7586"/>
      <c r="H48" s="7494" t="s">
        <v>3752</v>
      </c>
      <c r="I48" s="7495"/>
      <c r="J48" s="7768"/>
      <c r="K48" s="7563">
        <v>0</v>
      </c>
      <c r="L48" s="7732" t="s">
        <v>3721</v>
      </c>
      <c r="M48" s="7733"/>
      <c r="N48" s="7734"/>
    </row>
    <row r="49" spans="1:14" ht="30" customHeight="1" x14ac:dyDescent="0.2">
      <c r="A49" s="1761"/>
      <c r="B49" s="7653"/>
      <c r="C49" s="7724"/>
      <c r="D49" s="7564"/>
      <c r="E49" s="7660"/>
      <c r="F49" s="7564"/>
      <c r="G49" s="7564"/>
      <c r="H49" s="7769"/>
      <c r="I49" s="7805"/>
      <c r="J49" s="7770"/>
      <c r="K49" s="7564"/>
      <c r="L49" s="7732" t="s">
        <v>3721</v>
      </c>
      <c r="M49" s="7733"/>
      <c r="N49" s="7734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1">
        <v>10500000</v>
      </c>
      <c r="H52" s="1931" t="s">
        <v>3942</v>
      </c>
      <c r="I52" s="1931" t="s">
        <v>3948</v>
      </c>
      <c r="J52" s="1931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8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7">
        <v>3330000</v>
      </c>
      <c r="H53" s="1937" t="s">
        <v>3942</v>
      </c>
      <c r="I53" s="1937" t="s">
        <v>3947</v>
      </c>
      <c r="J53" s="1937">
        <f>G53</f>
        <v>3330000</v>
      </c>
      <c r="K53" s="1936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7563">
        <v>3500000</v>
      </c>
      <c r="H59" s="7563" t="s">
        <v>3417</v>
      </c>
      <c r="I59" s="7775" t="s">
        <v>260</v>
      </c>
      <c r="J59" s="7563">
        <f>G59</f>
        <v>3500000</v>
      </c>
      <c r="K59" s="7563">
        <f>(F59+F60)-J59</f>
        <v>0</v>
      </c>
      <c r="L59" s="7703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7564"/>
      <c r="H60" s="7564"/>
      <c r="I60" s="7777"/>
      <c r="J60" s="7564"/>
      <c r="K60" s="7564"/>
      <c r="L60" s="7705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7654">
        <v>45</v>
      </c>
      <c r="B62" s="7652" t="s">
        <v>185</v>
      </c>
      <c r="C62" s="7723" t="s">
        <v>1295</v>
      </c>
      <c r="D62" s="7563">
        <v>1190000000</v>
      </c>
      <c r="E62" s="7659">
        <v>7.0000000000000007E-2</v>
      </c>
      <c r="F62" s="7563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7563">
        <f>G62+G63</f>
        <v>83300000</v>
      </c>
      <c r="K62" s="7563">
        <f>F62-J62</f>
        <v>0</v>
      </c>
      <c r="L62" s="7703"/>
    </row>
    <row r="63" spans="1:14" ht="30" customHeight="1" x14ac:dyDescent="0.2">
      <c r="A63" s="7655"/>
      <c r="B63" s="7653"/>
      <c r="C63" s="7724"/>
      <c r="D63" s="7564"/>
      <c r="E63" s="7660"/>
      <c r="F63" s="7564"/>
      <c r="G63" s="1557">
        <v>33300000</v>
      </c>
      <c r="H63" s="1557" t="s">
        <v>3463</v>
      </c>
      <c r="I63" s="21" t="s">
        <v>2696</v>
      </c>
      <c r="J63" s="7564"/>
      <c r="K63" s="7564"/>
      <c r="L63" s="7705"/>
    </row>
    <row r="64" spans="1:14" ht="30" customHeight="1" x14ac:dyDescent="0.2">
      <c r="A64" s="7654">
        <v>46</v>
      </c>
      <c r="B64" s="7652" t="s">
        <v>186</v>
      </c>
      <c r="C64" s="7723" t="s">
        <v>1081</v>
      </c>
      <c r="D64" s="7563">
        <v>1200000000</v>
      </c>
      <c r="E64" s="7659">
        <v>0.08</v>
      </c>
      <c r="F64" s="7563">
        <f>D64*E64</f>
        <v>96000000</v>
      </c>
      <c r="G64" s="1468">
        <v>50000000</v>
      </c>
      <c r="H64" s="1468" t="s">
        <v>2472</v>
      </c>
      <c r="I64" s="21" t="s">
        <v>1076</v>
      </c>
      <c r="J64" s="7563">
        <f>G64+G65</f>
        <v>100000000</v>
      </c>
      <c r="K64" s="7563">
        <f>F64-J64</f>
        <v>-4000000</v>
      </c>
      <c r="L64" s="388"/>
    </row>
    <row r="65" spans="1:12" ht="30" customHeight="1" x14ac:dyDescent="0.2">
      <c r="A65" s="7656"/>
      <c r="B65" s="7665"/>
      <c r="C65" s="7747"/>
      <c r="D65" s="7586"/>
      <c r="E65" s="7676"/>
      <c r="F65" s="7586"/>
      <c r="G65" s="1468">
        <v>50000000</v>
      </c>
      <c r="H65" s="1468" t="s">
        <v>3507</v>
      </c>
      <c r="I65" s="21" t="s">
        <v>1076</v>
      </c>
      <c r="J65" s="7564"/>
      <c r="K65" s="7564"/>
      <c r="L65" s="1496"/>
    </row>
    <row r="66" spans="1:12" ht="30" customHeight="1" x14ac:dyDescent="0.2">
      <c r="A66" s="7656"/>
      <c r="B66" s="7665"/>
      <c r="C66" s="7747"/>
      <c r="D66" s="7586"/>
      <c r="E66" s="7676"/>
      <c r="F66" s="7586"/>
      <c r="G66" s="7470" t="s">
        <v>3960</v>
      </c>
      <c r="H66" s="7493"/>
      <c r="I66" s="7493"/>
      <c r="J66" s="7493"/>
      <c r="K66" s="7510"/>
      <c r="L66" s="1496"/>
    </row>
    <row r="67" spans="1:12" ht="30" customHeight="1" x14ac:dyDescent="0.2">
      <c r="A67" s="7656"/>
      <c r="B67" s="7665"/>
      <c r="C67" s="7724"/>
      <c r="D67" s="7564"/>
      <c r="E67" s="7660"/>
      <c r="F67" s="7564"/>
      <c r="G67" s="1936">
        <v>5000000</v>
      </c>
      <c r="H67" s="1936" t="s">
        <v>3942</v>
      </c>
      <c r="I67" s="56" t="s">
        <v>3959</v>
      </c>
      <c r="J67" s="1936">
        <f>G67</f>
        <v>5000000</v>
      </c>
      <c r="K67" s="1936"/>
      <c r="L67" s="1945" t="s">
        <v>2079</v>
      </c>
    </row>
    <row r="68" spans="1:12" ht="30" customHeight="1" x14ac:dyDescent="0.2">
      <c r="A68" s="7655"/>
      <c r="B68" s="7653"/>
      <c r="C68" s="1904"/>
      <c r="D68" s="1898">
        <v>1000000000</v>
      </c>
      <c r="E68" s="1896"/>
      <c r="F68" s="1898"/>
      <c r="G68" s="7732" t="s">
        <v>5112</v>
      </c>
      <c r="H68" s="7733"/>
      <c r="I68" s="7733"/>
      <c r="J68" s="7734"/>
      <c r="K68" s="1898"/>
      <c r="L68" s="1909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7654">
        <v>50</v>
      </c>
      <c r="B72" s="7652" t="s">
        <v>190</v>
      </c>
      <c r="C72" s="7723" t="s">
        <v>889</v>
      </c>
      <c r="D72" s="7563">
        <v>350000000</v>
      </c>
      <c r="E72" s="7659">
        <v>0.05</v>
      </c>
      <c r="F72" s="7563">
        <f t="shared" si="12"/>
        <v>17500000</v>
      </c>
      <c r="G72" s="8061" t="s">
        <v>3371</v>
      </c>
      <c r="H72" s="8062"/>
      <c r="I72" s="8062"/>
      <c r="J72" s="8062"/>
      <c r="K72" s="1608"/>
      <c r="L72" s="97"/>
    </row>
    <row r="73" spans="1:12" ht="30" customHeight="1" x14ac:dyDescent="0.2">
      <c r="A73" s="7656"/>
      <c r="B73" s="7665"/>
      <c r="C73" s="7747"/>
      <c r="D73" s="7586"/>
      <c r="E73" s="7676"/>
      <c r="F73" s="7586"/>
      <c r="G73" s="1673">
        <v>20000000</v>
      </c>
      <c r="H73" s="1673" t="s">
        <v>3583</v>
      </c>
      <c r="I73" s="21" t="s">
        <v>3067</v>
      </c>
      <c r="J73" s="7563">
        <f>G73+G74</f>
        <v>25000000</v>
      </c>
      <c r="K73" s="1673"/>
      <c r="L73" s="1675"/>
    </row>
    <row r="74" spans="1:12" ht="30" customHeight="1" x14ac:dyDescent="0.2">
      <c r="A74" s="7655"/>
      <c r="B74" s="7653"/>
      <c r="C74" s="7724"/>
      <c r="D74" s="7564"/>
      <c r="E74" s="7660"/>
      <c r="F74" s="7564"/>
      <c r="G74" s="1673">
        <v>5000000</v>
      </c>
      <c r="H74" s="1673" t="s">
        <v>3595</v>
      </c>
      <c r="I74" s="21" t="s">
        <v>3596</v>
      </c>
      <c r="J74" s="7564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7654">
        <v>52</v>
      </c>
      <c r="B76" s="7652" t="s">
        <v>192</v>
      </c>
      <c r="C76" s="7723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7563">
        <v>5950000</v>
      </c>
      <c r="H76" s="7563" t="s">
        <v>3531</v>
      </c>
      <c r="I76" s="7561" t="s">
        <v>2540</v>
      </c>
      <c r="J76" s="7563">
        <f>G76</f>
        <v>5950000</v>
      </c>
      <c r="K76" s="7563">
        <f>F76-J76</f>
        <v>-349999.99999999907</v>
      </c>
      <c r="L76" s="763" t="s">
        <v>2711</v>
      </c>
    </row>
    <row r="77" spans="1:12" ht="30" customHeight="1" x14ac:dyDescent="0.2">
      <c r="A77" s="7656"/>
      <c r="B77" s="7665"/>
      <c r="C77" s="7747"/>
      <c r="D77" s="1468">
        <v>10000000</v>
      </c>
      <c r="E77" s="1515">
        <v>7.0000000000000007E-2</v>
      </c>
      <c r="F77" s="1468">
        <f>D77*E77</f>
        <v>700000.00000000012</v>
      </c>
      <c r="G77" s="7564"/>
      <c r="H77" s="7564"/>
      <c r="I77" s="7562"/>
      <c r="J77" s="7564"/>
      <c r="K77" s="7564"/>
      <c r="L77" s="763" t="s">
        <v>3372</v>
      </c>
    </row>
    <row r="78" spans="1:12" ht="30" customHeight="1" x14ac:dyDescent="0.2">
      <c r="A78" s="7656"/>
      <c r="B78" s="7665"/>
      <c r="C78" s="7747"/>
      <c r="D78" s="1886">
        <v>10000000</v>
      </c>
      <c r="E78" s="1882"/>
      <c r="F78" s="1886"/>
      <c r="G78" s="8000" t="s">
        <v>3876</v>
      </c>
      <c r="H78" s="8000"/>
      <c r="I78" s="8000"/>
      <c r="J78" s="8000"/>
      <c r="K78" s="8000"/>
      <c r="L78" s="763"/>
    </row>
    <row r="79" spans="1:12" ht="30" customHeight="1" x14ac:dyDescent="0.2">
      <c r="A79" s="7655"/>
      <c r="B79" s="7653"/>
      <c r="C79" s="7724"/>
      <c r="D79" s="1883">
        <v>10000000</v>
      </c>
      <c r="E79" s="1882"/>
      <c r="F79" s="1883"/>
      <c r="G79" s="8000" t="s">
        <v>3873</v>
      </c>
      <c r="H79" s="8000"/>
      <c r="I79" s="8000"/>
      <c r="J79" s="8000"/>
      <c r="K79" s="8000"/>
      <c r="L79" s="763"/>
    </row>
    <row r="80" spans="1:12" ht="30" customHeight="1" x14ac:dyDescent="0.2">
      <c r="A80" s="7654">
        <v>53</v>
      </c>
      <c r="B80" s="7703" t="s">
        <v>193</v>
      </c>
      <c r="C80" s="7723" t="s">
        <v>1294</v>
      </c>
      <c r="D80" s="7563">
        <v>350000000</v>
      </c>
      <c r="E80" s="7659">
        <v>7.0000000000000007E-2</v>
      </c>
      <c r="F80" s="7563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7563">
        <f>G80+G81</f>
        <v>26500000</v>
      </c>
      <c r="K80" s="7563">
        <f>F80-J80</f>
        <v>-1999999.9999999963</v>
      </c>
      <c r="L80" s="7757" t="s">
        <v>3725</v>
      </c>
    </row>
    <row r="81" spans="1:12" ht="30" customHeight="1" x14ac:dyDescent="0.2">
      <c r="A81" s="7656"/>
      <c r="B81" s="7704"/>
      <c r="C81" s="7747"/>
      <c r="D81" s="7564"/>
      <c r="E81" s="7660"/>
      <c r="F81" s="7564"/>
      <c r="G81" s="1488">
        <v>4000000</v>
      </c>
      <c r="H81" s="1466" t="s">
        <v>3731</v>
      </c>
      <c r="I81" s="1485" t="s">
        <v>1810</v>
      </c>
      <c r="J81" s="7564"/>
      <c r="K81" s="7564"/>
      <c r="L81" s="8037"/>
    </row>
    <row r="82" spans="1:12" ht="30" customHeight="1" x14ac:dyDescent="0.2">
      <c r="A82" s="7655"/>
      <c r="B82" s="7705"/>
      <c r="C82" s="7724"/>
      <c r="D82" s="1771">
        <v>500000000</v>
      </c>
      <c r="E82" s="1769">
        <v>7.0000000000000007E-2</v>
      </c>
      <c r="F82" s="1771">
        <f>D82*E82</f>
        <v>35000000</v>
      </c>
      <c r="G82" s="7732" t="s">
        <v>3730</v>
      </c>
      <c r="H82" s="7733"/>
      <c r="I82" s="7733"/>
      <c r="J82" s="7734"/>
      <c r="K82" s="1770"/>
      <c r="L82" s="7758"/>
    </row>
    <row r="83" spans="1:12" ht="30" customHeight="1" x14ac:dyDescent="0.2">
      <c r="A83" s="7654">
        <v>54</v>
      </c>
      <c r="B83" s="7652" t="s">
        <v>1060</v>
      </c>
      <c r="C83" s="7723"/>
      <c r="D83" s="1468">
        <v>35000000</v>
      </c>
      <c r="E83" s="1465">
        <v>7.1999999999999995E-2</v>
      </c>
      <c r="F83" s="1468">
        <v>2500000</v>
      </c>
      <c r="G83" s="7924">
        <v>3500000</v>
      </c>
      <c r="H83" s="7924" t="s">
        <v>3362</v>
      </c>
      <c r="I83" s="7926" t="s">
        <v>3412</v>
      </c>
      <c r="J83" s="7924">
        <f>G83</f>
        <v>3500000</v>
      </c>
      <c r="K83" s="7924">
        <f>(F83+F84)-J83</f>
        <v>0</v>
      </c>
      <c r="L83" s="7703"/>
    </row>
    <row r="84" spans="1:12" ht="30" customHeight="1" x14ac:dyDescent="0.2">
      <c r="A84" s="7656"/>
      <c r="B84" s="7653"/>
      <c r="C84" s="7724"/>
      <c r="D84" s="1468">
        <v>13000000</v>
      </c>
      <c r="E84" s="1515">
        <v>7.6999999999999999E-2</v>
      </c>
      <c r="F84" s="1468">
        <v>1000000</v>
      </c>
      <c r="G84" s="7925"/>
      <c r="H84" s="7925"/>
      <c r="I84" s="7927"/>
      <c r="J84" s="7925"/>
      <c r="K84" s="7925"/>
      <c r="L84" s="7705"/>
    </row>
    <row r="85" spans="1:12" ht="30" customHeight="1" x14ac:dyDescent="0.2">
      <c r="A85" s="7654">
        <v>55</v>
      </c>
      <c r="B85" s="7652" t="s">
        <v>1247</v>
      </c>
      <c r="C85" s="7723" t="s">
        <v>1295</v>
      </c>
      <c r="D85" s="1488">
        <v>175000000</v>
      </c>
      <c r="E85" s="1515">
        <v>0.52</v>
      </c>
      <c r="F85" s="1488">
        <v>9000000</v>
      </c>
      <c r="G85" s="7482">
        <v>18250000</v>
      </c>
      <c r="H85" s="7482" t="s">
        <v>3427</v>
      </c>
      <c r="I85" s="7561" t="s">
        <v>1063</v>
      </c>
      <c r="J85" s="7482">
        <f>G85</f>
        <v>18250000</v>
      </c>
      <c r="K85" s="7482">
        <f>(F85+F86+F87)-J85</f>
        <v>0</v>
      </c>
      <c r="L85" s="180" t="s">
        <v>1931</v>
      </c>
    </row>
    <row r="86" spans="1:12" ht="30" customHeight="1" x14ac:dyDescent="0.2">
      <c r="A86" s="7656"/>
      <c r="B86" s="7665"/>
      <c r="C86" s="7747"/>
      <c r="D86" s="1466">
        <f>85000000+20000000</f>
        <v>105000000</v>
      </c>
      <c r="E86" s="1464">
        <v>7.0000000000000007E-2</v>
      </c>
      <c r="F86" s="1466">
        <v>7500000</v>
      </c>
      <c r="G86" s="7482"/>
      <c r="H86" s="7482"/>
      <c r="I86" s="7672"/>
      <c r="J86" s="7482"/>
      <c r="K86" s="7482"/>
      <c r="L86" s="180" t="s">
        <v>1932</v>
      </c>
    </row>
    <row r="87" spans="1:12" ht="30" customHeight="1" x14ac:dyDescent="0.2">
      <c r="A87" s="7655"/>
      <c r="B87" s="7653"/>
      <c r="C87" s="7724"/>
      <c r="D87" s="1488">
        <v>35000000</v>
      </c>
      <c r="E87" s="1515">
        <v>0.05</v>
      </c>
      <c r="F87" s="1488">
        <f>D87*E87</f>
        <v>1750000</v>
      </c>
      <c r="G87" s="7482"/>
      <c r="H87" s="7482"/>
      <c r="I87" s="7562"/>
      <c r="J87" s="7482"/>
      <c r="K87" s="7482"/>
      <c r="L87" s="1473" t="s">
        <v>2519</v>
      </c>
    </row>
    <row r="88" spans="1:12" ht="30" customHeight="1" x14ac:dyDescent="0.2">
      <c r="A88" s="7654">
        <v>56</v>
      </c>
      <c r="B88" s="7652" t="s">
        <v>35</v>
      </c>
      <c r="C88" s="7723" t="s">
        <v>1295</v>
      </c>
      <c r="D88" s="7563">
        <v>3284000000</v>
      </c>
      <c r="E88" s="7659">
        <v>7.0000000000000007E-2</v>
      </c>
      <c r="F88" s="7563">
        <v>229880000</v>
      </c>
      <c r="G88" s="1488">
        <v>50000000</v>
      </c>
      <c r="H88" s="1488" t="s">
        <v>3499</v>
      </c>
      <c r="I88" s="1596" t="s">
        <v>678</v>
      </c>
      <c r="J88" s="7563">
        <f>G88+G89+G90</f>
        <v>105000000</v>
      </c>
      <c r="K88" s="7563">
        <f>F88-J88</f>
        <v>124880000</v>
      </c>
      <c r="L88" s="7713" t="s">
        <v>3373</v>
      </c>
    </row>
    <row r="89" spans="1:12" ht="30" customHeight="1" x14ac:dyDescent="0.2">
      <c r="A89" s="7656"/>
      <c r="B89" s="7665"/>
      <c r="C89" s="7747"/>
      <c r="D89" s="7586"/>
      <c r="E89" s="7676"/>
      <c r="F89" s="7586"/>
      <c r="G89" s="1468">
        <v>50000000</v>
      </c>
      <c r="H89" s="1488" t="s">
        <v>3440</v>
      </c>
      <c r="I89" s="1512" t="s">
        <v>678</v>
      </c>
      <c r="J89" s="7586"/>
      <c r="K89" s="7586"/>
      <c r="L89" s="7797"/>
    </row>
    <row r="90" spans="1:12" ht="30" customHeight="1" x14ac:dyDescent="0.2">
      <c r="A90" s="7656"/>
      <c r="B90" s="7665"/>
      <c r="C90" s="7747"/>
      <c r="D90" s="7586"/>
      <c r="E90" s="7676"/>
      <c r="F90" s="7586"/>
      <c r="G90" s="1468">
        <v>5000000</v>
      </c>
      <c r="H90" s="1468"/>
      <c r="I90" s="21"/>
      <c r="J90" s="7586"/>
      <c r="K90" s="7586"/>
      <c r="L90" s="7797"/>
    </row>
    <row r="91" spans="1:12" ht="30" customHeight="1" x14ac:dyDescent="0.2">
      <c r="A91" s="7656"/>
      <c r="B91" s="7665"/>
      <c r="C91" s="7747"/>
      <c r="D91" s="7586"/>
      <c r="E91" s="7676"/>
      <c r="F91" s="7586"/>
      <c r="G91" s="7494" t="s">
        <v>3845</v>
      </c>
      <c r="H91" s="7495"/>
      <c r="I91" s="7768"/>
      <c r="J91" s="7586"/>
      <c r="K91" s="7586"/>
      <c r="L91" s="180" t="s">
        <v>3844</v>
      </c>
    </row>
    <row r="92" spans="1:12" ht="30" customHeight="1" x14ac:dyDescent="0.2">
      <c r="A92" s="7656"/>
      <c r="B92" s="7665"/>
      <c r="C92" s="7747"/>
      <c r="D92" s="7586"/>
      <c r="E92" s="7676"/>
      <c r="F92" s="7586"/>
      <c r="G92" s="7877"/>
      <c r="H92" s="7524"/>
      <c r="I92" s="7878"/>
      <c r="J92" s="7586"/>
      <c r="K92" s="7586"/>
      <c r="L92" s="1611" t="s">
        <v>5216</v>
      </c>
    </row>
    <row r="93" spans="1:12" ht="30" customHeight="1" x14ac:dyDescent="0.2">
      <c r="A93" s="7656"/>
      <c r="B93" s="7665"/>
      <c r="C93" s="7747"/>
      <c r="D93" s="7586"/>
      <c r="E93" s="7676"/>
      <c r="F93" s="7586"/>
      <c r="G93" s="7877"/>
      <c r="H93" s="7524"/>
      <c r="I93" s="7878"/>
      <c r="J93" s="7586"/>
      <c r="K93" s="7586"/>
      <c r="L93" s="1611" t="s">
        <v>3840</v>
      </c>
    </row>
    <row r="94" spans="1:12" ht="30" customHeight="1" x14ac:dyDescent="0.2">
      <c r="A94" s="7656"/>
      <c r="B94" s="7665"/>
      <c r="C94" s="7747"/>
      <c r="D94" s="7586"/>
      <c r="E94" s="7676"/>
      <c r="F94" s="7586"/>
      <c r="G94" s="7769"/>
      <c r="H94" s="7805"/>
      <c r="I94" s="7770"/>
      <c r="J94" s="7564"/>
      <c r="K94" s="7564"/>
      <c r="L94" s="1612" t="s">
        <v>3841</v>
      </c>
    </row>
    <row r="95" spans="1:12" ht="30" customHeight="1" x14ac:dyDescent="0.2">
      <c r="A95" s="7656"/>
      <c r="B95" s="7665"/>
      <c r="C95" s="7747"/>
      <c r="D95" s="1897"/>
      <c r="E95" s="1895"/>
      <c r="F95" s="1897"/>
      <c r="G95" s="7470" t="s">
        <v>3908</v>
      </c>
      <c r="H95" s="7493"/>
      <c r="I95" s="7510"/>
      <c r="J95" s="1897"/>
      <c r="K95" s="1897"/>
      <c r="L95" s="1611"/>
    </row>
    <row r="96" spans="1:12" ht="30" customHeight="1" x14ac:dyDescent="0.2">
      <c r="A96" s="7656"/>
      <c r="B96" s="7665"/>
      <c r="C96" s="7724"/>
      <c r="D96" s="1897"/>
      <c r="E96" s="1895"/>
      <c r="F96" s="1897"/>
      <c r="G96" s="1908">
        <v>5000000</v>
      </c>
      <c r="H96" s="1908" t="s">
        <v>3893</v>
      </c>
      <c r="I96" s="1908" t="s">
        <v>678</v>
      </c>
      <c r="J96" s="1897"/>
      <c r="K96" s="1897"/>
      <c r="L96" s="1611" t="s">
        <v>3337</v>
      </c>
    </row>
    <row r="97" spans="1:12" ht="30" customHeight="1" x14ac:dyDescent="0.2">
      <c r="A97" s="7655"/>
      <c r="B97" s="7653"/>
      <c r="C97" s="1845" t="s">
        <v>1306</v>
      </c>
      <c r="D97" s="1902">
        <f>983000000+K88+F98-70000</f>
        <v>1130000000</v>
      </c>
      <c r="E97" s="1844">
        <v>0.08</v>
      </c>
      <c r="F97" s="1842">
        <f>D97*E97</f>
        <v>90400000</v>
      </c>
      <c r="G97" s="1835"/>
      <c r="H97" s="1835"/>
      <c r="I97" s="21"/>
      <c r="J97" s="1834"/>
      <c r="K97" s="1834"/>
      <c r="L97" s="1611" t="s">
        <v>3843</v>
      </c>
    </row>
    <row r="98" spans="1:12" ht="30" customHeight="1" x14ac:dyDescent="0.2">
      <c r="A98" s="7654">
        <v>57</v>
      </c>
      <c r="B98" s="7652" t="s">
        <v>1077</v>
      </c>
      <c r="C98" s="7723" t="s">
        <v>1298</v>
      </c>
      <c r="D98" s="7563">
        <v>317000000</v>
      </c>
      <c r="E98" s="7659">
        <v>7.0000000000000007E-2</v>
      </c>
      <c r="F98" s="7563">
        <f>D98*E98</f>
        <v>22190000.000000004</v>
      </c>
      <c r="G98" s="7494" t="s">
        <v>3842</v>
      </c>
      <c r="H98" s="7495"/>
      <c r="I98" s="7768"/>
      <c r="J98" s="7563"/>
      <c r="K98" s="7563"/>
      <c r="L98" s="7809" t="s">
        <v>3373</v>
      </c>
    </row>
    <row r="99" spans="1:12" ht="30" customHeight="1" x14ac:dyDescent="0.2">
      <c r="A99" s="7655"/>
      <c r="B99" s="7653"/>
      <c r="C99" s="7724"/>
      <c r="D99" s="7564"/>
      <c r="E99" s="7660"/>
      <c r="F99" s="7564"/>
      <c r="G99" s="7769"/>
      <c r="H99" s="7805"/>
      <c r="I99" s="7770"/>
      <c r="J99" s="7564"/>
      <c r="K99" s="7564"/>
      <c r="L99" s="7810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7654"/>
      <c r="B101" s="7652" t="s">
        <v>194</v>
      </c>
      <c r="C101" s="7723" t="s">
        <v>1295</v>
      </c>
      <c r="D101" s="1468">
        <v>90000000</v>
      </c>
      <c r="E101" s="1515">
        <v>0.05</v>
      </c>
      <c r="F101" s="1468">
        <f t="shared" si="12"/>
        <v>4500000</v>
      </c>
      <c r="G101" s="8049" t="s">
        <v>3355</v>
      </c>
      <c r="H101" s="8050"/>
      <c r="I101" s="8050"/>
      <c r="J101" s="8051"/>
      <c r="K101" s="7563">
        <f>(F101+F102)-J101</f>
        <v>5200000</v>
      </c>
      <c r="L101" s="7713" t="s">
        <v>3373</v>
      </c>
    </row>
    <row r="102" spans="1:12" ht="30" customHeight="1" x14ac:dyDescent="0.2">
      <c r="A102" s="7656"/>
      <c r="B102" s="7665"/>
      <c r="C102" s="7747"/>
      <c r="D102" s="1468">
        <v>10000000</v>
      </c>
      <c r="E102" s="1515">
        <v>7.0000000000000007E-2</v>
      </c>
      <c r="F102" s="1468">
        <f t="shared" si="12"/>
        <v>700000.00000000012</v>
      </c>
      <c r="G102" s="8052"/>
      <c r="H102" s="8053"/>
      <c r="I102" s="8053"/>
      <c r="J102" s="8054"/>
      <c r="K102" s="7564"/>
      <c r="L102" s="7797"/>
    </row>
    <row r="103" spans="1:12" ht="30" customHeight="1" x14ac:dyDescent="0.2">
      <c r="A103" s="7655"/>
      <c r="B103" s="7653"/>
      <c r="C103" s="7724"/>
      <c r="D103" s="1468">
        <v>15000000</v>
      </c>
      <c r="E103" s="1515">
        <v>7.0000000000000007E-2</v>
      </c>
      <c r="F103" s="2036">
        <f t="shared" si="12"/>
        <v>1050000</v>
      </c>
      <c r="G103" s="8055"/>
      <c r="H103" s="8056"/>
      <c r="I103" s="8056"/>
      <c r="J103" s="8057"/>
      <c r="K103" s="1468"/>
      <c r="L103" s="7714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8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7654">
        <v>63</v>
      </c>
      <c r="B107" s="7652" t="s">
        <v>198</v>
      </c>
      <c r="C107" s="7723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7713" t="s">
        <v>3374</v>
      </c>
    </row>
    <row r="108" spans="1:12" ht="30" customHeight="1" x14ac:dyDescent="0.2">
      <c r="A108" s="7656"/>
      <c r="B108" s="7665"/>
      <c r="C108" s="7747"/>
      <c r="D108" s="1488"/>
      <c r="E108" s="1515"/>
      <c r="F108" s="1488"/>
      <c r="G108" s="8058" t="s">
        <v>3375</v>
      </c>
      <c r="H108" s="8059"/>
      <c r="I108" s="8059"/>
      <c r="J108" s="8060"/>
      <c r="K108" s="1468"/>
      <c r="L108" s="7714"/>
    </row>
    <row r="109" spans="1:12" ht="30" customHeight="1" x14ac:dyDescent="0.2">
      <c r="A109" s="7655"/>
      <c r="B109" s="7653"/>
      <c r="C109" s="7724"/>
      <c r="D109" s="1871">
        <v>1700000000</v>
      </c>
      <c r="E109" s="1870">
        <v>6.5000000000000002E-2</v>
      </c>
      <c r="F109" s="1871">
        <f>D109*E109</f>
        <v>110500000</v>
      </c>
      <c r="G109" s="1888"/>
      <c r="H109" s="1889"/>
      <c r="I109" s="1889"/>
      <c r="J109" s="1890"/>
      <c r="K109" s="1871"/>
      <c r="L109" s="1872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4">
        <v>252000000</v>
      </c>
      <c r="E111" s="2642">
        <v>5.1999999999999998E-2</v>
      </c>
      <c r="F111" s="2624">
        <v>13140000</v>
      </c>
      <c r="G111" s="2624">
        <v>13140000</v>
      </c>
      <c r="H111" s="2624" t="s">
        <v>3499</v>
      </c>
      <c r="I111" s="2641" t="s">
        <v>3501</v>
      </c>
      <c r="J111" s="2624">
        <f>G111</f>
        <v>13140000</v>
      </c>
      <c r="K111" s="2624">
        <f>F111-J111</f>
        <v>0</v>
      </c>
      <c r="L111" s="97"/>
    </row>
    <row r="112" spans="1:12" ht="30" customHeight="1" x14ac:dyDescent="0.2">
      <c r="A112" s="7654">
        <v>68</v>
      </c>
      <c r="B112" s="7652" t="s">
        <v>202</v>
      </c>
      <c r="C112" s="7723" t="s">
        <v>1295</v>
      </c>
      <c r="D112" s="7563">
        <v>150000000</v>
      </c>
      <c r="E112" s="7659">
        <v>0.05</v>
      </c>
      <c r="F112" s="7563">
        <f t="shared" si="12"/>
        <v>7500000</v>
      </c>
      <c r="G112" s="1468">
        <v>750000</v>
      </c>
      <c r="H112" s="1468" t="s">
        <v>3362</v>
      </c>
      <c r="I112" s="65" t="s">
        <v>2538</v>
      </c>
      <c r="J112" s="7563">
        <f>G112+G113</f>
        <v>7500000</v>
      </c>
      <c r="K112" s="7563">
        <f>F112-J112</f>
        <v>0</v>
      </c>
      <c r="L112" s="7703"/>
    </row>
    <row r="113" spans="1:12" ht="30" customHeight="1" x14ac:dyDescent="0.2">
      <c r="A113" s="7655"/>
      <c r="B113" s="7653"/>
      <c r="C113" s="7724"/>
      <c r="D113" s="7564"/>
      <c r="E113" s="7660"/>
      <c r="F113" s="7564"/>
      <c r="G113" s="1557">
        <v>6750000</v>
      </c>
      <c r="H113" s="1557" t="s">
        <v>3362</v>
      </c>
      <c r="I113" s="65" t="s">
        <v>2538</v>
      </c>
      <c r="J113" s="7564"/>
      <c r="K113" s="7564"/>
      <c r="L113" s="7705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7654">
        <v>70</v>
      </c>
      <c r="B115" s="7652" t="s">
        <v>204</v>
      </c>
      <c r="C115" s="7723" t="s">
        <v>889</v>
      </c>
      <c r="D115" s="7563">
        <v>100000000</v>
      </c>
      <c r="E115" s="7659">
        <v>0.04</v>
      </c>
      <c r="F115" s="7563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7563">
        <f>G115+G116</f>
        <v>4000000</v>
      </c>
      <c r="K115" s="7563">
        <f>F115-J115</f>
        <v>0</v>
      </c>
      <c r="L115" s="7703"/>
    </row>
    <row r="116" spans="1:12" ht="30" customHeight="1" x14ac:dyDescent="0.2">
      <c r="A116" s="7655"/>
      <c r="B116" s="7653"/>
      <c r="C116" s="7724"/>
      <c r="D116" s="7564"/>
      <c r="E116" s="7660"/>
      <c r="F116" s="7564"/>
      <c r="G116" s="1557">
        <v>3600000</v>
      </c>
      <c r="H116" s="1557" t="s">
        <v>3362</v>
      </c>
      <c r="I116" s="1563" t="s">
        <v>3405</v>
      </c>
      <c r="J116" s="7564"/>
      <c r="K116" s="7564"/>
      <c r="L116" s="7705"/>
    </row>
    <row r="117" spans="1:12" ht="30" customHeight="1" x14ac:dyDescent="0.2">
      <c r="A117" s="1461"/>
      <c r="B117" s="7652" t="s">
        <v>205</v>
      </c>
      <c r="C117" s="7723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49"/>
      <c r="B118" s="7653"/>
      <c r="C118" s="7724"/>
      <c r="D118" s="2052">
        <v>10000000</v>
      </c>
      <c r="E118" s="2050">
        <v>0.05</v>
      </c>
      <c r="F118" s="2052">
        <f>D118*E118</f>
        <v>500000</v>
      </c>
      <c r="G118" s="2053"/>
      <c r="H118" s="2053"/>
      <c r="I118" s="2054"/>
      <c r="J118" s="2051"/>
      <c r="K118" s="2052"/>
      <c r="L118" s="2055" t="s">
        <v>4268</v>
      </c>
    </row>
    <row r="119" spans="1:12" ht="30" customHeight="1" x14ac:dyDescent="0.2">
      <c r="A119" s="7654">
        <v>72</v>
      </c>
      <c r="B119" s="7652" t="s">
        <v>1023</v>
      </c>
      <c r="C119" s="7723" t="s">
        <v>1718</v>
      </c>
      <c r="D119" s="7563">
        <v>1685000000</v>
      </c>
      <c r="E119" s="7659">
        <v>0.06</v>
      </c>
      <c r="F119" s="7563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7563">
        <f>G119+G120</f>
        <v>100000000</v>
      </c>
      <c r="K119" s="7563">
        <f>F119-J119</f>
        <v>1100000</v>
      </c>
      <c r="L119" s="7798" t="s">
        <v>3337</v>
      </c>
    </row>
    <row r="120" spans="1:12" ht="30" customHeight="1" x14ac:dyDescent="0.2">
      <c r="A120" s="7655"/>
      <c r="B120" s="7653"/>
      <c r="C120" s="7724"/>
      <c r="D120" s="7564"/>
      <c r="E120" s="7660"/>
      <c r="F120" s="7564"/>
      <c r="G120" s="1468">
        <v>50000000</v>
      </c>
      <c r="H120" s="1468" t="s">
        <v>3660</v>
      </c>
      <c r="I120" s="21" t="s">
        <v>3067</v>
      </c>
      <c r="J120" s="7564"/>
      <c r="K120" s="7564"/>
      <c r="L120" s="7800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7654">
        <v>76</v>
      </c>
      <c r="B124" s="7652" t="s">
        <v>3462</v>
      </c>
      <c r="C124" s="7723" t="s">
        <v>1293</v>
      </c>
      <c r="D124" s="7563">
        <v>100000000</v>
      </c>
      <c r="E124" s="7659">
        <v>0.05</v>
      </c>
      <c r="F124" s="7563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7655"/>
      <c r="B125" s="7653"/>
      <c r="C125" s="7724"/>
      <c r="D125" s="7564"/>
      <c r="E125" s="7660"/>
      <c r="F125" s="7564"/>
      <c r="G125" s="1934">
        <v>5000000</v>
      </c>
      <c r="H125" s="1934" t="s">
        <v>3942</v>
      </c>
      <c r="I125" s="384" t="s">
        <v>1538</v>
      </c>
      <c r="J125" s="1934">
        <f t="shared" si="13"/>
        <v>5000000</v>
      </c>
      <c r="K125" s="1935">
        <f>F125-J125</f>
        <v>-5000000</v>
      </c>
      <c r="L125" s="180" t="s">
        <v>3952</v>
      </c>
    </row>
    <row r="126" spans="1:12" ht="30" customHeight="1" x14ac:dyDescent="0.2">
      <c r="A126" s="7654">
        <v>77</v>
      </c>
      <c r="B126" s="7652" t="s">
        <v>210</v>
      </c>
      <c r="C126" s="7723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7563">
        <v>3675000</v>
      </c>
      <c r="H126" s="7563" t="s">
        <v>3440</v>
      </c>
      <c r="I126" s="7752" t="s">
        <v>952</v>
      </c>
      <c r="J126" s="7563">
        <f t="shared" si="13"/>
        <v>3675000</v>
      </c>
      <c r="K126" s="7563">
        <f>(F126+F127)-J126</f>
        <v>0</v>
      </c>
      <c r="L126" s="7713"/>
    </row>
    <row r="127" spans="1:12" ht="30" customHeight="1" x14ac:dyDescent="0.2">
      <c r="A127" s="7655"/>
      <c r="B127" s="7653"/>
      <c r="C127" s="7724"/>
      <c r="D127" s="1468">
        <v>35000000</v>
      </c>
      <c r="E127" s="1515">
        <v>4.4999999999999998E-2</v>
      </c>
      <c r="F127" s="1468">
        <f t="shared" si="12"/>
        <v>1575000</v>
      </c>
      <c r="G127" s="7564"/>
      <c r="H127" s="7564"/>
      <c r="I127" s="7753"/>
      <c r="J127" s="7564"/>
      <c r="K127" s="7564"/>
      <c r="L127" s="7714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7654"/>
      <c r="B135" s="7652" t="s">
        <v>975</v>
      </c>
      <c r="C135" s="7723" t="s">
        <v>889</v>
      </c>
      <c r="D135" s="8081">
        <v>850000000</v>
      </c>
      <c r="E135" s="8079">
        <f>F135/D135</f>
        <v>6.1647058823529409E-2</v>
      </c>
      <c r="F135" s="8081">
        <v>52400000</v>
      </c>
      <c r="G135" s="233">
        <v>40000000</v>
      </c>
      <c r="H135" s="1631" t="s">
        <v>3440</v>
      </c>
      <c r="I135" s="1631" t="s">
        <v>3515</v>
      </c>
      <c r="J135" s="7563">
        <f>G135+G136</f>
        <v>52400000</v>
      </c>
      <c r="K135" s="7563">
        <f>F135-J135</f>
        <v>0</v>
      </c>
      <c r="L135" s="7723"/>
    </row>
    <row r="136" spans="1:16" ht="30" customHeight="1" x14ac:dyDescent="0.2">
      <c r="A136" s="7655"/>
      <c r="B136" s="7653"/>
      <c r="C136" s="7724"/>
      <c r="D136" s="8082"/>
      <c r="E136" s="8080"/>
      <c r="F136" s="8082"/>
      <c r="G136" s="7">
        <v>12400000</v>
      </c>
      <c r="H136" s="7" t="s">
        <v>3531</v>
      </c>
      <c r="I136" s="1647" t="s">
        <v>2540</v>
      </c>
      <c r="J136" s="7564"/>
      <c r="K136" s="7564"/>
      <c r="L136" s="7724"/>
    </row>
    <row r="137" spans="1:16" ht="30" customHeight="1" x14ac:dyDescent="0.2">
      <c r="A137" s="7654">
        <v>86</v>
      </c>
      <c r="B137" s="7652" t="s">
        <v>217</v>
      </c>
      <c r="C137" s="7723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7655"/>
      <c r="B138" s="7653"/>
      <c r="C138" s="7724"/>
      <c r="D138" s="1871">
        <v>111000000</v>
      </c>
      <c r="E138" s="1875">
        <v>0.05</v>
      </c>
      <c r="F138" s="1871">
        <f t="shared" si="12"/>
        <v>5550000</v>
      </c>
      <c r="G138" s="1871"/>
      <c r="H138" s="1871"/>
      <c r="I138" s="1874"/>
      <c r="J138" s="1871"/>
      <c r="K138" s="1871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7829" t="s">
        <v>2360</v>
      </c>
      <c r="M139" s="7830"/>
      <c r="N139" s="7830"/>
      <c r="O139" s="7830"/>
      <c r="P139" s="7831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7654">
        <v>89</v>
      </c>
      <c r="B141" s="7652" t="s">
        <v>219</v>
      </c>
      <c r="C141" s="7723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7655"/>
      <c r="B142" s="7653"/>
      <c r="C142" s="7724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7654">
        <v>90</v>
      </c>
      <c r="B143" s="7652" t="s">
        <v>220</v>
      </c>
      <c r="C143" s="7723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7563">
        <v>14460000</v>
      </c>
      <c r="H143" s="7563" t="s">
        <v>3434</v>
      </c>
      <c r="I143" s="7561" t="s">
        <v>1808</v>
      </c>
      <c r="J143" s="7563">
        <f>G143</f>
        <v>14460000</v>
      </c>
      <c r="K143" s="7563">
        <f>(F143+F144)-J143</f>
        <v>0</v>
      </c>
      <c r="L143" s="7703"/>
    </row>
    <row r="144" spans="1:16" ht="30" customHeight="1" x14ac:dyDescent="0.2">
      <c r="A144" s="7655"/>
      <c r="B144" s="7653"/>
      <c r="C144" s="7724"/>
      <c r="D144" s="1468">
        <v>100000000</v>
      </c>
      <c r="E144" s="1515">
        <v>5.3999999999999999E-2</v>
      </c>
      <c r="F144" s="1468">
        <v>5360000</v>
      </c>
      <c r="G144" s="7564"/>
      <c r="H144" s="7564"/>
      <c r="I144" s="7562"/>
      <c r="J144" s="7564"/>
      <c r="K144" s="7564"/>
      <c r="L144" s="7705"/>
    </row>
    <row r="145" spans="1:12" ht="30" customHeight="1" x14ac:dyDescent="0.2">
      <c r="A145" s="7654">
        <v>91</v>
      </c>
      <c r="B145" s="7652" t="s">
        <v>221</v>
      </c>
      <c r="C145" s="7723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7703"/>
    </row>
    <row r="146" spans="1:12" ht="30" customHeight="1" x14ac:dyDescent="0.2">
      <c r="A146" s="7655"/>
      <c r="B146" s="7653"/>
      <c r="C146" s="7724"/>
      <c r="D146" s="1718">
        <v>80000000</v>
      </c>
      <c r="E146" s="435">
        <v>0.05</v>
      </c>
      <c r="F146" s="1718">
        <f>D146*E146</f>
        <v>4000000</v>
      </c>
      <c r="G146" s="7789" t="s">
        <v>3915</v>
      </c>
      <c r="H146" s="7790"/>
      <c r="I146" s="7790"/>
      <c r="J146" s="7791"/>
      <c r="K146" s="1716"/>
      <c r="L146" s="7705"/>
    </row>
    <row r="147" spans="1:12" ht="30" customHeight="1" x14ac:dyDescent="0.2">
      <c r="A147" s="7654">
        <v>92</v>
      </c>
      <c r="B147" s="7703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7656"/>
      <c r="B148" s="7704"/>
      <c r="C148" s="7723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7470" t="s">
        <v>3603</v>
      </c>
      <c r="H148" s="7493"/>
      <c r="I148" s="7493"/>
      <c r="J148" s="7510"/>
      <c r="K148" s="1488"/>
      <c r="L148" s="180" t="s">
        <v>3605</v>
      </c>
    </row>
    <row r="149" spans="1:12" ht="30" customHeight="1" x14ac:dyDescent="0.2">
      <c r="A149" s="7655"/>
      <c r="B149" s="7705"/>
      <c r="C149" s="7724"/>
      <c r="D149" s="1681">
        <v>100000000</v>
      </c>
      <c r="E149" s="3039">
        <v>0.05</v>
      </c>
      <c r="F149" s="3037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36"/>
      <c r="B150" s="7652" t="s">
        <v>222</v>
      </c>
      <c r="C150" s="7723"/>
      <c r="D150" s="3041">
        <v>150000000</v>
      </c>
      <c r="E150" s="3044">
        <v>5.5E-2</v>
      </c>
      <c r="F150" s="3035">
        <f>D150*E150</f>
        <v>8250000</v>
      </c>
      <c r="G150" s="7789" t="s">
        <v>4953</v>
      </c>
      <c r="H150" s="7790"/>
      <c r="I150" s="7790"/>
      <c r="J150" s="7791"/>
      <c r="K150" s="3037"/>
      <c r="L150" s="180"/>
    </row>
    <row r="151" spans="1:12" ht="30" customHeight="1" x14ac:dyDescent="0.2">
      <c r="A151" s="7654"/>
      <c r="B151" s="7665"/>
      <c r="C151" s="7747"/>
      <c r="D151" s="7494" t="s">
        <v>3474</v>
      </c>
      <c r="E151" s="7495"/>
      <c r="F151" s="7768"/>
      <c r="G151" s="1579">
        <v>50000000</v>
      </c>
      <c r="H151" s="1579" t="s">
        <v>3440</v>
      </c>
      <c r="I151" s="1587" t="s">
        <v>3441</v>
      </c>
      <c r="J151" s="7563">
        <f>G151+G152</f>
        <v>100000000</v>
      </c>
      <c r="K151" s="7563">
        <f>100000000-J151</f>
        <v>0</v>
      </c>
      <c r="L151" s="7723"/>
    </row>
    <row r="152" spans="1:12" ht="30" customHeight="1" x14ac:dyDescent="0.2">
      <c r="A152" s="7656"/>
      <c r="B152" s="7665"/>
      <c r="C152" s="7747"/>
      <c r="D152" s="7769"/>
      <c r="E152" s="7805"/>
      <c r="F152" s="7770"/>
      <c r="G152" s="1579">
        <v>50000000</v>
      </c>
      <c r="H152" s="1579" t="s">
        <v>3463</v>
      </c>
      <c r="I152" s="21" t="s">
        <v>3441</v>
      </c>
      <c r="J152" s="7564"/>
      <c r="K152" s="7564"/>
      <c r="L152" s="7747"/>
    </row>
    <row r="153" spans="1:12" ht="30" customHeight="1" x14ac:dyDescent="0.2">
      <c r="A153" s="7655"/>
      <c r="B153" s="7653"/>
      <c r="C153" s="7724"/>
      <c r="D153" s="1579">
        <v>50000000</v>
      </c>
      <c r="E153" s="2961">
        <v>5.5E-2</v>
      </c>
      <c r="F153" s="1579">
        <f>D153*E153</f>
        <v>2750000</v>
      </c>
      <c r="G153" s="7732" t="s">
        <v>3475</v>
      </c>
      <c r="H153" s="7733"/>
      <c r="I153" s="7733"/>
      <c r="J153" s="7734"/>
      <c r="K153" s="1579"/>
      <c r="L153" s="7724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7654">
        <v>95</v>
      </c>
      <c r="B155" s="7652" t="s">
        <v>223</v>
      </c>
      <c r="C155" s="7723"/>
      <c r="D155" s="7563">
        <v>350000000</v>
      </c>
      <c r="E155" s="7659">
        <v>0.05</v>
      </c>
      <c r="F155" s="7563">
        <f>D155*E155</f>
        <v>17500000</v>
      </c>
      <c r="G155" s="1468">
        <v>12500000</v>
      </c>
      <c r="H155" s="1468" t="s">
        <v>3427</v>
      </c>
      <c r="I155" s="21" t="s">
        <v>3431</v>
      </c>
      <c r="J155" s="1714">
        <f>G155</f>
        <v>12500000</v>
      </c>
      <c r="K155" s="1714">
        <f>F155-J155</f>
        <v>5000000</v>
      </c>
      <c r="L155" s="7818" t="s">
        <v>1579</v>
      </c>
    </row>
    <row r="156" spans="1:12" ht="30" customHeight="1" x14ac:dyDescent="0.2">
      <c r="A156" s="7656"/>
      <c r="B156" s="7665"/>
      <c r="C156" s="7747"/>
      <c r="D156" s="7564"/>
      <c r="E156" s="7660"/>
      <c r="F156" s="7564"/>
      <c r="G156" s="7806" t="s">
        <v>3668</v>
      </c>
      <c r="H156" s="7807"/>
      <c r="I156" s="7807"/>
      <c r="J156" s="7808"/>
      <c r="K156" s="7"/>
      <c r="L156" s="7855"/>
    </row>
    <row r="157" spans="1:12" ht="30" customHeight="1" x14ac:dyDescent="0.2">
      <c r="A157" s="7655"/>
      <c r="B157" s="7653"/>
      <c r="C157" s="7724"/>
      <c r="D157" s="1711">
        <v>355000000</v>
      </c>
      <c r="E157" s="1709">
        <v>0.05</v>
      </c>
      <c r="F157" s="1711">
        <f>D157*E157</f>
        <v>17750000</v>
      </c>
      <c r="G157" s="1711"/>
      <c r="H157" s="1711"/>
      <c r="I157" s="21"/>
      <c r="J157" s="1714"/>
      <c r="K157" s="7"/>
      <c r="L157" s="7819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7654"/>
      <c r="B163" s="7652" t="s">
        <v>177</v>
      </c>
      <c r="C163" s="7723" t="s">
        <v>1080</v>
      </c>
      <c r="D163" s="1488">
        <v>13000000</v>
      </c>
      <c r="E163" s="1942">
        <v>0.06</v>
      </c>
      <c r="F163" s="1935">
        <f>D163*E163</f>
        <v>780000</v>
      </c>
      <c r="G163" s="7563">
        <v>6000000</v>
      </c>
      <c r="H163" s="7563" t="s">
        <v>3942</v>
      </c>
      <c r="I163" s="7563" t="s">
        <v>3345</v>
      </c>
      <c r="J163" s="7563">
        <f>G163</f>
        <v>6000000</v>
      </c>
      <c r="K163" s="7563">
        <f>(F163+F164+F165)-J163</f>
        <v>0</v>
      </c>
      <c r="L163" s="1510" t="s">
        <v>3303</v>
      </c>
    </row>
    <row r="164" spans="1:12" ht="30" customHeight="1" x14ac:dyDescent="0.2">
      <c r="A164" s="7655"/>
      <c r="B164" s="7665"/>
      <c r="C164" s="7747"/>
      <c r="D164" s="1931">
        <v>80000000</v>
      </c>
      <c r="E164" s="1942">
        <v>0.06</v>
      </c>
      <c r="F164" s="1935">
        <f>D164*E164</f>
        <v>4800000</v>
      </c>
      <c r="G164" s="7586"/>
      <c r="H164" s="7586"/>
      <c r="I164" s="7586"/>
      <c r="J164" s="7586"/>
      <c r="K164" s="7586"/>
      <c r="L164" s="1510" t="s">
        <v>3344</v>
      </c>
    </row>
    <row r="165" spans="1:12" ht="30" customHeight="1" x14ac:dyDescent="0.2">
      <c r="A165" s="1462"/>
      <c r="B165" s="7653"/>
      <c r="C165" s="7724"/>
      <c r="D165" s="1934">
        <v>7000000</v>
      </c>
      <c r="E165" s="1932">
        <v>0.06</v>
      </c>
      <c r="F165" s="1934">
        <f t="shared" si="12"/>
        <v>420000</v>
      </c>
      <c r="G165" s="7564"/>
      <c r="H165" s="7564"/>
      <c r="I165" s="7564"/>
      <c r="J165" s="7564"/>
      <c r="K165" s="7564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7654">
        <v>105</v>
      </c>
      <c r="B168" s="7864" t="s">
        <v>232</v>
      </c>
      <c r="C168" s="7723"/>
      <c r="D168" s="7677"/>
      <c r="E168" s="7691"/>
      <c r="F168" s="7677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7655"/>
      <c r="B169" s="7866"/>
      <c r="C169" s="7724"/>
      <c r="D169" s="7678"/>
      <c r="E169" s="7693"/>
      <c r="F169" s="7678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7654">
        <v>106</v>
      </c>
      <c r="B170" s="7652" t="s">
        <v>233</v>
      </c>
      <c r="C170" s="7723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7655"/>
      <c r="B171" s="7653"/>
      <c r="C171" s="7724"/>
      <c r="D171" s="1542">
        <v>180000000</v>
      </c>
      <c r="E171" s="1544">
        <v>0.05</v>
      </c>
      <c r="F171" s="1542">
        <f>D171*E171</f>
        <v>9000000</v>
      </c>
      <c r="G171" s="8075" t="s">
        <v>3689</v>
      </c>
      <c r="H171" s="8076"/>
      <c r="I171" s="8076"/>
      <c r="J171" s="8077"/>
      <c r="K171" s="1716"/>
      <c r="L171" s="1728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7654">
        <v>108</v>
      </c>
      <c r="B173" s="7652" t="s">
        <v>235</v>
      </c>
      <c r="C173" s="7723"/>
      <c r="D173" s="7563">
        <v>1430000000</v>
      </c>
      <c r="E173" s="7659">
        <v>5.5E-2</v>
      </c>
      <c r="F173" s="7563">
        <f t="shared" si="17"/>
        <v>78650000</v>
      </c>
      <c r="G173" s="1824">
        <v>50000000</v>
      </c>
      <c r="H173" s="1824" t="s">
        <v>3440</v>
      </c>
      <c r="I173" s="21" t="s">
        <v>1669</v>
      </c>
      <c r="J173" s="7563">
        <f>G173+G174+G175</f>
        <v>78650000</v>
      </c>
      <c r="K173" s="7563">
        <f>F173-J173</f>
        <v>0</v>
      </c>
      <c r="L173" s="7818"/>
    </row>
    <row r="174" spans="1:12" ht="30" customHeight="1" x14ac:dyDescent="0.2">
      <c r="A174" s="7656"/>
      <c r="B174" s="7665"/>
      <c r="C174" s="7747"/>
      <c r="D174" s="7586"/>
      <c r="E174" s="7676"/>
      <c r="F174" s="7586"/>
      <c r="G174" s="1824">
        <v>20000000</v>
      </c>
      <c r="H174" s="1824" t="s">
        <v>3485</v>
      </c>
      <c r="I174" s="21" t="s">
        <v>1669</v>
      </c>
      <c r="J174" s="7586"/>
      <c r="K174" s="7586"/>
      <c r="L174" s="7855"/>
    </row>
    <row r="175" spans="1:12" ht="30" customHeight="1" x14ac:dyDescent="0.2">
      <c r="A175" s="7655"/>
      <c r="B175" s="7653"/>
      <c r="C175" s="7724"/>
      <c r="D175" s="7564"/>
      <c r="E175" s="7660"/>
      <c r="F175" s="7564"/>
      <c r="G175" s="1824">
        <v>8650000</v>
      </c>
      <c r="H175" s="1824" t="s">
        <v>3531</v>
      </c>
      <c r="I175" s="21" t="s">
        <v>1669</v>
      </c>
      <c r="J175" s="7564"/>
      <c r="K175" s="7564"/>
      <c r="L175" s="7819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7654">
        <v>111</v>
      </c>
      <c r="B178" s="7652" t="s">
        <v>237</v>
      </c>
      <c r="C178" s="7723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7655"/>
      <c r="B179" s="7653"/>
      <c r="C179" s="7724"/>
      <c r="D179" s="1579">
        <v>30000000</v>
      </c>
      <c r="E179" s="1598">
        <v>0.05</v>
      </c>
      <c r="F179" s="1579">
        <f>D179*E179</f>
        <v>1500000</v>
      </c>
      <c r="G179" s="7732" t="s">
        <v>3450</v>
      </c>
      <c r="H179" s="7733"/>
      <c r="I179" s="7733"/>
      <c r="J179" s="7734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7861" t="s">
        <v>2773</v>
      </c>
      <c r="H181" s="7862"/>
      <c r="I181" s="7862"/>
      <c r="J181" s="7863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3942</v>
      </c>
      <c r="I184" s="84" t="s">
        <v>3945</v>
      </c>
      <c r="J184" s="1468">
        <f>G184</f>
        <v>20000000</v>
      </c>
      <c r="K184" s="1468">
        <f>F184-J184</f>
        <v>0</v>
      </c>
      <c r="L184" s="97" t="s">
        <v>3946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7654">
        <v>120</v>
      </c>
      <c r="B186" s="7652" t="s">
        <v>246</v>
      </c>
      <c r="C186" s="7723" t="s">
        <v>371</v>
      </c>
      <c r="D186" s="7563">
        <v>617000000</v>
      </c>
      <c r="E186" s="7659">
        <v>7.0000000000000007E-2</v>
      </c>
      <c r="F186" s="7563">
        <v>43200000</v>
      </c>
      <c r="G186" s="1488">
        <v>10200000</v>
      </c>
      <c r="H186" s="1488" t="s">
        <v>3583</v>
      </c>
      <c r="I186" s="1512" t="s">
        <v>2866</v>
      </c>
      <c r="J186" s="7563">
        <f>G186+G187</f>
        <v>43200000</v>
      </c>
      <c r="K186" s="7563">
        <f>F186-J186</f>
        <v>0</v>
      </c>
      <c r="L186" s="7703"/>
    </row>
    <row r="187" spans="1:12" ht="30" customHeight="1" x14ac:dyDescent="0.2">
      <c r="A187" s="7655"/>
      <c r="B187" s="7653"/>
      <c r="C187" s="7724"/>
      <c r="D187" s="7564"/>
      <c r="E187" s="7660"/>
      <c r="F187" s="7564"/>
      <c r="G187" s="1468">
        <v>33000000</v>
      </c>
      <c r="H187" s="1468" t="s">
        <v>3676</v>
      </c>
      <c r="I187" s="1512" t="s">
        <v>2866</v>
      </c>
      <c r="J187" s="7564"/>
      <c r="K187" s="7564"/>
      <c r="L187" s="7705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7654">
        <v>123</v>
      </c>
      <c r="B189" s="7703" t="s">
        <v>1650</v>
      </c>
      <c r="C189" s="7723" t="s">
        <v>1176</v>
      </c>
      <c r="D189" s="1468">
        <v>60000000</v>
      </c>
      <c r="E189" s="1515">
        <v>0.05</v>
      </c>
      <c r="F189" s="1468">
        <f t="shared" si="17"/>
        <v>3000000</v>
      </c>
      <c r="G189" s="7563">
        <v>4400000</v>
      </c>
      <c r="H189" s="7563" t="s">
        <v>3531</v>
      </c>
      <c r="I189" s="7561" t="s">
        <v>3533</v>
      </c>
      <c r="J189" s="7563">
        <f>G189</f>
        <v>4400000</v>
      </c>
      <c r="K189" s="7563">
        <f>(F189+F190)-J189</f>
        <v>0</v>
      </c>
      <c r="L189" s="7703"/>
    </row>
    <row r="190" spans="1:12" ht="30" customHeight="1" x14ac:dyDescent="0.2">
      <c r="A190" s="7656"/>
      <c r="B190" s="7704"/>
      <c r="C190" s="7724"/>
      <c r="D190" s="1468">
        <v>20000000</v>
      </c>
      <c r="E190" s="1515">
        <v>7.0000000000000007E-2</v>
      </c>
      <c r="F190" s="1468">
        <f t="shared" si="17"/>
        <v>1400000.0000000002</v>
      </c>
      <c r="G190" s="7564"/>
      <c r="H190" s="7564"/>
      <c r="I190" s="7562"/>
      <c r="J190" s="7564"/>
      <c r="K190" s="7564"/>
      <c r="L190" s="7705"/>
    </row>
    <row r="191" spans="1:12" ht="30" customHeight="1" x14ac:dyDescent="0.2">
      <c r="A191" s="7656"/>
      <c r="B191" s="7704"/>
      <c r="C191" s="1588"/>
      <c r="D191" s="1579">
        <v>52000000</v>
      </c>
      <c r="E191" s="1598"/>
      <c r="F191" s="1579"/>
      <c r="G191" s="7732" t="s">
        <v>3457</v>
      </c>
      <c r="H191" s="7733"/>
      <c r="I191" s="7733"/>
      <c r="J191" s="7734"/>
      <c r="K191" s="1579"/>
      <c r="L191" s="1585"/>
    </row>
    <row r="192" spans="1:12" ht="30" customHeight="1" x14ac:dyDescent="0.2">
      <c r="A192" s="7656"/>
      <c r="B192" s="7704"/>
      <c r="C192" s="7962" t="s">
        <v>3749</v>
      </c>
      <c r="D192" s="7963"/>
      <c r="E192" s="7963"/>
      <c r="F192" s="7964"/>
      <c r="G192" s="7552"/>
      <c r="H192" s="7843"/>
      <c r="I192" s="7843"/>
      <c r="J192" s="7844"/>
      <c r="K192" s="1803"/>
      <c r="L192" s="1801"/>
    </row>
    <row r="193" spans="1:12" ht="30" customHeight="1" x14ac:dyDescent="0.2">
      <c r="A193" s="7656"/>
      <c r="B193" s="7704"/>
      <c r="C193" s="7965"/>
      <c r="D193" s="7966"/>
      <c r="E193" s="7966"/>
      <c r="F193" s="7967"/>
      <c r="G193" s="8000" t="s">
        <v>3745</v>
      </c>
      <c r="H193" s="8000"/>
      <c r="I193" s="8000"/>
      <c r="J193" s="8000"/>
      <c r="K193" s="1604"/>
      <c r="L193" s="1801"/>
    </row>
    <row r="194" spans="1:12" ht="30" customHeight="1" x14ac:dyDescent="0.2">
      <c r="A194" s="7656"/>
      <c r="B194" s="7704"/>
      <c r="C194" s="7965"/>
      <c r="D194" s="7966"/>
      <c r="E194" s="7966"/>
      <c r="F194" s="7967"/>
      <c r="G194" s="7732" t="s">
        <v>3746</v>
      </c>
      <c r="H194" s="7733"/>
      <c r="I194" s="7733"/>
      <c r="J194" s="7733"/>
      <c r="K194" s="1797"/>
      <c r="L194" s="1801"/>
    </row>
    <row r="195" spans="1:12" ht="30" customHeight="1" x14ac:dyDescent="0.2">
      <c r="A195" s="7656"/>
      <c r="B195" s="7704"/>
      <c r="C195" s="7965"/>
      <c r="D195" s="7966"/>
      <c r="E195" s="7966"/>
      <c r="F195" s="7967"/>
      <c r="G195" s="7732" t="s">
        <v>3747</v>
      </c>
      <c r="H195" s="7733"/>
      <c r="I195" s="7733"/>
      <c r="J195" s="7733"/>
      <c r="K195" s="1797"/>
      <c r="L195" s="1801"/>
    </row>
    <row r="196" spans="1:12" ht="30" customHeight="1" x14ac:dyDescent="0.2">
      <c r="A196" s="7655"/>
      <c r="B196" s="7705"/>
      <c r="C196" s="7968"/>
      <c r="D196" s="7969"/>
      <c r="E196" s="7969"/>
      <c r="F196" s="7970"/>
      <c r="G196" s="7732" t="s">
        <v>3748</v>
      </c>
      <c r="H196" s="7733"/>
      <c r="I196" s="7733"/>
      <c r="J196" s="7733"/>
      <c r="K196" s="1797"/>
      <c r="L196" s="1801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7654">
        <v>127</v>
      </c>
      <c r="B200" s="7652" t="s">
        <v>253</v>
      </c>
      <c r="C200" s="7723"/>
      <c r="D200" s="7563">
        <v>800000000</v>
      </c>
      <c r="E200" s="7659">
        <v>0.05</v>
      </c>
      <c r="F200" s="7563">
        <f t="shared" si="17"/>
        <v>40000000</v>
      </c>
      <c r="G200" s="7563">
        <v>40000000</v>
      </c>
      <c r="H200" s="7563" t="s">
        <v>3499</v>
      </c>
      <c r="I200" s="7561" t="s">
        <v>3505</v>
      </c>
      <c r="J200" s="7563">
        <f>G200+G201</f>
        <v>40000000</v>
      </c>
      <c r="K200" s="7563">
        <f>F200-J200</f>
        <v>0</v>
      </c>
      <c r="L200" s="7703"/>
    </row>
    <row r="201" spans="1:12" ht="30" customHeight="1" x14ac:dyDescent="0.2">
      <c r="A201" s="7655"/>
      <c r="B201" s="7653"/>
      <c r="C201" s="7724"/>
      <c r="D201" s="7564"/>
      <c r="E201" s="7660"/>
      <c r="F201" s="7564"/>
      <c r="G201" s="7564"/>
      <c r="H201" s="7564"/>
      <c r="I201" s="7562"/>
      <c r="J201" s="7564"/>
      <c r="K201" s="7564"/>
      <c r="L201" s="7705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7">
        <v>10000000</v>
      </c>
      <c r="H204" s="1977" t="s">
        <v>3676</v>
      </c>
      <c r="I204" s="1977" t="s">
        <v>1693</v>
      </c>
      <c r="J204" s="1977">
        <f t="shared" si="18"/>
        <v>10000000</v>
      </c>
      <c r="K204" s="1977">
        <f>F204-J204</f>
        <v>-2500000</v>
      </c>
      <c r="L204" s="97" t="s">
        <v>4067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7654"/>
      <c r="B206" s="7652" t="s">
        <v>1218</v>
      </c>
      <c r="C206" s="7723" t="s">
        <v>1652</v>
      </c>
      <c r="D206" s="7563">
        <v>490000000</v>
      </c>
      <c r="E206" s="7659">
        <v>0.05</v>
      </c>
      <c r="F206" s="7563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7655"/>
      <c r="B207" s="7653"/>
      <c r="C207" s="7724"/>
      <c r="D207" s="7564"/>
      <c r="E207" s="7660"/>
      <c r="F207" s="7564"/>
      <c r="G207" s="1751">
        <v>10000000</v>
      </c>
      <c r="H207" s="1751" t="s">
        <v>3712</v>
      </c>
      <c r="I207" s="1754" t="s">
        <v>1220</v>
      </c>
      <c r="J207" s="1751">
        <f t="shared" si="18"/>
        <v>10000000</v>
      </c>
      <c r="K207" s="1751"/>
      <c r="L207" s="1752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7654">
        <v>135</v>
      </c>
      <c r="B210" s="7652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7563">
        <f>G210+G211</f>
        <v>11000000</v>
      </c>
      <c r="K210" s="7563">
        <f>(F210+F211)-J210</f>
        <v>0</v>
      </c>
      <c r="L210" s="7703"/>
    </row>
    <row r="211" spans="1:12" ht="30" customHeight="1" x14ac:dyDescent="0.2">
      <c r="A211" s="7655"/>
      <c r="B211" s="7653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7564"/>
      <c r="K211" s="7564"/>
      <c r="L211" s="7705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7654">
        <v>137</v>
      </c>
      <c r="B213" s="7652" t="s">
        <v>179</v>
      </c>
      <c r="C213" s="7723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7656"/>
      <c r="B214" s="7665"/>
      <c r="C214" s="7747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7656"/>
      <c r="B215" s="7665"/>
      <c r="C215" s="7747"/>
      <c r="D215" s="7877" t="s">
        <v>3498</v>
      </c>
      <c r="E215" s="7524"/>
      <c r="F215" s="7878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7655"/>
      <c r="B216" s="7653"/>
      <c r="C216" s="7724"/>
      <c r="D216" s="1589">
        <v>110000000</v>
      </c>
      <c r="E216" s="1598">
        <v>4.9000000000000002E-2</v>
      </c>
      <c r="F216" s="1589">
        <f>D216*E216</f>
        <v>5390000</v>
      </c>
      <c r="G216" s="8000" t="s">
        <v>3445</v>
      </c>
      <c r="H216" s="8000"/>
      <c r="I216" s="8000"/>
      <c r="J216" s="8000"/>
      <c r="K216" s="1647"/>
      <c r="L216" s="1581"/>
    </row>
    <row r="217" spans="1:12" ht="30" customHeight="1" x14ac:dyDescent="0.2">
      <c r="A217" s="7654">
        <v>138</v>
      </c>
      <c r="B217" s="7652" t="s">
        <v>259</v>
      </c>
      <c r="C217" s="7723" t="s">
        <v>1172</v>
      </c>
      <c r="D217" s="7563">
        <v>1000000000</v>
      </c>
      <c r="E217" s="7691">
        <v>0.06</v>
      </c>
      <c r="F217" s="7677">
        <f t="shared" si="19"/>
        <v>60000000</v>
      </c>
      <c r="G217" s="1579">
        <v>30000000</v>
      </c>
      <c r="H217" s="7563" t="s">
        <v>3440</v>
      </c>
      <c r="I217" s="7561" t="s">
        <v>529</v>
      </c>
      <c r="J217" s="7563">
        <f>G217+G218</f>
        <v>50000000</v>
      </c>
      <c r="K217" s="7563">
        <f>F217-J217</f>
        <v>10000000</v>
      </c>
      <c r="L217" s="7703"/>
    </row>
    <row r="218" spans="1:12" ht="30" customHeight="1" x14ac:dyDescent="0.2">
      <c r="A218" s="7656"/>
      <c r="B218" s="7665"/>
      <c r="C218" s="7747"/>
      <c r="D218" s="7586"/>
      <c r="E218" s="7692"/>
      <c r="F218" s="7690"/>
      <c r="G218" s="1589">
        <v>20000000</v>
      </c>
      <c r="H218" s="7564"/>
      <c r="I218" s="7562"/>
      <c r="J218" s="7564"/>
      <c r="K218" s="7564"/>
      <c r="L218" s="7704"/>
    </row>
    <row r="219" spans="1:12" ht="30" customHeight="1" x14ac:dyDescent="0.2">
      <c r="A219" s="7656"/>
      <c r="B219" s="7665"/>
      <c r="C219" s="7747"/>
      <c r="D219" s="7586"/>
      <c r="E219" s="7692"/>
      <c r="F219" s="7690"/>
      <c r="G219" s="233"/>
      <c r="H219" s="233"/>
      <c r="I219" s="233"/>
      <c r="J219" s="1468"/>
      <c r="K219" s="1468"/>
      <c r="L219" s="2905" t="s">
        <v>3442</v>
      </c>
    </row>
    <row r="220" spans="1:12" ht="30" customHeight="1" x14ac:dyDescent="0.2">
      <c r="A220" s="7656"/>
      <c r="B220" s="7665"/>
      <c r="C220" s="7747"/>
      <c r="D220" s="7586"/>
      <c r="E220" s="7692"/>
      <c r="F220" s="7690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7656"/>
      <c r="B221" s="7665"/>
      <c r="C221" s="7747"/>
      <c r="D221" s="7586"/>
      <c r="E221" s="7692"/>
      <c r="F221" s="7690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7655"/>
      <c r="B222" s="7653"/>
      <c r="C222" s="7724"/>
      <c r="D222" s="7564"/>
      <c r="E222" s="7693"/>
      <c r="F222" s="7678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7654">
        <v>142</v>
      </c>
      <c r="B227" s="7703" t="s">
        <v>8</v>
      </c>
      <c r="C227" s="7723"/>
      <c r="D227" s="7563">
        <v>2000000000</v>
      </c>
      <c r="E227" s="7659">
        <v>0.08</v>
      </c>
      <c r="F227" s="7563">
        <f>D227*E227</f>
        <v>160000000</v>
      </c>
      <c r="G227" s="233"/>
      <c r="H227" s="233"/>
      <c r="I227" s="233"/>
      <c r="J227" s="7563">
        <f>SUM(G228:G233)</f>
        <v>102000000</v>
      </c>
      <c r="K227" s="7563">
        <f>160000000-J227</f>
        <v>58000000</v>
      </c>
      <c r="L227" s="7713" t="s">
        <v>3378</v>
      </c>
    </row>
    <row r="228" spans="1:12" ht="30" customHeight="1" x14ac:dyDescent="0.2">
      <c r="A228" s="7656"/>
      <c r="B228" s="7704"/>
      <c r="C228" s="7747"/>
      <c r="D228" s="7586"/>
      <c r="E228" s="7676"/>
      <c r="F228" s="7586"/>
      <c r="G228" s="2553">
        <v>30000000</v>
      </c>
      <c r="H228" s="1468" t="s">
        <v>3558</v>
      </c>
      <c r="I228" s="1512" t="s">
        <v>1937</v>
      </c>
      <c r="J228" s="7586"/>
      <c r="K228" s="7586"/>
      <c r="L228" s="7797"/>
    </row>
    <row r="229" spans="1:12" ht="30" customHeight="1" x14ac:dyDescent="0.2">
      <c r="A229" s="7656"/>
      <c r="B229" s="7704"/>
      <c r="C229" s="7747"/>
      <c r="D229" s="7586"/>
      <c r="E229" s="7676"/>
      <c r="F229" s="7586"/>
      <c r="G229" s="2554">
        <v>23000000</v>
      </c>
      <c r="H229" s="1722" t="s">
        <v>3676</v>
      </c>
      <c r="I229" s="1722" t="s">
        <v>1937</v>
      </c>
      <c r="J229" s="7586"/>
      <c r="K229" s="7586"/>
      <c r="L229" s="7797"/>
    </row>
    <row r="230" spans="1:12" ht="30" customHeight="1" x14ac:dyDescent="0.2">
      <c r="A230" s="7656"/>
      <c r="B230" s="7704"/>
      <c r="C230" s="7747"/>
      <c r="D230" s="7586"/>
      <c r="E230" s="7676"/>
      <c r="F230" s="7586"/>
      <c r="G230" s="2554">
        <v>10000000</v>
      </c>
      <c r="H230" s="1716" t="s">
        <v>3676</v>
      </c>
      <c r="I230" s="1722" t="s">
        <v>1937</v>
      </c>
      <c r="J230" s="7586"/>
      <c r="K230" s="7586"/>
      <c r="L230" s="7797"/>
    </row>
    <row r="231" spans="1:12" ht="30" customHeight="1" x14ac:dyDescent="0.2">
      <c r="A231" s="7656"/>
      <c r="B231" s="7704"/>
      <c r="C231" s="7747"/>
      <c r="D231" s="7586"/>
      <c r="E231" s="7676"/>
      <c r="F231" s="7586"/>
      <c r="G231" s="1468">
        <v>17000000</v>
      </c>
      <c r="H231" s="1468" t="s">
        <v>3676</v>
      </c>
      <c r="I231" s="1512" t="s">
        <v>537</v>
      </c>
      <c r="J231" s="7586"/>
      <c r="K231" s="7586"/>
      <c r="L231" s="7797"/>
    </row>
    <row r="232" spans="1:12" ht="30" customHeight="1" x14ac:dyDescent="0.2">
      <c r="A232" s="7656"/>
      <c r="B232" s="7704"/>
      <c r="C232" s="7747"/>
      <c r="D232" s="7586"/>
      <c r="E232" s="7676"/>
      <c r="F232" s="7586"/>
      <c r="G232" s="1468">
        <v>10000000</v>
      </c>
      <c r="H232" s="1468" t="s">
        <v>3731</v>
      </c>
      <c r="I232" s="1512" t="s">
        <v>3733</v>
      </c>
      <c r="J232" s="7586"/>
      <c r="K232" s="7586"/>
      <c r="L232" s="7797"/>
    </row>
    <row r="233" spans="1:12" ht="30" customHeight="1" x14ac:dyDescent="0.2">
      <c r="A233" s="7656"/>
      <c r="B233" s="7704"/>
      <c r="C233" s="7747"/>
      <c r="D233" s="7586"/>
      <c r="E233" s="7676"/>
      <c r="F233" s="7586"/>
      <c r="G233" s="2554">
        <v>12000000</v>
      </c>
      <c r="H233" s="1468" t="s">
        <v>3731</v>
      </c>
      <c r="I233" s="384" t="s">
        <v>1937</v>
      </c>
      <c r="J233" s="7586"/>
      <c r="K233" s="7586"/>
      <c r="L233" s="7797"/>
    </row>
    <row r="234" spans="1:12" ht="30" customHeight="1" x14ac:dyDescent="0.2">
      <c r="A234" s="7656"/>
      <c r="B234" s="7704"/>
      <c r="C234" s="7747"/>
      <c r="D234" s="7586"/>
      <c r="E234" s="7676"/>
      <c r="F234" s="7586"/>
      <c r="G234" s="1468"/>
      <c r="H234" s="1468"/>
      <c r="I234" s="1512"/>
      <c r="J234" s="7586"/>
      <c r="K234" s="7586"/>
      <c r="L234" s="7797"/>
    </row>
    <row r="235" spans="1:12" ht="30" customHeight="1" x14ac:dyDescent="0.2">
      <c r="A235" s="7656"/>
      <c r="B235" s="7704"/>
      <c r="C235" s="7747"/>
      <c r="D235" s="7586"/>
      <c r="E235" s="7676"/>
      <c r="F235" s="7586"/>
      <c r="G235" s="1468"/>
      <c r="H235" s="1468"/>
      <c r="I235" s="1512"/>
      <c r="J235" s="7586"/>
      <c r="K235" s="7586"/>
      <c r="L235" s="7797"/>
    </row>
    <row r="236" spans="1:12" ht="30" customHeight="1" x14ac:dyDescent="0.2">
      <c r="A236" s="7655"/>
      <c r="B236" s="7705"/>
      <c r="C236" s="7724"/>
      <c r="D236" s="7564"/>
      <c r="E236" s="7660"/>
      <c r="F236" s="7564"/>
      <c r="G236" s="1468"/>
      <c r="H236" s="1468"/>
      <c r="I236" s="1512"/>
      <c r="J236" s="7564"/>
      <c r="K236" s="7564"/>
      <c r="L236" s="7714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7652" t="s">
        <v>12</v>
      </c>
      <c r="C241" s="7723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6">
        <v>1960000</v>
      </c>
      <c r="H241" s="1886" t="s">
        <v>3417</v>
      </c>
      <c r="I241" s="26" t="s">
        <v>3419</v>
      </c>
      <c r="J241" s="1886">
        <f>G241</f>
        <v>1960000</v>
      </c>
      <c r="K241" s="1885">
        <f>F241-J241</f>
        <v>-760000</v>
      </c>
      <c r="L241" s="8069"/>
    </row>
    <row r="242" spans="1:16" ht="30" customHeight="1" x14ac:dyDescent="0.2">
      <c r="A242" s="1881"/>
      <c r="B242" s="7665"/>
      <c r="C242" s="7747"/>
      <c r="D242" s="1884">
        <v>10000000</v>
      </c>
      <c r="E242" s="1887">
        <v>0.04</v>
      </c>
      <c r="F242" s="1884">
        <f t="shared" si="19"/>
        <v>400000</v>
      </c>
      <c r="G242" s="7494" t="s">
        <v>3874</v>
      </c>
      <c r="H242" s="7495"/>
      <c r="I242" s="7495"/>
      <c r="J242" s="7768"/>
      <c r="K242" s="178"/>
      <c r="L242" s="8070"/>
    </row>
    <row r="243" spans="1:16" ht="30" customHeight="1" x14ac:dyDescent="0.2">
      <c r="A243" s="1881"/>
      <c r="B243" s="7665"/>
      <c r="C243" s="7747"/>
      <c r="D243" s="1884">
        <v>10000000</v>
      </c>
      <c r="E243" s="1887">
        <v>0.04</v>
      </c>
      <c r="F243" s="1884">
        <f t="shared" si="19"/>
        <v>400000</v>
      </c>
      <c r="G243" s="7494" t="s">
        <v>3875</v>
      </c>
      <c r="H243" s="7495"/>
      <c r="I243" s="7495"/>
      <c r="J243" s="7768"/>
      <c r="K243" s="178"/>
      <c r="L243" s="8070"/>
    </row>
    <row r="244" spans="1:16" ht="30" customHeight="1" x14ac:dyDescent="0.2">
      <c r="A244" s="1555"/>
      <c r="B244" s="7653"/>
      <c r="C244" s="7724"/>
      <c r="D244" s="1884">
        <v>10000000</v>
      </c>
      <c r="E244" s="1887">
        <v>0.04</v>
      </c>
      <c r="F244" s="1884">
        <f t="shared" si="19"/>
        <v>400000</v>
      </c>
      <c r="G244" s="7494" t="s">
        <v>3875</v>
      </c>
      <c r="H244" s="7495"/>
      <c r="I244" s="7495"/>
      <c r="J244" s="7768"/>
      <c r="K244" s="7"/>
      <c r="L244" s="8071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7656"/>
      <c r="B255" s="7652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7563">
        <v>9200000</v>
      </c>
      <c r="H255" s="7563" t="s">
        <v>3731</v>
      </c>
      <c r="I255" s="7563" t="s">
        <v>3129</v>
      </c>
      <c r="J255" s="7563">
        <f>G255</f>
        <v>9200000</v>
      </c>
      <c r="K255" s="7563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7655"/>
      <c r="B256" s="7653"/>
      <c r="C256" s="1487" t="s">
        <v>1306</v>
      </c>
      <c r="D256" s="1468">
        <v>22000000</v>
      </c>
      <c r="E256" s="1515">
        <v>5.5E-2</v>
      </c>
      <c r="F256" s="1468">
        <v>1200000</v>
      </c>
      <c r="G256" s="7564"/>
      <c r="H256" s="7564"/>
      <c r="I256" s="7564"/>
      <c r="J256" s="7564"/>
      <c r="K256" s="7564"/>
      <c r="L256" s="1809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7652" t="s">
        <v>24</v>
      </c>
      <c r="C259" s="7723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8"/>
      <c r="B260" s="7653"/>
      <c r="C260" s="7724"/>
      <c r="D260" s="1797">
        <v>17500000</v>
      </c>
      <c r="E260" s="1806">
        <v>4.4999999999999998E-2</v>
      </c>
      <c r="F260" s="1797">
        <f t="shared" si="19"/>
        <v>787500</v>
      </c>
      <c r="G260" s="7470" t="s">
        <v>3777</v>
      </c>
      <c r="H260" s="7493"/>
      <c r="I260" s="7493"/>
      <c r="J260" s="7493"/>
      <c r="K260" s="7510"/>
      <c r="L260" s="1809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7732"/>
      <c r="M268" s="7733"/>
      <c r="N268" s="7733"/>
      <c r="O268" s="7733"/>
      <c r="P268" s="7734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7654">
        <v>172</v>
      </c>
      <c r="B271" s="7652" t="s">
        <v>32</v>
      </c>
      <c r="C271" s="7873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7655"/>
      <c r="B272" s="7653"/>
      <c r="C272" s="7873"/>
      <c r="D272" s="1477"/>
      <c r="E272" s="40"/>
      <c r="F272" s="1477"/>
      <c r="G272" s="7858" t="s">
        <v>3258</v>
      </c>
      <c r="H272" s="7859"/>
      <c r="I272" s="7859"/>
      <c r="J272" s="7860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7879"/>
      <c r="B274" s="7717" t="s">
        <v>34</v>
      </c>
      <c r="C274" s="7873" t="s">
        <v>1287</v>
      </c>
      <c r="D274" s="7482">
        <v>5000000000</v>
      </c>
      <c r="E274" s="7870">
        <v>0.08</v>
      </c>
      <c r="F274" s="7482">
        <f>D274*E274</f>
        <v>400000000</v>
      </c>
      <c r="G274" s="1468"/>
      <c r="H274" s="1468"/>
      <c r="I274" s="21"/>
      <c r="J274" s="7563"/>
      <c r="K274" s="7563"/>
      <c r="L274" s="1459" t="s">
        <v>2888</v>
      </c>
    </row>
    <row r="275" spans="1:12" ht="30" customHeight="1" x14ac:dyDescent="0.2">
      <c r="A275" s="7879"/>
      <c r="B275" s="7717"/>
      <c r="C275" s="7873"/>
      <c r="D275" s="7482"/>
      <c r="E275" s="7870"/>
      <c r="F275" s="7482"/>
      <c r="G275" s="233"/>
      <c r="H275" s="233"/>
      <c r="I275" s="233"/>
      <c r="J275" s="7586"/>
      <c r="K275" s="7586"/>
      <c r="L275" s="1460" t="s">
        <v>2324</v>
      </c>
    </row>
    <row r="276" spans="1:12" ht="30" customHeight="1" x14ac:dyDescent="0.2">
      <c r="A276" s="7879"/>
      <c r="B276" s="7717"/>
      <c r="C276" s="7873"/>
      <c r="D276" s="7482"/>
      <c r="E276" s="7870"/>
      <c r="F276" s="7482"/>
      <c r="G276" s="233"/>
      <c r="H276" s="233"/>
      <c r="I276" s="233"/>
      <c r="J276" s="7586"/>
      <c r="K276" s="7586"/>
      <c r="L276" s="1460" t="s">
        <v>2886</v>
      </c>
    </row>
    <row r="277" spans="1:12" ht="30" customHeight="1" x14ac:dyDescent="0.2">
      <c r="A277" s="7879"/>
      <c r="B277" s="7717"/>
      <c r="C277" s="7873"/>
      <c r="D277" s="7482"/>
      <c r="E277" s="7870"/>
      <c r="F277" s="7482"/>
      <c r="G277" s="233"/>
      <c r="H277" s="233"/>
      <c r="I277" s="233"/>
      <c r="J277" s="7586"/>
      <c r="K277" s="7586"/>
      <c r="L277" s="7652" t="s">
        <v>2887</v>
      </c>
    </row>
    <row r="278" spans="1:12" ht="30" customHeight="1" x14ac:dyDescent="0.2">
      <c r="A278" s="7879"/>
      <c r="B278" s="7717"/>
      <c r="C278" s="7873"/>
      <c r="D278" s="7482"/>
      <c r="E278" s="7870"/>
      <c r="F278" s="7482"/>
      <c r="G278" s="233"/>
      <c r="H278" s="233"/>
      <c r="I278" s="233"/>
      <c r="J278" s="7564"/>
      <c r="K278" s="7564"/>
      <c r="L278" s="7653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8">
        <v>180</v>
      </c>
      <c r="B284" s="19" t="s">
        <v>41</v>
      </c>
      <c r="C284" s="48" t="s">
        <v>2403</v>
      </c>
      <c r="D284" s="1773">
        <v>300000000</v>
      </c>
      <c r="E284" s="1774">
        <v>5.7000000000000002E-2</v>
      </c>
      <c r="F284" s="1773">
        <v>17000000</v>
      </c>
      <c r="G284" s="1773">
        <v>17000000</v>
      </c>
      <c r="H284" s="1773" t="s">
        <v>2599</v>
      </c>
      <c r="I284" s="1779" t="s">
        <v>2260</v>
      </c>
      <c r="J284" s="1773">
        <f t="shared" si="24"/>
        <v>17000000</v>
      </c>
      <c r="K284" s="1773">
        <f t="shared" si="25"/>
        <v>0</v>
      </c>
      <c r="L284" s="1782"/>
    </row>
    <row r="285" spans="1:12" ht="30" customHeight="1" x14ac:dyDescent="0.2">
      <c r="A285" s="1518">
        <v>181</v>
      </c>
      <c r="B285" s="1767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7"/>
    </row>
    <row r="286" spans="1:12" ht="30" customHeight="1" x14ac:dyDescent="0.2">
      <c r="A286" s="7656"/>
      <c r="B286" s="7652" t="s">
        <v>43</v>
      </c>
      <c r="C286" s="7723" t="s">
        <v>989</v>
      </c>
      <c r="D286" s="7563">
        <v>125000000</v>
      </c>
      <c r="E286" s="7659">
        <v>0.05</v>
      </c>
      <c r="F286" s="7563">
        <f>D286*E286</f>
        <v>6250000</v>
      </c>
      <c r="G286" s="7563">
        <v>6250000</v>
      </c>
      <c r="H286" s="7563" t="s">
        <v>2599</v>
      </c>
      <c r="I286" s="7563" t="s">
        <v>3716</v>
      </c>
      <c r="J286" s="7563">
        <f t="shared" si="24"/>
        <v>6250000</v>
      </c>
      <c r="K286" s="7563">
        <f>F286-J286</f>
        <v>0</v>
      </c>
      <c r="L286" s="388" t="s">
        <v>2765</v>
      </c>
    </row>
    <row r="287" spans="1:12" ht="30" customHeight="1" x14ac:dyDescent="0.2">
      <c r="A287" s="7655"/>
      <c r="B287" s="7653"/>
      <c r="C287" s="7724"/>
      <c r="D287" s="7564"/>
      <c r="E287" s="7660"/>
      <c r="F287" s="7564"/>
      <c r="G287" s="7564"/>
      <c r="H287" s="7564"/>
      <c r="I287" s="7564"/>
      <c r="J287" s="7564"/>
      <c r="K287" s="7564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3942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7654">
        <v>190</v>
      </c>
      <c r="B295" s="7652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7563">
        <v>14000000</v>
      </c>
      <c r="H295" s="7563" t="s">
        <v>3893</v>
      </c>
      <c r="I295" s="7561" t="s">
        <v>2967</v>
      </c>
      <c r="J295" s="7563">
        <f t="shared" si="26"/>
        <v>14000000</v>
      </c>
      <c r="K295" s="7563">
        <f>(F295+F296)-J295</f>
        <v>0</v>
      </c>
      <c r="L295" s="7703"/>
    </row>
    <row r="296" spans="1:12" ht="30" customHeight="1" x14ac:dyDescent="0.2">
      <c r="A296" s="7656"/>
      <c r="B296" s="7665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7564"/>
      <c r="H296" s="7564"/>
      <c r="I296" s="7562"/>
      <c r="J296" s="7564"/>
      <c r="K296" s="7564"/>
      <c r="L296" s="7705"/>
    </row>
    <row r="297" spans="1:12" ht="30" customHeight="1" x14ac:dyDescent="0.2">
      <c r="A297" s="7655"/>
      <c r="B297" s="7653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7654">
        <v>192</v>
      </c>
      <c r="B299" s="7652" t="s">
        <v>53</v>
      </c>
      <c r="C299" s="7723" t="s">
        <v>1287</v>
      </c>
      <c r="D299" s="7563">
        <v>1400000000</v>
      </c>
      <c r="E299" s="7659">
        <v>7.0000000000000007E-2</v>
      </c>
      <c r="F299" s="7563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7563">
        <f>G300+G299</f>
        <v>38000000</v>
      </c>
      <c r="K299" s="7563">
        <f>38000000-J299</f>
        <v>0</v>
      </c>
      <c r="L299" s="180" t="s">
        <v>3337</v>
      </c>
    </row>
    <row r="300" spans="1:12" ht="30" customHeight="1" x14ac:dyDescent="0.2">
      <c r="A300" s="7656"/>
      <c r="B300" s="7665"/>
      <c r="C300" s="7747"/>
      <c r="D300" s="7586"/>
      <c r="E300" s="7676"/>
      <c r="F300" s="7586"/>
      <c r="G300" s="1647">
        <v>28000000</v>
      </c>
      <c r="H300" s="1647" t="s">
        <v>3583</v>
      </c>
      <c r="I300" s="1647" t="s">
        <v>861</v>
      </c>
      <c r="J300" s="7564"/>
      <c r="K300" s="7564"/>
      <c r="L300" s="180" t="s">
        <v>1992</v>
      </c>
    </row>
    <row r="301" spans="1:12" ht="30" customHeight="1" x14ac:dyDescent="0.2">
      <c r="A301" s="7656"/>
      <c r="B301" s="7665"/>
      <c r="C301" s="7747"/>
      <c r="D301" s="7586"/>
      <c r="E301" s="7676"/>
      <c r="F301" s="7586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7656"/>
      <c r="B302" s="7665"/>
      <c r="C302" s="7747"/>
      <c r="D302" s="7586"/>
      <c r="E302" s="7676"/>
      <c r="F302" s="7586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7656"/>
      <c r="B303" s="7665"/>
      <c r="C303" s="7747"/>
      <c r="D303" s="7586"/>
      <c r="E303" s="7676"/>
      <c r="F303" s="7586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7655"/>
      <c r="B304" s="7653"/>
      <c r="C304" s="7724"/>
      <c r="D304" s="7564"/>
      <c r="E304" s="7660"/>
      <c r="F304" s="7564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7654">
        <v>196</v>
      </c>
      <c r="B308" s="7652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4">
        <v>800000</v>
      </c>
      <c r="H308" s="7563" t="s">
        <v>1189</v>
      </c>
      <c r="I308" s="7561" t="s">
        <v>3761</v>
      </c>
      <c r="J308" s="1468">
        <f t="shared" si="29"/>
        <v>800000</v>
      </c>
      <c r="K308" s="1468">
        <f t="shared" si="30"/>
        <v>0</v>
      </c>
      <c r="L308" s="8072" t="s">
        <v>3763</v>
      </c>
    </row>
    <row r="309" spans="1:16" ht="30" customHeight="1" x14ac:dyDescent="0.2">
      <c r="A309" s="7656"/>
      <c r="B309" s="7665"/>
      <c r="C309" s="1487" t="s">
        <v>2001</v>
      </c>
      <c r="D309" s="1797">
        <v>30000000</v>
      </c>
      <c r="E309" s="1806">
        <v>0.05</v>
      </c>
      <c r="F309" s="1797">
        <f t="shared" si="28"/>
        <v>1500000</v>
      </c>
      <c r="G309" s="1804">
        <v>1500000</v>
      </c>
      <c r="H309" s="7586"/>
      <c r="I309" s="7672"/>
      <c r="J309" s="1468">
        <f t="shared" si="29"/>
        <v>1500000</v>
      </c>
      <c r="K309" s="1468">
        <f t="shared" si="30"/>
        <v>0</v>
      </c>
      <c r="L309" s="8072"/>
    </row>
    <row r="310" spans="1:16" ht="30" customHeight="1" x14ac:dyDescent="0.2">
      <c r="A310" s="7655"/>
      <c r="B310" s="7653"/>
      <c r="C310" s="1799"/>
      <c r="D310" s="7470" t="s">
        <v>3762</v>
      </c>
      <c r="E310" s="7493"/>
      <c r="F310" s="7510"/>
      <c r="G310" s="1797">
        <v>500000</v>
      </c>
      <c r="H310" s="7564"/>
      <c r="I310" s="7562"/>
      <c r="J310" s="1797">
        <f t="shared" si="29"/>
        <v>500000</v>
      </c>
      <c r="K310" s="1797">
        <v>0</v>
      </c>
      <c r="L310" s="8072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7654">
        <v>207</v>
      </c>
      <c r="B321" s="7717" t="s">
        <v>2676</v>
      </c>
      <c r="C321" s="7873" t="s">
        <v>681</v>
      </c>
      <c r="D321" s="1468">
        <v>45000000</v>
      </c>
      <c r="E321" s="1515">
        <v>0.04</v>
      </c>
      <c r="F321" s="1468">
        <f t="shared" si="28"/>
        <v>1800000</v>
      </c>
      <c r="G321" s="7563">
        <v>3800000</v>
      </c>
      <c r="H321" s="7563" t="s">
        <v>3731</v>
      </c>
      <c r="I321" s="7561" t="s">
        <v>3739</v>
      </c>
      <c r="J321" s="7563">
        <f t="shared" si="29"/>
        <v>3800000</v>
      </c>
      <c r="K321" s="7563">
        <f>(F321+F322)-J321</f>
        <v>0</v>
      </c>
      <c r="L321" s="7713"/>
    </row>
    <row r="322" spans="1:12" ht="30" customHeight="1" x14ac:dyDescent="0.2">
      <c r="A322" s="7656"/>
      <c r="B322" s="7717"/>
      <c r="C322" s="7873"/>
      <c r="D322" s="1468">
        <v>50000000</v>
      </c>
      <c r="E322" s="1515">
        <v>0.04</v>
      </c>
      <c r="F322" s="1468">
        <f t="shared" si="28"/>
        <v>2000000</v>
      </c>
      <c r="G322" s="7564"/>
      <c r="H322" s="7564"/>
      <c r="I322" s="7562"/>
      <c r="J322" s="7564"/>
      <c r="K322" s="7564"/>
      <c r="L322" s="7714"/>
    </row>
    <row r="323" spans="1:12" ht="30" customHeight="1" x14ac:dyDescent="0.2">
      <c r="A323" s="7654">
        <v>208</v>
      </c>
      <c r="B323" s="7652" t="s">
        <v>69</v>
      </c>
      <c r="C323" s="7723" t="s">
        <v>1100</v>
      </c>
      <c r="D323" s="7563">
        <v>15000000</v>
      </c>
      <c r="E323" s="7659">
        <v>0.04</v>
      </c>
      <c r="F323" s="7563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7655"/>
      <c r="B324" s="7653"/>
      <c r="C324" s="7724"/>
      <c r="D324" s="7564"/>
      <c r="E324" s="7660"/>
      <c r="F324" s="7564"/>
      <c r="G324" s="1898">
        <v>600000</v>
      </c>
      <c r="H324" s="1898" t="s">
        <v>3507</v>
      </c>
      <c r="I324" s="21" t="s">
        <v>1099</v>
      </c>
      <c r="J324" s="1898">
        <f t="shared" si="31"/>
        <v>600000</v>
      </c>
      <c r="K324" s="1898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7652" t="s">
        <v>76</v>
      </c>
      <c r="C331" s="7723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5"/>
      <c r="B332" s="7665"/>
      <c r="C332" s="7747"/>
      <c r="D332" s="7494" t="s">
        <v>2045</v>
      </c>
      <c r="E332" s="7495"/>
      <c r="F332" s="7768"/>
      <c r="G332" s="1771">
        <v>25000000</v>
      </c>
      <c r="H332" s="1771" t="s">
        <v>3712</v>
      </c>
      <c r="I332" s="21" t="s">
        <v>3729</v>
      </c>
      <c r="J332" s="7563">
        <f>G332+G333</f>
        <v>70000000</v>
      </c>
      <c r="K332" s="7563">
        <f>70000000-J332</f>
        <v>0</v>
      </c>
      <c r="L332" s="7703"/>
    </row>
    <row r="333" spans="1:12" ht="30" customHeight="1" x14ac:dyDescent="0.2">
      <c r="A333" s="1775"/>
      <c r="B333" s="7653"/>
      <c r="C333" s="7724"/>
      <c r="D333" s="7769"/>
      <c r="E333" s="7805"/>
      <c r="F333" s="7770"/>
      <c r="G333" s="1771">
        <v>45000000</v>
      </c>
      <c r="H333" s="1771" t="s">
        <v>2599</v>
      </c>
      <c r="I333" s="21" t="s">
        <v>3729</v>
      </c>
      <c r="J333" s="7564"/>
      <c r="K333" s="7564"/>
      <c r="L333" s="7705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7654">
        <v>218</v>
      </c>
      <c r="B336" s="7652" t="s">
        <v>80</v>
      </c>
      <c r="C336" s="7723"/>
      <c r="D336" s="7563">
        <v>45000000</v>
      </c>
      <c r="E336" s="7659">
        <v>0.04</v>
      </c>
      <c r="F336" s="7563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7655"/>
      <c r="B337" s="7653"/>
      <c r="C337" s="7724"/>
      <c r="D337" s="7564"/>
      <c r="E337" s="7660"/>
      <c r="F337" s="7564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7652" t="s">
        <v>1818</v>
      </c>
      <c r="C341" s="7723" t="s">
        <v>1287</v>
      </c>
      <c r="D341" s="7563">
        <v>700000000</v>
      </c>
      <c r="E341" s="7659">
        <v>0.06</v>
      </c>
      <c r="F341" s="7563">
        <f>D341*E341</f>
        <v>42000000</v>
      </c>
      <c r="G341" s="1488">
        <v>5000000</v>
      </c>
      <c r="H341" s="1488" t="s">
        <v>3362</v>
      </c>
      <c r="I341" s="1512" t="s">
        <v>3404</v>
      </c>
      <c r="J341" s="7563">
        <f>5000000+G341+G342+G343</f>
        <v>42000000</v>
      </c>
      <c r="K341" s="7563">
        <f>F341-J341</f>
        <v>0</v>
      </c>
      <c r="L341" s="1729" t="s">
        <v>3694</v>
      </c>
    </row>
    <row r="342" spans="1:12" ht="30" customHeight="1" x14ac:dyDescent="0.2">
      <c r="A342" s="1535"/>
      <c r="B342" s="7665"/>
      <c r="C342" s="7747"/>
      <c r="D342" s="7586"/>
      <c r="E342" s="7676"/>
      <c r="F342" s="7586"/>
      <c r="G342" s="1716">
        <v>5000000</v>
      </c>
      <c r="H342" s="1716" t="s">
        <v>3691</v>
      </c>
      <c r="I342" s="21" t="s">
        <v>3357</v>
      </c>
      <c r="J342" s="7586"/>
      <c r="K342" s="7586"/>
      <c r="L342" s="1729" t="s">
        <v>3693</v>
      </c>
    </row>
    <row r="343" spans="1:12" ht="30" customHeight="1" x14ac:dyDescent="0.2">
      <c r="A343" s="1535"/>
      <c r="B343" s="7653"/>
      <c r="C343" s="7724"/>
      <c r="D343" s="7564"/>
      <c r="E343" s="7660"/>
      <c r="F343" s="7564"/>
      <c r="G343" s="1468">
        <v>27000000</v>
      </c>
      <c r="H343" s="1468" t="s">
        <v>3692</v>
      </c>
      <c r="I343" s="21" t="s">
        <v>3724</v>
      </c>
      <c r="J343" s="7564"/>
      <c r="K343" s="7564"/>
      <c r="L343" s="1730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5"/>
      <c r="B350" s="1784"/>
      <c r="C350" s="1788"/>
      <c r="D350" s="1786">
        <v>20000000</v>
      </c>
      <c r="E350" s="1789">
        <v>0.05</v>
      </c>
      <c r="F350" s="1786">
        <f t="shared" si="28"/>
        <v>1000000</v>
      </c>
      <c r="G350" s="1787">
        <v>1000000</v>
      </c>
      <c r="H350" s="1787" t="s">
        <v>3485</v>
      </c>
      <c r="I350" s="1787" t="s">
        <v>449</v>
      </c>
      <c r="J350" s="1787">
        <f t="shared" ref="J350:J351" si="35">G350</f>
        <v>1000000</v>
      </c>
      <c r="K350" s="1786">
        <f t="shared" ref="K350:K351" si="36">F350-J350</f>
        <v>0</v>
      </c>
      <c r="L350" s="1661" t="s">
        <v>3488</v>
      </c>
    </row>
    <row r="351" spans="1:12" ht="30" customHeight="1" x14ac:dyDescent="0.2">
      <c r="A351" s="7654"/>
      <c r="B351" s="7652" t="s">
        <v>90</v>
      </c>
      <c r="C351" s="7723" t="s">
        <v>1718</v>
      </c>
      <c r="D351" s="1787">
        <v>20000000</v>
      </c>
      <c r="E351" s="1789">
        <v>0.05</v>
      </c>
      <c r="F351" s="1787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7655"/>
      <c r="B352" s="7653"/>
      <c r="C352" s="7724"/>
      <c r="D352" s="1787">
        <v>15000000</v>
      </c>
      <c r="E352" s="1789">
        <v>0.05</v>
      </c>
      <c r="F352" s="1787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7654">
        <v>235</v>
      </c>
      <c r="B357" s="7652" t="s">
        <v>94</v>
      </c>
      <c r="C357" s="7723" t="s">
        <v>1172</v>
      </c>
      <c r="D357" s="7563">
        <v>50000000</v>
      </c>
      <c r="E357" s="7659">
        <v>0.04</v>
      </c>
      <c r="F357" s="7563">
        <f t="shared" si="28"/>
        <v>2000000</v>
      </c>
      <c r="G357" s="7482">
        <v>400000</v>
      </c>
      <c r="H357" s="7482" t="s">
        <v>3558</v>
      </c>
      <c r="I357" s="8073" t="s">
        <v>1857</v>
      </c>
      <c r="J357" s="7563">
        <f t="shared" si="37"/>
        <v>400000</v>
      </c>
      <c r="K357" s="7563">
        <f t="shared" si="38"/>
        <v>1600000</v>
      </c>
      <c r="L357" s="7713" t="s">
        <v>3572</v>
      </c>
    </row>
    <row r="358" spans="1:14" ht="30" customHeight="1" x14ac:dyDescent="0.2">
      <c r="A358" s="7656"/>
      <c r="B358" s="7665"/>
      <c r="C358" s="7747"/>
      <c r="D358" s="7564"/>
      <c r="E358" s="7660"/>
      <c r="F358" s="7564"/>
      <c r="G358" s="7482"/>
      <c r="H358" s="7482"/>
      <c r="I358" s="8074"/>
      <c r="J358" s="7564"/>
      <c r="K358" s="7564"/>
      <c r="L358" s="7714"/>
    </row>
    <row r="359" spans="1:14" ht="30" customHeight="1" x14ac:dyDescent="0.2">
      <c r="A359" s="7655"/>
      <c r="B359" s="7653"/>
      <c r="C359" s="7724"/>
      <c r="D359" s="1618">
        <v>60000000</v>
      </c>
      <c r="E359" s="1619">
        <v>0.05</v>
      </c>
      <c r="F359" s="1618">
        <f>D359*E359</f>
        <v>3000000</v>
      </c>
      <c r="G359" s="7732" t="s">
        <v>3383</v>
      </c>
      <c r="H359" s="7733"/>
      <c r="I359" s="7733"/>
      <c r="J359" s="7734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7879">
        <v>241</v>
      </c>
      <c r="B365" s="7717" t="s">
        <v>559</v>
      </c>
      <c r="C365" s="7873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7563">
        <v>2300000</v>
      </c>
      <c r="H365" s="7563" t="s">
        <v>2472</v>
      </c>
      <c r="I365" s="7772" t="s">
        <v>557</v>
      </c>
      <c r="J365" s="7563">
        <f t="shared" si="37"/>
        <v>2300000</v>
      </c>
      <c r="K365" s="7563">
        <f>(F365+F366)-J365</f>
        <v>0</v>
      </c>
      <c r="L365" s="7672"/>
    </row>
    <row r="366" spans="1:14" ht="30" customHeight="1" x14ac:dyDescent="0.2">
      <c r="A366" s="7879"/>
      <c r="B366" s="7717"/>
      <c r="C366" s="7873"/>
      <c r="D366" s="1488">
        <v>10000000</v>
      </c>
      <c r="E366" s="1515">
        <v>0.09</v>
      </c>
      <c r="F366" s="1488">
        <f>D366*E366</f>
        <v>900000</v>
      </c>
      <c r="G366" s="7564"/>
      <c r="H366" s="7564"/>
      <c r="I366" s="7773"/>
      <c r="J366" s="7564"/>
      <c r="K366" s="7564"/>
      <c r="L366" s="7562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4058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6" t="s">
        <v>4059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7654">
        <v>248</v>
      </c>
      <c r="B373" s="7652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4" t="s">
        <v>3758</v>
      </c>
    </row>
    <row r="374" spans="1:15" ht="30" customHeight="1" x14ac:dyDescent="0.2">
      <c r="A374" s="7655"/>
      <c r="B374" s="7653"/>
      <c r="C374" s="1799"/>
      <c r="D374" s="7470" t="s">
        <v>3757</v>
      </c>
      <c r="E374" s="7493"/>
      <c r="F374" s="7510"/>
      <c r="G374" s="1797">
        <v>2000000</v>
      </c>
      <c r="H374" s="1797" t="s">
        <v>1189</v>
      </c>
      <c r="I374" s="21" t="s">
        <v>3759</v>
      </c>
      <c r="J374" s="1797">
        <f t="shared" si="40"/>
        <v>2000000</v>
      </c>
      <c r="K374" s="1797">
        <v>0</v>
      </c>
      <c r="L374" s="1814" t="s">
        <v>3760</v>
      </c>
    </row>
    <row r="375" spans="1:15" ht="30" customHeight="1" x14ac:dyDescent="0.2">
      <c r="A375" s="7654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7818" t="s">
        <v>1326</v>
      </c>
    </row>
    <row r="376" spans="1:15" ht="30" customHeight="1" x14ac:dyDescent="0.2">
      <c r="A376" s="7655"/>
      <c r="B376" s="1750"/>
      <c r="C376" s="1756"/>
      <c r="D376" s="7470" t="s">
        <v>1672</v>
      </c>
      <c r="E376" s="7493"/>
      <c r="F376" s="7510"/>
      <c r="G376" s="1751">
        <v>10000000</v>
      </c>
      <c r="H376" s="1751" t="s">
        <v>3712</v>
      </c>
      <c r="I376" s="1759" t="s">
        <v>1401</v>
      </c>
      <c r="J376" s="1751">
        <f t="shared" si="40"/>
        <v>10000000</v>
      </c>
      <c r="K376" s="1751"/>
      <c r="L376" s="7819"/>
    </row>
    <row r="377" spans="1:15" ht="30" customHeight="1" x14ac:dyDescent="0.2">
      <c r="A377" s="7654">
        <v>250</v>
      </c>
      <c r="B377" s="7652" t="s">
        <v>107</v>
      </c>
      <c r="C377" s="7723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7655"/>
      <c r="B378" s="7653"/>
      <c r="C378" s="7724"/>
      <c r="D378" s="1716">
        <v>110000000</v>
      </c>
      <c r="E378" s="1725"/>
      <c r="F378" s="1716"/>
      <c r="G378" s="7732" t="s">
        <v>3687</v>
      </c>
      <c r="H378" s="7733"/>
      <c r="I378" s="7733"/>
      <c r="J378" s="7734"/>
      <c r="K378" s="1716"/>
      <c r="L378" s="1814"/>
    </row>
    <row r="379" spans="1:15" ht="30" customHeight="1" x14ac:dyDescent="0.2">
      <c r="A379" s="383">
        <v>251</v>
      </c>
      <c r="B379" s="19" t="s">
        <v>1830</v>
      </c>
      <c r="C379" s="2600" t="s">
        <v>371</v>
      </c>
      <c r="D379" s="2595">
        <v>90000000</v>
      </c>
      <c r="E379" s="2606">
        <v>0.06</v>
      </c>
      <c r="F379" s="2595">
        <f t="shared" si="28"/>
        <v>5400000</v>
      </c>
      <c r="G379" s="2595">
        <v>5400000</v>
      </c>
      <c r="H379" s="2595" t="s">
        <v>3558</v>
      </c>
      <c r="I379" s="21" t="s">
        <v>2838</v>
      </c>
      <c r="J379" s="2597">
        <f t="shared" si="40"/>
        <v>5400000</v>
      </c>
      <c r="K379" s="2597">
        <f t="shared" si="39"/>
        <v>0</v>
      </c>
      <c r="L379" s="1814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7654">
        <v>253</v>
      </c>
      <c r="B381" s="7652" t="s">
        <v>110</v>
      </c>
      <c r="C381" s="7723" t="s">
        <v>262</v>
      </c>
      <c r="D381" s="1468">
        <v>20000000</v>
      </c>
      <c r="E381" s="1515">
        <v>0.05</v>
      </c>
      <c r="F381" s="1468">
        <f t="shared" si="28"/>
        <v>1000000</v>
      </c>
      <c r="G381" s="7563">
        <v>2000000</v>
      </c>
      <c r="H381" s="7563" t="s">
        <v>3531</v>
      </c>
      <c r="I381" s="7775" t="s">
        <v>3538</v>
      </c>
      <c r="J381" s="7563">
        <f t="shared" si="40"/>
        <v>2000000</v>
      </c>
      <c r="K381" s="7563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7655"/>
      <c r="B382" s="7653"/>
      <c r="C382" s="7724"/>
      <c r="D382" s="1468">
        <v>20000000</v>
      </c>
      <c r="E382" s="1515">
        <v>0.05</v>
      </c>
      <c r="F382" s="1468">
        <f t="shared" si="28"/>
        <v>1000000</v>
      </c>
      <c r="G382" s="7564"/>
      <c r="H382" s="7564"/>
      <c r="I382" s="7777"/>
      <c r="J382" s="7564"/>
      <c r="K382" s="7564"/>
      <c r="L382" s="1174" t="s">
        <v>1869</v>
      </c>
      <c r="M382" s="248"/>
      <c r="N382" s="248"/>
      <c r="O382" s="248"/>
    </row>
    <row r="383" spans="1:15" ht="30" customHeight="1" x14ac:dyDescent="0.2">
      <c r="A383" s="7654">
        <v>254</v>
      </c>
      <c r="B383" s="7652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7656"/>
      <c r="B384" s="7665"/>
      <c r="C384" s="710"/>
      <c r="D384" s="7470" t="s">
        <v>3892</v>
      </c>
      <c r="E384" s="7493"/>
      <c r="F384" s="7510"/>
      <c r="G384" s="1898">
        <v>20000000</v>
      </c>
      <c r="H384" s="1898" t="s">
        <v>3886</v>
      </c>
      <c r="I384" s="1908" t="s">
        <v>2946</v>
      </c>
      <c r="J384" s="1898">
        <f>G384</f>
        <v>20000000</v>
      </c>
      <c r="K384" s="1898"/>
      <c r="L384" s="1917"/>
      <c r="M384" s="248"/>
      <c r="N384" s="248"/>
      <c r="O384" s="248"/>
    </row>
    <row r="385" spans="1:15" ht="30" customHeight="1" x14ac:dyDescent="0.2">
      <c r="A385" s="7655"/>
      <c r="B385" s="7653"/>
      <c r="C385" s="1904"/>
      <c r="D385" s="1908">
        <v>175000000</v>
      </c>
      <c r="E385" s="1915">
        <v>0.05</v>
      </c>
      <c r="F385" s="1908">
        <f>D385*E385</f>
        <v>8750000</v>
      </c>
      <c r="G385" s="1898"/>
      <c r="H385" s="1898"/>
      <c r="I385" s="1908"/>
      <c r="J385" s="1898"/>
      <c r="K385" s="1898"/>
      <c r="L385" s="1917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7563">
        <v>1600000</v>
      </c>
      <c r="H389" s="7563" t="s">
        <v>3660</v>
      </c>
      <c r="I389" s="7772" t="s">
        <v>475</v>
      </c>
      <c r="J389" s="7563">
        <f>G389</f>
        <v>1600000</v>
      </c>
      <c r="K389" s="7563">
        <f>(F389+F390)-J389</f>
        <v>0</v>
      </c>
      <c r="L389" s="7703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7564"/>
      <c r="H390" s="7564"/>
      <c r="I390" s="7773"/>
      <c r="J390" s="7564"/>
      <c r="K390" s="7564"/>
      <c r="L390" s="7705"/>
    </row>
    <row r="391" spans="1:15" ht="30" customHeight="1" x14ac:dyDescent="0.2">
      <c r="A391" s="7654">
        <v>261</v>
      </c>
      <c r="B391" s="7652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7656"/>
      <c r="B392" s="7665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7656"/>
      <c r="B393" s="7665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7655"/>
      <c r="B394" s="7653"/>
      <c r="C394" s="1904"/>
      <c r="D394" s="1898"/>
      <c r="E394" s="1915"/>
      <c r="F394" s="1898"/>
      <c r="G394" s="1908">
        <v>700000</v>
      </c>
      <c r="H394" s="1908" t="s">
        <v>3893</v>
      </c>
      <c r="I394" s="18" t="s">
        <v>3671</v>
      </c>
      <c r="J394" s="1908">
        <f>G394</f>
        <v>700000</v>
      </c>
      <c r="K394" s="1898"/>
      <c r="L394" s="1913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7732" t="s">
        <v>3479</v>
      </c>
      <c r="H395" s="7733"/>
      <c r="I395" s="7733"/>
      <c r="J395" s="7734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5">
        <v>50000000</v>
      </c>
      <c r="E396" s="1833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6" t="s">
        <v>3860</v>
      </c>
    </row>
    <row r="397" spans="1:15" ht="30" customHeight="1" x14ac:dyDescent="0.2">
      <c r="A397" s="7654">
        <v>265</v>
      </c>
      <c r="B397" s="7717" t="s">
        <v>121</v>
      </c>
      <c r="C397" s="7873" t="s">
        <v>262</v>
      </c>
      <c r="D397" s="7563">
        <v>1000000000</v>
      </c>
      <c r="E397" s="7659">
        <v>7.0000000000000007E-2</v>
      </c>
      <c r="F397" s="7563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7656"/>
      <c r="B398" s="7717"/>
      <c r="C398" s="7873"/>
      <c r="D398" s="7564"/>
      <c r="E398" s="7660"/>
      <c r="F398" s="7564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7654">
        <v>267</v>
      </c>
      <c r="B400" s="7652" t="s">
        <v>497</v>
      </c>
      <c r="C400" s="7723" t="s">
        <v>371</v>
      </c>
      <c r="D400" s="7563">
        <v>300000000</v>
      </c>
      <c r="E400" s="7659">
        <v>0.04</v>
      </c>
      <c r="F400" s="7563">
        <f>D400*E400</f>
        <v>12000000</v>
      </c>
      <c r="G400" s="7563">
        <v>12000000</v>
      </c>
      <c r="H400" s="7563" t="s">
        <v>3558</v>
      </c>
      <c r="I400" s="7563" t="s">
        <v>3579</v>
      </c>
      <c r="J400" s="7563">
        <f>G400</f>
        <v>12000000</v>
      </c>
      <c r="K400" s="7563">
        <f>F400-J400</f>
        <v>0</v>
      </c>
      <c r="L400" s="1497" t="s">
        <v>2891</v>
      </c>
    </row>
    <row r="401" spans="1:12" ht="30" customHeight="1" x14ac:dyDescent="0.2">
      <c r="A401" s="7655"/>
      <c r="B401" s="7653"/>
      <c r="C401" s="7724"/>
      <c r="D401" s="7564"/>
      <c r="E401" s="7660"/>
      <c r="F401" s="7564"/>
      <c r="G401" s="7564"/>
      <c r="H401" s="7564"/>
      <c r="I401" s="7564"/>
      <c r="J401" s="7564"/>
      <c r="K401" s="7564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7654"/>
      <c r="B406" s="7652" t="s">
        <v>2524</v>
      </c>
      <c r="C406" s="7723" t="s">
        <v>1287</v>
      </c>
      <c r="D406" s="1524">
        <v>520000000</v>
      </c>
      <c r="E406" s="864">
        <v>5.5E-2</v>
      </c>
      <c r="F406" s="1524">
        <f>D406*E406</f>
        <v>28600000</v>
      </c>
      <c r="G406" s="7912" t="s">
        <v>3384</v>
      </c>
      <c r="H406" s="7912"/>
      <c r="I406" s="7912"/>
      <c r="J406" s="7912"/>
      <c r="K406" s="1605"/>
      <c r="L406" s="1236"/>
    </row>
    <row r="407" spans="1:12" ht="30" customHeight="1" x14ac:dyDescent="0.2">
      <c r="A407" s="7656"/>
      <c r="B407" s="7665"/>
      <c r="C407" s="7747"/>
      <c r="D407" s="1524">
        <v>65000000</v>
      </c>
      <c r="E407" s="864">
        <v>0.06</v>
      </c>
      <c r="F407" s="1524">
        <f>D407*E407</f>
        <v>3900000</v>
      </c>
      <c r="G407" s="7912"/>
      <c r="H407" s="7912"/>
      <c r="I407" s="7912"/>
      <c r="J407" s="7912"/>
      <c r="K407" s="1606"/>
      <c r="L407" s="1237"/>
    </row>
    <row r="408" spans="1:12" ht="30" customHeight="1" x14ac:dyDescent="0.2">
      <c r="A408" s="7656"/>
      <c r="B408" s="7665"/>
      <c r="C408" s="7747"/>
      <c r="D408" s="1524">
        <v>85000000</v>
      </c>
      <c r="E408" s="864">
        <v>0.06</v>
      </c>
      <c r="F408" s="1524">
        <f>D408*E408</f>
        <v>5100000</v>
      </c>
      <c r="G408" s="7912"/>
      <c r="H408" s="7912"/>
      <c r="I408" s="7912"/>
      <c r="J408" s="7912"/>
      <c r="K408" s="1606"/>
      <c r="L408" s="7909" t="s">
        <v>3381</v>
      </c>
    </row>
    <row r="409" spans="1:12" ht="30" customHeight="1" x14ac:dyDescent="0.2">
      <c r="A409" s="7656"/>
      <c r="B409" s="7665"/>
      <c r="C409" s="7747"/>
      <c r="D409" s="7883" t="s">
        <v>1787</v>
      </c>
      <c r="E409" s="7884"/>
      <c r="F409" s="1524">
        <v>1300000</v>
      </c>
      <c r="G409" s="7912"/>
      <c r="H409" s="7912"/>
      <c r="I409" s="7912"/>
      <c r="J409" s="7912"/>
      <c r="K409" s="1606"/>
      <c r="L409" s="7909"/>
    </row>
    <row r="410" spans="1:12" ht="30" customHeight="1" x14ac:dyDescent="0.2">
      <c r="A410" s="7656"/>
      <c r="B410" s="7665"/>
      <c r="C410" s="7747"/>
      <c r="D410" s="1524">
        <v>100000000</v>
      </c>
      <c r="E410" s="864">
        <v>0.06</v>
      </c>
      <c r="F410" s="1524">
        <f>D410*E410</f>
        <v>6000000</v>
      </c>
      <c r="G410" s="7912"/>
      <c r="H410" s="7912"/>
      <c r="I410" s="7912"/>
      <c r="J410" s="7912"/>
      <c r="K410" s="1607"/>
      <c r="L410" s="1237" t="s">
        <v>3382</v>
      </c>
    </row>
    <row r="411" spans="1:12" ht="30" customHeight="1" x14ac:dyDescent="0.2">
      <c r="A411" s="7656"/>
      <c r="B411" s="7665"/>
      <c r="C411" s="7747"/>
      <c r="D411" s="1690">
        <f>D406+D407+D408+D410</f>
        <v>770000000</v>
      </c>
      <c r="E411" s="1689"/>
      <c r="F411" s="1690">
        <f>F406+F407+F408+F409+F410</f>
        <v>44900000</v>
      </c>
      <c r="G411" s="1708">
        <v>13000000</v>
      </c>
      <c r="H411" s="8038" t="s">
        <v>3660</v>
      </c>
      <c r="I411" s="8038" t="s">
        <v>815</v>
      </c>
      <c r="J411" s="1701">
        <f>G411</f>
        <v>13000000</v>
      </c>
      <c r="K411" s="1690">
        <f>F411-11100000-J411</f>
        <v>20800000</v>
      </c>
      <c r="L411" s="1541" t="s">
        <v>3373</v>
      </c>
    </row>
    <row r="412" spans="1:12" ht="30" customHeight="1" x14ac:dyDescent="0.2">
      <c r="A412" s="7656"/>
      <c r="B412" s="7665"/>
      <c r="C412" s="7747"/>
      <c r="D412" s="8063" t="s">
        <v>3662</v>
      </c>
      <c r="E412" s="8064"/>
      <c r="F412" s="8065"/>
      <c r="G412" s="1708">
        <v>5000000</v>
      </c>
      <c r="H412" s="8039"/>
      <c r="I412" s="8039"/>
      <c r="J412" s="8038">
        <f>G412+G413</f>
        <v>25000000</v>
      </c>
      <c r="K412" s="7559">
        <f>F412-11100000-J412</f>
        <v>-36100000</v>
      </c>
      <c r="L412" s="7787"/>
    </row>
    <row r="413" spans="1:12" ht="30" customHeight="1" x14ac:dyDescent="0.2">
      <c r="A413" s="7656"/>
      <c r="B413" s="7665"/>
      <c r="C413" s="7747"/>
      <c r="D413" s="8066"/>
      <c r="E413" s="8067"/>
      <c r="F413" s="8068"/>
      <c r="G413" s="1708">
        <v>20000000</v>
      </c>
      <c r="H413" s="1708" t="s">
        <v>3660</v>
      </c>
      <c r="I413" s="1708" t="s">
        <v>815</v>
      </c>
      <c r="J413" s="8039"/>
      <c r="K413" s="7560"/>
      <c r="L413" s="7788"/>
    </row>
    <row r="414" spans="1:12" ht="30" customHeight="1" x14ac:dyDescent="0.2">
      <c r="A414" s="7656"/>
      <c r="B414" s="7665"/>
      <c r="C414" s="7747"/>
      <c r="D414" s="1726">
        <v>21000000</v>
      </c>
      <c r="E414" s="1731">
        <v>0.06</v>
      </c>
      <c r="F414" s="1726">
        <f>D414*E414</f>
        <v>1260000</v>
      </c>
      <c r="G414" s="8042" t="s">
        <v>3672</v>
      </c>
      <c r="H414" s="8043"/>
      <c r="I414" s="8043"/>
      <c r="J414" s="8044"/>
      <c r="K414" s="1718"/>
      <c r="L414" s="1721"/>
    </row>
    <row r="415" spans="1:12" ht="30" customHeight="1" x14ac:dyDescent="0.2">
      <c r="A415" s="7655"/>
      <c r="B415" s="7653"/>
      <c r="C415" s="7724"/>
      <c r="D415" s="1499">
        <v>40000000</v>
      </c>
      <c r="E415" s="1507">
        <v>0.06</v>
      </c>
      <c r="F415" s="1499">
        <f>D415*E415</f>
        <v>2400000</v>
      </c>
      <c r="G415" s="8042" t="s">
        <v>3383</v>
      </c>
      <c r="H415" s="8043"/>
      <c r="I415" s="8043"/>
      <c r="J415" s="8044"/>
      <c r="K415" s="1499"/>
      <c r="L415" s="1026" t="s">
        <v>3354</v>
      </c>
    </row>
    <row r="416" spans="1:12" ht="30" customHeight="1" x14ac:dyDescent="0.2">
      <c r="A416" s="7654"/>
      <c r="B416" s="7717" t="s">
        <v>2524</v>
      </c>
      <c r="C416" s="7723" t="s">
        <v>1287</v>
      </c>
      <c r="D416" s="1733">
        <v>495000000</v>
      </c>
      <c r="E416" s="1734">
        <v>5.5E-2</v>
      </c>
      <c r="F416" s="1733">
        <f>D416*E416</f>
        <v>27225000</v>
      </c>
      <c r="G416" s="8040" t="s">
        <v>3673</v>
      </c>
      <c r="H416" s="8040"/>
      <c r="I416" s="8040"/>
      <c r="J416" s="8040"/>
      <c r="K416" s="8001"/>
      <c r="L416" s="8023"/>
    </row>
    <row r="417" spans="1:12" ht="30" customHeight="1" x14ac:dyDescent="0.2">
      <c r="A417" s="7656"/>
      <c r="B417" s="7717"/>
      <c r="C417" s="7747"/>
      <c r="D417" s="1733">
        <v>65000000</v>
      </c>
      <c r="E417" s="1734">
        <v>0.06</v>
      </c>
      <c r="F417" s="1733">
        <f>D417*E417</f>
        <v>3900000</v>
      </c>
      <c r="G417" s="8040"/>
      <c r="H417" s="8040"/>
      <c r="I417" s="8040"/>
      <c r="J417" s="8040"/>
      <c r="K417" s="8041"/>
      <c r="L417" s="8024"/>
    </row>
    <row r="418" spans="1:12" ht="30" customHeight="1" x14ac:dyDescent="0.2">
      <c r="A418" s="7656"/>
      <c r="B418" s="7717"/>
      <c r="C418" s="7747"/>
      <c r="D418" s="1733">
        <v>246000000</v>
      </c>
      <c r="E418" s="1734">
        <v>0.06</v>
      </c>
      <c r="F418" s="1733">
        <f>D418*E418</f>
        <v>14760000</v>
      </c>
      <c r="G418" s="8040"/>
      <c r="H418" s="8040"/>
      <c r="I418" s="8040"/>
      <c r="J418" s="8040"/>
      <c r="K418" s="8041"/>
      <c r="L418" s="8024"/>
    </row>
    <row r="419" spans="1:12" ht="30" customHeight="1" x14ac:dyDescent="0.2">
      <c r="A419" s="7656"/>
      <c r="B419" s="7717"/>
      <c r="C419" s="7747"/>
      <c r="D419" s="8004" t="s">
        <v>1787</v>
      </c>
      <c r="E419" s="8005"/>
      <c r="F419" s="1733">
        <v>1300000</v>
      </c>
      <c r="G419" s="8040"/>
      <c r="H419" s="8040"/>
      <c r="I419" s="8040"/>
      <c r="J419" s="8040"/>
      <c r="K419" s="8041"/>
      <c r="L419" s="8024"/>
    </row>
    <row r="420" spans="1:12" ht="30" customHeight="1" x14ac:dyDescent="0.2">
      <c r="A420" s="7656"/>
      <c r="B420" s="7717"/>
      <c r="C420" s="7747"/>
      <c r="D420" s="1718">
        <f>D416+D417+D418</f>
        <v>806000000</v>
      </c>
      <c r="E420" s="1719"/>
      <c r="F420" s="1718">
        <f>F416+F417+F418+F419</f>
        <v>47185000</v>
      </c>
      <c r="G420" s="1747"/>
      <c r="H420" s="1748"/>
      <c r="I420" s="1748"/>
      <c r="J420" s="1749"/>
      <c r="K420" s="8002"/>
      <c r="L420" s="8025"/>
    </row>
    <row r="421" spans="1:12" ht="30" customHeight="1" x14ac:dyDescent="0.2">
      <c r="A421" s="1518">
        <v>273</v>
      </c>
      <c r="B421" s="1516" t="s">
        <v>127</v>
      </c>
      <c r="C421" s="1727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7654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7655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7654">
        <v>278</v>
      </c>
      <c r="B427" s="7652" t="s">
        <v>620</v>
      </c>
      <c r="C427" s="7723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7563">
        <v>1750000</v>
      </c>
      <c r="H427" s="7563" t="s">
        <v>3676</v>
      </c>
      <c r="I427" s="7561" t="s">
        <v>3685</v>
      </c>
      <c r="J427" s="7563">
        <f>G427</f>
        <v>1750000</v>
      </c>
      <c r="K427" s="7563">
        <f>(F427+F428)-J427</f>
        <v>0</v>
      </c>
      <c r="L427" s="7703"/>
    </row>
    <row r="428" spans="1:12" ht="30" customHeight="1" x14ac:dyDescent="0.2">
      <c r="A428" s="7655"/>
      <c r="B428" s="7653"/>
      <c r="C428" s="7724"/>
      <c r="D428" s="1468">
        <v>10000000</v>
      </c>
      <c r="E428" s="1515">
        <v>0.04</v>
      </c>
      <c r="F428" s="1468">
        <f>D428*E428</f>
        <v>400000</v>
      </c>
      <c r="G428" s="7564"/>
      <c r="H428" s="7564"/>
      <c r="I428" s="7562"/>
      <c r="J428" s="7564"/>
      <c r="K428" s="7564"/>
      <c r="L428" s="7705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4">
        <v>1000000</v>
      </c>
      <c r="H430" s="1804" t="s">
        <v>1189</v>
      </c>
      <c r="I430" s="1804" t="s">
        <v>3756</v>
      </c>
      <c r="J430" s="1804">
        <f>G430</f>
        <v>1000000</v>
      </c>
      <c r="K430" s="1804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6" t="s">
        <v>3679</v>
      </c>
      <c r="J431" s="1468">
        <f>G431</f>
        <v>2000000</v>
      </c>
      <c r="K431" s="1468">
        <f>F431-J431</f>
        <v>0</v>
      </c>
      <c r="L431" s="1728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7654"/>
      <c r="B433" s="7703" t="s">
        <v>134</v>
      </c>
      <c r="C433" s="7723" t="s">
        <v>1294</v>
      </c>
      <c r="D433" s="1468">
        <v>40823000</v>
      </c>
      <c r="E433" s="1465">
        <v>0.05</v>
      </c>
      <c r="F433" s="1468">
        <f>D433*E433</f>
        <v>2041150</v>
      </c>
      <c r="G433" s="1755">
        <v>2041150</v>
      </c>
      <c r="H433" s="1755" t="s">
        <v>3692</v>
      </c>
      <c r="I433" s="1755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7655"/>
      <c r="B434" s="7705"/>
      <c r="C434" s="7724"/>
      <c r="D434" s="1713">
        <f>40823000+3800000</f>
        <v>44623000</v>
      </c>
      <c r="E434" s="1712">
        <v>0.05</v>
      </c>
      <c r="F434" s="1713">
        <f>D434*E434</f>
        <v>2231150</v>
      </c>
      <c r="G434" s="7806" t="s">
        <v>3667</v>
      </c>
      <c r="H434" s="7807"/>
      <c r="I434" s="7807"/>
      <c r="J434" s="7808"/>
      <c r="K434" s="1710"/>
      <c r="L434" s="763"/>
    </row>
    <row r="435" spans="1:12" ht="30" customHeight="1" x14ac:dyDescent="0.2">
      <c r="A435" s="7654">
        <v>284</v>
      </c>
      <c r="B435" s="7652" t="s">
        <v>1158</v>
      </c>
      <c r="C435" s="7723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7563">
        <v>94500000</v>
      </c>
      <c r="H435" s="7563" t="s">
        <v>3676</v>
      </c>
      <c r="I435" s="7561" t="s">
        <v>3684</v>
      </c>
      <c r="J435" s="7563">
        <v>9450000</v>
      </c>
      <c r="K435" s="7563">
        <f>(F435+F436+F437)-J435</f>
        <v>0</v>
      </c>
      <c r="L435" s="7757"/>
    </row>
    <row r="436" spans="1:12" ht="30" customHeight="1" x14ac:dyDescent="0.2">
      <c r="A436" s="7656"/>
      <c r="B436" s="7665"/>
      <c r="C436" s="7747"/>
      <c r="D436" s="1542">
        <v>60000000</v>
      </c>
      <c r="E436" s="1544">
        <v>0.05</v>
      </c>
      <c r="F436" s="1542">
        <f t="shared" si="41"/>
        <v>3000000</v>
      </c>
      <c r="G436" s="7586"/>
      <c r="H436" s="7586"/>
      <c r="I436" s="7672"/>
      <c r="J436" s="7586"/>
      <c r="K436" s="7586"/>
      <c r="L436" s="8037"/>
    </row>
    <row r="437" spans="1:12" ht="30" customHeight="1" x14ac:dyDescent="0.2">
      <c r="A437" s="7655"/>
      <c r="B437" s="7653"/>
      <c r="C437" s="7724"/>
      <c r="D437" s="1542">
        <v>30000000</v>
      </c>
      <c r="E437" s="1544">
        <v>0.05</v>
      </c>
      <c r="F437" s="1542">
        <f t="shared" si="41"/>
        <v>1500000</v>
      </c>
      <c r="G437" s="7564"/>
      <c r="H437" s="7564"/>
      <c r="I437" s="7562"/>
      <c r="J437" s="7564"/>
      <c r="K437" s="7564"/>
      <c r="L437" s="1474" t="s">
        <v>2893</v>
      </c>
    </row>
    <row r="438" spans="1:12" ht="30" customHeight="1" x14ac:dyDescent="0.2">
      <c r="A438" s="7654"/>
      <c r="B438" s="7652" t="s">
        <v>1158</v>
      </c>
      <c r="C438" s="7723"/>
      <c r="D438" s="1542">
        <v>100000000</v>
      </c>
      <c r="E438" s="1544">
        <v>4.4999999999999998E-2</v>
      </c>
      <c r="F438" s="1542">
        <f t="shared" si="41"/>
        <v>4500000</v>
      </c>
      <c r="G438" s="7991" t="s">
        <v>3778</v>
      </c>
      <c r="H438" s="7992"/>
      <c r="I438" s="7992"/>
      <c r="J438" s="7993"/>
      <c r="K438" s="7563"/>
      <c r="L438" s="763" t="s">
        <v>3782</v>
      </c>
    </row>
    <row r="439" spans="1:12" ht="30" customHeight="1" x14ac:dyDescent="0.2">
      <c r="A439" s="7656"/>
      <c r="B439" s="7665"/>
      <c r="C439" s="7747"/>
      <c r="D439" s="1542">
        <v>60000000</v>
      </c>
      <c r="E439" s="1544">
        <v>0.05</v>
      </c>
      <c r="F439" s="1542">
        <f t="shared" si="41"/>
        <v>3000000</v>
      </c>
      <c r="G439" s="7994"/>
      <c r="H439" s="7995"/>
      <c r="I439" s="7995"/>
      <c r="J439" s="7996"/>
      <c r="K439" s="7586"/>
      <c r="L439" s="1336"/>
    </row>
    <row r="440" spans="1:12" ht="30" customHeight="1" x14ac:dyDescent="0.2">
      <c r="A440" s="7656"/>
      <c r="B440" s="7665"/>
      <c r="C440" s="7747"/>
      <c r="D440" s="1542">
        <v>30000000</v>
      </c>
      <c r="E440" s="1544">
        <v>0.05</v>
      </c>
      <c r="F440" s="1542">
        <f t="shared" si="41"/>
        <v>1500000</v>
      </c>
      <c r="G440" s="7997"/>
      <c r="H440" s="7998"/>
      <c r="I440" s="7998"/>
      <c r="J440" s="7999"/>
      <c r="K440" s="7586"/>
      <c r="L440" s="763" t="s">
        <v>3780</v>
      </c>
    </row>
    <row r="441" spans="1:12" ht="30" customHeight="1" x14ac:dyDescent="0.2">
      <c r="A441" s="7655"/>
      <c r="B441" s="7653"/>
      <c r="C441" s="7724"/>
      <c r="D441" s="1542">
        <v>40000000</v>
      </c>
      <c r="E441" s="1544">
        <v>0.05</v>
      </c>
      <c r="F441" s="1542">
        <f t="shared" si="41"/>
        <v>2000000</v>
      </c>
      <c r="G441" s="7470" t="s">
        <v>3779</v>
      </c>
      <c r="H441" s="7493"/>
      <c r="I441" s="7493"/>
      <c r="J441" s="7510"/>
      <c r="K441" s="7564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1">
        <f>F443-J443</f>
        <v>0</v>
      </c>
      <c r="L443" s="1972"/>
    </row>
    <row r="444" spans="1:12" ht="30" customHeight="1" x14ac:dyDescent="0.2">
      <c r="A444" s="7654">
        <v>287</v>
      </c>
      <c r="B444" s="7652" t="s">
        <v>137</v>
      </c>
      <c r="C444" s="7723"/>
      <c r="D444" s="1468">
        <v>15000000</v>
      </c>
      <c r="E444" s="1465">
        <v>0.05</v>
      </c>
      <c r="F444" s="1468">
        <f t="shared" si="41"/>
        <v>750000</v>
      </c>
      <c r="G444" s="7563">
        <v>3000000</v>
      </c>
      <c r="H444" s="7563" t="s">
        <v>3676</v>
      </c>
      <c r="I444" s="7561" t="s">
        <v>2979</v>
      </c>
      <c r="J444" s="7563">
        <f>G444+G445</f>
        <v>3000000</v>
      </c>
      <c r="K444" s="7563">
        <f>(F444+F445)-J444</f>
        <v>0</v>
      </c>
      <c r="L444" s="7657"/>
    </row>
    <row r="445" spans="1:12" ht="30" customHeight="1" x14ac:dyDescent="0.2">
      <c r="A445" s="7655"/>
      <c r="B445" s="7653"/>
      <c r="C445" s="7724"/>
      <c r="D445" s="1468">
        <v>45000000</v>
      </c>
      <c r="E445" s="1465">
        <v>0.05</v>
      </c>
      <c r="F445" s="1468">
        <f t="shared" si="41"/>
        <v>2250000</v>
      </c>
      <c r="G445" s="7564"/>
      <c r="H445" s="7564"/>
      <c r="I445" s="7562"/>
      <c r="J445" s="7564"/>
      <c r="K445" s="7564"/>
      <c r="L445" s="7658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7654">
        <v>290</v>
      </c>
      <c r="B448" s="7652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7494" t="s">
        <v>3849</v>
      </c>
      <c r="H448" s="7495"/>
      <c r="I448" s="7495"/>
      <c r="J448" s="7768"/>
      <c r="K448" s="1468"/>
      <c r="L448" s="1843" t="s">
        <v>623</v>
      </c>
    </row>
    <row r="449" spans="1:12" ht="30" customHeight="1" x14ac:dyDescent="0.2">
      <c r="A449" s="7656"/>
      <c r="B449" s="7665"/>
      <c r="C449" s="1841"/>
      <c r="D449" s="1835">
        <v>200000000</v>
      </c>
      <c r="E449" s="7880" t="s">
        <v>3850</v>
      </c>
      <c r="F449" s="7881"/>
      <c r="G449" s="7769"/>
      <c r="H449" s="7805"/>
      <c r="I449" s="7805"/>
      <c r="J449" s="7770"/>
      <c r="K449" s="1835"/>
      <c r="L449" s="162"/>
    </row>
    <row r="450" spans="1:12" ht="30" customHeight="1" x14ac:dyDescent="0.2">
      <c r="A450" s="7656"/>
      <c r="B450" s="7665"/>
      <c r="C450" s="1841"/>
      <c r="D450" s="1835">
        <v>700000000</v>
      </c>
      <c r="E450" s="1844"/>
      <c r="F450" s="1835"/>
      <c r="G450" s="7732" t="s">
        <v>3853</v>
      </c>
      <c r="H450" s="7733"/>
      <c r="I450" s="7733"/>
      <c r="J450" s="7734"/>
      <c r="K450" s="1835"/>
      <c r="L450" s="1843" t="s">
        <v>3856</v>
      </c>
    </row>
    <row r="451" spans="1:12" ht="30" customHeight="1" x14ac:dyDescent="0.2">
      <c r="A451" s="7656"/>
      <c r="B451" s="7665"/>
      <c r="C451" s="1841"/>
      <c r="D451" s="1835">
        <v>400000000</v>
      </c>
      <c r="E451" s="1844"/>
      <c r="F451" s="1835"/>
      <c r="G451" s="7732" t="s">
        <v>3854</v>
      </c>
      <c r="H451" s="7733"/>
      <c r="I451" s="7733"/>
      <c r="J451" s="7734"/>
      <c r="K451" s="1835"/>
      <c r="L451" s="1843" t="s">
        <v>3857</v>
      </c>
    </row>
    <row r="452" spans="1:12" ht="30" customHeight="1" x14ac:dyDescent="0.2">
      <c r="A452" s="7656"/>
      <c r="B452" s="7665"/>
      <c r="C452" s="1841"/>
      <c r="D452" s="1835">
        <v>50000000</v>
      </c>
      <c r="E452" s="1844"/>
      <c r="F452" s="1835"/>
      <c r="G452" s="7732" t="s">
        <v>3855</v>
      </c>
      <c r="H452" s="7733"/>
      <c r="I452" s="7733"/>
      <c r="J452" s="7734"/>
      <c r="K452" s="1835"/>
      <c r="L452" s="162"/>
    </row>
    <row r="453" spans="1:12" ht="30" customHeight="1" x14ac:dyDescent="0.2">
      <c r="A453" s="7655"/>
      <c r="B453" s="7653"/>
      <c r="C453" s="1841"/>
      <c r="D453" s="1838">
        <v>1150000000</v>
      </c>
      <c r="E453" s="435">
        <v>7.0000000000000007E-2</v>
      </c>
      <c r="F453" s="1838">
        <f>D453*E453</f>
        <v>80500000.000000015</v>
      </c>
      <c r="G453" s="7732" t="s">
        <v>3858</v>
      </c>
      <c r="H453" s="7733"/>
      <c r="I453" s="7733"/>
      <c r="J453" s="7734"/>
      <c r="K453" s="1835"/>
      <c r="L453" s="1843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7654">
        <v>295</v>
      </c>
      <c r="B456" s="1513" t="s">
        <v>142</v>
      </c>
      <c r="C456" s="7723" t="s">
        <v>1299</v>
      </c>
      <c r="D456" s="1468">
        <v>100000000</v>
      </c>
      <c r="E456" s="1515">
        <v>0.05</v>
      </c>
      <c r="F456" s="1468">
        <f t="shared" si="41"/>
        <v>5000000</v>
      </c>
      <c r="G456" s="7563">
        <v>5500000</v>
      </c>
      <c r="H456" s="7563" t="s">
        <v>3692</v>
      </c>
      <c r="I456" s="7563" t="s">
        <v>3702</v>
      </c>
      <c r="J456" s="7563">
        <f t="shared" si="42"/>
        <v>5500000</v>
      </c>
      <c r="K456" s="7563">
        <f>(F456+F457)-G456</f>
        <v>0</v>
      </c>
      <c r="L456" s="7757"/>
    </row>
    <row r="457" spans="1:12" ht="30" customHeight="1" x14ac:dyDescent="0.2">
      <c r="A457" s="7655"/>
      <c r="B457" s="1516" t="s">
        <v>707</v>
      </c>
      <c r="C457" s="7724"/>
      <c r="D457" s="1468">
        <v>10000000</v>
      </c>
      <c r="E457" s="1515">
        <v>0.05</v>
      </c>
      <c r="F457" s="1468">
        <f>D457*E457</f>
        <v>500000</v>
      </c>
      <c r="G457" s="7564"/>
      <c r="H457" s="7564"/>
      <c r="I457" s="7564"/>
      <c r="J457" s="7564"/>
      <c r="K457" s="7564"/>
      <c r="L457" s="7758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7">
        <v>10500000</v>
      </c>
      <c r="H460" s="1797" t="s">
        <v>1189</v>
      </c>
      <c r="I460" s="21" t="s">
        <v>3469</v>
      </c>
      <c r="J460" s="1797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7681"/>
      <c r="B463" s="7652" t="s">
        <v>150</v>
      </c>
      <c r="C463" s="7723" t="s">
        <v>1796</v>
      </c>
      <c r="D463" s="7482">
        <v>1846000000</v>
      </c>
      <c r="E463" s="7870">
        <f>F463/D463</f>
        <v>7.3174431202600212E-2</v>
      </c>
      <c r="F463" s="7482">
        <v>135080000</v>
      </c>
      <c r="G463" s="1804"/>
      <c r="H463" s="1804"/>
      <c r="I463" s="1804"/>
      <c r="J463" s="1804"/>
      <c r="K463" s="1804"/>
      <c r="L463" s="1385" t="s">
        <v>3316</v>
      </c>
    </row>
    <row r="464" spans="1:12" ht="30" customHeight="1" x14ac:dyDescent="0.2">
      <c r="A464" s="8006"/>
      <c r="B464" s="7665"/>
      <c r="C464" s="7747"/>
      <c r="D464" s="7482"/>
      <c r="E464" s="7870"/>
      <c r="F464" s="7482"/>
      <c r="G464" s="233"/>
      <c r="H464" s="233"/>
      <c r="I464" s="233"/>
      <c r="J464" s="233"/>
      <c r="K464" s="1804"/>
      <c r="L464" s="1385" t="s">
        <v>3335</v>
      </c>
    </row>
    <row r="465" spans="1:12" ht="30" customHeight="1" x14ac:dyDescent="0.2">
      <c r="A465" s="8006"/>
      <c r="B465" s="7665"/>
      <c r="C465" s="7747"/>
      <c r="D465" s="1577">
        <v>1916000000</v>
      </c>
      <c r="E465" s="1598"/>
      <c r="F465" s="1589"/>
      <c r="G465" s="7732" t="s">
        <v>3453</v>
      </c>
      <c r="H465" s="7733"/>
      <c r="I465" s="7733"/>
      <c r="J465" s="7734"/>
      <c r="K465" s="1804"/>
      <c r="L465" s="1385" t="s">
        <v>3454</v>
      </c>
    </row>
    <row r="466" spans="1:12" ht="30" customHeight="1" x14ac:dyDescent="0.2">
      <c r="A466" s="8006"/>
      <c r="B466" s="7665"/>
      <c r="C466" s="7747"/>
      <c r="D466" s="1798"/>
      <c r="E466" s="435"/>
      <c r="F466" s="1794"/>
      <c r="G466" s="1794">
        <v>50000000</v>
      </c>
      <c r="H466" s="1794" t="s">
        <v>3771</v>
      </c>
      <c r="I466" s="1794" t="s">
        <v>2460</v>
      </c>
      <c r="J466" s="7559">
        <f>G466+G467+G468</f>
        <v>138440000</v>
      </c>
      <c r="K466" s="7563">
        <f>138440000-J466</f>
        <v>0</v>
      </c>
      <c r="L466" s="1385"/>
    </row>
    <row r="467" spans="1:12" ht="30" customHeight="1" x14ac:dyDescent="0.2">
      <c r="A467" s="8006"/>
      <c r="B467" s="7665"/>
      <c r="C467" s="7747"/>
      <c r="D467" s="1892"/>
      <c r="E467" s="435"/>
      <c r="F467" s="1891"/>
      <c r="G467" s="1893">
        <v>50000000</v>
      </c>
      <c r="H467" s="1893" t="s">
        <v>3507</v>
      </c>
      <c r="I467" s="1894" t="s">
        <v>2460</v>
      </c>
      <c r="J467" s="8003"/>
      <c r="K467" s="7586"/>
      <c r="L467" s="1385"/>
    </row>
    <row r="468" spans="1:12" ht="30" customHeight="1" x14ac:dyDescent="0.2">
      <c r="A468" s="7682"/>
      <c r="B468" s="7653"/>
      <c r="C468" s="7724"/>
      <c r="D468" s="1900"/>
      <c r="E468" s="1899"/>
      <c r="F468" s="1900"/>
      <c r="G468" s="1901">
        <v>38440000</v>
      </c>
      <c r="H468" s="1901" t="s">
        <v>3893</v>
      </c>
      <c r="I468" s="1918" t="s">
        <v>1084</v>
      </c>
      <c r="J468" s="7560"/>
      <c r="K468" s="7564"/>
      <c r="L468" s="1385"/>
    </row>
    <row r="469" spans="1:12" ht="30" customHeight="1" x14ac:dyDescent="0.2">
      <c r="A469" s="7654">
        <v>305</v>
      </c>
      <c r="B469" s="7652" t="s">
        <v>152</v>
      </c>
      <c r="C469" s="7723"/>
      <c r="D469" s="7563">
        <v>750000000</v>
      </c>
      <c r="E469" s="7659">
        <v>6.5000000000000002E-2</v>
      </c>
      <c r="F469" s="7563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7656"/>
      <c r="B470" s="7665"/>
      <c r="C470" s="7747"/>
      <c r="D470" s="7586"/>
      <c r="E470" s="7676"/>
      <c r="F470" s="7586"/>
      <c r="G470" s="1468">
        <v>10000000</v>
      </c>
      <c r="H470" s="1468" t="s">
        <v>3771</v>
      </c>
      <c r="I470" s="21" t="s">
        <v>3772</v>
      </c>
      <c r="J470" s="7563">
        <f>G470+G471+G472</f>
        <v>38000000</v>
      </c>
      <c r="K470" s="7563">
        <f>38000000-J470</f>
        <v>0</v>
      </c>
      <c r="L470" s="345" t="s">
        <v>3350</v>
      </c>
    </row>
    <row r="471" spans="1:12" ht="30" customHeight="1" x14ac:dyDescent="0.2">
      <c r="A471" s="7656"/>
      <c r="B471" s="7665"/>
      <c r="C471" s="7747"/>
      <c r="D471" s="7586"/>
      <c r="E471" s="7676"/>
      <c r="F471" s="7586"/>
      <c r="G471" s="1898">
        <v>9800000</v>
      </c>
      <c r="H471" s="1898" t="s">
        <v>3893</v>
      </c>
      <c r="I471" s="21" t="s">
        <v>2394</v>
      </c>
      <c r="J471" s="7586"/>
      <c r="K471" s="7586"/>
      <c r="L471" s="345"/>
    </row>
    <row r="472" spans="1:12" ht="30" customHeight="1" x14ac:dyDescent="0.2">
      <c r="A472" s="7655"/>
      <c r="B472" s="7653"/>
      <c r="C472" s="7724"/>
      <c r="D472" s="7564"/>
      <c r="E472" s="7660"/>
      <c r="F472" s="7564"/>
      <c r="G472" s="1898">
        <v>18200000</v>
      </c>
      <c r="H472" s="1898" t="s">
        <v>3893</v>
      </c>
      <c r="I472" s="21" t="s">
        <v>2394</v>
      </c>
      <c r="J472" s="7564"/>
      <c r="K472" s="7564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7563">
        <v>30000000</v>
      </c>
      <c r="H474" s="7563" t="s">
        <v>3463</v>
      </c>
      <c r="I474" s="7772" t="s">
        <v>3467</v>
      </c>
      <c r="J474" s="7563">
        <f>G474</f>
        <v>30000000</v>
      </c>
      <c r="K474" s="7563">
        <f>(F474+F475)-J474</f>
        <v>-6000000</v>
      </c>
      <c r="L474" s="7818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7564"/>
      <c r="H475" s="7564"/>
      <c r="I475" s="7773"/>
      <c r="J475" s="7564"/>
      <c r="K475" s="7564"/>
      <c r="L475" s="7819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8" t="s">
        <v>2045</v>
      </c>
    </row>
    <row r="477" spans="1:12" ht="30" customHeight="1" x14ac:dyDescent="0.2">
      <c r="A477" s="7654">
        <v>311</v>
      </c>
      <c r="B477" s="7652" t="s">
        <v>158</v>
      </c>
      <c r="C477" s="7723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7655"/>
      <c r="B478" s="7653"/>
      <c r="C478" s="7724"/>
      <c r="D478" s="1579">
        <v>85000000</v>
      </c>
      <c r="E478" s="1598">
        <v>0.05</v>
      </c>
      <c r="F478" s="1579">
        <f t="shared" si="43"/>
        <v>4250000</v>
      </c>
      <c r="G478" s="7470" t="s">
        <v>3452</v>
      </c>
      <c r="H478" s="7493"/>
      <c r="I478" s="7493"/>
      <c r="J478" s="7510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7654">
        <v>313</v>
      </c>
      <c r="B480" s="7652" t="s">
        <v>161</v>
      </c>
      <c r="C480" s="7723"/>
      <c r="D480" s="7563">
        <v>152000000</v>
      </c>
      <c r="E480" s="7659">
        <v>0.05</v>
      </c>
      <c r="F480" s="7563">
        <f>D480*E480</f>
        <v>7600000</v>
      </c>
      <c r="G480" s="1468">
        <v>5600000</v>
      </c>
      <c r="H480" s="1468" t="s">
        <v>3463</v>
      </c>
      <c r="I480" s="21" t="s">
        <v>3468</v>
      </c>
      <c r="J480" s="7563">
        <f>G480+G481</f>
        <v>7600000</v>
      </c>
      <c r="K480" s="7563">
        <f t="shared" si="44"/>
        <v>0</v>
      </c>
      <c r="L480" s="7703"/>
    </row>
    <row r="481" spans="1:12" ht="30" customHeight="1" x14ac:dyDescent="0.2">
      <c r="A481" s="7655"/>
      <c r="B481" s="7653"/>
      <c r="C481" s="7724"/>
      <c r="D481" s="7564"/>
      <c r="E481" s="7660"/>
      <c r="F481" s="7564"/>
      <c r="G481" s="1641">
        <v>2000000</v>
      </c>
      <c r="H481" s="1641" t="s">
        <v>3558</v>
      </c>
      <c r="I481" s="21" t="s">
        <v>3560</v>
      </c>
      <c r="J481" s="7564"/>
      <c r="K481" s="7564"/>
      <c r="L481" s="7705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7654">
        <v>317</v>
      </c>
      <c r="B485" s="7652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7656"/>
      <c r="B486" s="7665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6">
        <v>10000000</v>
      </c>
      <c r="H486" s="1716" t="s">
        <v>3660</v>
      </c>
      <c r="I486" s="21" t="s">
        <v>2996</v>
      </c>
      <c r="J486" s="7563">
        <f>G486+G487</f>
        <v>17000000</v>
      </c>
      <c r="K486" s="7563">
        <f>17000000-J486</f>
        <v>0</v>
      </c>
      <c r="L486" s="97" t="s">
        <v>2709</v>
      </c>
    </row>
    <row r="487" spans="1:12" ht="30" customHeight="1" x14ac:dyDescent="0.2">
      <c r="A487" s="7655"/>
      <c r="B487" s="7653"/>
      <c r="C487" s="1487"/>
      <c r="D487" s="1468"/>
      <c r="E487" s="1515"/>
      <c r="F487" s="1468"/>
      <c r="G487" s="1716">
        <v>7000000</v>
      </c>
      <c r="H487" s="1716" t="s">
        <v>3676</v>
      </c>
      <c r="I487" s="21" t="s">
        <v>3584</v>
      </c>
      <c r="J487" s="7564"/>
      <c r="K487" s="7564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7654">
        <v>320</v>
      </c>
      <c r="B490" s="7652" t="s">
        <v>169</v>
      </c>
      <c r="C490" s="7723" t="s">
        <v>2278</v>
      </c>
      <c r="D490" s="1468">
        <v>135000000</v>
      </c>
      <c r="E490" s="1515">
        <v>0.06</v>
      </c>
      <c r="F490" s="1468">
        <v>8000000</v>
      </c>
      <c r="G490" s="7563">
        <v>9750000</v>
      </c>
      <c r="H490" s="7563" t="s">
        <v>3676</v>
      </c>
      <c r="I490" s="7561" t="s">
        <v>3678</v>
      </c>
      <c r="J490" s="7563">
        <f t="shared" si="45"/>
        <v>9750000</v>
      </c>
      <c r="K490" s="7563">
        <f>(F490+F491)-J490</f>
        <v>0</v>
      </c>
      <c r="L490" s="97"/>
    </row>
    <row r="491" spans="1:12" ht="30" customHeight="1" x14ac:dyDescent="0.2">
      <c r="A491" s="7655"/>
      <c r="B491" s="7653"/>
      <c r="C491" s="7724"/>
      <c r="D491" s="1579">
        <v>35000000</v>
      </c>
      <c r="E491" s="1598">
        <v>0.05</v>
      </c>
      <c r="F491" s="1579">
        <f>D491*E491</f>
        <v>1750000</v>
      </c>
      <c r="G491" s="7564"/>
      <c r="H491" s="7564"/>
      <c r="I491" s="7562"/>
      <c r="J491" s="7564"/>
      <c r="K491" s="7564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7654">
        <v>322</v>
      </c>
      <c r="B493" s="7652" t="s">
        <v>1378</v>
      </c>
      <c r="C493" s="7723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7655"/>
      <c r="B494" s="7653"/>
      <c r="C494" s="7724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7654">
        <v>325</v>
      </c>
      <c r="B497" s="7652" t="s">
        <v>270</v>
      </c>
      <c r="C497" s="7723"/>
      <c r="D497" s="1468">
        <v>300000000</v>
      </c>
      <c r="E497" s="1515">
        <v>0.1</v>
      </c>
      <c r="F497" s="1468">
        <v>30750000</v>
      </c>
      <c r="G497" s="7563">
        <v>40550000</v>
      </c>
      <c r="H497" s="7563" t="s">
        <v>3583</v>
      </c>
      <c r="I497" s="7561" t="s">
        <v>2927</v>
      </c>
      <c r="J497" s="7563">
        <f>G497</f>
        <v>40550000</v>
      </c>
      <c r="K497" s="7563">
        <f>(F497+F498)-J497</f>
        <v>0</v>
      </c>
      <c r="L497" s="7723"/>
    </row>
    <row r="498" spans="1:12" ht="30" customHeight="1" x14ac:dyDescent="0.2">
      <c r="A498" s="7655"/>
      <c r="B498" s="7653"/>
      <c r="C498" s="7724"/>
      <c r="D498" s="1468">
        <v>140000000</v>
      </c>
      <c r="E498" s="1515">
        <v>7.0000000000000007E-2</v>
      </c>
      <c r="F498" s="1468">
        <v>9800000</v>
      </c>
      <c r="G498" s="7564"/>
      <c r="H498" s="7564"/>
      <c r="I498" s="7562"/>
      <c r="J498" s="7564"/>
      <c r="K498" s="7564"/>
      <c r="L498" s="7724"/>
    </row>
    <row r="499" spans="1:12" ht="30" customHeight="1" x14ac:dyDescent="0.2">
      <c r="A499" s="7654">
        <v>326</v>
      </c>
      <c r="B499" s="7717" t="s">
        <v>176</v>
      </c>
      <c r="C499" s="7873"/>
      <c r="D499" s="7482">
        <v>500000000</v>
      </c>
      <c r="E499" s="7870">
        <v>0.05</v>
      </c>
      <c r="F499" s="7482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7757" t="s">
        <v>3387</v>
      </c>
    </row>
    <row r="500" spans="1:12" ht="30" customHeight="1" x14ac:dyDescent="0.2">
      <c r="A500" s="7655"/>
      <c r="B500" s="7717"/>
      <c r="C500" s="7873"/>
      <c r="D500" s="7482"/>
      <c r="E500" s="7870"/>
      <c r="F500" s="7482"/>
      <c r="G500" s="233"/>
      <c r="H500" s="233"/>
      <c r="I500" s="233"/>
      <c r="J500" s="233"/>
      <c r="K500" s="1468"/>
      <c r="L500" s="7758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7654">
        <v>328</v>
      </c>
      <c r="B502" s="7652" t="s">
        <v>2675</v>
      </c>
      <c r="C502" s="7723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4661</v>
      </c>
    </row>
    <row r="503" spans="1:12" ht="30" customHeight="1" x14ac:dyDescent="0.2">
      <c r="A503" s="7656"/>
      <c r="B503" s="7665"/>
      <c r="C503" s="7747"/>
      <c r="D503" s="7494" t="s">
        <v>3444</v>
      </c>
      <c r="E503" s="7495"/>
      <c r="F503" s="7768"/>
      <c r="G503" s="1468">
        <v>50000000</v>
      </c>
      <c r="H503" s="1468" t="s">
        <v>3427</v>
      </c>
      <c r="I503" s="21" t="s">
        <v>1434</v>
      </c>
      <c r="J503" s="7563">
        <f>G503+G504</f>
        <v>60000000</v>
      </c>
      <c r="K503" s="7563">
        <f>60000000-J503</f>
        <v>0</v>
      </c>
      <c r="L503" s="7713" t="s">
        <v>3428</v>
      </c>
    </row>
    <row r="504" spans="1:12" ht="30" customHeight="1" x14ac:dyDescent="0.2">
      <c r="A504" s="7655"/>
      <c r="B504" s="7653"/>
      <c r="C504" s="7724"/>
      <c r="D504" s="7769"/>
      <c r="E504" s="7805"/>
      <c r="F504" s="7770"/>
      <c r="G504" s="1579">
        <v>10000000</v>
      </c>
      <c r="H504" s="1579" t="s">
        <v>3440</v>
      </c>
      <c r="I504" s="21" t="s">
        <v>3443</v>
      </c>
      <c r="J504" s="7564"/>
      <c r="K504" s="7564"/>
      <c r="L504" s="7714"/>
    </row>
    <row r="505" spans="1:12" ht="30" customHeight="1" x14ac:dyDescent="0.2">
      <c r="A505" s="7654"/>
      <c r="B505" s="7652" t="s">
        <v>2675</v>
      </c>
      <c r="C505" s="7723" t="s">
        <v>942</v>
      </c>
      <c r="D505" s="8026">
        <v>685000000</v>
      </c>
      <c r="E505" s="8028">
        <v>0.06</v>
      </c>
      <c r="F505" s="8026">
        <f>D505*E505</f>
        <v>41100000</v>
      </c>
      <c r="G505" s="7732" t="s">
        <v>4662</v>
      </c>
      <c r="H505" s="7733"/>
      <c r="I505" s="7733"/>
      <c r="J505" s="7734"/>
      <c r="K505" s="1579"/>
      <c r="L505" s="1580"/>
    </row>
    <row r="506" spans="1:12" ht="30" customHeight="1" x14ac:dyDescent="0.2">
      <c r="A506" s="7655"/>
      <c r="B506" s="7653"/>
      <c r="C506" s="7724"/>
      <c r="D506" s="8027"/>
      <c r="E506" s="8029"/>
      <c r="F506" s="8027"/>
      <c r="G506" s="2170">
        <v>40000000</v>
      </c>
      <c r="H506" s="2170" t="s">
        <v>3531</v>
      </c>
      <c r="I506" s="21" t="s">
        <v>3532</v>
      </c>
      <c r="J506" s="2169">
        <f>G506</f>
        <v>40000000</v>
      </c>
      <c r="K506" s="2170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7654">
        <v>333</v>
      </c>
      <c r="B511" s="7652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7563">
        <v>21000000</v>
      </c>
      <c r="H511" s="7563" t="s">
        <v>3499</v>
      </c>
      <c r="I511" s="7561" t="s">
        <v>3503</v>
      </c>
      <c r="J511" s="7482">
        <f>G511</f>
        <v>21000000</v>
      </c>
      <c r="K511" s="7482">
        <f>(F511+F512)-J511</f>
        <v>0</v>
      </c>
      <c r="L511" s="7818" t="s">
        <v>3504</v>
      </c>
    </row>
    <row r="512" spans="1:12" ht="30" customHeight="1" x14ac:dyDescent="0.2">
      <c r="A512" s="7655"/>
      <c r="B512" s="7653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7564"/>
      <c r="H512" s="7564"/>
      <c r="I512" s="7562"/>
      <c r="J512" s="7482"/>
      <c r="K512" s="7482"/>
      <c r="L512" s="7819"/>
    </row>
    <row r="513" spans="1:12" ht="30" customHeight="1" x14ac:dyDescent="0.2">
      <c r="A513" s="7654">
        <v>335</v>
      </c>
      <c r="B513" s="7652" t="s">
        <v>1276</v>
      </c>
      <c r="C513" s="7723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7655"/>
      <c r="B514" s="7653"/>
      <c r="C514" s="7724"/>
      <c r="D514" s="1468">
        <v>15000000</v>
      </c>
      <c r="E514" s="1515">
        <v>0.05</v>
      </c>
      <c r="F514" s="1468">
        <f t="shared" si="48"/>
        <v>750000</v>
      </c>
      <c r="G514" s="7861" t="s">
        <v>3388</v>
      </c>
      <c r="H514" s="7862"/>
      <c r="I514" s="7862"/>
      <c r="J514" s="7863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7654">
        <v>338</v>
      </c>
      <c r="B517" s="7795" t="s">
        <v>1677</v>
      </c>
      <c r="C517" s="7787" t="s">
        <v>889</v>
      </c>
      <c r="D517" s="3251">
        <v>235500000</v>
      </c>
      <c r="E517" s="1515">
        <v>0.05</v>
      </c>
      <c r="F517" s="1468">
        <f t="shared" si="49"/>
        <v>11775000</v>
      </c>
      <c r="G517" s="7563">
        <v>40265000</v>
      </c>
      <c r="H517" s="7563" t="s">
        <v>3485</v>
      </c>
      <c r="I517" s="7563" t="s">
        <v>3524</v>
      </c>
      <c r="J517" s="7563">
        <f>G517</f>
        <v>40265000</v>
      </c>
      <c r="K517" s="7563">
        <f>F525-J517</f>
        <v>0</v>
      </c>
      <c r="L517" s="7798" t="s">
        <v>3337</v>
      </c>
    </row>
    <row r="518" spans="1:12" ht="30" customHeight="1" x14ac:dyDescent="0.2">
      <c r="A518" s="7656"/>
      <c r="B518" s="7958"/>
      <c r="C518" s="7894"/>
      <c r="D518" s="3247">
        <v>300000000</v>
      </c>
      <c r="E518" s="3249">
        <v>7.0000000000000007E-2</v>
      </c>
      <c r="F518" s="3247">
        <f t="shared" si="49"/>
        <v>21000000.000000004</v>
      </c>
      <c r="G518" s="7586"/>
      <c r="H518" s="7586"/>
      <c r="I518" s="7586"/>
      <c r="J518" s="7586"/>
      <c r="K518" s="7586"/>
      <c r="L518" s="7799"/>
    </row>
    <row r="519" spans="1:12" ht="30" customHeight="1" x14ac:dyDescent="0.2">
      <c r="A519" s="7656"/>
      <c r="B519" s="7958"/>
      <c r="C519" s="7894"/>
      <c r="D519" s="3247">
        <v>30000000</v>
      </c>
      <c r="E519" s="3249">
        <v>7.0000000000000007E-2</v>
      </c>
      <c r="F519" s="3247">
        <f t="shared" si="49"/>
        <v>2100000</v>
      </c>
      <c r="G519" s="7586"/>
      <c r="H519" s="7586"/>
      <c r="I519" s="7586"/>
      <c r="J519" s="7586"/>
      <c r="K519" s="7586"/>
      <c r="L519" s="7799"/>
    </row>
    <row r="520" spans="1:12" ht="30" customHeight="1" x14ac:dyDescent="0.2">
      <c r="A520" s="7656"/>
      <c r="B520" s="7958"/>
      <c r="C520" s="7894"/>
      <c r="D520" s="3248">
        <v>20000000</v>
      </c>
      <c r="E520" s="3250">
        <v>7.0000000000000007E-2</v>
      </c>
      <c r="F520" s="3248">
        <f>D520*E520</f>
        <v>1400000.0000000002</v>
      </c>
      <c r="G520" s="7586"/>
      <c r="H520" s="7586"/>
      <c r="I520" s="7586"/>
      <c r="J520" s="7586"/>
      <c r="K520" s="7586"/>
      <c r="L520" s="7799"/>
    </row>
    <row r="521" spans="1:12" ht="30" customHeight="1" x14ac:dyDescent="0.2">
      <c r="A521" s="7656"/>
      <c r="B521" s="7958"/>
      <c r="C521" s="7894"/>
      <c r="D521" s="3248">
        <v>12000000</v>
      </c>
      <c r="E521" s="3250">
        <v>7.0000000000000007E-2</v>
      </c>
      <c r="F521" s="3248">
        <f>D521*E521</f>
        <v>840000.00000000012</v>
      </c>
      <c r="G521" s="7586"/>
      <c r="H521" s="7586"/>
      <c r="I521" s="7586"/>
      <c r="J521" s="7586"/>
      <c r="K521" s="7586"/>
      <c r="L521" s="7799"/>
    </row>
    <row r="522" spans="1:12" ht="30" customHeight="1" x14ac:dyDescent="0.2">
      <c r="A522" s="7656"/>
      <c r="B522" s="7958"/>
      <c r="C522" s="7894"/>
      <c r="D522" s="3248">
        <f>SUM(D518:D521)</f>
        <v>362000000</v>
      </c>
      <c r="E522" s="3250">
        <v>7.0000000000000007E-2</v>
      </c>
      <c r="F522" s="3248">
        <f>D522*E522</f>
        <v>25340000.000000004</v>
      </c>
      <c r="G522" s="7586"/>
      <c r="H522" s="7586"/>
      <c r="I522" s="7586"/>
      <c r="J522" s="7586"/>
      <c r="K522" s="7586"/>
      <c r="L522" s="7799"/>
    </row>
    <row r="523" spans="1:12" ht="30" customHeight="1" x14ac:dyDescent="0.2">
      <c r="A523" s="7656"/>
      <c r="B523" s="7958"/>
      <c r="C523" s="7894"/>
      <c r="D523" s="8015">
        <f>D517+D522</f>
        <v>597500000</v>
      </c>
      <c r="E523" s="8016"/>
      <c r="F523" s="3248">
        <f>F517+F522</f>
        <v>37115000</v>
      </c>
      <c r="G523" s="7586"/>
      <c r="H523" s="7586"/>
      <c r="I523" s="7586"/>
      <c r="J523" s="7586"/>
      <c r="K523" s="7586"/>
      <c r="L523" s="7799"/>
    </row>
    <row r="524" spans="1:12" ht="30" customHeight="1" x14ac:dyDescent="0.2">
      <c r="A524" s="7656"/>
      <c r="B524" s="7958"/>
      <c r="C524" s="7894"/>
      <c r="D524" s="3235">
        <v>45000000</v>
      </c>
      <c r="E524" s="3224">
        <v>7.0000000000000007E-2</v>
      </c>
      <c r="F524" s="3235">
        <f>D524*E524</f>
        <v>3150000.0000000005</v>
      </c>
      <c r="G524" s="7564"/>
      <c r="H524" s="7564"/>
      <c r="I524" s="7564"/>
      <c r="J524" s="7564"/>
      <c r="K524" s="7564"/>
      <c r="L524" s="7799"/>
    </row>
    <row r="525" spans="1:12" ht="30" customHeight="1" x14ac:dyDescent="0.2">
      <c r="A525" s="7655"/>
      <c r="B525" s="7796"/>
      <c r="C525" s="7788"/>
      <c r="D525" s="7858">
        <f>D523+D524</f>
        <v>642500000</v>
      </c>
      <c r="E525" s="7860"/>
      <c r="F525" s="3235">
        <f>F523+F524</f>
        <v>40265000</v>
      </c>
      <c r="G525" s="7858" t="s">
        <v>3315</v>
      </c>
      <c r="H525" s="7859"/>
      <c r="I525" s="7859"/>
      <c r="J525" s="7859"/>
      <c r="K525" s="7860"/>
      <c r="L525" s="7800"/>
    </row>
    <row r="526" spans="1:12" ht="30" customHeight="1" x14ac:dyDescent="0.2">
      <c r="A526" s="7654"/>
      <c r="B526" s="7703" t="s">
        <v>1677</v>
      </c>
      <c r="C526" s="7723" t="s">
        <v>889</v>
      </c>
      <c r="D526" s="3251">
        <v>235500000</v>
      </c>
      <c r="E526" s="1829">
        <v>0.05</v>
      </c>
      <c r="F526" s="1824">
        <f t="shared" ref="F526:F528" si="50">D526*E526</f>
        <v>11775000</v>
      </c>
      <c r="G526" s="1816"/>
      <c r="H526" s="1817"/>
      <c r="I526" s="1817"/>
      <c r="J526" s="1817"/>
      <c r="K526" s="1604"/>
      <c r="L526" s="1830"/>
    </row>
    <row r="527" spans="1:12" ht="30" customHeight="1" x14ac:dyDescent="0.2">
      <c r="A527" s="7656"/>
      <c r="B527" s="7704"/>
      <c r="C527" s="7747"/>
      <c r="D527" s="3247">
        <v>300000000</v>
      </c>
      <c r="E527" s="3249">
        <v>7.0000000000000007E-2</v>
      </c>
      <c r="F527" s="3247">
        <f t="shared" si="50"/>
        <v>21000000.000000004</v>
      </c>
      <c r="G527" s="1816"/>
      <c r="H527" s="1817"/>
      <c r="I527" s="1817"/>
      <c r="J527" s="1817"/>
      <c r="K527" s="1604"/>
      <c r="L527" s="1830"/>
    </row>
    <row r="528" spans="1:12" ht="30" customHeight="1" x14ac:dyDescent="0.2">
      <c r="A528" s="7656"/>
      <c r="B528" s="7704"/>
      <c r="C528" s="7747"/>
      <c r="D528" s="3247">
        <v>30000000</v>
      </c>
      <c r="E528" s="3249">
        <v>7.0000000000000007E-2</v>
      </c>
      <c r="F528" s="3247">
        <f t="shared" si="50"/>
        <v>2100000</v>
      </c>
      <c r="G528" s="1816"/>
      <c r="H528" s="1817"/>
      <c r="I528" s="1817"/>
      <c r="J528" s="1817"/>
      <c r="K528" s="1604"/>
      <c r="L528" s="1830"/>
    </row>
    <row r="529" spans="1:17" ht="30" customHeight="1" x14ac:dyDescent="0.2">
      <c r="A529" s="7656"/>
      <c r="B529" s="7704"/>
      <c r="C529" s="7747"/>
      <c r="D529" s="3248">
        <v>20000000</v>
      </c>
      <c r="E529" s="3250">
        <v>7.0000000000000007E-2</v>
      </c>
      <c r="F529" s="3248">
        <f>D529*E529</f>
        <v>1400000.0000000002</v>
      </c>
      <c r="G529" s="1816"/>
      <c r="H529" s="1817"/>
      <c r="I529" s="1817"/>
      <c r="J529" s="1817"/>
      <c r="K529" s="1604"/>
      <c r="L529" s="1830"/>
    </row>
    <row r="530" spans="1:17" ht="30" customHeight="1" x14ac:dyDescent="0.2">
      <c r="A530" s="7656"/>
      <c r="B530" s="7704"/>
      <c r="C530" s="7747"/>
      <c r="D530" s="3248">
        <v>12000000</v>
      </c>
      <c r="E530" s="3250">
        <v>7.0000000000000007E-2</v>
      </c>
      <c r="F530" s="3248">
        <f>D530*E530</f>
        <v>840000.00000000012</v>
      </c>
      <c r="G530" s="1816"/>
      <c r="H530" s="1817"/>
      <c r="I530" s="1817"/>
      <c r="J530" s="1817"/>
      <c r="K530" s="1604"/>
      <c r="L530" s="1830"/>
    </row>
    <row r="531" spans="1:17" ht="30" customHeight="1" x14ac:dyDescent="0.2">
      <c r="A531" s="7656"/>
      <c r="B531" s="7704"/>
      <c r="C531" s="7747"/>
      <c r="D531" s="3248">
        <f>SUM(D527:D530)</f>
        <v>362000000</v>
      </c>
      <c r="E531" s="3250">
        <v>7.0000000000000007E-2</v>
      </c>
      <c r="F531" s="3248">
        <f>D531*E531</f>
        <v>25340000.000000004</v>
      </c>
      <c r="G531" s="1816"/>
      <c r="H531" s="1817"/>
      <c r="I531" s="1817"/>
      <c r="J531" s="1817"/>
      <c r="K531" s="1604"/>
      <c r="L531" s="1830"/>
    </row>
    <row r="532" spans="1:17" ht="30" customHeight="1" x14ac:dyDescent="0.2">
      <c r="A532" s="7656"/>
      <c r="B532" s="7704"/>
      <c r="C532" s="7747"/>
      <c r="D532" s="8015">
        <f>D526+D531</f>
        <v>597500000</v>
      </c>
      <c r="E532" s="8016"/>
      <c r="F532" s="3248">
        <f>F526+F531</f>
        <v>37115000</v>
      </c>
      <c r="G532" s="1816"/>
      <c r="H532" s="1817"/>
      <c r="I532" s="1817"/>
      <c r="J532" s="1817"/>
      <c r="K532" s="1604"/>
      <c r="L532" s="1830"/>
    </row>
    <row r="533" spans="1:17" ht="30" customHeight="1" x14ac:dyDescent="0.2">
      <c r="A533" s="7656"/>
      <c r="B533" s="7704"/>
      <c r="C533" s="7747"/>
      <c r="D533" s="3235">
        <v>45000000</v>
      </c>
      <c r="E533" s="3224">
        <v>7.0000000000000007E-2</v>
      </c>
      <c r="F533" s="3235">
        <f>D533*E533</f>
        <v>3150000.0000000005</v>
      </c>
      <c r="G533" s="3209"/>
      <c r="H533" s="3211"/>
      <c r="I533" s="3211"/>
      <c r="J533" s="3211"/>
      <c r="K533" s="1604"/>
      <c r="L533" s="1830"/>
    </row>
    <row r="534" spans="1:17" ht="30" customHeight="1" x14ac:dyDescent="0.2">
      <c r="A534" s="7656"/>
      <c r="B534" s="7704"/>
      <c r="C534" s="7747"/>
      <c r="D534" s="3235">
        <v>100000000</v>
      </c>
      <c r="E534" s="3224">
        <v>7.0000000000000007E-2</v>
      </c>
      <c r="F534" s="3235">
        <f>D534*E534</f>
        <v>7000000.0000000009</v>
      </c>
      <c r="G534" s="7732" t="s">
        <v>3791</v>
      </c>
      <c r="H534" s="7733"/>
      <c r="I534" s="7733"/>
      <c r="J534" s="7733"/>
      <c r="K534" s="7734"/>
      <c r="L534" s="1830"/>
    </row>
    <row r="535" spans="1:17" ht="30" customHeight="1" x14ac:dyDescent="0.2">
      <c r="A535" s="7656"/>
      <c r="B535" s="7704"/>
      <c r="C535" s="7747"/>
      <c r="D535" s="3235">
        <v>80000000</v>
      </c>
      <c r="E535" s="3224">
        <v>7.0000000000000007E-2</v>
      </c>
      <c r="F535" s="3235">
        <f t="shared" ref="F535:F536" si="51">D535*E535</f>
        <v>5600000.0000000009</v>
      </c>
      <c r="G535" s="7732" t="s">
        <v>3792</v>
      </c>
      <c r="H535" s="7733"/>
      <c r="I535" s="7733"/>
      <c r="J535" s="7733"/>
      <c r="K535" s="7734"/>
      <c r="L535" s="1830"/>
    </row>
    <row r="536" spans="1:17" ht="30" customHeight="1" x14ac:dyDescent="0.2">
      <c r="A536" s="7656"/>
      <c r="B536" s="7704"/>
      <c r="C536" s="7747"/>
      <c r="D536" s="3235">
        <v>55000000</v>
      </c>
      <c r="E536" s="3224">
        <v>7.0000000000000007E-2</v>
      </c>
      <c r="F536" s="3235">
        <f t="shared" si="51"/>
        <v>3850000.0000000005</v>
      </c>
      <c r="G536" s="7732" t="s">
        <v>3793</v>
      </c>
      <c r="H536" s="7733"/>
      <c r="I536" s="7733"/>
      <c r="J536" s="7733"/>
      <c r="K536" s="7734"/>
      <c r="L536" s="1830"/>
    </row>
    <row r="537" spans="1:17" ht="30" customHeight="1" x14ac:dyDescent="0.2">
      <c r="A537" s="7656"/>
      <c r="B537" s="7704"/>
      <c r="C537" s="7747"/>
      <c r="D537" s="7858">
        <f>D532+D533+D534+D535+D536</f>
        <v>877500000</v>
      </c>
      <c r="E537" s="7860"/>
      <c r="F537" s="3235">
        <f>F532+F533+F534+F535+F536</f>
        <v>56715000</v>
      </c>
      <c r="G537" s="7806" t="s">
        <v>3673</v>
      </c>
      <c r="H537" s="7807"/>
      <c r="I537" s="7807"/>
      <c r="J537" s="7807"/>
      <c r="K537" s="7808"/>
      <c r="L537" s="1830"/>
    </row>
    <row r="538" spans="1:17" ht="30" customHeight="1" x14ac:dyDescent="0.2">
      <c r="A538" s="7656"/>
      <c r="B538" s="7704"/>
      <c r="C538" s="7747"/>
      <c r="D538" s="1855">
        <v>150000000</v>
      </c>
      <c r="E538" s="1920">
        <v>7.0000000000000007E-2</v>
      </c>
      <c r="F538" s="1855">
        <f>D538*E538</f>
        <v>10500000.000000002</v>
      </c>
      <c r="G538" s="7732" t="s">
        <v>3881</v>
      </c>
      <c r="H538" s="7733"/>
      <c r="I538" s="7733"/>
      <c r="J538" s="7733"/>
      <c r="K538" s="7734"/>
      <c r="L538" s="1910"/>
    </row>
    <row r="539" spans="1:17" ht="30" customHeight="1" x14ac:dyDescent="0.2">
      <c r="A539" s="7656"/>
      <c r="B539" s="7704"/>
      <c r="C539" s="7747"/>
      <c r="D539" s="8004">
        <f>D537+D538</f>
        <v>1027500000</v>
      </c>
      <c r="E539" s="8005"/>
      <c r="F539" s="1855">
        <f>F537+F538</f>
        <v>67215000</v>
      </c>
      <c r="G539" s="8085" t="s">
        <v>3882</v>
      </c>
      <c r="H539" s="8086"/>
      <c r="I539" s="8086"/>
      <c r="J539" s="8086"/>
      <c r="K539" s="8087"/>
      <c r="L539" s="1910"/>
    </row>
    <row r="540" spans="1:17" ht="30" customHeight="1" x14ac:dyDescent="0.2">
      <c r="A540" s="7655"/>
      <c r="B540" s="7705"/>
      <c r="C540" s="7724"/>
      <c r="D540" s="3218"/>
      <c r="E540" s="3214"/>
      <c r="F540" s="3218"/>
      <c r="G540" s="1905"/>
      <c r="H540" s="1906"/>
      <c r="I540" s="1906"/>
      <c r="J540" s="1906"/>
      <c r="K540" s="1907"/>
      <c r="L540" s="1910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7654">
        <v>340</v>
      </c>
      <c r="B542" s="7703" t="s">
        <v>67</v>
      </c>
      <c r="C542" s="7723" t="s">
        <v>1138</v>
      </c>
      <c r="D542" s="1468">
        <v>60000000</v>
      </c>
      <c r="E542" s="1515">
        <v>0.05</v>
      </c>
      <c r="F542" s="1468">
        <f>D542*E542</f>
        <v>3000000</v>
      </c>
      <c r="G542" s="7470" t="s">
        <v>2404</v>
      </c>
      <c r="H542" s="7493"/>
      <c r="I542" s="7510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7655"/>
      <c r="B543" s="7705"/>
      <c r="C543" s="7724"/>
      <c r="D543" s="2036">
        <v>25000000</v>
      </c>
      <c r="E543" s="2039">
        <v>0.05</v>
      </c>
      <c r="F543" s="2036">
        <f>D543*E543</f>
        <v>1250000</v>
      </c>
      <c r="G543" s="7732" t="s">
        <v>4248</v>
      </c>
      <c r="H543" s="7733"/>
      <c r="I543" s="7733"/>
      <c r="J543" s="7734"/>
      <c r="K543" s="2038"/>
      <c r="L543" s="2022" t="s">
        <v>4249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3942</v>
      </c>
      <c r="I550" s="1481" t="s">
        <v>3951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7898" t="s">
        <v>1556</v>
      </c>
      <c r="F553" s="7899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7879">
        <v>353</v>
      </c>
      <c r="B556" s="7717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7879"/>
      <c r="B557" s="7717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7654">
        <v>356</v>
      </c>
      <c r="B559" s="7652" t="s">
        <v>1590</v>
      </c>
      <c r="C559" s="7723"/>
      <c r="D559" s="1884">
        <v>60000000</v>
      </c>
      <c r="E559" s="1887">
        <v>0.04</v>
      </c>
      <c r="F559" s="1884">
        <f t="shared" si="55"/>
        <v>2400000</v>
      </c>
      <c r="G559" s="7563">
        <v>2800000</v>
      </c>
      <c r="H559" s="7563" t="s">
        <v>3463</v>
      </c>
      <c r="I559" s="7889" t="s">
        <v>3464</v>
      </c>
      <c r="J559" s="7563">
        <f t="shared" si="54"/>
        <v>2800000</v>
      </c>
      <c r="K559" s="7816">
        <f>(F559+F560)-J559</f>
        <v>0</v>
      </c>
      <c r="L559" s="7816"/>
      <c r="M559" s="386"/>
      <c r="N559" s="386"/>
      <c r="O559" s="386"/>
      <c r="P559" s="386"/>
      <c r="Q559" s="386"/>
    </row>
    <row r="560" spans="1:17" ht="30" customHeight="1" x14ac:dyDescent="0.2">
      <c r="A560" s="7655"/>
      <c r="B560" s="7653"/>
      <c r="C560" s="7724"/>
      <c r="D560" s="1884">
        <v>10000000</v>
      </c>
      <c r="E560" s="1887">
        <v>0.04</v>
      </c>
      <c r="F560" s="1884">
        <f t="shared" si="55"/>
        <v>400000</v>
      </c>
      <c r="G560" s="7564"/>
      <c r="H560" s="7564"/>
      <c r="I560" s="7890"/>
      <c r="J560" s="7564"/>
      <c r="K560" s="7817"/>
      <c r="L560" s="7817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7654">
        <v>358</v>
      </c>
      <c r="B562" s="7652" t="s">
        <v>1597</v>
      </c>
      <c r="C562" s="7723"/>
      <c r="D562" s="7677"/>
      <c r="E562" s="7691"/>
      <c r="F562" s="7677"/>
      <c r="G562" s="1468">
        <v>50000000</v>
      </c>
      <c r="H562" s="1468" t="s">
        <v>3558</v>
      </c>
      <c r="I562" s="472" t="s">
        <v>3582</v>
      </c>
      <c r="J562" s="7563">
        <f>G562+G563</f>
        <v>105000000</v>
      </c>
      <c r="K562" s="7841">
        <f>F562-J562</f>
        <v>-105000000</v>
      </c>
      <c r="L562" s="7816"/>
      <c r="M562" s="386"/>
      <c r="N562" s="386"/>
      <c r="O562" s="386"/>
      <c r="P562" s="386"/>
      <c r="Q562" s="386"/>
    </row>
    <row r="563" spans="1:17" ht="30" customHeight="1" x14ac:dyDescent="0.2">
      <c r="A563" s="7655"/>
      <c r="B563" s="7653"/>
      <c r="C563" s="7724"/>
      <c r="D563" s="7678"/>
      <c r="E563" s="7693"/>
      <c r="F563" s="7678"/>
      <c r="G563" s="1673">
        <v>55000000</v>
      </c>
      <c r="H563" s="1673" t="s">
        <v>3595</v>
      </c>
      <c r="I563" s="472" t="s">
        <v>2655</v>
      </c>
      <c r="J563" s="7564"/>
      <c r="K563" s="7842"/>
      <c r="L563" s="7817"/>
      <c r="M563" s="386"/>
      <c r="N563" s="386"/>
      <c r="O563" s="386"/>
      <c r="P563" s="386"/>
      <c r="Q563" s="386"/>
    </row>
    <row r="564" spans="1:17" ht="30" customHeight="1" x14ac:dyDescent="0.2">
      <c r="A564" s="7654">
        <v>359</v>
      </c>
      <c r="B564" s="7652" t="s">
        <v>1599</v>
      </c>
      <c r="C564" s="7723"/>
      <c r="D564" s="7677"/>
      <c r="E564" s="7691"/>
      <c r="F564" s="7677"/>
      <c r="G564" s="1468"/>
      <c r="H564" s="1468"/>
      <c r="I564" s="472"/>
      <c r="J564" s="7563">
        <f>G564+G565</f>
        <v>0</v>
      </c>
      <c r="K564" s="7841">
        <f>F564-J564</f>
        <v>0</v>
      </c>
      <c r="L564" s="7816"/>
      <c r="M564" s="386"/>
      <c r="N564" s="386"/>
      <c r="O564" s="386"/>
      <c r="P564" s="386"/>
      <c r="Q564" s="386"/>
    </row>
    <row r="565" spans="1:17" ht="30" customHeight="1" x14ac:dyDescent="0.2">
      <c r="A565" s="7655"/>
      <c r="B565" s="7653"/>
      <c r="C565" s="7724"/>
      <c r="D565" s="7678"/>
      <c r="E565" s="7693"/>
      <c r="F565" s="7678"/>
      <c r="G565" s="1468"/>
      <c r="H565" s="1468"/>
      <c r="I565" s="472"/>
      <c r="J565" s="7564"/>
      <c r="K565" s="7842"/>
      <c r="L565" s="7817"/>
      <c r="M565" s="386"/>
      <c r="N565" s="386"/>
      <c r="O565" s="386"/>
      <c r="P565" s="386"/>
      <c r="Q565" s="386"/>
    </row>
    <row r="566" spans="1:17" ht="30" customHeight="1" x14ac:dyDescent="0.2">
      <c r="A566" s="7654">
        <v>360</v>
      </c>
      <c r="B566" s="7652" t="s">
        <v>1614</v>
      </c>
      <c r="C566" s="7723" t="s">
        <v>889</v>
      </c>
      <c r="D566" s="1488">
        <v>290000000</v>
      </c>
      <c r="E566" s="1515">
        <v>0.05</v>
      </c>
      <c r="F566" s="1488">
        <f>D566*E566</f>
        <v>14500000</v>
      </c>
      <c r="G566" s="7563">
        <v>27100000</v>
      </c>
      <c r="H566" s="7563" t="s">
        <v>3434</v>
      </c>
      <c r="I566" s="7889" t="s">
        <v>1611</v>
      </c>
      <c r="J566" s="7563">
        <f>G566+G567</f>
        <v>27100000</v>
      </c>
      <c r="K566" s="7816">
        <f>(F566+F567)-G566</f>
        <v>0</v>
      </c>
      <c r="L566" s="7816"/>
      <c r="M566" s="386"/>
      <c r="N566" s="386"/>
      <c r="O566" s="386"/>
      <c r="P566" s="386"/>
      <c r="Q566" s="386"/>
    </row>
    <row r="567" spans="1:17" ht="30" customHeight="1" x14ac:dyDescent="0.2">
      <c r="A567" s="7655"/>
      <c r="B567" s="7653"/>
      <c r="C567" s="7724"/>
      <c r="D567" s="1488">
        <v>210000000</v>
      </c>
      <c r="E567" s="1515">
        <v>0.06</v>
      </c>
      <c r="F567" s="1488">
        <f>D567*E567</f>
        <v>12600000</v>
      </c>
      <c r="G567" s="7564"/>
      <c r="H567" s="7564"/>
      <c r="I567" s="7890"/>
      <c r="J567" s="7564"/>
      <c r="K567" s="7817"/>
      <c r="L567" s="7817"/>
      <c r="M567" s="386"/>
      <c r="N567" s="386"/>
      <c r="O567" s="386"/>
      <c r="P567" s="386"/>
      <c r="Q567" s="386"/>
    </row>
    <row r="568" spans="1:17" ht="30" customHeight="1" x14ac:dyDescent="0.2">
      <c r="A568" s="7654">
        <v>361</v>
      </c>
      <c r="B568" s="7652" t="s">
        <v>1612</v>
      </c>
      <c r="C568" s="7723"/>
      <c r="D568" s="7563">
        <v>3045000000</v>
      </c>
      <c r="E568" s="7659"/>
      <c r="F568" s="7563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7656"/>
      <c r="B569" s="7665"/>
      <c r="C569" s="7747"/>
      <c r="D569" s="7586"/>
      <c r="E569" s="7676"/>
      <c r="F569" s="7586"/>
      <c r="G569" s="1468">
        <v>50000000</v>
      </c>
      <c r="H569" s="1468"/>
      <c r="I569" s="472"/>
      <c r="J569" s="7482">
        <f>G569+G570+G571+G572+G573+G574+G575+G576+G577+G578</f>
        <v>103600000</v>
      </c>
      <c r="K569" s="7499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7656"/>
      <c r="B570" s="7665"/>
      <c r="C570" s="7747"/>
      <c r="D570" s="7586"/>
      <c r="E570" s="7676"/>
      <c r="F570" s="7586"/>
      <c r="G570" s="1468">
        <v>2000000</v>
      </c>
      <c r="H570" s="1468" t="s">
        <v>3417</v>
      </c>
      <c r="I570" s="472" t="s">
        <v>2467</v>
      </c>
      <c r="J570" s="7482"/>
      <c r="K570" s="7499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7656"/>
      <c r="B571" s="7665"/>
      <c r="C571" s="7747"/>
      <c r="D571" s="7586"/>
      <c r="E571" s="7676"/>
      <c r="F571" s="7586"/>
      <c r="G571" s="1468">
        <v>11600000</v>
      </c>
      <c r="H571" s="1468" t="s">
        <v>3558</v>
      </c>
      <c r="I571" s="472" t="s">
        <v>1613</v>
      </c>
      <c r="J571" s="7482"/>
      <c r="K571" s="7499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7656"/>
      <c r="B572" s="7665"/>
      <c r="C572" s="7747"/>
      <c r="D572" s="7586"/>
      <c r="E572" s="7676"/>
      <c r="F572" s="7586"/>
      <c r="G572" s="1468">
        <v>40000000</v>
      </c>
      <c r="H572" s="1468" t="s">
        <v>3676</v>
      </c>
      <c r="I572" s="472" t="s">
        <v>1613</v>
      </c>
      <c r="J572" s="7482"/>
      <c r="K572" s="7499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7656"/>
      <c r="B573" s="7665"/>
      <c r="C573" s="7747"/>
      <c r="D573" s="7586"/>
      <c r="E573" s="7676"/>
      <c r="F573" s="7586"/>
      <c r="G573" s="1468"/>
      <c r="H573" s="1468"/>
      <c r="I573" s="472"/>
      <c r="J573" s="7482"/>
      <c r="K573" s="7499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7656"/>
      <c r="B574" s="7665"/>
      <c r="C574" s="7747"/>
      <c r="D574" s="7586"/>
      <c r="E574" s="7676"/>
      <c r="F574" s="7586"/>
      <c r="G574" s="1468"/>
      <c r="H574" s="1468"/>
      <c r="I574" s="472"/>
      <c r="J574" s="7482"/>
      <c r="K574" s="7499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7656"/>
      <c r="B575" s="7665"/>
      <c r="C575" s="7747"/>
      <c r="D575" s="7586"/>
      <c r="E575" s="7676"/>
      <c r="F575" s="7586"/>
      <c r="G575" s="1468"/>
      <c r="H575" s="1468"/>
      <c r="I575" s="472"/>
      <c r="J575" s="7482"/>
      <c r="K575" s="7499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7656"/>
      <c r="B576" s="7665"/>
      <c r="C576" s="7747"/>
      <c r="D576" s="7586"/>
      <c r="E576" s="7676"/>
      <c r="F576" s="7586"/>
      <c r="G576" s="1468"/>
      <c r="H576" s="1468"/>
      <c r="I576" s="472"/>
      <c r="J576" s="7482"/>
      <c r="K576" s="7499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7656"/>
      <c r="B577" s="7665"/>
      <c r="C577" s="7747"/>
      <c r="D577" s="7586"/>
      <c r="E577" s="7676"/>
      <c r="F577" s="7586"/>
      <c r="G577" s="1468"/>
      <c r="H577" s="1468"/>
      <c r="I577" s="472"/>
      <c r="J577" s="7482"/>
      <c r="K577" s="7499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7655"/>
      <c r="B578" s="7653"/>
      <c r="C578" s="7724"/>
      <c r="D578" s="7564"/>
      <c r="E578" s="7660"/>
      <c r="F578" s="7564"/>
      <c r="G578" s="1468"/>
      <c r="H578" s="1468"/>
      <c r="I578" s="472"/>
      <c r="J578" s="7482"/>
      <c r="K578" s="7499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7654">
        <v>362</v>
      </c>
      <c r="B579" s="7703" t="s">
        <v>1619</v>
      </c>
      <c r="C579" s="7723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7655"/>
      <c r="B580" s="7705"/>
      <c r="C580" s="7724"/>
      <c r="D580" s="1579">
        <v>360000000</v>
      </c>
      <c r="E580" s="1598">
        <v>4.4999999999999998E-2</v>
      </c>
      <c r="F580" s="1579">
        <v>16500000</v>
      </c>
      <c r="G580" s="7732" t="s">
        <v>3451</v>
      </c>
      <c r="H580" s="7733"/>
      <c r="I580" s="7733"/>
      <c r="J580" s="7734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7879">
        <v>368</v>
      </c>
      <c r="B586" s="7717" t="s">
        <v>1793</v>
      </c>
      <c r="C586" s="7873"/>
      <c r="D586" s="7482">
        <v>800000000</v>
      </c>
      <c r="E586" s="7870">
        <v>7.0000000000000007E-2</v>
      </c>
      <c r="F586" s="7482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7482">
        <f>G586+G587</f>
        <v>40000000</v>
      </c>
      <c r="K586" s="7499">
        <f>F586-16000000-J586</f>
        <v>0</v>
      </c>
      <c r="L586" s="7811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7879"/>
      <c r="B587" s="7717"/>
      <c r="C587" s="7873"/>
      <c r="D587" s="7482"/>
      <c r="E587" s="7870"/>
      <c r="F587" s="7482"/>
      <c r="G587" s="1562">
        <v>20000000</v>
      </c>
      <c r="H587" s="1562" t="s">
        <v>3528</v>
      </c>
      <c r="I587" s="1029" t="s">
        <v>2579</v>
      </c>
      <c r="J587" s="7482"/>
      <c r="K587" s="7499"/>
      <c r="L587" s="7812"/>
      <c r="M587" s="386"/>
      <c r="N587" s="386"/>
      <c r="O587" s="386"/>
      <c r="P587" s="386"/>
      <c r="Q587" s="386"/>
    </row>
    <row r="588" spans="1:17" ht="30" customHeight="1" x14ac:dyDescent="0.2">
      <c r="A588" s="7654">
        <v>369</v>
      </c>
      <c r="B588" s="7652" t="s">
        <v>1676</v>
      </c>
      <c r="C588" s="7723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7732" t="s">
        <v>3497</v>
      </c>
      <c r="J588" s="7733"/>
      <c r="K588" s="7734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7656"/>
      <c r="B589" s="7665"/>
      <c r="C589" s="7747"/>
      <c r="D589" s="1797">
        <v>150000000</v>
      </c>
      <c r="E589" s="1796">
        <v>0.06</v>
      </c>
      <c r="F589" s="1797">
        <f>D589*E589</f>
        <v>9000000</v>
      </c>
      <c r="G589" s="8000" t="s">
        <v>3884</v>
      </c>
      <c r="H589" s="8000"/>
      <c r="I589" s="8000"/>
      <c r="J589" s="8000"/>
      <c r="K589" s="1815"/>
      <c r="L589" s="1811"/>
      <c r="M589" s="386"/>
      <c r="N589" s="386"/>
      <c r="O589" s="386"/>
      <c r="P589" s="386"/>
      <c r="Q589" s="386"/>
    </row>
    <row r="590" spans="1:17" ht="30" customHeight="1" x14ac:dyDescent="0.2">
      <c r="A590" s="7655"/>
      <c r="B590" s="7653"/>
      <c r="C590" s="7724"/>
      <c r="D590" s="1898">
        <v>50000000</v>
      </c>
      <c r="E590" s="1896">
        <v>0.06</v>
      </c>
      <c r="F590" s="1898">
        <f>D590*E590</f>
        <v>3000000</v>
      </c>
      <c r="G590" s="7732" t="s">
        <v>3885</v>
      </c>
      <c r="H590" s="7733"/>
      <c r="I590" s="7733"/>
      <c r="J590" s="7734"/>
      <c r="K590" s="1919"/>
      <c r="L590" s="1911"/>
      <c r="M590" s="386"/>
      <c r="N590" s="386"/>
      <c r="O590" s="386"/>
      <c r="P590" s="386"/>
      <c r="Q590" s="386"/>
    </row>
    <row r="591" spans="1:17" ht="30" customHeight="1" x14ac:dyDescent="0.2">
      <c r="A591" s="1952">
        <v>370</v>
      </c>
      <c r="B591" s="1959" t="s">
        <v>1696</v>
      </c>
      <c r="C591" s="1487" t="s">
        <v>3323</v>
      </c>
      <c r="D591" s="1954">
        <v>200000000</v>
      </c>
      <c r="E591" s="1957">
        <v>0.05</v>
      </c>
      <c r="F591" s="1954">
        <f>D591*E591</f>
        <v>10000000</v>
      </c>
      <c r="G591" s="1954">
        <v>10000000</v>
      </c>
      <c r="H591" s="1954" t="s">
        <v>3362</v>
      </c>
      <c r="I591" s="472" t="s">
        <v>3400</v>
      </c>
      <c r="J591" s="1954">
        <f>G591</f>
        <v>10000000</v>
      </c>
      <c r="K591" s="1956">
        <f>F591-J591</f>
        <v>0</v>
      </c>
      <c r="L591" s="1955"/>
      <c r="M591" s="386"/>
      <c r="N591" s="386"/>
      <c r="O591" s="386"/>
      <c r="P591" s="386"/>
      <c r="Q591" s="386"/>
    </row>
    <row r="592" spans="1:17" ht="30" customHeight="1" x14ac:dyDescent="0.2">
      <c r="A592" s="7654">
        <v>371</v>
      </c>
      <c r="B592" s="7652" t="s">
        <v>1698</v>
      </c>
      <c r="C592" s="7723" t="s">
        <v>942</v>
      </c>
      <c r="D592" s="7563">
        <v>50000000</v>
      </c>
      <c r="E592" s="7659">
        <v>0.04</v>
      </c>
      <c r="F592" s="7563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7655"/>
      <c r="B593" s="7653"/>
      <c r="C593" s="7724"/>
      <c r="D593" s="7564"/>
      <c r="E593" s="7660"/>
      <c r="F593" s="7564"/>
      <c r="G593" s="1898">
        <v>2000000</v>
      </c>
      <c r="H593" s="1898" t="s">
        <v>3893</v>
      </c>
      <c r="I593" s="472" t="s">
        <v>1699</v>
      </c>
      <c r="J593" s="1898">
        <f>G593</f>
        <v>2000000</v>
      </c>
      <c r="K593" s="1912">
        <f>F592-J593</f>
        <v>0</v>
      </c>
      <c r="L593" s="1916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7654"/>
      <c r="B595" s="7652" t="s">
        <v>1725</v>
      </c>
      <c r="C595" s="7723"/>
      <c r="D595" s="7563">
        <v>20000000</v>
      </c>
      <c r="E595" s="7659">
        <v>0.05</v>
      </c>
      <c r="F595" s="7563">
        <f>D595*E595</f>
        <v>1000000</v>
      </c>
      <c r="G595" s="1589">
        <v>500000</v>
      </c>
      <c r="H595" s="1589" t="s">
        <v>3485</v>
      </c>
      <c r="I595" s="1589" t="s">
        <v>3486</v>
      </c>
      <c r="J595" s="7563">
        <f>G595+G596</f>
        <v>1000000</v>
      </c>
      <c r="K595" s="7816">
        <f>F595-J595</f>
        <v>0</v>
      </c>
      <c r="L595" s="7811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7655"/>
      <c r="B596" s="7653"/>
      <c r="C596" s="7724"/>
      <c r="D596" s="7564"/>
      <c r="E596" s="7660"/>
      <c r="F596" s="7564"/>
      <c r="G596" s="1579">
        <v>500000</v>
      </c>
      <c r="H596" s="1579" t="s">
        <v>3485</v>
      </c>
      <c r="I596" s="1589" t="s">
        <v>3486</v>
      </c>
      <c r="J596" s="7564"/>
      <c r="K596" s="7817"/>
      <c r="L596" s="7812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2">
        <v>50000000</v>
      </c>
      <c r="E599" s="1964">
        <v>0.06</v>
      </c>
      <c r="F599" s="1962">
        <f>D599*E599</f>
        <v>3000000</v>
      </c>
      <c r="G599" s="1962">
        <v>3000000</v>
      </c>
      <c r="H599" s="1962" t="s">
        <v>3558</v>
      </c>
      <c r="I599" s="472" t="s">
        <v>1743</v>
      </c>
      <c r="J599" s="1962">
        <f>G599</f>
        <v>3000000</v>
      </c>
      <c r="K599" s="1963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7654">
        <v>379</v>
      </c>
      <c r="B602" s="7652" t="s">
        <v>1753</v>
      </c>
      <c r="C602" s="7723" t="s">
        <v>372</v>
      </c>
      <c r="D602" s="7563">
        <v>50000000</v>
      </c>
      <c r="E602" s="7659">
        <v>0.04</v>
      </c>
      <c r="F602" s="7563">
        <f>D602*E602</f>
        <v>2000000</v>
      </c>
      <c r="G602" s="7563">
        <v>2000000</v>
      </c>
      <c r="H602" s="7563" t="s">
        <v>3531</v>
      </c>
      <c r="I602" s="7889" t="s">
        <v>3537</v>
      </c>
      <c r="J602" s="7563">
        <f>G602+G603</f>
        <v>2000000</v>
      </c>
      <c r="K602" s="7816">
        <f t="shared" si="56"/>
        <v>0</v>
      </c>
      <c r="L602" s="7816"/>
      <c r="M602" s="386"/>
      <c r="N602" s="386"/>
      <c r="O602" s="386"/>
      <c r="P602" s="386"/>
      <c r="Q602" s="386"/>
    </row>
    <row r="603" spans="1:17" ht="30" customHeight="1" x14ac:dyDescent="0.2">
      <c r="A603" s="7655"/>
      <c r="B603" s="7653"/>
      <c r="C603" s="7724"/>
      <c r="D603" s="7564"/>
      <c r="E603" s="7660"/>
      <c r="F603" s="7564"/>
      <c r="G603" s="7564"/>
      <c r="H603" s="7564"/>
      <c r="I603" s="7890"/>
      <c r="J603" s="7564"/>
      <c r="K603" s="7817"/>
      <c r="L603" s="7817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7879"/>
      <c r="B612" s="7717" t="s">
        <v>1953</v>
      </c>
      <c r="C612" s="7873" t="s">
        <v>3302</v>
      </c>
      <c r="D612" s="7482">
        <v>150000000</v>
      </c>
      <c r="E612" s="7870">
        <v>0.05</v>
      </c>
      <c r="F612" s="7482">
        <f t="shared" si="57"/>
        <v>7500000</v>
      </c>
      <c r="G612" s="8030" t="s">
        <v>3300</v>
      </c>
      <c r="H612" s="8031"/>
      <c r="I612" s="8031"/>
      <c r="J612" s="8032"/>
      <c r="K612" s="7816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7879"/>
      <c r="B613" s="7717"/>
      <c r="C613" s="7873"/>
      <c r="D613" s="7482"/>
      <c r="E613" s="7870"/>
      <c r="F613" s="7482"/>
      <c r="G613" s="8033"/>
      <c r="H613" s="8034"/>
      <c r="I613" s="8034"/>
      <c r="J613" s="8035"/>
      <c r="K613" s="7817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7879">
        <v>391</v>
      </c>
      <c r="B615" s="7717" t="s">
        <v>2003</v>
      </c>
      <c r="C615" s="7873" t="s">
        <v>3390</v>
      </c>
      <c r="D615" s="7482">
        <v>1000000000</v>
      </c>
      <c r="E615" s="7870">
        <v>0.05</v>
      </c>
      <c r="F615" s="7482">
        <f>D615*E615</f>
        <v>50000000</v>
      </c>
      <c r="G615" s="7563">
        <v>50000000</v>
      </c>
      <c r="H615" s="7563" t="s">
        <v>3692</v>
      </c>
      <c r="I615" s="7563" t="s">
        <v>3200</v>
      </c>
      <c r="J615" s="7563">
        <f>G615</f>
        <v>50000000</v>
      </c>
      <c r="K615" s="7563">
        <f>F615-J615</f>
        <v>0</v>
      </c>
      <c r="L615" s="7811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7879"/>
      <c r="B616" s="7717"/>
      <c r="C616" s="7873"/>
      <c r="D616" s="7482"/>
      <c r="E616" s="7870"/>
      <c r="F616" s="7482"/>
      <c r="G616" s="7564"/>
      <c r="H616" s="7564"/>
      <c r="I616" s="7564"/>
      <c r="J616" s="7564"/>
      <c r="K616" s="7564"/>
      <c r="L616" s="7812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7654">
        <v>393</v>
      </c>
      <c r="B618" s="7652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7656"/>
      <c r="B619" s="7665"/>
      <c r="C619" s="7723"/>
      <c r="D619" s="7494"/>
      <c r="E619" s="7495"/>
      <c r="F619" s="7768"/>
      <c r="G619" s="7732" t="s">
        <v>3585</v>
      </c>
      <c r="H619" s="7733"/>
      <c r="I619" s="7733"/>
      <c r="J619" s="7734"/>
      <c r="K619" s="7816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7656"/>
      <c r="B620" s="7665"/>
      <c r="C620" s="7747"/>
      <c r="D620" s="7877"/>
      <c r="E620" s="7524"/>
      <c r="F620" s="7878"/>
      <c r="G620" s="7732" t="s">
        <v>3586</v>
      </c>
      <c r="H620" s="7733"/>
      <c r="I620" s="7733"/>
      <c r="J620" s="7734"/>
      <c r="K620" s="7882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7656"/>
      <c r="B621" s="7665"/>
      <c r="C621" s="7747"/>
      <c r="D621" s="7877"/>
      <c r="E621" s="7524"/>
      <c r="F621" s="7878"/>
      <c r="G621" s="7732" t="s">
        <v>3587</v>
      </c>
      <c r="H621" s="7733"/>
      <c r="I621" s="7733"/>
      <c r="J621" s="7734"/>
      <c r="K621" s="7882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7656"/>
      <c r="B622" s="7665"/>
      <c r="C622" s="7747"/>
      <c r="D622" s="7769"/>
      <c r="E622" s="7805"/>
      <c r="F622" s="7770"/>
      <c r="G622" s="7732" t="s">
        <v>3588</v>
      </c>
      <c r="H622" s="7733"/>
      <c r="I622" s="7733"/>
      <c r="J622" s="7734"/>
      <c r="K622" s="7817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7655"/>
      <c r="B623" s="7653"/>
      <c r="C623" s="7724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7654"/>
      <c r="B624" s="676" t="s">
        <v>2052</v>
      </c>
      <c r="C624" s="8023" t="s">
        <v>1306</v>
      </c>
      <c r="D624" s="678">
        <v>600000000</v>
      </c>
      <c r="E624" s="679">
        <v>0.06</v>
      </c>
      <c r="F624" s="678">
        <f>D624*E624</f>
        <v>36000000</v>
      </c>
      <c r="G624" s="7563"/>
      <c r="H624" s="7563"/>
      <c r="I624" s="7889"/>
      <c r="J624" s="7563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7656"/>
      <c r="B625" s="676" t="s">
        <v>2049</v>
      </c>
      <c r="C625" s="8024"/>
      <c r="D625" s="678">
        <v>310000000</v>
      </c>
      <c r="E625" s="679">
        <v>0.06</v>
      </c>
      <c r="F625" s="678">
        <f t="shared" ref="F625:F628" si="58">D625*E625</f>
        <v>18600000</v>
      </c>
      <c r="G625" s="7586"/>
      <c r="H625" s="7586"/>
      <c r="I625" s="8036"/>
      <c r="J625" s="7586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7656"/>
      <c r="B626" s="676" t="s">
        <v>2053</v>
      </c>
      <c r="C626" s="8024"/>
      <c r="D626" s="678">
        <v>50000000</v>
      </c>
      <c r="E626" s="679">
        <v>0.06</v>
      </c>
      <c r="F626" s="678">
        <f t="shared" si="58"/>
        <v>3000000</v>
      </c>
      <c r="G626" s="7586"/>
      <c r="H626" s="7586"/>
      <c r="I626" s="8036"/>
      <c r="J626" s="7586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7656"/>
      <c r="B627" s="676" t="s">
        <v>2050</v>
      </c>
      <c r="C627" s="8024"/>
      <c r="D627" s="678">
        <v>110000000</v>
      </c>
      <c r="E627" s="679">
        <v>0.06</v>
      </c>
      <c r="F627" s="678">
        <f t="shared" si="58"/>
        <v>6600000</v>
      </c>
      <c r="G627" s="7586"/>
      <c r="H627" s="7586"/>
      <c r="I627" s="8036"/>
      <c r="J627" s="7586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7656"/>
      <c r="B628" s="676" t="s">
        <v>2051</v>
      </c>
      <c r="C628" s="8025"/>
      <c r="D628" s="678">
        <v>100000000</v>
      </c>
      <c r="E628" s="679">
        <v>0.06</v>
      </c>
      <c r="F628" s="678">
        <f t="shared" si="58"/>
        <v>6000000</v>
      </c>
      <c r="G628" s="7564"/>
      <c r="H628" s="7564"/>
      <c r="I628" s="7890"/>
      <c r="J628" s="7564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7656"/>
      <c r="B629" s="8021" t="s">
        <v>3423</v>
      </c>
      <c r="C629" s="8023" t="s">
        <v>1306</v>
      </c>
      <c r="D629" s="8001">
        <f>SUM(D624:D628)</f>
        <v>1170000000</v>
      </c>
      <c r="E629" s="8083"/>
      <c r="F629" s="8001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7563">
        <f>G629+G630</f>
        <v>60200000</v>
      </c>
      <c r="K629" s="7816">
        <f>F629-J629</f>
        <v>10000000</v>
      </c>
      <c r="L629" s="7816"/>
      <c r="M629" s="386"/>
      <c r="N629" s="386"/>
      <c r="O629" s="386"/>
      <c r="P629" s="386"/>
      <c r="Q629" s="386"/>
    </row>
    <row r="630" spans="1:17" ht="30" customHeight="1" x14ac:dyDescent="0.2">
      <c r="A630" s="7655"/>
      <c r="B630" s="8022"/>
      <c r="C630" s="8025"/>
      <c r="D630" s="8002"/>
      <c r="E630" s="8084"/>
      <c r="F630" s="8002"/>
      <c r="G630" s="1557">
        <v>40200000</v>
      </c>
      <c r="H630" s="1557" t="s">
        <v>3440</v>
      </c>
      <c r="I630" s="472">
        <v>8792421809</v>
      </c>
      <c r="J630" s="7564"/>
      <c r="K630" s="7817"/>
      <c r="L630" s="7817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3942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1" t="s">
        <v>2303</v>
      </c>
      <c r="C637" s="2572"/>
      <c r="D637" s="2569">
        <v>100000000</v>
      </c>
      <c r="E637" s="2574">
        <v>4.4999999999999998E-2</v>
      </c>
      <c r="F637" s="2569">
        <f>D637*E637</f>
        <v>4500000</v>
      </c>
      <c r="G637" s="2569">
        <v>9000000</v>
      </c>
      <c r="H637" s="2569" t="s">
        <v>1189</v>
      </c>
      <c r="I637" s="472" t="s">
        <v>2304</v>
      </c>
      <c r="J637" s="2569">
        <f t="shared" si="60"/>
        <v>9000000</v>
      </c>
      <c r="K637" s="2573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7654"/>
      <c r="B640" s="7703" t="s">
        <v>2388</v>
      </c>
      <c r="C640" s="7723" t="s">
        <v>4746</v>
      </c>
      <c r="D640" s="7494" t="s">
        <v>4744</v>
      </c>
      <c r="E640" s="7495"/>
      <c r="F640" s="7768"/>
      <c r="G640" s="1468">
        <v>20000000</v>
      </c>
      <c r="H640" s="1468" t="s">
        <v>3607</v>
      </c>
      <c r="I640" s="472" t="s">
        <v>3619</v>
      </c>
      <c r="J640" s="7563">
        <f>G640+G641+G642</f>
        <v>60000000</v>
      </c>
      <c r="K640" s="7816"/>
      <c r="L640" s="7816"/>
      <c r="M640" s="386"/>
      <c r="N640" s="386"/>
      <c r="O640" s="386"/>
      <c r="P640" s="386"/>
      <c r="Q640" s="386"/>
    </row>
    <row r="641" spans="1:17" ht="30" customHeight="1" x14ac:dyDescent="0.2">
      <c r="A641" s="7656"/>
      <c r="B641" s="7704"/>
      <c r="C641" s="7747"/>
      <c r="D641" s="7877"/>
      <c r="E641" s="7524"/>
      <c r="F641" s="7878"/>
      <c r="G641" s="1687">
        <v>20000000</v>
      </c>
      <c r="H641" s="1687" t="s">
        <v>3660</v>
      </c>
      <c r="I641" s="472" t="s">
        <v>3619</v>
      </c>
      <c r="J641" s="7586"/>
      <c r="K641" s="7882"/>
      <c r="L641" s="7882"/>
      <c r="M641" s="386"/>
      <c r="N641" s="386"/>
      <c r="O641" s="386"/>
      <c r="P641" s="386"/>
      <c r="Q641" s="386"/>
    </row>
    <row r="642" spans="1:17" ht="30" customHeight="1" x14ac:dyDescent="0.2">
      <c r="A642" s="7656"/>
      <c r="B642" s="7704"/>
      <c r="C642" s="7747"/>
      <c r="D642" s="7769"/>
      <c r="E642" s="7805"/>
      <c r="F642" s="7770"/>
      <c r="G642" s="2731">
        <v>20000000</v>
      </c>
      <c r="H642" s="2731" t="s">
        <v>3676</v>
      </c>
      <c r="I642" s="472" t="s">
        <v>3619</v>
      </c>
      <c r="J642" s="7564"/>
      <c r="K642" s="7817"/>
      <c r="L642" s="2739"/>
      <c r="M642" s="386"/>
      <c r="N642" s="386"/>
      <c r="O642" s="386"/>
      <c r="P642" s="386"/>
      <c r="Q642" s="386"/>
    </row>
    <row r="643" spans="1:17" ht="30" customHeight="1" x14ac:dyDescent="0.2">
      <c r="A643" s="7655"/>
      <c r="B643" s="7705"/>
      <c r="C643" s="7724"/>
      <c r="D643" s="2729">
        <v>25000000</v>
      </c>
      <c r="E643" s="2740">
        <v>0.05</v>
      </c>
      <c r="F643" s="2729">
        <f t="shared" ref="F643:F648" si="61">D643*E643</f>
        <v>1250000</v>
      </c>
      <c r="G643" s="7732" t="s">
        <v>4745</v>
      </c>
      <c r="H643" s="7733"/>
      <c r="I643" s="7733"/>
      <c r="J643" s="7734"/>
      <c r="K643" s="2739"/>
      <c r="L643" s="2739"/>
      <c r="M643" s="386"/>
      <c r="N643" s="386"/>
      <c r="O643" s="386"/>
      <c r="P643" s="386"/>
      <c r="Q643" s="386"/>
    </row>
    <row r="644" spans="1:17" ht="30" customHeight="1" x14ac:dyDescent="0.2">
      <c r="A644" s="7654"/>
      <c r="B644" s="7652" t="s">
        <v>2647</v>
      </c>
      <c r="C644" s="7873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7656"/>
      <c r="B645" s="7665"/>
      <c r="C645" s="7873"/>
      <c r="D645" s="1468">
        <v>220000000</v>
      </c>
      <c r="E645" s="1515">
        <v>0.05</v>
      </c>
      <c r="F645" s="1468">
        <f t="shared" si="61"/>
        <v>11000000</v>
      </c>
      <c r="G645" s="7732" t="s">
        <v>3212</v>
      </c>
      <c r="H645" s="7733"/>
      <c r="I645" s="7733"/>
      <c r="J645" s="7734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7655"/>
      <c r="B646" s="7653"/>
      <c r="C646" s="1720" t="s">
        <v>3390</v>
      </c>
      <c r="D646" s="1716">
        <v>1000000000</v>
      </c>
      <c r="E646" s="1725">
        <v>6.5000000000000002E-2</v>
      </c>
      <c r="F646" s="1716">
        <f t="shared" si="61"/>
        <v>65000000</v>
      </c>
      <c r="G646" s="7732" t="s">
        <v>3690</v>
      </c>
      <c r="H646" s="7733"/>
      <c r="I646" s="7733"/>
      <c r="J646" s="7734"/>
      <c r="K646" s="1724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7654"/>
      <c r="B648" s="7652" t="s">
        <v>2471</v>
      </c>
      <c r="C648" s="7723" t="s">
        <v>889</v>
      </c>
      <c r="D648" s="1468">
        <v>51000000</v>
      </c>
      <c r="E648" s="1515">
        <v>0.06</v>
      </c>
      <c r="F648" s="1468">
        <f t="shared" si="61"/>
        <v>3060000</v>
      </c>
      <c r="G648" s="7470" t="s">
        <v>3511</v>
      </c>
      <c r="H648" s="7493"/>
      <c r="I648" s="7493"/>
      <c r="J648" s="7493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7656"/>
      <c r="B649" s="7665"/>
      <c r="C649" s="7747"/>
      <c r="D649" s="1468">
        <f>D648+F648+F648</f>
        <v>57120000</v>
      </c>
      <c r="E649" s="1515">
        <v>0.06</v>
      </c>
      <c r="F649" s="1468">
        <v>3425000</v>
      </c>
      <c r="G649" s="7470" t="s">
        <v>3512</v>
      </c>
      <c r="H649" s="7493"/>
      <c r="I649" s="7493"/>
      <c r="J649" s="7510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7655"/>
      <c r="B650" s="7653"/>
      <c r="C650" s="7724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7654"/>
      <c r="B651" s="7652" t="s">
        <v>2517</v>
      </c>
      <c r="C651" s="7723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7656"/>
      <c r="B652" s="7665"/>
      <c r="C652" s="7747"/>
      <c r="D652" s="2729">
        <v>80000000</v>
      </c>
      <c r="E652" s="2740">
        <v>0.05</v>
      </c>
      <c r="F652" s="2729">
        <f>D652*E652</f>
        <v>4000000</v>
      </c>
      <c r="G652" s="7732" t="s">
        <v>4733</v>
      </c>
      <c r="H652" s="7733"/>
      <c r="I652" s="7733"/>
      <c r="J652" s="7734"/>
      <c r="K652" s="2730"/>
      <c r="L652" s="2741"/>
      <c r="M652" s="386"/>
      <c r="N652" s="386"/>
      <c r="O652" s="386"/>
      <c r="P652" s="386"/>
      <c r="Q652" s="386"/>
    </row>
    <row r="653" spans="1:17" ht="30" customHeight="1" x14ac:dyDescent="0.2">
      <c r="A653" s="7655"/>
      <c r="B653" s="7653"/>
      <c r="C653" s="7747"/>
      <c r="D653" s="2734">
        <v>30000000</v>
      </c>
      <c r="E653" s="2733">
        <v>0.05</v>
      </c>
      <c r="F653" s="2734">
        <f>D653*E653</f>
        <v>1500000</v>
      </c>
      <c r="G653" s="7991" t="s">
        <v>4732</v>
      </c>
      <c r="H653" s="7992"/>
      <c r="I653" s="7992"/>
      <c r="J653" s="7993"/>
      <c r="K653" s="2730"/>
      <c r="L653" s="2741"/>
      <c r="M653" s="386"/>
      <c r="N653" s="386"/>
      <c r="O653" s="386"/>
      <c r="P653" s="386"/>
      <c r="Q653" s="386"/>
    </row>
    <row r="654" spans="1:17" ht="30" customHeight="1" x14ac:dyDescent="0.2">
      <c r="A654" s="7654"/>
      <c r="B654" s="7652" t="s">
        <v>2551</v>
      </c>
      <c r="C654" s="7873"/>
      <c r="D654" s="3288">
        <v>10000000</v>
      </c>
      <c r="E654" s="3294"/>
      <c r="F654" s="3288"/>
      <c r="G654" s="3288"/>
      <c r="H654" s="3288"/>
      <c r="I654" s="2694"/>
      <c r="J654" s="3288"/>
      <c r="K654" s="3277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7655"/>
      <c r="B655" s="7653"/>
      <c r="C655" s="7873"/>
      <c r="D655" s="3288">
        <v>5000000</v>
      </c>
      <c r="E655" s="3294"/>
      <c r="F655" s="3288"/>
      <c r="G655" s="3288"/>
      <c r="H655" s="3288"/>
      <c r="I655" s="2694"/>
      <c r="J655" s="3288"/>
      <c r="K655" s="3277"/>
      <c r="L655" s="1878" t="s">
        <v>4202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7654"/>
      <c r="B659" s="7652" t="s">
        <v>2611</v>
      </c>
      <c r="C659" s="7723"/>
      <c r="D659" s="1828">
        <v>4215000000</v>
      </c>
      <c r="E659" s="1829">
        <v>0.05</v>
      </c>
      <c r="F659" s="1828">
        <f>D659*E659</f>
        <v>210750000</v>
      </c>
      <c r="G659" s="1468">
        <v>100000000</v>
      </c>
      <c r="H659" s="1468" t="s">
        <v>3893</v>
      </c>
      <c r="I659" s="472" t="s">
        <v>3894</v>
      </c>
      <c r="J659" s="7563">
        <f>G659+G660</f>
        <v>121050000</v>
      </c>
      <c r="K659" s="7816">
        <f>F663-J659</f>
        <v>690000000</v>
      </c>
      <c r="L659" s="7816"/>
      <c r="M659" s="386"/>
      <c r="N659" s="386"/>
      <c r="O659" s="386"/>
      <c r="P659" s="386"/>
      <c r="Q659" s="386"/>
    </row>
    <row r="660" spans="1:17" ht="30" customHeight="1" x14ac:dyDescent="0.2">
      <c r="A660" s="7656"/>
      <c r="B660" s="7665"/>
      <c r="C660" s="7747"/>
      <c r="D660" s="1828">
        <v>2000000000</v>
      </c>
      <c r="E660" s="1829">
        <v>7.0000000000000007E-2</v>
      </c>
      <c r="F660" s="1828">
        <f t="shared" ref="F660:F662" si="62">D660*E660</f>
        <v>140000000</v>
      </c>
      <c r="G660" s="1468">
        <v>21050000</v>
      </c>
      <c r="H660" s="1468" t="s">
        <v>3942</v>
      </c>
      <c r="I660" s="472" t="s">
        <v>2686</v>
      </c>
      <c r="J660" s="7564"/>
      <c r="K660" s="7817"/>
      <c r="L660" s="7817"/>
      <c r="M660" s="386"/>
      <c r="N660" s="386"/>
      <c r="O660" s="386"/>
      <c r="P660" s="386"/>
      <c r="Q660" s="386"/>
    </row>
    <row r="661" spans="1:17" ht="30" customHeight="1" x14ac:dyDescent="0.2">
      <c r="A661" s="7656"/>
      <c r="B661" s="7665"/>
      <c r="C661" s="7747"/>
      <c r="D661" s="1828">
        <v>3785000000</v>
      </c>
      <c r="E661" s="1829">
        <v>0.06</v>
      </c>
      <c r="F661" s="1828">
        <f t="shared" si="62"/>
        <v>227100000</v>
      </c>
      <c r="G661" s="7991" t="s">
        <v>4255</v>
      </c>
      <c r="H661" s="7992"/>
      <c r="I661" s="7992"/>
      <c r="J661" s="7993"/>
      <c r="K661" s="1941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7656"/>
      <c r="B662" s="7665"/>
      <c r="C662" s="7747"/>
      <c r="D662" s="1828">
        <v>2915000000</v>
      </c>
      <c r="E662" s="1829">
        <v>0.08</v>
      </c>
      <c r="F662" s="1828">
        <f t="shared" si="62"/>
        <v>233200000</v>
      </c>
      <c r="G662" s="7994"/>
      <c r="H662" s="7995"/>
      <c r="I662" s="7995"/>
      <c r="J662" s="7996"/>
      <c r="K662" s="1941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7655"/>
      <c r="B663" s="7665"/>
      <c r="C663" s="7747"/>
      <c r="D663" s="1854">
        <f>SUM(D659:D662)</f>
        <v>12915000000</v>
      </c>
      <c r="E663" s="1867"/>
      <c r="F663" s="1854">
        <f>SUM(F659:F662)</f>
        <v>811050000</v>
      </c>
      <c r="G663" s="7997"/>
      <c r="H663" s="7998"/>
      <c r="I663" s="7998"/>
      <c r="J663" s="7999"/>
      <c r="K663" s="1941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5"/>
      <c r="B664" s="7653"/>
      <c r="C664" s="7724"/>
      <c r="D664" s="895">
        <v>690000000</v>
      </c>
      <c r="E664" s="1867"/>
      <c r="F664" s="895"/>
      <c r="G664" s="7732" t="s">
        <v>4254</v>
      </c>
      <c r="H664" s="7733"/>
      <c r="I664" s="7733"/>
      <c r="J664" s="7734"/>
      <c r="K664" s="2038"/>
      <c r="L664" s="2038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1">
        <v>100000000</v>
      </c>
      <c r="E665" s="2008">
        <v>4.4999999999999998E-2</v>
      </c>
      <c r="F665" s="2001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7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3434</v>
      </c>
      <c r="I666" s="472" t="s">
        <v>2640</v>
      </c>
      <c r="J666" s="1967">
        <f t="shared" si="63"/>
        <v>2800000</v>
      </c>
      <c r="K666" s="1968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7654"/>
      <c r="B674" s="7652" t="s">
        <v>2767</v>
      </c>
      <c r="C674" s="7723"/>
      <c r="D674" s="7563">
        <v>300000000</v>
      </c>
      <c r="E674" s="7659">
        <v>5.5E-2</v>
      </c>
      <c r="F674" s="7563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7563">
        <f>G674+G675</f>
        <v>16500000</v>
      </c>
      <c r="K674" s="7816">
        <f t="shared" si="64"/>
        <v>0</v>
      </c>
      <c r="L674" s="7811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7655"/>
      <c r="B675" s="7653"/>
      <c r="C675" s="7724"/>
      <c r="D675" s="7564"/>
      <c r="E675" s="7660"/>
      <c r="F675" s="7564"/>
      <c r="G675" s="1589">
        <v>500000</v>
      </c>
      <c r="H675" s="1589" t="s">
        <v>3485</v>
      </c>
      <c r="I675" s="1589" t="s">
        <v>3487</v>
      </c>
      <c r="J675" s="7564"/>
      <c r="K675" s="7817"/>
      <c r="L675" s="7812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7654"/>
      <c r="B680" s="1547" t="s">
        <v>2867</v>
      </c>
      <c r="C680" s="7975" t="s">
        <v>2898</v>
      </c>
      <c r="D680" s="8007">
        <v>70000000</v>
      </c>
      <c r="E680" s="8017">
        <v>0.05</v>
      </c>
      <c r="F680" s="8020">
        <f>D680*E680</f>
        <v>3500000</v>
      </c>
      <c r="G680" s="7563">
        <v>19300000</v>
      </c>
      <c r="H680" s="7563" t="s">
        <v>3583</v>
      </c>
      <c r="I680" s="7563" t="s">
        <v>2868</v>
      </c>
      <c r="J680" s="7563">
        <f>G680</f>
        <v>19300000</v>
      </c>
      <c r="K680" s="7816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7656"/>
      <c r="B681" s="1548"/>
      <c r="C681" s="7978"/>
      <c r="D681" s="8008"/>
      <c r="E681" s="8018"/>
      <c r="F681" s="8020"/>
      <c r="G681" s="7586"/>
      <c r="H681" s="7586"/>
      <c r="I681" s="7586"/>
      <c r="J681" s="7586"/>
      <c r="K681" s="7882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7655"/>
      <c r="B682" s="1549"/>
      <c r="C682" s="7976"/>
      <c r="D682" s="8009"/>
      <c r="E682" s="8019"/>
      <c r="F682" s="8020"/>
      <c r="G682" s="7586"/>
      <c r="H682" s="7586"/>
      <c r="I682" s="7586"/>
      <c r="J682" s="7586"/>
      <c r="K682" s="7882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7654"/>
      <c r="B683" s="7973" t="s">
        <v>2899</v>
      </c>
      <c r="C683" s="7975" t="s">
        <v>402</v>
      </c>
      <c r="D683" s="1215">
        <v>190000000</v>
      </c>
      <c r="E683" s="1216">
        <v>4.4999999999999998E-2</v>
      </c>
      <c r="F683" s="1215">
        <v>8600000</v>
      </c>
      <c r="G683" s="7586"/>
      <c r="H683" s="7586"/>
      <c r="I683" s="7586"/>
      <c r="J683" s="7586"/>
      <c r="K683" s="7882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7655"/>
      <c r="B684" s="7974"/>
      <c r="C684" s="7976"/>
      <c r="D684" s="1215">
        <v>90000000</v>
      </c>
      <c r="E684" s="1216">
        <v>0.06</v>
      </c>
      <c r="F684" s="1215">
        <f>D684*E684</f>
        <v>5400000</v>
      </c>
      <c r="G684" s="7564"/>
      <c r="H684" s="7564"/>
      <c r="I684" s="7564"/>
      <c r="J684" s="7564"/>
      <c r="K684" s="7817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8"/>
      <c r="B686" s="1795" t="s">
        <v>2867</v>
      </c>
      <c r="C686" s="1799"/>
      <c r="D686" s="7552" t="s">
        <v>3737</v>
      </c>
      <c r="E686" s="7843"/>
      <c r="F686" s="7844"/>
      <c r="G686" s="1797">
        <v>14500000</v>
      </c>
      <c r="H686" s="1797" t="s">
        <v>3731</v>
      </c>
      <c r="I686" s="1802" t="s">
        <v>2868</v>
      </c>
      <c r="J686" s="1797">
        <f>G686</f>
        <v>14500000</v>
      </c>
      <c r="K686" s="1805"/>
      <c r="L686" s="1812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4029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7654"/>
      <c r="B693" s="7652" t="s">
        <v>2938</v>
      </c>
      <c r="C693" s="7723"/>
      <c r="D693" s="7677"/>
      <c r="E693" s="7691"/>
      <c r="F693" s="7677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7655"/>
      <c r="B694" s="7653"/>
      <c r="C694" s="7724"/>
      <c r="D694" s="7678"/>
      <c r="E694" s="7693"/>
      <c r="F694" s="7678"/>
      <c r="G694" s="1898">
        <v>500000</v>
      </c>
      <c r="H694" s="1898" t="s">
        <v>3507</v>
      </c>
      <c r="I694" s="1903" t="s">
        <v>3430</v>
      </c>
      <c r="J694" s="1898">
        <f t="shared" si="66"/>
        <v>500000</v>
      </c>
      <c r="K694" s="1914">
        <f>F693-J694</f>
        <v>-500000</v>
      </c>
      <c r="L694" s="1916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7806" t="s">
        <v>3072</v>
      </c>
      <c r="M699" s="7807"/>
      <c r="N699" s="7807"/>
      <c r="O699" s="7807"/>
      <c r="P699" s="7808"/>
      <c r="Q699" s="386"/>
    </row>
    <row r="700" spans="1:17" ht="30" customHeight="1" x14ac:dyDescent="0.2">
      <c r="A700" s="7654"/>
      <c r="B700" s="7652" t="s">
        <v>3764</v>
      </c>
      <c r="C700" s="7723"/>
      <c r="D700" s="7563">
        <v>30000000</v>
      </c>
      <c r="E700" s="7659">
        <v>7.0000000000000007E-2</v>
      </c>
      <c r="F700" s="7563">
        <f>D700*E700</f>
        <v>2100000</v>
      </c>
      <c r="G700" s="7563">
        <v>2100000</v>
      </c>
      <c r="H700" s="7563" t="s">
        <v>1189</v>
      </c>
      <c r="I700" s="7563" t="s">
        <v>3765</v>
      </c>
      <c r="J700" s="7563">
        <f>G700</f>
        <v>2100000</v>
      </c>
      <c r="K700" s="7816">
        <f>F700-J700</f>
        <v>0</v>
      </c>
      <c r="L700" s="7811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7655"/>
      <c r="B701" s="7653"/>
      <c r="C701" s="7724"/>
      <c r="D701" s="7564"/>
      <c r="E701" s="7660"/>
      <c r="F701" s="7564"/>
      <c r="G701" s="7564"/>
      <c r="H701" s="7564"/>
      <c r="I701" s="7564"/>
      <c r="J701" s="7564"/>
      <c r="K701" s="7817"/>
      <c r="L701" s="7812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3954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3942</v>
      </c>
      <c r="I702" s="1488" t="s">
        <v>3955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3942</v>
      </c>
      <c r="I703" s="1488" t="s">
        <v>3950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7654"/>
      <c r="B704" s="7661" t="s">
        <v>825</v>
      </c>
      <c r="C704" s="1339"/>
      <c r="D704" s="1487"/>
      <c r="E704" s="1468"/>
      <c r="F704" s="1465"/>
      <c r="G704" s="1488">
        <v>11000000</v>
      </c>
      <c r="H704" s="7563" t="s">
        <v>3427</v>
      </c>
      <c r="I704" s="7563" t="s">
        <v>855</v>
      </c>
      <c r="J704" s="7563">
        <f>G704+G705</f>
        <v>35000000</v>
      </c>
      <c r="K704" s="7816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7655"/>
      <c r="B705" s="7663"/>
      <c r="C705" s="1339"/>
      <c r="D705" s="1487"/>
      <c r="E705" s="1468"/>
      <c r="F705" s="1465"/>
      <c r="G705" s="1488">
        <v>24000000</v>
      </c>
      <c r="H705" s="7564"/>
      <c r="I705" s="7564"/>
      <c r="J705" s="7564"/>
      <c r="K705" s="7817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3942</v>
      </c>
      <c r="I707" s="1488" t="s">
        <v>3944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8010" t="s">
        <v>3495</v>
      </c>
      <c r="J710" s="8011"/>
      <c r="K710" s="8012"/>
      <c r="L710" s="385" t="s">
        <v>4648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1">
        <v>750000</v>
      </c>
      <c r="H711" s="1931" t="s">
        <v>3942</v>
      </c>
      <c r="I711" s="1931" t="s">
        <v>3949</v>
      </c>
      <c r="J711" s="1931">
        <f>G711</f>
        <v>750000</v>
      </c>
      <c r="K711" s="1941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7">
        <v>150000000</v>
      </c>
      <c r="E712" s="2039">
        <v>0.05</v>
      </c>
      <c r="F712" s="2036">
        <f>D712*E712</f>
        <v>7500000</v>
      </c>
      <c r="G712" s="2034">
        <v>7500000</v>
      </c>
      <c r="H712" s="2034" t="s">
        <v>3886</v>
      </c>
      <c r="I712" s="2034" t="s">
        <v>3887</v>
      </c>
      <c r="J712" s="2034">
        <f>G712</f>
        <v>7500000</v>
      </c>
      <c r="K712" s="2038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2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3942</v>
      </c>
      <c r="I714" s="1488" t="s">
        <v>3943</v>
      </c>
      <c r="J714" s="1488">
        <f>G714</f>
        <v>10000000</v>
      </c>
      <c r="K714" s="1941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7654"/>
      <c r="B716" s="7661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7655"/>
      <c r="B717" s="7663"/>
      <c r="C717" s="1764" t="s">
        <v>1298</v>
      </c>
      <c r="D717" s="1762">
        <v>500000000</v>
      </c>
      <c r="E717" s="1766">
        <v>6.5000000000000002E-2</v>
      </c>
      <c r="F717" s="1762">
        <f>D717*E717</f>
        <v>32500000</v>
      </c>
      <c r="G717" s="1762"/>
      <c r="H717" s="1762"/>
      <c r="I717" s="1763"/>
      <c r="J717" s="1762"/>
      <c r="K717" s="1765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7732" t="s">
        <v>3456</v>
      </c>
      <c r="H720" s="7733"/>
      <c r="I720" s="7733"/>
      <c r="J720" s="7734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7654"/>
      <c r="B722" s="7661" t="s">
        <v>3460</v>
      </c>
      <c r="C722" s="7723" t="s">
        <v>3483</v>
      </c>
      <c r="D722" s="1971">
        <v>140000000</v>
      </c>
      <c r="E722" s="1975">
        <v>0.04</v>
      </c>
      <c r="F722" s="1971">
        <f t="shared" si="67"/>
        <v>5600000</v>
      </c>
      <c r="G722" s="7732" t="s">
        <v>4027</v>
      </c>
      <c r="H722" s="7733"/>
      <c r="I722" s="7733"/>
      <c r="J722" s="7734"/>
      <c r="K722" s="1974"/>
      <c r="L722" s="1973" t="s">
        <v>4028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7655"/>
      <c r="B723" s="7663"/>
      <c r="C723" s="7724"/>
      <c r="D723" s="1589">
        <v>80000000</v>
      </c>
      <c r="E723" s="1598">
        <v>0.04</v>
      </c>
      <c r="F723" s="1589">
        <f t="shared" si="67"/>
        <v>3200000</v>
      </c>
      <c r="G723" s="7732" t="s">
        <v>3484</v>
      </c>
      <c r="H723" s="7733"/>
      <c r="I723" s="7733"/>
      <c r="J723" s="7734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7732" t="s">
        <v>3484</v>
      </c>
      <c r="H725" s="7733"/>
      <c r="I725" s="7733"/>
      <c r="J725" s="7734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7732" t="s">
        <v>3495</v>
      </c>
      <c r="J727" s="7733"/>
      <c r="K727" s="7734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7470" t="s">
        <v>3552</v>
      </c>
      <c r="E729" s="7493"/>
      <c r="F729" s="7510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6" t="s">
        <v>3554</v>
      </c>
      <c r="C730" s="2361"/>
      <c r="D730" s="2355">
        <v>10000000</v>
      </c>
      <c r="E730" s="2364">
        <v>0.05</v>
      </c>
      <c r="F730" s="2355">
        <f>D730*E730</f>
        <v>500000</v>
      </c>
      <c r="G730" s="2358">
        <v>500000</v>
      </c>
      <c r="H730" s="2358" t="s">
        <v>3547</v>
      </c>
      <c r="I730" s="2363" t="s">
        <v>3555</v>
      </c>
      <c r="J730" s="2358">
        <f>G730</f>
        <v>500000</v>
      </c>
      <c r="K730" s="2358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7703"/>
      <c r="B731" s="7652" t="s">
        <v>4444</v>
      </c>
      <c r="C731" s="7723" t="s">
        <v>4223</v>
      </c>
      <c r="D731" s="7482">
        <v>100000000</v>
      </c>
      <c r="E731" s="7659">
        <v>0.05</v>
      </c>
      <c r="F731" s="7482">
        <f>D731*E731</f>
        <v>5000000</v>
      </c>
      <c r="G731" s="2355">
        <v>5000000</v>
      </c>
      <c r="H731" s="2355" t="s">
        <v>3547</v>
      </c>
      <c r="I731" s="2355" t="s">
        <v>2788</v>
      </c>
      <c r="J731" s="7563">
        <f>G731+G732</f>
        <v>10000000</v>
      </c>
      <c r="K731" s="7563">
        <f>F731-J731</f>
        <v>-5000000</v>
      </c>
      <c r="L731" s="2369" t="s">
        <v>4446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7705"/>
      <c r="B732" s="7653"/>
      <c r="C732" s="7724"/>
      <c r="D732" s="7482"/>
      <c r="E732" s="7660"/>
      <c r="F732" s="7482"/>
      <c r="G732" s="2355">
        <v>5000000</v>
      </c>
      <c r="H732" s="2355" t="s">
        <v>3558</v>
      </c>
      <c r="I732" s="2355" t="s">
        <v>2788</v>
      </c>
      <c r="J732" s="7564"/>
      <c r="K732" s="7564"/>
      <c r="L732" s="2370" t="s">
        <v>4445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7703" t="s">
        <v>3557</v>
      </c>
      <c r="C733" s="7723"/>
      <c r="D733" s="7470" t="s">
        <v>3552</v>
      </c>
      <c r="E733" s="7493"/>
      <c r="F733" s="7510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0"/>
      <c r="B734" s="7705"/>
      <c r="C734" s="7724"/>
      <c r="D734" s="7470" t="s">
        <v>3661</v>
      </c>
      <c r="E734" s="7493"/>
      <c r="F734" s="7510"/>
      <c r="G734" s="1695">
        <v>450000</v>
      </c>
      <c r="H734" s="1695" t="s">
        <v>3660</v>
      </c>
      <c r="I734" s="1695" t="s">
        <v>2447</v>
      </c>
      <c r="J734" s="1695">
        <f>G734</f>
        <v>450000</v>
      </c>
      <c r="K734" s="1695">
        <f>450000-J734</f>
        <v>0</v>
      </c>
      <c r="L734" s="1696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7703"/>
      <c r="B737" s="7652" t="s">
        <v>3597</v>
      </c>
      <c r="C737" s="7723" t="s">
        <v>889</v>
      </c>
      <c r="D737" s="7470" t="s">
        <v>3552</v>
      </c>
      <c r="E737" s="7493"/>
      <c r="F737" s="7510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7705"/>
      <c r="B738" s="7653"/>
      <c r="C738" s="7724"/>
      <c r="D738" s="1647">
        <v>200000000</v>
      </c>
      <c r="E738" s="1653">
        <v>0.05</v>
      </c>
      <c r="F738" s="1647">
        <f>D738*E738</f>
        <v>10000000</v>
      </c>
      <c r="G738" s="7732" t="s">
        <v>3599</v>
      </c>
      <c r="H738" s="7733"/>
      <c r="I738" s="7733"/>
      <c r="J738" s="7733"/>
      <c r="K738" s="7734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7470" t="s">
        <v>3552</v>
      </c>
      <c r="E739" s="7493"/>
      <c r="F739" s="7510"/>
      <c r="G739" s="1680">
        <v>10000000</v>
      </c>
      <c r="H739" s="1680" t="s">
        <v>3607</v>
      </c>
      <c r="I739" s="1680" t="s">
        <v>3609</v>
      </c>
      <c r="J739" s="1680">
        <f>G739</f>
        <v>10000000</v>
      </c>
      <c r="K739" s="1680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7732" t="s">
        <v>3217</v>
      </c>
      <c r="H740" s="7733"/>
      <c r="I740" s="7733"/>
      <c r="J740" s="7733"/>
      <c r="K740" s="7734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0"/>
      <c r="B741" s="1699" t="s">
        <v>4055</v>
      </c>
      <c r="C741" s="1698" t="s">
        <v>2278</v>
      </c>
      <c r="D741" s="1695">
        <v>130000000</v>
      </c>
      <c r="E741" s="1697"/>
      <c r="F741" s="1695"/>
      <c r="G741" s="7732" t="s">
        <v>3217</v>
      </c>
      <c r="H741" s="7733"/>
      <c r="I741" s="7733"/>
      <c r="J741" s="7733"/>
      <c r="K741" s="7734"/>
      <c r="L741" s="1696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7703"/>
      <c r="B742" s="7652" t="s">
        <v>3674</v>
      </c>
      <c r="C742" s="7723"/>
      <c r="D742" s="1741">
        <v>1140000000</v>
      </c>
      <c r="E742" s="1743">
        <v>7.0000000000000007E-2</v>
      </c>
      <c r="F742" s="1741">
        <f>D742*E742</f>
        <v>79800000.000000015</v>
      </c>
      <c r="G742" s="7732" t="s">
        <v>3675</v>
      </c>
      <c r="H742" s="7733"/>
      <c r="I742" s="7733"/>
      <c r="J742" s="7734"/>
      <c r="K742" s="1695"/>
      <c r="L742" s="1696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7705"/>
      <c r="B743" s="7653"/>
      <c r="C743" s="7724"/>
      <c r="D743" s="1741">
        <v>1300000000</v>
      </c>
      <c r="E743" s="1743">
        <v>7.0000000000000007E-2</v>
      </c>
      <c r="F743" s="1741">
        <f>D743*E743</f>
        <v>91000000.000000015</v>
      </c>
      <c r="G743" s="1758"/>
      <c r="H743" s="1758"/>
      <c r="I743" s="1758"/>
      <c r="J743" s="1758"/>
      <c r="K743" s="1741"/>
      <c r="L743" s="1742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6"/>
      <c r="B744" s="1745" t="s">
        <v>3707</v>
      </c>
      <c r="C744" s="1744" t="s">
        <v>3390</v>
      </c>
      <c r="D744" s="1741">
        <v>10000000</v>
      </c>
      <c r="E744" s="40"/>
      <c r="F744" s="1753"/>
      <c r="G744" s="1758"/>
      <c r="H744" s="1758"/>
      <c r="I744" s="1758"/>
      <c r="J744" s="1758"/>
      <c r="K744" s="1741"/>
      <c r="L744" s="1742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0"/>
      <c r="B745" s="1699" t="s">
        <v>3710</v>
      </c>
      <c r="C745" s="1698" t="s">
        <v>1652</v>
      </c>
      <c r="D745" s="1695">
        <v>58000000</v>
      </c>
      <c r="E745" s="1697"/>
      <c r="F745" s="1695"/>
      <c r="G745" s="1695"/>
      <c r="H745" s="1695"/>
      <c r="I745" s="1695"/>
      <c r="J745" s="1695"/>
      <c r="K745" s="1695"/>
      <c r="L745" s="1757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2"/>
      <c r="B746" s="1777" t="s">
        <v>3742</v>
      </c>
      <c r="C746" s="1776" t="s">
        <v>1300</v>
      </c>
      <c r="D746" s="1773">
        <v>100000000</v>
      </c>
      <c r="E746" s="1774">
        <v>0.05</v>
      </c>
      <c r="F746" s="1773">
        <f>D746*E746</f>
        <v>5000000</v>
      </c>
      <c r="G746" s="7732" t="s">
        <v>3217</v>
      </c>
      <c r="H746" s="7733"/>
      <c r="I746" s="7733"/>
      <c r="J746" s="7734"/>
      <c r="K746" s="1773"/>
      <c r="L746" s="1780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3"/>
      <c r="B747" s="1809" t="s">
        <v>3743</v>
      </c>
      <c r="C747" s="1799"/>
      <c r="D747" s="1797">
        <v>96000000</v>
      </c>
      <c r="E747" s="1796">
        <v>0.05</v>
      </c>
      <c r="F747" s="1797">
        <v>5000000</v>
      </c>
      <c r="G747" s="7732" t="s">
        <v>3217</v>
      </c>
      <c r="H747" s="7733"/>
      <c r="I747" s="7733"/>
      <c r="J747" s="7734"/>
      <c r="K747" s="1797"/>
      <c r="L747" s="1812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3"/>
      <c r="B748" s="1339" t="s">
        <v>3766</v>
      </c>
      <c r="C748" s="1799"/>
      <c r="D748" s="7470" t="s">
        <v>1326</v>
      </c>
      <c r="E748" s="7493"/>
      <c r="F748" s="7510"/>
      <c r="G748" s="1804">
        <v>2040000</v>
      </c>
      <c r="H748" s="1804" t="s">
        <v>3767</v>
      </c>
      <c r="I748" s="1804" t="s">
        <v>3768</v>
      </c>
      <c r="J748" s="1804">
        <f>G748</f>
        <v>2040000</v>
      </c>
      <c r="K748" s="1797">
        <v>0</v>
      </c>
      <c r="L748" s="1812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0"/>
      <c r="B749" s="1877" t="s">
        <v>3869</v>
      </c>
      <c r="C749" s="1876" t="s">
        <v>3219</v>
      </c>
      <c r="D749" s="1871">
        <v>100000000</v>
      </c>
      <c r="E749" s="1870">
        <v>0.06</v>
      </c>
      <c r="F749" s="1871">
        <f>D749*E749</f>
        <v>6000000</v>
      </c>
      <c r="G749" s="1871"/>
      <c r="H749" s="1871"/>
      <c r="I749" s="1873"/>
      <c r="J749" s="1871"/>
      <c r="K749" s="1871"/>
      <c r="L749" s="1879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0"/>
      <c r="B750" s="1877" t="s">
        <v>3871</v>
      </c>
      <c r="C750" s="1876" t="s">
        <v>3390</v>
      </c>
      <c r="D750" s="1874">
        <v>50000000</v>
      </c>
      <c r="E750" s="1870">
        <v>0.05</v>
      </c>
      <c r="F750" s="1871">
        <f>D750*E750</f>
        <v>2500000</v>
      </c>
      <c r="G750" s="1871"/>
      <c r="H750" s="1871"/>
      <c r="I750" s="1873"/>
      <c r="J750" s="1871"/>
      <c r="K750" s="1871"/>
      <c r="L750" s="1879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0"/>
      <c r="B751" s="1877" t="s">
        <v>3890</v>
      </c>
      <c r="C751" s="1876"/>
      <c r="D751" s="1902"/>
      <c r="E751" s="1902"/>
      <c r="F751" s="1902"/>
      <c r="G751" s="1871">
        <v>800000</v>
      </c>
      <c r="H751" s="1871" t="s">
        <v>3886</v>
      </c>
      <c r="I751" s="1873" t="s">
        <v>3891</v>
      </c>
      <c r="J751" s="1871">
        <f>G751</f>
        <v>800000</v>
      </c>
      <c r="K751" s="1871">
        <f>F751-J751</f>
        <v>-800000</v>
      </c>
      <c r="L751" s="1879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0"/>
      <c r="B752" s="1877" t="s">
        <v>3895</v>
      </c>
      <c r="C752" s="1876"/>
      <c r="D752" s="1874">
        <v>120000000</v>
      </c>
      <c r="E752" s="1896">
        <v>0.05</v>
      </c>
      <c r="F752" s="1898">
        <f>D752*E752</f>
        <v>6000000</v>
      </c>
      <c r="G752" s="7732" t="s">
        <v>3896</v>
      </c>
      <c r="H752" s="7733"/>
      <c r="I752" s="7733"/>
      <c r="J752" s="7734"/>
      <c r="K752" s="1871"/>
      <c r="L752" s="1879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7703"/>
      <c r="B753" s="7652" t="s">
        <v>3956</v>
      </c>
      <c r="C753" s="7723"/>
      <c r="D753" s="7563">
        <v>50000000</v>
      </c>
      <c r="E753" s="7659">
        <v>0.05</v>
      </c>
      <c r="F753" s="7563">
        <f>D753*E753</f>
        <v>2500000</v>
      </c>
      <c r="G753" s="1931">
        <v>500000</v>
      </c>
      <c r="H753" s="1931" t="s">
        <v>3957</v>
      </c>
      <c r="I753" s="1931" t="s">
        <v>3958</v>
      </c>
      <c r="J753" s="7563">
        <f>G753+G754</f>
        <v>2500000</v>
      </c>
      <c r="K753" s="7563"/>
      <c r="L753" s="7816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7705"/>
      <c r="B754" s="7653"/>
      <c r="C754" s="7724"/>
      <c r="D754" s="7564"/>
      <c r="E754" s="7660"/>
      <c r="F754" s="7564"/>
      <c r="G754" s="1931">
        <v>2000000</v>
      </c>
      <c r="H754" s="1931" t="s">
        <v>3942</v>
      </c>
      <c r="I754" s="1931" t="s">
        <v>3958</v>
      </c>
      <c r="J754" s="7564"/>
      <c r="K754" s="7564"/>
      <c r="L754" s="7817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4"/>
      <c r="B755" s="1943"/>
      <c r="C755" s="1939"/>
      <c r="D755" s="1935"/>
      <c r="E755" s="1933"/>
      <c r="F755" s="1935"/>
      <c r="G755" s="1946"/>
      <c r="H755" s="1947"/>
      <c r="I755" s="1947"/>
      <c r="J755" s="1948"/>
      <c r="K755" s="1935"/>
      <c r="L755" s="1940"/>
      <c r="M755" s="386"/>
      <c r="N755" s="386"/>
      <c r="O755" s="386"/>
      <c r="P755" s="386"/>
      <c r="Q755" s="386"/>
    </row>
    <row r="756" spans="1:17" ht="30" customHeight="1" x14ac:dyDescent="0.2">
      <c r="A756" s="8013" t="s">
        <v>3394</v>
      </c>
      <c r="B756" s="8014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3"/>
  <sheetViews>
    <sheetView rightToLeft="1" topLeftCell="B724" zoomScale="60" zoomScaleNormal="60" workbookViewId="0">
      <selection activeCell="D728" sqref="D728:F72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0">
        <v>1</v>
      </c>
      <c r="B2" s="19" t="s">
        <v>1496</v>
      </c>
      <c r="C2" s="2264" t="s">
        <v>372</v>
      </c>
      <c r="D2" s="2199">
        <v>600000000</v>
      </c>
      <c r="E2" s="2263">
        <v>0.06</v>
      </c>
      <c r="F2" s="2199">
        <f>D2*E2</f>
        <v>36000000</v>
      </c>
      <c r="G2" s="2199">
        <v>36000000</v>
      </c>
      <c r="H2" s="2199" t="s">
        <v>4043</v>
      </c>
      <c r="I2" s="2260" t="s">
        <v>1810</v>
      </c>
      <c r="J2" s="2199">
        <f>G2</f>
        <v>36000000</v>
      </c>
      <c r="K2" s="2199">
        <f>F2-J2</f>
        <v>0</v>
      </c>
      <c r="L2" s="2232"/>
    </row>
    <row r="3" spans="1:12" ht="30" customHeight="1" x14ac:dyDescent="0.2">
      <c r="A3" s="2267">
        <v>2</v>
      </c>
      <c r="B3" s="2262" t="s">
        <v>282</v>
      </c>
      <c r="C3" s="2236"/>
      <c r="D3" s="2211">
        <v>300000000</v>
      </c>
      <c r="E3" s="2208">
        <v>0.05</v>
      </c>
      <c r="F3" s="2211">
        <f>D3*E3</f>
        <v>15000000</v>
      </c>
      <c r="G3" s="2211">
        <v>15000000</v>
      </c>
      <c r="H3" s="2211" t="s">
        <v>4043</v>
      </c>
      <c r="I3" s="21" t="s">
        <v>4098</v>
      </c>
      <c r="J3" s="2211">
        <f>G3</f>
        <v>15000000</v>
      </c>
      <c r="K3" s="2211">
        <f>F3-J3</f>
        <v>0</v>
      </c>
      <c r="L3" s="2262"/>
    </row>
    <row r="4" spans="1:12" ht="30" customHeight="1" x14ac:dyDescent="0.2">
      <c r="A4" s="2267">
        <v>3</v>
      </c>
      <c r="B4" s="19" t="s">
        <v>285</v>
      </c>
      <c r="C4" s="2236" t="s">
        <v>359</v>
      </c>
      <c r="D4" s="2211">
        <v>36000000</v>
      </c>
      <c r="E4" s="2263">
        <v>7.0000000000000007E-2</v>
      </c>
      <c r="F4" s="2211">
        <v>2500000</v>
      </c>
      <c r="G4" s="2211">
        <v>2500000</v>
      </c>
      <c r="H4" s="2211" t="s">
        <v>4016</v>
      </c>
      <c r="I4" s="24" t="s">
        <v>2026</v>
      </c>
      <c r="J4" s="2211">
        <f>G4</f>
        <v>2500000</v>
      </c>
      <c r="K4" s="2211">
        <f>F4-J4</f>
        <v>0</v>
      </c>
      <c r="L4" s="2262"/>
    </row>
    <row r="5" spans="1:12" ht="30" customHeight="1" x14ac:dyDescent="0.2">
      <c r="A5" s="2200">
        <v>4</v>
      </c>
      <c r="B5" s="2261" t="s">
        <v>310</v>
      </c>
      <c r="C5" s="2264" t="s">
        <v>2644</v>
      </c>
      <c r="D5" s="2211">
        <v>700000000</v>
      </c>
      <c r="E5" s="2263">
        <v>6.3E-2</v>
      </c>
      <c r="F5" s="2211">
        <f>D5*E5</f>
        <v>44100000</v>
      </c>
      <c r="G5" s="2211">
        <v>29000000</v>
      </c>
      <c r="H5" s="2211" t="s">
        <v>2015</v>
      </c>
      <c r="I5" s="24" t="s">
        <v>1543</v>
      </c>
      <c r="J5" s="2211">
        <f>15000000+G5</f>
        <v>44000000</v>
      </c>
      <c r="K5" s="2211">
        <f>F5-J5</f>
        <v>100000</v>
      </c>
      <c r="L5" s="29" t="s">
        <v>3910</v>
      </c>
    </row>
    <row r="6" spans="1:12" ht="30" customHeight="1" x14ac:dyDescent="0.2">
      <c r="A6" s="2267">
        <v>5</v>
      </c>
      <c r="B6" s="19" t="s">
        <v>317</v>
      </c>
      <c r="C6" s="2236" t="s">
        <v>372</v>
      </c>
      <c r="D6" s="2211">
        <v>20000000</v>
      </c>
      <c r="E6" s="2263">
        <v>7.0000000000000007E-2</v>
      </c>
      <c r="F6" s="2211">
        <v>1400000</v>
      </c>
      <c r="G6" s="2211">
        <v>1400000</v>
      </c>
      <c r="H6" s="2211" t="s">
        <v>4016</v>
      </c>
      <c r="I6" s="24" t="s">
        <v>1838</v>
      </c>
      <c r="J6" s="2211">
        <f t="shared" ref="J6:J11" si="0">G6</f>
        <v>1400000</v>
      </c>
      <c r="K6" s="2211">
        <f t="shared" ref="K6:K11" si="1">F6-J6</f>
        <v>0</v>
      </c>
      <c r="L6" s="29" t="s">
        <v>320</v>
      </c>
    </row>
    <row r="7" spans="1:12" ht="30" customHeight="1" x14ac:dyDescent="0.2">
      <c r="A7" s="2200">
        <v>6</v>
      </c>
      <c r="B7" s="2261" t="s">
        <v>407</v>
      </c>
      <c r="C7" s="2235"/>
      <c r="D7" s="2211">
        <v>15000000</v>
      </c>
      <c r="E7" s="2263">
        <v>0.05</v>
      </c>
      <c r="F7" s="2211">
        <f t="shared" ref="F7:F13" si="2">D7*E7</f>
        <v>750000</v>
      </c>
      <c r="G7" s="2211"/>
      <c r="H7" s="2211"/>
      <c r="I7" s="24"/>
      <c r="J7" s="2211">
        <f t="shared" si="0"/>
        <v>0</v>
      </c>
      <c r="K7" s="2211">
        <f t="shared" si="1"/>
        <v>750000</v>
      </c>
      <c r="L7" s="637"/>
    </row>
    <row r="8" spans="1:12" ht="30" customHeight="1" x14ac:dyDescent="0.2">
      <c r="A8" s="2200">
        <v>7</v>
      </c>
      <c r="B8" s="2261" t="s">
        <v>102</v>
      </c>
      <c r="C8" s="2235" t="s">
        <v>889</v>
      </c>
      <c r="D8" s="2211">
        <v>45000000</v>
      </c>
      <c r="E8" s="2263">
        <v>0.05</v>
      </c>
      <c r="F8" s="2211">
        <f t="shared" si="2"/>
        <v>2250000</v>
      </c>
      <c r="G8" s="2211">
        <v>2250000</v>
      </c>
      <c r="H8" s="2211" t="s">
        <v>3923</v>
      </c>
      <c r="I8" s="26" t="s">
        <v>3420</v>
      </c>
      <c r="J8" s="2211">
        <f t="shared" si="0"/>
        <v>2250000</v>
      </c>
      <c r="K8" s="2211">
        <f t="shared" si="1"/>
        <v>0</v>
      </c>
      <c r="L8" s="736"/>
    </row>
    <row r="9" spans="1:12" ht="30" customHeight="1" x14ac:dyDescent="0.2">
      <c r="A9" s="2200">
        <v>8</v>
      </c>
      <c r="B9" s="19" t="s">
        <v>349</v>
      </c>
      <c r="C9" s="2264" t="s">
        <v>1291</v>
      </c>
      <c r="D9" s="2199">
        <v>400000000</v>
      </c>
      <c r="E9" s="2263">
        <v>4.4999999999999998E-2</v>
      </c>
      <c r="F9" s="2199">
        <f t="shared" si="2"/>
        <v>18000000</v>
      </c>
      <c r="G9" s="2199">
        <v>18000000</v>
      </c>
      <c r="H9" s="2211" t="s">
        <v>4060</v>
      </c>
      <c r="I9" s="24" t="s">
        <v>3739</v>
      </c>
      <c r="J9" s="2211">
        <f t="shared" si="0"/>
        <v>18000000</v>
      </c>
      <c r="K9" s="2199">
        <f t="shared" si="1"/>
        <v>0</v>
      </c>
      <c r="L9" s="2218" t="s">
        <v>4066</v>
      </c>
    </row>
    <row r="10" spans="1:12" ht="30" customHeight="1" x14ac:dyDescent="0.2">
      <c r="A10" s="2267">
        <v>9</v>
      </c>
      <c r="B10" s="2262" t="s">
        <v>378</v>
      </c>
      <c r="C10" s="2236" t="s">
        <v>371</v>
      </c>
      <c r="D10" s="2211">
        <v>10000000</v>
      </c>
      <c r="E10" s="2208">
        <v>0.05</v>
      </c>
      <c r="F10" s="2211">
        <f t="shared" si="2"/>
        <v>500000</v>
      </c>
      <c r="G10" s="2211">
        <v>500000</v>
      </c>
      <c r="H10" s="2211" t="s">
        <v>1015</v>
      </c>
      <c r="I10" s="24" t="s">
        <v>1001</v>
      </c>
      <c r="J10" s="2211">
        <f t="shared" si="0"/>
        <v>500000</v>
      </c>
      <c r="K10" s="2211">
        <f t="shared" si="1"/>
        <v>0</v>
      </c>
      <c r="L10" s="29"/>
    </row>
    <row r="11" spans="1:12" ht="30" customHeight="1" x14ac:dyDescent="0.2">
      <c r="A11" s="2267">
        <v>10</v>
      </c>
      <c r="B11" s="2261" t="s">
        <v>999</v>
      </c>
      <c r="C11" s="2264" t="s">
        <v>1796</v>
      </c>
      <c r="D11" s="2211">
        <v>180000000</v>
      </c>
      <c r="E11" s="2263">
        <v>7.0000000000000007E-2</v>
      </c>
      <c r="F11" s="2211">
        <f t="shared" si="2"/>
        <v>12600000.000000002</v>
      </c>
      <c r="G11" s="2211">
        <v>12600000</v>
      </c>
      <c r="H11" s="2211" t="s">
        <v>4134</v>
      </c>
      <c r="I11" s="24" t="s">
        <v>2372</v>
      </c>
      <c r="J11" s="2211">
        <f t="shared" si="0"/>
        <v>12600000</v>
      </c>
      <c r="K11" s="2211">
        <f t="shared" si="1"/>
        <v>0</v>
      </c>
      <c r="L11" s="180" t="s">
        <v>3197</v>
      </c>
    </row>
    <row r="12" spans="1:12" ht="30" customHeight="1" x14ac:dyDescent="0.2">
      <c r="A12" s="7654">
        <v>11</v>
      </c>
      <c r="B12" s="7717" t="s">
        <v>393</v>
      </c>
      <c r="C12" s="2236" t="s">
        <v>359</v>
      </c>
      <c r="D12" s="2199">
        <v>15000000</v>
      </c>
      <c r="E12" s="2263">
        <v>7.0000000000000007E-2</v>
      </c>
      <c r="F12" s="2199">
        <f t="shared" si="2"/>
        <v>1050000</v>
      </c>
      <c r="G12" s="7563">
        <v>1383000</v>
      </c>
      <c r="H12" s="7563" t="s">
        <v>4024</v>
      </c>
      <c r="I12" s="8115" t="s">
        <v>394</v>
      </c>
      <c r="J12" s="7563">
        <f>G12+G13</f>
        <v>1383000</v>
      </c>
      <c r="K12" s="7563">
        <v>0</v>
      </c>
      <c r="L12" s="7713" t="s">
        <v>4023</v>
      </c>
    </row>
    <row r="13" spans="1:12" ht="30" customHeight="1" x14ac:dyDescent="0.2">
      <c r="A13" s="7656"/>
      <c r="B13" s="7717"/>
      <c r="C13" s="2236" t="s">
        <v>1080</v>
      </c>
      <c r="D13" s="2199">
        <v>5000000</v>
      </c>
      <c r="E13" s="2263">
        <v>0.05</v>
      </c>
      <c r="F13" s="2199">
        <f t="shared" si="2"/>
        <v>250000</v>
      </c>
      <c r="G13" s="7564"/>
      <c r="H13" s="7564"/>
      <c r="I13" s="8116"/>
      <c r="J13" s="7564"/>
      <c r="K13" s="7564"/>
      <c r="L13" s="7714"/>
    </row>
    <row r="14" spans="1:12" ht="30" customHeight="1" x14ac:dyDescent="0.2">
      <c r="A14" s="1028">
        <v>12</v>
      </c>
      <c r="B14" s="2261" t="s">
        <v>399</v>
      </c>
      <c r="C14" s="2236" t="s">
        <v>1172</v>
      </c>
      <c r="D14" s="2211">
        <v>75000000</v>
      </c>
      <c r="E14" s="2208">
        <f>F14/D14</f>
        <v>5.3333333333333337E-2</v>
      </c>
      <c r="F14" s="2211">
        <v>4000000</v>
      </c>
      <c r="G14" s="2211">
        <v>4000000</v>
      </c>
      <c r="H14" s="2211" t="s">
        <v>2015</v>
      </c>
      <c r="I14" s="52" t="s">
        <v>401</v>
      </c>
      <c r="J14" s="2211">
        <f>G14</f>
        <v>4000000</v>
      </c>
      <c r="K14" s="2211">
        <f>F14-J14</f>
        <v>0</v>
      </c>
      <c r="L14" s="2219" t="s">
        <v>3714</v>
      </c>
    </row>
    <row r="15" spans="1:12" ht="30" customHeight="1" x14ac:dyDescent="0.2">
      <c r="A15" s="7656"/>
      <c r="B15" s="7652" t="s">
        <v>420</v>
      </c>
      <c r="C15" s="7747" t="s">
        <v>359</v>
      </c>
      <c r="D15" s="2211">
        <v>80000000</v>
      </c>
      <c r="E15" s="2208">
        <v>0.06</v>
      </c>
      <c r="F15" s="2211">
        <f t="shared" ref="F15:F21" si="3">D15*E15</f>
        <v>4800000</v>
      </c>
      <c r="G15" s="8117" t="s">
        <v>4451</v>
      </c>
      <c r="H15" s="8118"/>
      <c r="I15" s="8118"/>
      <c r="J15" s="8119"/>
      <c r="K15" s="7563">
        <f>(F15+F16)-J15</f>
        <v>11800000</v>
      </c>
      <c r="L15" s="7713"/>
    </row>
    <row r="16" spans="1:12" ht="30" customHeight="1" x14ac:dyDescent="0.2">
      <c r="A16" s="7655"/>
      <c r="B16" s="7653"/>
      <c r="C16" s="7724"/>
      <c r="D16" s="2211">
        <v>100000000</v>
      </c>
      <c r="E16" s="2208">
        <v>7.0000000000000007E-2</v>
      </c>
      <c r="F16" s="2211">
        <f t="shared" si="3"/>
        <v>7000000.0000000009</v>
      </c>
      <c r="G16" s="8120"/>
      <c r="H16" s="8121"/>
      <c r="I16" s="8121"/>
      <c r="J16" s="8122"/>
      <c r="K16" s="7564"/>
      <c r="L16" s="7714"/>
    </row>
    <row r="17" spans="1:14" ht="30" customHeight="1" x14ac:dyDescent="0.2">
      <c r="A17" s="2202">
        <v>14</v>
      </c>
      <c r="B17" s="2204" t="s">
        <v>428</v>
      </c>
      <c r="C17" s="2236" t="s">
        <v>1300</v>
      </c>
      <c r="D17" s="2211">
        <v>150000000</v>
      </c>
      <c r="E17" s="2208">
        <v>0.04</v>
      </c>
      <c r="F17" s="2211">
        <f t="shared" si="3"/>
        <v>6000000</v>
      </c>
      <c r="G17" s="2211">
        <v>6000000</v>
      </c>
      <c r="H17" s="2211" t="s">
        <v>4060</v>
      </c>
      <c r="I17" s="64" t="s">
        <v>4061</v>
      </c>
      <c r="J17" s="2211">
        <f t="shared" ref="J17:J22" si="4">G17</f>
        <v>6000000</v>
      </c>
      <c r="K17" s="2211">
        <f t="shared" ref="K17:K22" si="5">F17-J17</f>
        <v>0</v>
      </c>
      <c r="L17" s="2213"/>
    </row>
    <row r="18" spans="1:14" ht="30" customHeight="1" x14ac:dyDescent="0.2">
      <c r="A18" s="2202">
        <v>15</v>
      </c>
      <c r="B18" s="2204" t="s">
        <v>436</v>
      </c>
      <c r="C18" s="2236"/>
      <c r="D18" s="2211">
        <v>13000000</v>
      </c>
      <c r="E18" s="2208">
        <v>0.05</v>
      </c>
      <c r="F18" s="2211">
        <f t="shared" si="3"/>
        <v>650000</v>
      </c>
      <c r="G18" s="2211">
        <v>650000</v>
      </c>
      <c r="H18" s="2211" t="s">
        <v>4074</v>
      </c>
      <c r="I18" s="64" t="s">
        <v>3608</v>
      </c>
      <c r="J18" s="2211">
        <f t="shared" si="4"/>
        <v>650000</v>
      </c>
      <c r="K18" s="2211">
        <f t="shared" si="5"/>
        <v>0</v>
      </c>
      <c r="L18" s="2213"/>
    </row>
    <row r="19" spans="1:14" ht="30" customHeight="1" x14ac:dyDescent="0.2">
      <c r="A19" s="2267">
        <v>16</v>
      </c>
      <c r="B19" s="19" t="s">
        <v>487</v>
      </c>
      <c r="C19" s="2264" t="s">
        <v>1718</v>
      </c>
      <c r="D19" s="2199">
        <v>80000000</v>
      </c>
      <c r="E19" s="2263">
        <v>0.04</v>
      </c>
      <c r="F19" s="2199">
        <f t="shared" si="3"/>
        <v>3200000</v>
      </c>
      <c r="G19" s="2199">
        <v>3200000</v>
      </c>
      <c r="H19" s="2199" t="s">
        <v>3993</v>
      </c>
      <c r="I19" s="2285" t="s">
        <v>4000</v>
      </c>
      <c r="J19" s="2199">
        <f t="shared" si="4"/>
        <v>3200000</v>
      </c>
      <c r="K19" s="2199">
        <f t="shared" si="5"/>
        <v>0</v>
      </c>
      <c r="L19" s="48"/>
    </row>
    <row r="20" spans="1:14" ht="30" customHeight="1" x14ac:dyDescent="0.2">
      <c r="A20" s="2202">
        <v>17</v>
      </c>
      <c r="B20" s="2204" t="s">
        <v>747</v>
      </c>
      <c r="C20" s="2236" t="s">
        <v>1289</v>
      </c>
      <c r="D20" s="2211">
        <v>100000000</v>
      </c>
      <c r="E20" s="2208">
        <v>0.06</v>
      </c>
      <c r="F20" s="2211">
        <f t="shared" si="3"/>
        <v>6000000</v>
      </c>
      <c r="G20" s="2211">
        <v>6000000</v>
      </c>
      <c r="H20" s="2211" t="s">
        <v>4144</v>
      </c>
      <c r="I20" s="64" t="s">
        <v>3208</v>
      </c>
      <c r="J20" s="2211">
        <f t="shared" si="4"/>
        <v>6000000</v>
      </c>
      <c r="K20" s="2211">
        <f t="shared" si="5"/>
        <v>0</v>
      </c>
      <c r="L20" s="2213"/>
    </row>
    <row r="21" spans="1:14" ht="30" customHeight="1" x14ac:dyDescent="0.2">
      <c r="A21" s="2202">
        <v>18</v>
      </c>
      <c r="B21" s="2204" t="s">
        <v>554</v>
      </c>
      <c r="C21" s="2236" t="s">
        <v>1300</v>
      </c>
      <c r="D21" s="2211">
        <v>50000000</v>
      </c>
      <c r="E21" s="2208">
        <v>0.05</v>
      </c>
      <c r="F21" s="2211">
        <f t="shared" si="3"/>
        <v>2500000</v>
      </c>
      <c r="G21" s="2211">
        <v>2500000</v>
      </c>
      <c r="H21" s="2211" t="s">
        <v>4074</v>
      </c>
      <c r="I21" s="64" t="s">
        <v>2974</v>
      </c>
      <c r="J21" s="2211">
        <f t="shared" si="4"/>
        <v>2500000</v>
      </c>
      <c r="K21" s="2211">
        <f t="shared" si="5"/>
        <v>0</v>
      </c>
      <c r="L21" s="2213"/>
    </row>
    <row r="22" spans="1:14" ht="30" customHeight="1" x14ac:dyDescent="0.2">
      <c r="A22" s="7654">
        <v>19</v>
      </c>
      <c r="B22" s="7717" t="s">
        <v>560</v>
      </c>
      <c r="C22" s="7873"/>
      <c r="D22" s="2211">
        <v>50000000</v>
      </c>
      <c r="E22" s="7659">
        <f>F22/(D22+D23)</f>
        <v>0.05</v>
      </c>
      <c r="F22" s="7563">
        <v>3250000</v>
      </c>
      <c r="G22" s="7563">
        <v>3250000</v>
      </c>
      <c r="H22" s="7563" t="s">
        <v>4043</v>
      </c>
      <c r="I22" s="7762" t="s">
        <v>562</v>
      </c>
      <c r="J22" s="7563">
        <f t="shared" si="4"/>
        <v>3250000</v>
      </c>
      <c r="K22" s="7563">
        <f t="shared" si="5"/>
        <v>0</v>
      </c>
      <c r="L22" s="2242" t="s">
        <v>1995</v>
      </c>
    </row>
    <row r="23" spans="1:14" ht="30" customHeight="1" x14ac:dyDescent="0.2">
      <c r="A23" s="7656"/>
      <c r="B23" s="7717"/>
      <c r="C23" s="7873"/>
      <c r="D23" s="2211">
        <v>15000000</v>
      </c>
      <c r="E23" s="7660"/>
      <c r="F23" s="7564"/>
      <c r="G23" s="7564"/>
      <c r="H23" s="7564"/>
      <c r="I23" s="7763"/>
      <c r="J23" s="7564"/>
      <c r="K23" s="7564"/>
      <c r="L23" s="2242" t="s">
        <v>2912</v>
      </c>
    </row>
    <row r="24" spans="1:14" ht="30" customHeight="1" x14ac:dyDescent="0.2">
      <c r="A24" s="2202">
        <v>22</v>
      </c>
      <c r="B24" s="19" t="s">
        <v>658</v>
      </c>
      <c r="C24" s="2264" t="s">
        <v>1287</v>
      </c>
      <c r="D24" s="2211">
        <v>300000000</v>
      </c>
      <c r="E24" s="2208">
        <v>0.05</v>
      </c>
      <c r="F24" s="2211">
        <f>D24*E24</f>
        <v>15000000</v>
      </c>
      <c r="G24" s="2211">
        <v>15000000</v>
      </c>
      <c r="H24" s="2211" t="s">
        <v>4060</v>
      </c>
      <c r="I24" s="64" t="s">
        <v>2168</v>
      </c>
      <c r="J24" s="2199">
        <f>G24</f>
        <v>15000000</v>
      </c>
      <c r="K24" s="2199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4" t="s">
        <v>2004</v>
      </c>
      <c r="D25" s="2211">
        <v>150000000</v>
      </c>
      <c r="E25" s="2208">
        <v>7.0000000000000007E-2</v>
      </c>
      <c r="F25" s="2211">
        <f>D25*E25</f>
        <v>10500000.000000002</v>
      </c>
      <c r="G25" s="2211">
        <v>10500000</v>
      </c>
      <c r="H25" s="7563" t="s">
        <v>4128</v>
      </c>
      <c r="I25" s="7762" t="s">
        <v>3705</v>
      </c>
      <c r="J25" s="2199">
        <f>G25</f>
        <v>10500000</v>
      </c>
      <c r="K25" s="2199">
        <f>F25-G25</f>
        <v>0</v>
      </c>
      <c r="L25" s="637" t="s">
        <v>4586</v>
      </c>
    </row>
    <row r="26" spans="1:14" ht="30" customHeight="1" x14ac:dyDescent="0.2">
      <c r="A26" s="1028"/>
      <c r="B26" s="19" t="s">
        <v>3618</v>
      </c>
      <c r="C26" s="2264" t="s">
        <v>2004</v>
      </c>
      <c r="D26" s="2211">
        <v>70000000</v>
      </c>
      <c r="E26" s="2208">
        <v>0.06</v>
      </c>
      <c r="F26" s="2211">
        <f>D26*E26</f>
        <v>4200000</v>
      </c>
      <c r="G26" s="2211">
        <v>42000000</v>
      </c>
      <c r="H26" s="7564"/>
      <c r="I26" s="7763"/>
      <c r="J26" s="2199">
        <f>G26</f>
        <v>42000000</v>
      </c>
      <c r="K26" s="2211">
        <v>0</v>
      </c>
      <c r="L26" s="29" t="s">
        <v>3706</v>
      </c>
    </row>
    <row r="27" spans="1:14" ht="30" customHeight="1" x14ac:dyDescent="0.2">
      <c r="A27" s="2202">
        <v>25</v>
      </c>
      <c r="B27" s="2204" t="s">
        <v>718</v>
      </c>
      <c r="C27" s="2236" t="s">
        <v>1296</v>
      </c>
      <c r="D27" s="2211">
        <v>35000000</v>
      </c>
      <c r="E27" s="2208">
        <v>5.8000000000000003E-2</v>
      </c>
      <c r="F27" s="2211">
        <v>2000000</v>
      </c>
      <c r="G27" s="2211">
        <v>2000000</v>
      </c>
      <c r="H27" s="2230" t="s">
        <v>4134</v>
      </c>
      <c r="I27" s="64" t="s">
        <v>4135</v>
      </c>
      <c r="J27" s="2211">
        <f>G27</f>
        <v>2000000</v>
      </c>
      <c r="K27" s="2211">
        <f>F27-G27</f>
        <v>0</v>
      </c>
      <c r="L27" s="2219"/>
      <c r="M27" s="366"/>
      <c r="N27" s="366"/>
    </row>
    <row r="28" spans="1:14" ht="30" customHeight="1" x14ac:dyDescent="0.2">
      <c r="A28" s="2201"/>
      <c r="B28" s="2205" t="s">
        <v>803</v>
      </c>
      <c r="C28" s="2237" t="s">
        <v>359</v>
      </c>
      <c r="D28" s="2210">
        <v>700000000</v>
      </c>
      <c r="E28" s="2207">
        <v>0.05</v>
      </c>
      <c r="F28" s="2210">
        <f t="shared" ref="F28:F43" si="6">D28*E28</f>
        <v>35000000</v>
      </c>
      <c r="G28" s="2199">
        <v>35000000</v>
      </c>
      <c r="H28" s="2199" t="s">
        <v>4016</v>
      </c>
      <c r="I28" s="2199" t="s">
        <v>3063</v>
      </c>
      <c r="J28" s="2199">
        <f>G28</f>
        <v>35000000</v>
      </c>
      <c r="K28" s="2210">
        <f>F28-J28</f>
        <v>0</v>
      </c>
      <c r="L28" s="180" t="s">
        <v>3686</v>
      </c>
      <c r="M28" s="366"/>
      <c r="N28" s="366"/>
    </row>
    <row r="29" spans="1:14" ht="30" customHeight="1" x14ac:dyDescent="0.2">
      <c r="A29" s="7654">
        <v>27</v>
      </c>
      <c r="B29" s="7703" t="s">
        <v>807</v>
      </c>
      <c r="C29" s="7723" t="s">
        <v>1299</v>
      </c>
      <c r="D29" s="2209">
        <v>500000000</v>
      </c>
      <c r="E29" s="2206">
        <v>7.0000000000000007E-2</v>
      </c>
      <c r="F29" s="2209">
        <f t="shared" si="6"/>
        <v>35000000</v>
      </c>
      <c r="G29" s="8125" t="s">
        <v>4284</v>
      </c>
      <c r="H29" s="8125"/>
      <c r="I29" s="8125"/>
      <c r="J29" s="8125"/>
      <c r="K29" s="2209">
        <f t="shared" ref="K29:K40" si="7">F29-J29</f>
        <v>35000000</v>
      </c>
      <c r="L29" s="8072" t="s">
        <v>4725</v>
      </c>
      <c r="M29" s="366"/>
      <c r="N29" s="366"/>
    </row>
    <row r="30" spans="1:14" ht="30" customHeight="1" x14ac:dyDescent="0.2">
      <c r="A30" s="7656"/>
      <c r="B30" s="7704"/>
      <c r="C30" s="7747"/>
      <c r="D30" s="7563">
        <v>500000000</v>
      </c>
      <c r="E30" s="7659">
        <v>0.05</v>
      </c>
      <c r="F30" s="7563">
        <f t="shared" si="6"/>
        <v>25000000</v>
      </c>
      <c r="G30" s="8125" t="s">
        <v>4723</v>
      </c>
      <c r="H30" s="8125"/>
      <c r="I30" s="8125"/>
      <c r="J30" s="8125"/>
      <c r="K30" s="2704"/>
      <c r="L30" s="8072"/>
      <c r="M30" s="366"/>
      <c r="N30" s="366"/>
    </row>
    <row r="31" spans="1:14" ht="30" customHeight="1" x14ac:dyDescent="0.2">
      <c r="A31" s="7656"/>
      <c r="B31" s="7704"/>
      <c r="C31" s="7747"/>
      <c r="D31" s="7564"/>
      <c r="E31" s="7660"/>
      <c r="F31" s="7564"/>
      <c r="G31" s="8128" t="s">
        <v>4724</v>
      </c>
      <c r="H31" s="8129"/>
      <c r="I31" s="8129"/>
      <c r="J31" s="8130"/>
      <c r="K31" s="2704"/>
      <c r="L31" s="8072"/>
      <c r="M31" s="366"/>
      <c r="N31" s="366"/>
    </row>
    <row r="32" spans="1:14" ht="30" customHeight="1" x14ac:dyDescent="0.2">
      <c r="A32" s="7656"/>
      <c r="B32" s="7704"/>
      <c r="C32" s="7747"/>
      <c r="D32" s="2704">
        <v>150000000</v>
      </c>
      <c r="E32" s="2706">
        <v>7.0000000000000007E-2</v>
      </c>
      <c r="F32" s="2704">
        <f t="shared" si="6"/>
        <v>10500000.000000002</v>
      </c>
      <c r="G32" s="8125" t="s">
        <v>4722</v>
      </c>
      <c r="H32" s="8125"/>
      <c r="I32" s="8125"/>
      <c r="J32" s="8125"/>
      <c r="K32" s="2704"/>
      <c r="L32" s="8072"/>
      <c r="M32" s="366"/>
      <c r="N32" s="366"/>
    </row>
    <row r="33" spans="1:14" ht="30" customHeight="1" x14ac:dyDescent="0.2">
      <c r="A33" s="7656"/>
      <c r="B33" s="7704"/>
      <c r="C33" s="7747"/>
      <c r="D33" s="2710">
        <v>650000000</v>
      </c>
      <c r="E33" s="2711">
        <v>7.0000000000000007E-2</v>
      </c>
      <c r="F33" s="2710">
        <f t="shared" si="6"/>
        <v>45500000.000000007</v>
      </c>
      <c r="G33" s="7559"/>
      <c r="H33" s="7559"/>
      <c r="I33" s="8126"/>
      <c r="J33" s="7559"/>
      <c r="K33" s="7559"/>
      <c r="L33" s="8072"/>
      <c r="M33" s="366"/>
      <c r="N33" s="366"/>
    </row>
    <row r="34" spans="1:14" ht="30" customHeight="1" x14ac:dyDescent="0.2">
      <c r="A34" s="7655"/>
      <c r="B34" s="7705"/>
      <c r="C34" s="7724"/>
      <c r="D34" s="2710">
        <v>500000000</v>
      </c>
      <c r="E34" s="2711">
        <v>0.05</v>
      </c>
      <c r="F34" s="2710">
        <f t="shared" si="6"/>
        <v>25000000</v>
      </c>
      <c r="G34" s="7560"/>
      <c r="H34" s="7560"/>
      <c r="I34" s="8127"/>
      <c r="J34" s="7560"/>
      <c r="K34" s="7560"/>
      <c r="L34" s="8072"/>
      <c r="M34" s="366"/>
      <c r="N34" s="366"/>
    </row>
    <row r="35" spans="1:14" ht="30" customHeight="1" x14ac:dyDescent="0.2">
      <c r="A35" s="7654"/>
      <c r="B35" s="7652" t="s">
        <v>3369</v>
      </c>
      <c r="C35" s="7723" t="s">
        <v>1299</v>
      </c>
      <c r="D35" s="7563">
        <v>700000000</v>
      </c>
      <c r="E35" s="7659">
        <v>0.06</v>
      </c>
      <c r="F35" s="7563">
        <f t="shared" si="6"/>
        <v>42000000</v>
      </c>
      <c r="G35" s="2199">
        <v>42000000</v>
      </c>
      <c r="H35" s="2199" t="s">
        <v>4060</v>
      </c>
      <c r="I35" s="2199" t="s">
        <v>820</v>
      </c>
      <c r="J35" s="2199">
        <f t="shared" ref="J35:J40" si="8">G35</f>
        <v>42000000</v>
      </c>
      <c r="K35" s="2199">
        <f t="shared" si="7"/>
        <v>0</v>
      </c>
      <c r="L35" s="2219"/>
      <c r="M35" s="366"/>
      <c r="N35" s="366"/>
    </row>
    <row r="36" spans="1:14" ht="30" customHeight="1" x14ac:dyDescent="0.2">
      <c r="A36" s="7655"/>
      <c r="B36" s="7653"/>
      <c r="C36" s="7724"/>
      <c r="D36" s="7564"/>
      <c r="E36" s="7660"/>
      <c r="F36" s="7564"/>
      <c r="G36" s="2211">
        <v>8000000</v>
      </c>
      <c r="H36" s="2230" t="s">
        <v>4060</v>
      </c>
      <c r="I36" s="2230" t="s">
        <v>820</v>
      </c>
      <c r="J36" s="2211">
        <f>G36</f>
        <v>8000000</v>
      </c>
      <c r="K36" s="2211"/>
      <c r="L36" s="2219" t="s">
        <v>4803</v>
      </c>
      <c r="M36" s="366"/>
      <c r="N36" s="366"/>
    </row>
    <row r="37" spans="1:14" ht="30" customHeight="1" x14ac:dyDescent="0.2">
      <c r="A37" s="2202">
        <v>29</v>
      </c>
      <c r="B37" s="7652" t="s">
        <v>839</v>
      </c>
      <c r="C37" s="2264" t="s">
        <v>1306</v>
      </c>
      <c r="D37" s="2211">
        <v>42000000</v>
      </c>
      <c r="E37" s="2208">
        <v>7.0000000000000007E-2</v>
      </c>
      <c r="F37" s="2211">
        <f t="shared" si="6"/>
        <v>2940000.0000000005</v>
      </c>
      <c r="G37" s="2211">
        <v>2940000</v>
      </c>
      <c r="H37" s="2230" t="s">
        <v>4128</v>
      </c>
      <c r="I37" s="64" t="s">
        <v>3190</v>
      </c>
      <c r="J37" s="2211">
        <f t="shared" si="8"/>
        <v>2940000</v>
      </c>
      <c r="K37" s="2211">
        <f t="shared" si="7"/>
        <v>0</v>
      </c>
      <c r="L37" s="2219"/>
      <c r="M37" s="366"/>
      <c r="N37" s="366"/>
    </row>
    <row r="38" spans="1:14" ht="30" customHeight="1" x14ac:dyDescent="0.2">
      <c r="A38" s="2202"/>
      <c r="B38" s="7653"/>
      <c r="C38" s="2512" t="s">
        <v>4105</v>
      </c>
      <c r="D38" s="2500">
        <v>200000000</v>
      </c>
      <c r="E38" s="2501"/>
      <c r="F38" s="2500"/>
      <c r="G38" s="2500"/>
      <c r="H38" s="452"/>
      <c r="I38" s="2544"/>
      <c r="J38" s="2500"/>
      <c r="K38" s="2500"/>
      <c r="L38" s="2545" t="s">
        <v>4106</v>
      </c>
      <c r="M38" s="366"/>
      <c r="N38" s="366"/>
    </row>
    <row r="39" spans="1:14" ht="30" customHeight="1" x14ac:dyDescent="0.2">
      <c r="A39" s="2202">
        <v>30</v>
      </c>
      <c r="B39" s="2204" t="s">
        <v>843</v>
      </c>
      <c r="C39" s="2236" t="s">
        <v>1107</v>
      </c>
      <c r="D39" s="2211">
        <v>20000000</v>
      </c>
      <c r="E39" s="2208">
        <v>0.04</v>
      </c>
      <c r="F39" s="2211">
        <f t="shared" si="6"/>
        <v>800000</v>
      </c>
      <c r="G39" s="2211">
        <v>800000</v>
      </c>
      <c r="H39" s="2230" t="s">
        <v>4134</v>
      </c>
      <c r="I39" s="64" t="s">
        <v>3105</v>
      </c>
      <c r="J39" s="2211">
        <f t="shared" si="8"/>
        <v>800000</v>
      </c>
      <c r="K39" s="2211">
        <f t="shared" si="7"/>
        <v>0</v>
      </c>
      <c r="L39" s="637"/>
      <c r="M39" s="366"/>
      <c r="N39" s="366"/>
    </row>
    <row r="40" spans="1:14" ht="30" customHeight="1" x14ac:dyDescent="0.2">
      <c r="A40" s="2200">
        <v>31</v>
      </c>
      <c r="B40" s="2261" t="s">
        <v>915</v>
      </c>
      <c r="C40" s="2235"/>
      <c r="D40" s="2199">
        <v>100000000</v>
      </c>
      <c r="E40" s="2263">
        <v>7.0000000000000007E-2</v>
      </c>
      <c r="F40" s="2199">
        <f t="shared" si="6"/>
        <v>7000000.0000000009</v>
      </c>
      <c r="G40" s="2211">
        <v>7000000</v>
      </c>
      <c r="H40" s="2230" t="s">
        <v>4134</v>
      </c>
      <c r="I40" s="64" t="s">
        <v>3195</v>
      </c>
      <c r="J40" s="2209">
        <f t="shared" si="8"/>
        <v>7000000</v>
      </c>
      <c r="K40" s="2209">
        <f t="shared" si="7"/>
        <v>0</v>
      </c>
      <c r="L40" s="2212"/>
      <c r="M40" s="366"/>
      <c r="N40" s="366"/>
    </row>
    <row r="41" spans="1:14" ht="30" customHeight="1" x14ac:dyDescent="0.2">
      <c r="A41" s="7654">
        <v>32</v>
      </c>
      <c r="B41" s="7652" t="s">
        <v>982</v>
      </c>
      <c r="C41" s="7723" t="s">
        <v>1306</v>
      </c>
      <c r="D41" s="2211">
        <v>100000000</v>
      </c>
      <c r="E41" s="2208">
        <v>0.05</v>
      </c>
      <c r="F41" s="2211">
        <f t="shared" si="6"/>
        <v>5000000</v>
      </c>
      <c r="G41" s="7563">
        <v>8850000</v>
      </c>
      <c r="H41" s="7563" t="s">
        <v>4144</v>
      </c>
      <c r="I41" s="7762" t="s">
        <v>2986</v>
      </c>
      <c r="J41" s="7563">
        <f>G41</f>
        <v>8850000</v>
      </c>
      <c r="K41" s="7563">
        <f>(F41+F42+F43)-J41</f>
        <v>0</v>
      </c>
      <c r="L41" s="7713"/>
      <c r="M41" s="366"/>
      <c r="N41" s="366"/>
    </row>
    <row r="42" spans="1:14" ht="30" customHeight="1" x14ac:dyDescent="0.2">
      <c r="A42" s="7656"/>
      <c r="B42" s="7665"/>
      <c r="C42" s="7747"/>
      <c r="D42" s="2211">
        <v>35000000</v>
      </c>
      <c r="E42" s="2208">
        <v>7.0000000000000007E-2</v>
      </c>
      <c r="F42" s="2211">
        <f t="shared" si="6"/>
        <v>2450000.0000000005</v>
      </c>
      <c r="G42" s="7586"/>
      <c r="H42" s="7586"/>
      <c r="I42" s="8114"/>
      <c r="J42" s="7586"/>
      <c r="K42" s="7586"/>
      <c r="L42" s="7797"/>
      <c r="M42" s="366"/>
      <c r="N42" s="366"/>
    </row>
    <row r="43" spans="1:14" ht="30" customHeight="1" x14ac:dyDescent="0.2">
      <c r="A43" s="7655"/>
      <c r="B43" s="7653"/>
      <c r="C43" s="7724"/>
      <c r="D43" s="2199">
        <v>20000000</v>
      </c>
      <c r="E43" s="2263">
        <v>7.0000000000000007E-2</v>
      </c>
      <c r="F43" s="2199">
        <f t="shared" si="6"/>
        <v>1400000.0000000002</v>
      </c>
      <c r="G43" s="7564"/>
      <c r="H43" s="7564"/>
      <c r="I43" s="7763"/>
      <c r="J43" s="7564"/>
      <c r="K43" s="7564"/>
      <c r="L43" s="7997"/>
      <c r="M43" s="7733"/>
      <c r="N43" s="7734"/>
    </row>
    <row r="44" spans="1:14" ht="30" customHeight="1" x14ac:dyDescent="0.2">
      <c r="A44" s="2202">
        <v>33</v>
      </c>
      <c r="B44" s="2204" t="s">
        <v>993</v>
      </c>
      <c r="C44" s="2236" t="s">
        <v>1287</v>
      </c>
      <c r="D44" s="2211">
        <v>63580000</v>
      </c>
      <c r="E44" s="2208">
        <v>7.0000000000000007E-2</v>
      </c>
      <c r="F44" s="2211">
        <v>4450000</v>
      </c>
      <c r="G44" s="2211">
        <v>4450000</v>
      </c>
      <c r="H44" s="2211" t="s">
        <v>4060</v>
      </c>
      <c r="I44" s="64" t="s">
        <v>484</v>
      </c>
      <c r="J44" s="2211">
        <f>G44</f>
        <v>4450000</v>
      </c>
      <c r="K44" s="2211">
        <f t="shared" ref="K44:K52" si="9">F44-J44</f>
        <v>0</v>
      </c>
      <c r="L44" s="2219"/>
      <c r="M44" s="366"/>
      <c r="N44" s="366"/>
    </row>
    <row r="45" spans="1:14" ht="30" customHeight="1" x14ac:dyDescent="0.2">
      <c r="A45" s="2202">
        <v>34</v>
      </c>
      <c r="B45" s="2205" t="s">
        <v>1110</v>
      </c>
      <c r="C45" s="2236"/>
      <c r="D45" s="2211">
        <v>20000000</v>
      </c>
      <c r="E45" s="2208">
        <v>0.04</v>
      </c>
      <c r="F45" s="2211">
        <f>D45*E45</f>
        <v>800000</v>
      </c>
      <c r="G45" s="2211">
        <v>800000</v>
      </c>
      <c r="H45" s="2211" t="s">
        <v>4107</v>
      </c>
      <c r="I45" s="64" t="s">
        <v>1112</v>
      </c>
      <c r="J45" s="2211">
        <f>G45</f>
        <v>800000</v>
      </c>
      <c r="K45" s="2211">
        <f t="shared" si="9"/>
        <v>0</v>
      </c>
      <c r="L45" s="2219"/>
      <c r="M45" s="366"/>
      <c r="N45" s="366"/>
    </row>
    <row r="46" spans="1:14" ht="30" customHeight="1" x14ac:dyDescent="0.2">
      <c r="A46" s="2267">
        <v>35</v>
      </c>
      <c r="B46" s="19" t="s">
        <v>1150</v>
      </c>
      <c r="C46" s="2264" t="s">
        <v>1138</v>
      </c>
      <c r="D46" s="2199">
        <v>175000000</v>
      </c>
      <c r="E46" s="2263">
        <v>0.06</v>
      </c>
      <c r="F46" s="2199">
        <f>D46*E46</f>
        <v>10500000</v>
      </c>
      <c r="G46" s="7563">
        <v>14500000</v>
      </c>
      <c r="H46" s="7563" t="s">
        <v>4188</v>
      </c>
      <c r="I46" s="7563" t="s">
        <v>1720</v>
      </c>
      <c r="J46" s="7563">
        <f>G46</f>
        <v>14500000</v>
      </c>
      <c r="K46" s="7563">
        <f>(F46+F47)-J46</f>
        <v>0</v>
      </c>
      <c r="L46" s="2290"/>
      <c r="M46" s="366"/>
      <c r="N46" s="366"/>
    </row>
    <row r="47" spans="1:14" ht="30" customHeight="1" x14ac:dyDescent="0.2">
      <c r="A47" s="2202"/>
      <c r="B47" s="2205" t="s">
        <v>3264</v>
      </c>
      <c r="C47" s="2236" t="s">
        <v>1138</v>
      </c>
      <c r="D47" s="2211">
        <v>100000000</v>
      </c>
      <c r="E47" s="2208">
        <v>0.04</v>
      </c>
      <c r="F47" s="2211">
        <f>D47*E47</f>
        <v>4000000</v>
      </c>
      <c r="G47" s="7564"/>
      <c r="H47" s="7564"/>
      <c r="I47" s="7564"/>
      <c r="J47" s="7564"/>
      <c r="K47" s="7564"/>
      <c r="L47" s="2219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4" t="s">
        <v>1081</v>
      </c>
      <c r="D48" s="2199">
        <v>50000000</v>
      </c>
      <c r="E48" s="2263">
        <v>7.0000000000000007E-2</v>
      </c>
      <c r="F48" s="2199">
        <f>D48*E48</f>
        <v>3500000.0000000005</v>
      </c>
      <c r="G48" s="2199">
        <v>3500000</v>
      </c>
      <c r="H48" s="2199" t="s">
        <v>4188</v>
      </c>
      <c r="I48" s="1538" t="s">
        <v>4264</v>
      </c>
      <c r="J48" s="2199">
        <f>G48</f>
        <v>3500000</v>
      </c>
      <c r="K48" s="2199">
        <f t="shared" si="9"/>
        <v>0</v>
      </c>
      <c r="L48" s="2219"/>
      <c r="M48" s="366"/>
      <c r="N48" s="366"/>
    </row>
    <row r="49" spans="1:12" ht="30" customHeight="1" x14ac:dyDescent="0.2">
      <c r="A49" s="2202">
        <v>38</v>
      </c>
      <c r="B49" s="2203" t="s">
        <v>1254</v>
      </c>
      <c r="C49" s="2236"/>
      <c r="D49" s="298"/>
      <c r="E49" s="299"/>
      <c r="F49" s="298"/>
      <c r="G49" s="2211"/>
      <c r="H49" s="2211"/>
      <c r="I49" s="64"/>
      <c r="J49" s="2211"/>
      <c r="K49" s="2224">
        <f t="shared" si="9"/>
        <v>0</v>
      </c>
      <c r="L49" s="2219"/>
    </row>
    <row r="50" spans="1:12" ht="30" customHeight="1" x14ac:dyDescent="0.2">
      <c r="A50" s="2202">
        <v>39</v>
      </c>
      <c r="B50" s="2203" t="s">
        <v>1213</v>
      </c>
      <c r="C50" s="2236"/>
      <c r="D50" s="298"/>
      <c r="E50" s="299"/>
      <c r="F50" s="298"/>
      <c r="G50" s="2211"/>
      <c r="H50" s="2211"/>
      <c r="I50" s="64"/>
      <c r="J50" s="2211"/>
      <c r="K50" s="2224">
        <f t="shared" si="9"/>
        <v>0</v>
      </c>
      <c r="L50" s="2219"/>
    </row>
    <row r="51" spans="1:12" ht="30" customHeight="1" x14ac:dyDescent="0.2">
      <c r="A51" s="2202">
        <v>40</v>
      </c>
      <c r="B51" s="2203" t="s">
        <v>1265</v>
      </c>
      <c r="C51" s="2236" t="s">
        <v>1289</v>
      </c>
      <c r="D51" s="2273">
        <v>16000000</v>
      </c>
      <c r="E51" s="300">
        <v>0.05</v>
      </c>
      <c r="F51" s="2273">
        <f>D51*E51</f>
        <v>800000</v>
      </c>
      <c r="G51" s="2211">
        <v>800000</v>
      </c>
      <c r="H51" s="2211" t="s">
        <v>4074</v>
      </c>
      <c r="I51" s="64" t="s">
        <v>1268</v>
      </c>
      <c r="J51" s="2211">
        <f>G51</f>
        <v>800000</v>
      </c>
      <c r="K51" s="2211">
        <f t="shared" si="9"/>
        <v>0</v>
      </c>
      <c r="L51" s="2219"/>
    </row>
    <row r="52" spans="1:12" ht="30" customHeight="1" x14ac:dyDescent="0.2">
      <c r="A52" s="2202">
        <v>41</v>
      </c>
      <c r="B52" s="2203" t="s">
        <v>1285</v>
      </c>
      <c r="C52" s="2236"/>
      <c r="D52" s="298"/>
      <c r="E52" s="299"/>
      <c r="F52" s="298"/>
      <c r="G52" s="2211"/>
      <c r="H52" s="2211"/>
      <c r="I52" s="64"/>
      <c r="J52" s="2211"/>
      <c r="K52" s="2224">
        <f t="shared" si="9"/>
        <v>0</v>
      </c>
      <c r="L52" s="2219"/>
    </row>
    <row r="53" spans="1:12" ht="30" customHeight="1" x14ac:dyDescent="0.2">
      <c r="A53" s="2202">
        <v>42</v>
      </c>
      <c r="B53" s="2261" t="s">
        <v>183</v>
      </c>
      <c r="C53" s="2236"/>
      <c r="D53" s="2211">
        <v>60000000</v>
      </c>
      <c r="E53" s="2263">
        <v>0.05</v>
      </c>
      <c r="F53" s="2211">
        <f t="shared" ref="F53:F153" si="10">D53*E53</f>
        <v>3000000</v>
      </c>
      <c r="G53" s="7563">
        <v>3500000</v>
      </c>
      <c r="H53" s="7563" t="s">
        <v>3929</v>
      </c>
      <c r="I53" s="7775" t="s">
        <v>260</v>
      </c>
      <c r="J53" s="7563">
        <f>G53</f>
        <v>3500000</v>
      </c>
      <c r="K53" s="7563">
        <f>(F53+F54)-J53</f>
        <v>0</v>
      </c>
      <c r="L53" s="7703"/>
    </row>
    <row r="54" spans="1:12" ht="30" customHeight="1" x14ac:dyDescent="0.2">
      <c r="A54" s="2202">
        <v>43</v>
      </c>
      <c r="B54" s="2265" t="s">
        <v>1079</v>
      </c>
      <c r="C54" s="2236"/>
      <c r="D54" s="2211">
        <v>10000000</v>
      </c>
      <c r="E54" s="2263">
        <v>0.05</v>
      </c>
      <c r="F54" s="2211">
        <f>D54*E54</f>
        <v>500000</v>
      </c>
      <c r="G54" s="7564"/>
      <c r="H54" s="7564"/>
      <c r="I54" s="7777"/>
      <c r="J54" s="7564"/>
      <c r="K54" s="7564"/>
      <c r="L54" s="7705"/>
    </row>
    <row r="55" spans="1:12" ht="30" customHeight="1" x14ac:dyDescent="0.2">
      <c r="A55" s="2202">
        <v>44</v>
      </c>
      <c r="B55" s="2265" t="s">
        <v>184</v>
      </c>
      <c r="C55" s="2236" t="s">
        <v>889</v>
      </c>
      <c r="D55" s="2211">
        <v>150000000</v>
      </c>
      <c r="E55" s="2263">
        <v>0.05</v>
      </c>
      <c r="F55" s="2211">
        <f t="shared" si="10"/>
        <v>7500000</v>
      </c>
      <c r="G55" s="2211">
        <v>7500000</v>
      </c>
      <c r="H55" s="2211" t="s">
        <v>2015</v>
      </c>
      <c r="I55" s="2199" t="s">
        <v>1339</v>
      </c>
      <c r="J55" s="2211">
        <f>G55</f>
        <v>7500000</v>
      </c>
      <c r="K55" s="2211">
        <f>F55-J55</f>
        <v>0</v>
      </c>
      <c r="L55" s="2265"/>
    </row>
    <row r="56" spans="1:12" ht="30" customHeight="1" x14ac:dyDescent="0.2">
      <c r="A56" s="7654">
        <v>45</v>
      </c>
      <c r="B56" s="7652" t="s">
        <v>185</v>
      </c>
      <c r="C56" s="7723" t="s">
        <v>1295</v>
      </c>
      <c r="D56" s="7563">
        <v>1190000000</v>
      </c>
      <c r="E56" s="7659">
        <v>7.0000000000000007E-2</v>
      </c>
      <c r="F56" s="7563">
        <f t="shared" si="10"/>
        <v>83300000.000000015</v>
      </c>
      <c r="G56" s="2211">
        <v>53300000</v>
      </c>
      <c r="H56" s="2211" t="s">
        <v>1215</v>
      </c>
      <c r="I56" s="21" t="s">
        <v>3972</v>
      </c>
      <c r="J56" s="7563">
        <f>G56+G57</f>
        <v>83300000</v>
      </c>
      <c r="K56" s="7563">
        <f>F56-J56</f>
        <v>0</v>
      </c>
      <c r="L56" s="7703"/>
    </row>
    <row r="57" spans="1:12" ht="30" customHeight="1" x14ac:dyDescent="0.2">
      <c r="A57" s="7655"/>
      <c r="B57" s="7665"/>
      <c r="C57" s="7747"/>
      <c r="D57" s="7564"/>
      <c r="E57" s="7660"/>
      <c r="F57" s="7564"/>
      <c r="G57" s="2211">
        <v>30000000</v>
      </c>
      <c r="H57" s="2211" t="s">
        <v>1846</v>
      </c>
      <c r="I57" s="21" t="s">
        <v>2696</v>
      </c>
      <c r="J57" s="7564"/>
      <c r="K57" s="7564"/>
      <c r="L57" s="7705"/>
    </row>
    <row r="58" spans="1:12" ht="30" customHeight="1" x14ac:dyDescent="0.2">
      <c r="A58" s="2201"/>
      <c r="B58" s="7665"/>
      <c r="C58" s="7747"/>
      <c r="D58" s="2210">
        <v>400000000</v>
      </c>
      <c r="E58" s="2207">
        <v>7.0000000000000007E-2</v>
      </c>
      <c r="F58" s="2210">
        <f>D58*E58</f>
        <v>28000000.000000004</v>
      </c>
      <c r="G58" s="7732" t="s">
        <v>4334</v>
      </c>
      <c r="H58" s="7733"/>
      <c r="I58" s="7733"/>
      <c r="J58" s="7734"/>
      <c r="K58" s="2211"/>
      <c r="L58" s="2256"/>
    </row>
    <row r="59" spans="1:12" ht="30" customHeight="1" x14ac:dyDescent="0.2">
      <c r="A59" s="2201"/>
      <c r="B59" s="7665"/>
      <c r="C59" s="7747"/>
      <c r="D59" s="2199">
        <f>D56+D58</f>
        <v>1590000000</v>
      </c>
      <c r="E59" s="2263">
        <v>7.0000000000000007E-2</v>
      </c>
      <c r="F59" s="2199">
        <f>D59*E59</f>
        <v>111300000.00000001</v>
      </c>
      <c r="G59" s="2199"/>
      <c r="H59" s="2211"/>
      <c r="I59" s="21"/>
      <c r="J59" s="2211"/>
      <c r="K59" s="2211"/>
      <c r="L59" s="2256"/>
    </row>
    <row r="60" spans="1:12" ht="30" customHeight="1" x14ac:dyDescent="0.2">
      <c r="A60" s="2201"/>
      <c r="B60" s="7653"/>
      <c r="C60" s="7724"/>
      <c r="D60" s="2045">
        <f>D59+100000000</f>
        <v>1690000000</v>
      </c>
      <c r="E60" s="2046">
        <v>7.0000000000000007E-2</v>
      </c>
      <c r="F60" s="2045">
        <f>D60*E60</f>
        <v>118300000.00000001</v>
      </c>
      <c r="G60" s="7732" t="s">
        <v>4250</v>
      </c>
      <c r="H60" s="7733"/>
      <c r="I60" s="7733"/>
      <c r="J60" s="7734"/>
      <c r="K60" s="2211"/>
      <c r="L60" s="2256"/>
    </row>
    <row r="61" spans="1:12" ht="30" customHeight="1" x14ac:dyDescent="0.2">
      <c r="A61" s="7654">
        <v>46</v>
      </c>
      <c r="B61" s="7652" t="s">
        <v>186</v>
      </c>
      <c r="C61" s="7723" t="s">
        <v>1081</v>
      </c>
      <c r="D61" s="7563">
        <v>1200000000</v>
      </c>
      <c r="E61" s="7659">
        <v>0.08</v>
      </c>
      <c r="F61" s="7563">
        <f>D61*E61</f>
        <v>96000000</v>
      </c>
      <c r="G61" s="2211"/>
      <c r="H61" s="2211"/>
      <c r="I61" s="21"/>
      <c r="J61" s="233"/>
      <c r="K61" s="233"/>
      <c r="L61" s="2243"/>
    </row>
    <row r="62" spans="1:12" ht="30" customHeight="1" x14ac:dyDescent="0.2">
      <c r="A62" s="7656"/>
      <c r="B62" s="7665"/>
      <c r="C62" s="7747"/>
      <c r="D62" s="7586"/>
      <c r="E62" s="7676"/>
      <c r="F62" s="7586"/>
      <c r="G62" s="2211"/>
      <c r="H62" s="2211"/>
      <c r="I62" s="21"/>
      <c r="J62" s="233"/>
      <c r="K62" s="233"/>
      <c r="L62" s="2244"/>
    </row>
    <row r="63" spans="1:12" ht="30" customHeight="1" x14ac:dyDescent="0.2">
      <c r="A63" s="7656"/>
      <c r="B63" s="7665"/>
      <c r="C63" s="7747"/>
      <c r="D63" s="7586"/>
      <c r="E63" s="7676"/>
      <c r="F63" s="7586"/>
      <c r="G63" s="233"/>
      <c r="H63" s="233"/>
      <c r="I63" s="233"/>
      <c r="J63" s="233"/>
      <c r="K63" s="233"/>
      <c r="L63" s="2244"/>
    </row>
    <row r="64" spans="1:12" ht="30" customHeight="1" x14ac:dyDescent="0.2">
      <c r="A64" s="7656"/>
      <c r="B64" s="7665"/>
      <c r="C64" s="7747"/>
      <c r="D64" s="7564"/>
      <c r="E64" s="7660"/>
      <c r="F64" s="7564"/>
      <c r="G64" s="2211"/>
      <c r="H64" s="2211"/>
      <c r="I64" s="21"/>
      <c r="J64" s="2211"/>
      <c r="K64" s="2211"/>
      <c r="L64" s="2244"/>
    </row>
    <row r="65" spans="1:12" ht="30" customHeight="1" x14ac:dyDescent="0.2">
      <c r="A65" s="7655"/>
      <c r="B65" s="7653"/>
      <c r="C65" s="7724"/>
      <c r="D65" s="2211">
        <v>1000000000</v>
      </c>
      <c r="E65" s="2208"/>
      <c r="F65" s="2211"/>
      <c r="G65" s="7732" t="s">
        <v>5112</v>
      </c>
      <c r="H65" s="7733"/>
      <c r="I65" s="7733"/>
      <c r="J65" s="7734"/>
      <c r="K65" s="2211"/>
      <c r="L65" s="2245"/>
    </row>
    <row r="66" spans="1:12" ht="30" customHeight="1" x14ac:dyDescent="0.2">
      <c r="A66" s="2200">
        <v>47</v>
      </c>
      <c r="B66" s="2261" t="s">
        <v>187</v>
      </c>
      <c r="C66" s="2264" t="s">
        <v>1080</v>
      </c>
      <c r="D66" s="2211">
        <v>20000000</v>
      </c>
      <c r="E66" s="2208">
        <v>0.05</v>
      </c>
      <c r="F66" s="2211">
        <f t="shared" si="10"/>
        <v>1000000</v>
      </c>
      <c r="G66" s="2211">
        <v>1000000</v>
      </c>
      <c r="H66" s="2211" t="s">
        <v>3929</v>
      </c>
      <c r="I66" s="2238" t="s">
        <v>1534</v>
      </c>
      <c r="J66" s="2211">
        <f>G66</f>
        <v>1000000</v>
      </c>
      <c r="K66" s="2211">
        <f>F66-J66</f>
        <v>0</v>
      </c>
      <c r="L66" s="1336" t="s">
        <v>5330</v>
      </c>
    </row>
    <row r="67" spans="1:12" ht="30" customHeight="1" x14ac:dyDescent="0.2">
      <c r="A67" s="2267">
        <v>48</v>
      </c>
      <c r="B67" s="2265" t="s">
        <v>1615</v>
      </c>
      <c r="C67" s="2264" t="s">
        <v>1081</v>
      </c>
      <c r="D67" s="2199">
        <v>100000000</v>
      </c>
      <c r="E67" s="2263">
        <v>0.05</v>
      </c>
      <c r="F67" s="2199">
        <f t="shared" si="10"/>
        <v>5000000</v>
      </c>
      <c r="G67" s="2211"/>
      <c r="H67" s="2211"/>
      <c r="I67" s="21" t="s">
        <v>3909</v>
      </c>
      <c r="J67" s="2211">
        <f>G67</f>
        <v>0</v>
      </c>
      <c r="K67" s="2211">
        <f>F67-J67</f>
        <v>5000000</v>
      </c>
      <c r="L67" s="2290"/>
    </row>
    <row r="68" spans="1:12" ht="30" customHeight="1" x14ac:dyDescent="0.2">
      <c r="A68" s="7654">
        <v>49</v>
      </c>
      <c r="B68" s="7703" t="s">
        <v>189</v>
      </c>
      <c r="C68" s="7723" t="s">
        <v>1295</v>
      </c>
      <c r="D68" s="7563">
        <v>230000000</v>
      </c>
      <c r="E68" s="7659">
        <v>0.05</v>
      </c>
      <c r="F68" s="7563">
        <f t="shared" si="10"/>
        <v>11500000</v>
      </c>
      <c r="G68" s="2211">
        <v>11500000</v>
      </c>
      <c r="H68" s="7563" t="s">
        <v>4107</v>
      </c>
      <c r="I68" s="7561" t="s">
        <v>1052</v>
      </c>
      <c r="J68" s="2211">
        <f>G68</f>
        <v>11500000</v>
      </c>
      <c r="K68" s="2211">
        <f>F68-J68</f>
        <v>0</v>
      </c>
      <c r="L68" s="763" t="s">
        <v>4109</v>
      </c>
    </row>
    <row r="69" spans="1:12" ht="30" customHeight="1" x14ac:dyDescent="0.2">
      <c r="A69" s="7656"/>
      <c r="B69" s="7704"/>
      <c r="C69" s="7747"/>
      <c r="D69" s="7564"/>
      <c r="E69" s="7660"/>
      <c r="F69" s="7564"/>
      <c r="G69" s="2199">
        <v>11500000</v>
      </c>
      <c r="H69" s="7586"/>
      <c r="I69" s="7672"/>
      <c r="J69" s="2199">
        <f>G69</f>
        <v>11500000</v>
      </c>
      <c r="K69" s="2231">
        <f>F68-J69</f>
        <v>0</v>
      </c>
      <c r="L69" s="1336" t="s">
        <v>4110</v>
      </c>
    </row>
    <row r="70" spans="1:12" ht="30" customHeight="1" x14ac:dyDescent="0.2">
      <c r="A70" s="7655"/>
      <c r="B70" s="7705"/>
      <c r="C70" s="7724"/>
      <c r="D70" s="7470" t="s">
        <v>4335</v>
      </c>
      <c r="E70" s="7493"/>
      <c r="F70" s="7510"/>
      <c r="G70" s="2199">
        <v>80000000</v>
      </c>
      <c r="H70" s="7564"/>
      <c r="I70" s="7562"/>
      <c r="J70" s="2199">
        <f>G70</f>
        <v>80000000</v>
      </c>
      <c r="K70" s="2231">
        <v>0</v>
      </c>
      <c r="L70" s="2204"/>
    </row>
    <row r="71" spans="1:12" ht="30" customHeight="1" x14ac:dyDescent="0.2">
      <c r="A71" s="7654">
        <v>50</v>
      </c>
      <c r="B71" s="7652" t="s">
        <v>190</v>
      </c>
      <c r="C71" s="7723" t="s">
        <v>889</v>
      </c>
      <c r="D71" s="7563">
        <v>350000000</v>
      </c>
      <c r="E71" s="7659">
        <v>0.05</v>
      </c>
      <c r="F71" s="7563">
        <f t="shared" si="10"/>
        <v>17500000</v>
      </c>
      <c r="G71" s="7470" t="s">
        <v>3911</v>
      </c>
      <c r="H71" s="7493"/>
      <c r="I71" s="7493"/>
      <c r="J71" s="7493"/>
      <c r="K71" s="7510"/>
      <c r="L71" s="2290"/>
    </row>
    <row r="72" spans="1:12" ht="30" customHeight="1" x14ac:dyDescent="0.2">
      <c r="A72" s="7655"/>
      <c r="B72" s="7653"/>
      <c r="C72" s="7724"/>
      <c r="D72" s="7564"/>
      <c r="E72" s="7660"/>
      <c r="F72" s="7564"/>
      <c r="G72" s="2199">
        <v>17000000</v>
      </c>
      <c r="H72" s="2199" t="s">
        <v>4188</v>
      </c>
      <c r="I72" s="2199" t="s">
        <v>1054</v>
      </c>
      <c r="J72" s="2199">
        <f>G72</f>
        <v>17000000</v>
      </c>
      <c r="K72" s="2199"/>
      <c r="L72" s="2218" t="s">
        <v>4258</v>
      </c>
    </row>
    <row r="73" spans="1:12" ht="30" customHeight="1" x14ac:dyDescent="0.2">
      <c r="A73" s="2279">
        <v>51</v>
      </c>
      <c r="B73" s="19" t="s">
        <v>191</v>
      </c>
      <c r="C73" s="2264" t="s">
        <v>889</v>
      </c>
      <c r="D73" s="2199">
        <v>260000000</v>
      </c>
      <c r="E73" s="2263">
        <f>F73/D73</f>
        <v>5.5769230769230772E-2</v>
      </c>
      <c r="F73" s="2199">
        <v>14500000</v>
      </c>
      <c r="G73" s="2199">
        <v>14500000</v>
      </c>
      <c r="H73" s="2199" t="s">
        <v>2015</v>
      </c>
      <c r="I73" s="2199" t="s">
        <v>3500</v>
      </c>
      <c r="J73" s="2199">
        <f>G73</f>
        <v>14500000</v>
      </c>
      <c r="K73" s="2199">
        <f>F73-J73</f>
        <v>0</v>
      </c>
      <c r="L73" s="2203"/>
    </row>
    <row r="74" spans="1:12" ht="30" customHeight="1" x14ac:dyDescent="0.2">
      <c r="A74" s="8123"/>
      <c r="B74" s="7665" t="s">
        <v>192</v>
      </c>
      <c r="C74" s="7723" t="s">
        <v>889</v>
      </c>
      <c r="D74" s="2210">
        <v>100000000</v>
      </c>
      <c r="E74" s="2207">
        <v>7.0000000000000007E-2</v>
      </c>
      <c r="F74" s="2210">
        <f>D74*E74</f>
        <v>7000000.0000000009</v>
      </c>
      <c r="G74" s="7563">
        <v>7500000</v>
      </c>
      <c r="H74" s="7563" t="s">
        <v>1846</v>
      </c>
      <c r="I74" s="7563" t="s">
        <v>2540</v>
      </c>
      <c r="J74" s="7563">
        <f>G74</f>
        <v>7500000</v>
      </c>
      <c r="K74" s="7563">
        <f>(F74+F75)-J74</f>
        <v>0</v>
      </c>
      <c r="L74" s="763" t="s">
        <v>2711</v>
      </c>
    </row>
    <row r="75" spans="1:12" ht="30" customHeight="1" x14ac:dyDescent="0.2">
      <c r="A75" s="8124"/>
      <c r="B75" s="7653"/>
      <c r="C75" s="7724"/>
      <c r="D75" s="2209">
        <v>10000000</v>
      </c>
      <c r="E75" s="2206">
        <v>0.05</v>
      </c>
      <c r="F75" s="2209">
        <f>D75*E75</f>
        <v>500000</v>
      </c>
      <c r="G75" s="7564"/>
      <c r="H75" s="7564"/>
      <c r="I75" s="7564"/>
      <c r="J75" s="7564"/>
      <c r="K75" s="7564"/>
      <c r="L75" s="763" t="s">
        <v>3912</v>
      </c>
    </row>
    <row r="76" spans="1:12" ht="30" customHeight="1" x14ac:dyDescent="0.2">
      <c r="A76" s="2279"/>
      <c r="B76" s="19" t="s">
        <v>193</v>
      </c>
      <c r="C76" s="2264" t="s">
        <v>1294</v>
      </c>
      <c r="D76" s="2199">
        <v>500000000</v>
      </c>
      <c r="E76" s="2263">
        <v>7.0000000000000007E-2</v>
      </c>
      <c r="F76" s="2199">
        <f>D76*E76</f>
        <v>35000000</v>
      </c>
      <c r="G76" s="2199">
        <v>37000000</v>
      </c>
      <c r="H76" s="2199" t="s">
        <v>4074</v>
      </c>
      <c r="I76" s="2199" t="s">
        <v>1810</v>
      </c>
      <c r="J76" s="2199">
        <f>G76</f>
        <v>37000000</v>
      </c>
      <c r="K76" s="2199">
        <v>0</v>
      </c>
      <c r="L76" s="1388" t="s">
        <v>3725</v>
      </c>
    </row>
    <row r="77" spans="1:12" ht="30" customHeight="1" x14ac:dyDescent="0.2">
      <c r="A77" s="7654">
        <v>54</v>
      </c>
      <c r="B77" s="7652" t="s">
        <v>1060</v>
      </c>
      <c r="C77" s="7723"/>
      <c r="D77" s="2211">
        <v>35000000</v>
      </c>
      <c r="E77" s="2208">
        <v>7.1999999999999995E-2</v>
      </c>
      <c r="F77" s="2211">
        <v>2500000</v>
      </c>
      <c r="G77" s="7924">
        <v>3500000</v>
      </c>
      <c r="H77" s="7924" t="s">
        <v>3920</v>
      </c>
      <c r="I77" s="7926" t="s">
        <v>3975</v>
      </c>
      <c r="J77" s="7924">
        <f>G77</f>
        <v>3500000</v>
      </c>
      <c r="K77" s="7924">
        <f>(F77+F78)-J77</f>
        <v>0</v>
      </c>
      <c r="L77" s="7703"/>
    </row>
    <row r="78" spans="1:12" ht="30" customHeight="1" x14ac:dyDescent="0.2">
      <c r="A78" s="7656"/>
      <c r="B78" s="7653"/>
      <c r="C78" s="7724"/>
      <c r="D78" s="2211">
        <v>13000000</v>
      </c>
      <c r="E78" s="2263">
        <v>7.6999999999999999E-2</v>
      </c>
      <c r="F78" s="2211">
        <v>1000000</v>
      </c>
      <c r="G78" s="7925"/>
      <c r="H78" s="7925"/>
      <c r="I78" s="7927"/>
      <c r="J78" s="7925"/>
      <c r="K78" s="7925"/>
      <c r="L78" s="7705"/>
    </row>
    <row r="79" spans="1:12" ht="30" customHeight="1" x14ac:dyDescent="0.2">
      <c r="A79" s="7654">
        <v>55</v>
      </c>
      <c r="B79" s="7652" t="s">
        <v>1247</v>
      </c>
      <c r="C79" s="7723" t="s">
        <v>1295</v>
      </c>
      <c r="D79" s="2199">
        <v>175000000</v>
      </c>
      <c r="E79" s="2263">
        <v>0.52</v>
      </c>
      <c r="F79" s="2199">
        <v>9000000</v>
      </c>
      <c r="G79" s="8105" t="s">
        <v>4336</v>
      </c>
      <c r="H79" s="8106"/>
      <c r="I79" s="8106"/>
      <c r="J79" s="8107"/>
      <c r="K79" s="7482">
        <f>(F79+F80+F81)-J79</f>
        <v>18250000</v>
      </c>
      <c r="L79" s="7713" t="s">
        <v>3952</v>
      </c>
    </row>
    <row r="80" spans="1:12" ht="30" customHeight="1" x14ac:dyDescent="0.2">
      <c r="A80" s="7656"/>
      <c r="B80" s="7665"/>
      <c r="C80" s="7747"/>
      <c r="D80" s="2209">
        <f>85000000+20000000</f>
        <v>105000000</v>
      </c>
      <c r="E80" s="2206">
        <v>7.0000000000000007E-2</v>
      </c>
      <c r="F80" s="2209">
        <v>7500000</v>
      </c>
      <c r="G80" s="8108"/>
      <c r="H80" s="8109"/>
      <c r="I80" s="8109"/>
      <c r="J80" s="8110"/>
      <c r="K80" s="7482"/>
      <c r="L80" s="7797"/>
    </row>
    <row r="81" spans="1:12" ht="30" customHeight="1" x14ac:dyDescent="0.2">
      <c r="A81" s="7655"/>
      <c r="B81" s="7653"/>
      <c r="C81" s="7724"/>
      <c r="D81" s="2199">
        <v>35000000</v>
      </c>
      <c r="E81" s="2263">
        <v>0.05</v>
      </c>
      <c r="F81" s="2199">
        <f>D81*E81</f>
        <v>1750000</v>
      </c>
      <c r="G81" s="8111"/>
      <c r="H81" s="8112"/>
      <c r="I81" s="8112"/>
      <c r="J81" s="8113"/>
      <c r="K81" s="7482"/>
      <c r="L81" s="7714"/>
    </row>
    <row r="82" spans="1:12" ht="30" customHeight="1" x14ac:dyDescent="0.2">
      <c r="A82" s="7654">
        <v>56</v>
      </c>
      <c r="B82" s="7652" t="s">
        <v>35</v>
      </c>
      <c r="C82" s="7723" t="s">
        <v>1295</v>
      </c>
      <c r="D82" s="7559">
        <v>3284000000</v>
      </c>
      <c r="E82" s="7683">
        <v>7.0000000000000007E-2</v>
      </c>
      <c r="F82" s="7559">
        <v>229880000</v>
      </c>
      <c r="G82" s="8105" t="s">
        <v>4337</v>
      </c>
      <c r="H82" s="8106"/>
      <c r="I82" s="8106"/>
      <c r="J82" s="8107"/>
      <c r="K82" s="7563">
        <v>0</v>
      </c>
      <c r="L82" s="637" t="s">
        <v>3844</v>
      </c>
    </row>
    <row r="83" spans="1:12" ht="30" customHeight="1" x14ac:dyDescent="0.2">
      <c r="A83" s="7656"/>
      <c r="B83" s="7665"/>
      <c r="C83" s="7724"/>
      <c r="D83" s="7560"/>
      <c r="E83" s="7684"/>
      <c r="F83" s="7560"/>
      <c r="G83" s="8111"/>
      <c r="H83" s="8112"/>
      <c r="I83" s="8112"/>
      <c r="J83" s="8113"/>
      <c r="K83" s="7564"/>
      <c r="L83" s="1611" t="s">
        <v>3839</v>
      </c>
    </row>
    <row r="84" spans="1:12" ht="30" customHeight="1" x14ac:dyDescent="0.2">
      <c r="A84" s="7656"/>
      <c r="B84" s="7665"/>
      <c r="C84" s="7723" t="s">
        <v>1306</v>
      </c>
      <c r="D84" s="2199">
        <f>1050000000+80000000</f>
        <v>1130000000</v>
      </c>
      <c r="E84" s="2263">
        <v>0.08</v>
      </c>
      <c r="F84" s="2199">
        <f>D84*E84</f>
        <v>90400000</v>
      </c>
      <c r="G84" s="2211"/>
      <c r="H84" s="2211"/>
      <c r="I84" s="2211"/>
      <c r="J84" s="2210"/>
      <c r="K84" s="2210"/>
      <c r="L84" s="1611" t="s">
        <v>3843</v>
      </c>
    </row>
    <row r="85" spans="1:12" ht="30" customHeight="1" x14ac:dyDescent="0.2">
      <c r="A85" s="7656"/>
      <c r="B85" s="7665"/>
      <c r="C85" s="7747"/>
      <c r="D85" s="2209">
        <v>229880000</v>
      </c>
      <c r="E85" s="2206">
        <v>0.08</v>
      </c>
      <c r="F85" s="2209">
        <f>D85*E85</f>
        <v>18390400</v>
      </c>
      <c r="G85" s="7732" t="s">
        <v>4338</v>
      </c>
      <c r="H85" s="7733"/>
      <c r="I85" s="7733"/>
      <c r="J85" s="7734"/>
      <c r="K85" s="2199"/>
      <c r="L85" s="1611" t="s">
        <v>4171</v>
      </c>
    </row>
    <row r="86" spans="1:12" ht="30" customHeight="1" x14ac:dyDescent="0.2">
      <c r="A86" s="7656"/>
      <c r="B86" s="7665"/>
      <c r="C86" s="7747"/>
      <c r="D86" s="2209">
        <v>400000000</v>
      </c>
      <c r="E86" s="2206">
        <v>0.08</v>
      </c>
      <c r="F86" s="2209">
        <f>D86*E86</f>
        <v>32000000</v>
      </c>
      <c r="G86" s="2211"/>
      <c r="H86" s="2211"/>
      <c r="I86" s="2211"/>
      <c r="J86" s="2199"/>
      <c r="K86" s="2199"/>
      <c r="L86" s="1611" t="s">
        <v>4172</v>
      </c>
    </row>
    <row r="87" spans="1:12" ht="30" customHeight="1" x14ac:dyDescent="0.2">
      <c r="A87" s="7656"/>
      <c r="B87" s="7665"/>
      <c r="C87" s="7747"/>
      <c r="D87" s="7470" t="s">
        <v>4174</v>
      </c>
      <c r="E87" s="7510"/>
      <c r="F87" s="2209">
        <f>90400000+12260000+2133000+1866000+1600000+1600000+22190000</f>
        <v>132049000</v>
      </c>
      <c r="G87" s="7732" t="s">
        <v>4339</v>
      </c>
      <c r="H87" s="7733"/>
      <c r="I87" s="7733"/>
      <c r="J87" s="7734"/>
      <c r="K87" s="2199"/>
      <c r="L87" s="1611" t="s">
        <v>4173</v>
      </c>
    </row>
    <row r="88" spans="1:12" ht="30" customHeight="1" x14ac:dyDescent="0.2">
      <c r="A88" s="7656"/>
      <c r="B88" s="7665"/>
      <c r="C88" s="7747"/>
      <c r="D88" s="7470" t="s">
        <v>4175</v>
      </c>
      <c r="E88" s="7510"/>
      <c r="F88" s="2209">
        <f>400000000+229880000+132049000</f>
        <v>761929000</v>
      </c>
      <c r="G88" s="2199"/>
      <c r="H88" s="2199"/>
      <c r="I88" s="2199"/>
      <c r="J88" s="2199"/>
      <c r="K88" s="2199"/>
      <c r="L88" s="1611" t="s">
        <v>4173</v>
      </c>
    </row>
    <row r="89" spans="1:12" ht="30" customHeight="1" x14ac:dyDescent="0.2">
      <c r="A89" s="7655"/>
      <c r="B89" s="7653"/>
      <c r="C89" s="7724"/>
      <c r="D89" s="2216">
        <f>D84+F88</f>
        <v>1891929000</v>
      </c>
      <c r="E89" s="2214">
        <v>0.08</v>
      </c>
      <c r="F89" s="2216">
        <f>D89*E89</f>
        <v>151354320</v>
      </c>
      <c r="G89" s="2211"/>
      <c r="H89" s="2211"/>
      <c r="I89" s="2211"/>
      <c r="J89" s="2199"/>
      <c r="K89" s="2199"/>
      <c r="L89" s="1611"/>
    </row>
    <row r="90" spans="1:12" ht="30" customHeight="1" x14ac:dyDescent="0.2">
      <c r="A90" s="7654">
        <v>57</v>
      </c>
      <c r="B90" s="7652" t="s">
        <v>1077</v>
      </c>
      <c r="C90" s="7723" t="s">
        <v>1298</v>
      </c>
      <c r="D90" s="7559">
        <v>317000000</v>
      </c>
      <c r="E90" s="7683">
        <v>7.0000000000000007E-2</v>
      </c>
      <c r="F90" s="7559">
        <f>D90*E90</f>
        <v>22190000.000000004</v>
      </c>
      <c r="G90" s="7991" t="s">
        <v>4340</v>
      </c>
      <c r="H90" s="7992"/>
      <c r="I90" s="7992"/>
      <c r="J90" s="7993"/>
      <c r="K90" s="7563"/>
      <c r="L90" s="7809"/>
    </row>
    <row r="91" spans="1:12" ht="30" customHeight="1" x14ac:dyDescent="0.2">
      <c r="A91" s="7655"/>
      <c r="B91" s="7653"/>
      <c r="C91" s="7724"/>
      <c r="D91" s="7560"/>
      <c r="E91" s="7684"/>
      <c r="F91" s="7560"/>
      <c r="G91" s="7997"/>
      <c r="H91" s="7998"/>
      <c r="I91" s="7998"/>
      <c r="J91" s="7999"/>
      <c r="K91" s="7564"/>
      <c r="L91" s="7810"/>
    </row>
    <row r="92" spans="1:12" ht="30" customHeight="1" x14ac:dyDescent="0.2">
      <c r="A92" s="2200">
        <v>58</v>
      </c>
      <c r="B92" s="2265" t="s">
        <v>1064</v>
      </c>
      <c r="C92" s="2236" t="s">
        <v>889</v>
      </c>
      <c r="D92" s="2211">
        <v>11000000</v>
      </c>
      <c r="E92" s="2263">
        <v>5.5E-2</v>
      </c>
      <c r="F92" s="2211">
        <v>600000</v>
      </c>
      <c r="G92" s="2211"/>
      <c r="H92" s="2211"/>
      <c r="I92" s="2272" t="s">
        <v>1066</v>
      </c>
      <c r="J92" s="2211">
        <f>G92</f>
        <v>0</v>
      </c>
      <c r="K92" s="2211">
        <f>F92-J92</f>
        <v>600000</v>
      </c>
      <c r="L92" s="2265"/>
    </row>
    <row r="93" spans="1:12" ht="30" customHeight="1" x14ac:dyDescent="0.2">
      <c r="A93" s="7654"/>
      <c r="B93" s="7710" t="s">
        <v>194</v>
      </c>
      <c r="C93" s="7723" t="s">
        <v>1295</v>
      </c>
      <c r="D93" s="2211">
        <v>90000000</v>
      </c>
      <c r="E93" s="2263">
        <v>0.05</v>
      </c>
      <c r="F93" s="2211">
        <f t="shared" si="10"/>
        <v>4500000</v>
      </c>
      <c r="G93" s="7563">
        <v>6000000</v>
      </c>
      <c r="H93" s="7563" t="s">
        <v>3939</v>
      </c>
      <c r="I93" s="7563" t="s">
        <v>3941</v>
      </c>
      <c r="J93" s="7563">
        <f>G93</f>
        <v>6000000</v>
      </c>
      <c r="K93" s="7563">
        <f>(F93+F94+F95)-J93</f>
        <v>250000</v>
      </c>
      <c r="L93" s="637" t="s">
        <v>3355</v>
      </c>
    </row>
    <row r="94" spans="1:12" ht="30" customHeight="1" x14ac:dyDescent="0.2">
      <c r="A94" s="7656"/>
      <c r="B94" s="7711"/>
      <c r="C94" s="7747"/>
      <c r="D94" s="2211">
        <v>10000000</v>
      </c>
      <c r="E94" s="2263">
        <v>7.0000000000000007E-2</v>
      </c>
      <c r="F94" s="2211">
        <f t="shared" si="10"/>
        <v>700000.00000000012</v>
      </c>
      <c r="G94" s="7586"/>
      <c r="H94" s="7586"/>
      <c r="I94" s="7586"/>
      <c r="J94" s="7586"/>
      <c r="K94" s="7586"/>
      <c r="L94" s="180"/>
    </row>
    <row r="95" spans="1:12" ht="30" customHeight="1" x14ac:dyDescent="0.2">
      <c r="A95" s="7655"/>
      <c r="B95" s="7712"/>
      <c r="C95" s="7724"/>
      <c r="D95" s="2211">
        <v>15000000</v>
      </c>
      <c r="E95" s="2263">
        <v>7.0000000000000007E-2</v>
      </c>
      <c r="F95" s="2211">
        <f>D95*E95</f>
        <v>1050000</v>
      </c>
      <c r="G95" s="7564"/>
      <c r="H95" s="7564"/>
      <c r="I95" s="7564"/>
      <c r="J95" s="7564"/>
      <c r="K95" s="7564"/>
      <c r="L95" s="29"/>
    </row>
    <row r="96" spans="1:12" ht="30" customHeight="1" x14ac:dyDescent="0.2">
      <c r="A96" s="2267">
        <v>60</v>
      </c>
      <c r="B96" s="2294" t="s">
        <v>1498</v>
      </c>
      <c r="C96" s="2236"/>
      <c r="D96" s="2224"/>
      <c r="E96" s="2295"/>
      <c r="F96" s="2224">
        <f t="shared" si="10"/>
        <v>0</v>
      </c>
      <c r="G96" s="2211">
        <v>10000000</v>
      </c>
      <c r="H96" s="2211" t="s">
        <v>3923</v>
      </c>
      <c r="I96" s="21" t="s">
        <v>1810</v>
      </c>
      <c r="J96" s="2211">
        <f>G96</f>
        <v>10000000</v>
      </c>
      <c r="K96" s="2224">
        <f>F96-J96</f>
        <v>-10000000</v>
      </c>
      <c r="L96" s="2265"/>
    </row>
    <row r="97" spans="1:12" ht="30" customHeight="1" x14ac:dyDescent="0.2">
      <c r="A97" s="2202">
        <v>61</v>
      </c>
      <c r="B97" s="2265" t="s">
        <v>196</v>
      </c>
      <c r="C97" s="2236"/>
      <c r="D97" s="2211">
        <v>100000000</v>
      </c>
      <c r="E97" s="2263">
        <v>7.0000000000000007E-2</v>
      </c>
      <c r="F97" s="2211">
        <f t="shared" si="10"/>
        <v>7000000.0000000009</v>
      </c>
      <c r="G97" s="2211">
        <v>7000000</v>
      </c>
      <c r="H97" s="2211" t="s">
        <v>3923</v>
      </c>
      <c r="I97" s="21" t="s">
        <v>3466</v>
      </c>
      <c r="J97" s="2211">
        <f>G97</f>
        <v>7000000</v>
      </c>
      <c r="K97" s="2211">
        <f>F97-J97</f>
        <v>0</v>
      </c>
      <c r="L97" s="2265"/>
    </row>
    <row r="98" spans="1:12" ht="30" customHeight="1" x14ac:dyDescent="0.2">
      <c r="A98" s="2279">
        <v>62</v>
      </c>
      <c r="B98" s="2261" t="s">
        <v>197</v>
      </c>
      <c r="C98" s="2235"/>
      <c r="D98" s="2199">
        <v>125000000</v>
      </c>
      <c r="E98" s="2263">
        <v>5.1999999999999998E-2</v>
      </c>
      <c r="F98" s="2199">
        <f t="shared" si="10"/>
        <v>6500000</v>
      </c>
      <c r="G98" s="2199"/>
      <c r="H98" s="2199"/>
      <c r="I98" s="2199" t="s">
        <v>1251</v>
      </c>
      <c r="J98" s="2199">
        <f>G98</f>
        <v>0</v>
      </c>
      <c r="K98" s="2199">
        <f>F98-J98</f>
        <v>6500000</v>
      </c>
      <c r="L98" s="2290"/>
    </row>
    <row r="99" spans="1:12" ht="30" customHeight="1" x14ac:dyDescent="0.2">
      <c r="A99" s="7879">
        <v>63</v>
      </c>
      <c r="B99" s="7717" t="s">
        <v>198</v>
      </c>
      <c r="C99" s="7873" t="s">
        <v>889</v>
      </c>
      <c r="D99" s="2199">
        <v>1700000000</v>
      </c>
      <c r="E99" s="2263">
        <v>6.5000000000000002E-2</v>
      </c>
      <c r="F99" s="2199">
        <f>D99*E99</f>
        <v>110500000</v>
      </c>
      <c r="G99" s="2199">
        <v>10500000</v>
      </c>
      <c r="H99" s="2199" t="s">
        <v>1215</v>
      </c>
      <c r="I99" s="2199" t="s">
        <v>2582</v>
      </c>
      <c r="J99" s="2199">
        <f>G99</f>
        <v>10500000</v>
      </c>
      <c r="K99" s="2199">
        <f>F99-100000000-J99</f>
        <v>0</v>
      </c>
      <c r="L99" s="637" t="s">
        <v>3374</v>
      </c>
    </row>
    <row r="100" spans="1:12" ht="30" customHeight="1" x14ac:dyDescent="0.2">
      <c r="A100" s="7879"/>
      <c r="B100" s="7717"/>
      <c r="C100" s="7873"/>
      <c r="D100" s="2199">
        <v>1800000000</v>
      </c>
      <c r="E100" s="2263">
        <v>6.5000000000000002E-2</v>
      </c>
      <c r="F100" s="2199">
        <f>D100*E100</f>
        <v>117000000</v>
      </c>
      <c r="G100" s="8102" t="s">
        <v>4341</v>
      </c>
      <c r="H100" s="8103"/>
      <c r="I100" s="8103"/>
      <c r="J100" s="8104"/>
      <c r="K100" s="2211"/>
      <c r="L100" s="29" t="s">
        <v>3913</v>
      </c>
    </row>
    <row r="101" spans="1:12" ht="30" customHeight="1" x14ac:dyDescent="0.2">
      <c r="A101" s="2202">
        <v>64</v>
      </c>
      <c r="B101" s="2204" t="s">
        <v>1336</v>
      </c>
      <c r="C101" s="2236" t="s">
        <v>889</v>
      </c>
      <c r="D101" s="2211">
        <v>200000000</v>
      </c>
      <c r="E101" s="2208">
        <v>5.5E-2</v>
      </c>
      <c r="F101" s="2211">
        <f t="shared" si="10"/>
        <v>11000000</v>
      </c>
      <c r="G101" s="2211">
        <v>11000000</v>
      </c>
      <c r="H101" s="2211" t="s">
        <v>3923</v>
      </c>
      <c r="I101" s="21" t="s">
        <v>3925</v>
      </c>
      <c r="J101" s="2211">
        <f>G101</f>
        <v>11000000</v>
      </c>
      <c r="K101" s="2211">
        <f t="shared" ref="K101:K110" si="11">F101-J101</f>
        <v>0</v>
      </c>
      <c r="L101" s="2290" t="s">
        <v>1337</v>
      </c>
    </row>
    <row r="102" spans="1:12" ht="30" customHeight="1" x14ac:dyDescent="0.2">
      <c r="A102" s="7654">
        <v>66</v>
      </c>
      <c r="B102" s="7652" t="s">
        <v>201</v>
      </c>
      <c r="C102" s="7723" t="s">
        <v>889</v>
      </c>
      <c r="D102" s="2199">
        <v>252000000</v>
      </c>
      <c r="E102" s="2263">
        <f>F102/D102</f>
        <v>5.2142857142857144E-2</v>
      </c>
      <c r="F102" s="2199">
        <v>13140000</v>
      </c>
      <c r="G102" s="2199">
        <v>13140000</v>
      </c>
      <c r="H102" s="2199" t="s">
        <v>1215</v>
      </c>
      <c r="I102" s="2260" t="s">
        <v>3501</v>
      </c>
      <c r="J102" s="2199">
        <f t="shared" ref="J102:J108" si="12">G102</f>
        <v>13140000</v>
      </c>
      <c r="K102" s="2199">
        <f t="shared" si="11"/>
        <v>0</v>
      </c>
      <c r="L102" s="2290"/>
    </row>
    <row r="103" spans="1:12" ht="30" customHeight="1" x14ac:dyDescent="0.2">
      <c r="A103" s="7655"/>
      <c r="B103" s="7653"/>
      <c r="C103" s="7724"/>
      <c r="D103" s="2199">
        <v>534000000</v>
      </c>
      <c r="E103" s="2263">
        <f>F103/D103</f>
        <v>6.1573033707865168E-2</v>
      </c>
      <c r="F103" s="2199">
        <v>32880000</v>
      </c>
      <c r="G103" s="2199"/>
      <c r="H103" s="2199"/>
      <c r="I103" s="2260"/>
      <c r="J103" s="2199"/>
      <c r="K103" s="2199"/>
      <c r="L103" s="2218" t="s">
        <v>4241</v>
      </c>
    </row>
    <row r="104" spans="1:12" ht="30" customHeight="1" x14ac:dyDescent="0.2">
      <c r="A104" s="2200">
        <v>68</v>
      </c>
      <c r="B104" s="2265" t="s">
        <v>202</v>
      </c>
      <c r="C104" s="2264" t="s">
        <v>1295</v>
      </c>
      <c r="D104" s="2199">
        <v>150000000</v>
      </c>
      <c r="E104" s="2263">
        <v>0.05</v>
      </c>
      <c r="F104" s="2199">
        <f t="shared" si="10"/>
        <v>7500000</v>
      </c>
      <c r="G104" s="2199">
        <v>7500000</v>
      </c>
      <c r="H104" s="2199" t="s">
        <v>3923</v>
      </c>
      <c r="I104" s="1538" t="s">
        <v>3926</v>
      </c>
      <c r="J104" s="2199">
        <f t="shared" si="12"/>
        <v>7500000</v>
      </c>
      <c r="K104" s="2199">
        <f t="shared" si="11"/>
        <v>0</v>
      </c>
      <c r="L104" s="2232"/>
    </row>
    <row r="105" spans="1:12" ht="30" customHeight="1" x14ac:dyDescent="0.2">
      <c r="A105" s="7654">
        <v>69</v>
      </c>
      <c r="B105" s="7652" t="s">
        <v>203</v>
      </c>
      <c r="C105" s="7723" t="s">
        <v>889</v>
      </c>
      <c r="D105" s="7563">
        <v>280000000</v>
      </c>
      <c r="E105" s="7659">
        <f>F105/D105</f>
        <v>7.0000000000000007E-2</v>
      </c>
      <c r="F105" s="7563">
        <v>19600000</v>
      </c>
      <c r="G105" s="2199">
        <v>19600000</v>
      </c>
      <c r="H105" s="2199" t="s">
        <v>3923</v>
      </c>
      <c r="I105" s="2260" t="s">
        <v>934</v>
      </c>
      <c r="J105" s="2199">
        <f t="shared" si="12"/>
        <v>19600000</v>
      </c>
      <c r="K105" s="2199">
        <f t="shared" si="11"/>
        <v>0</v>
      </c>
      <c r="L105" s="2254"/>
    </row>
    <row r="106" spans="1:12" ht="30" customHeight="1" x14ac:dyDescent="0.2">
      <c r="A106" s="7655"/>
      <c r="B106" s="7653"/>
      <c r="C106" s="7724"/>
      <c r="D106" s="7564"/>
      <c r="E106" s="7660"/>
      <c r="F106" s="7564"/>
      <c r="G106" s="2199">
        <v>19600000</v>
      </c>
      <c r="H106" s="2199" t="s">
        <v>3929</v>
      </c>
      <c r="I106" s="2260" t="s">
        <v>934</v>
      </c>
      <c r="J106" s="2199">
        <f t="shared" si="12"/>
        <v>19600000</v>
      </c>
      <c r="K106" s="2199"/>
      <c r="L106" s="2254"/>
    </row>
    <row r="107" spans="1:12" ht="30" customHeight="1" x14ac:dyDescent="0.2">
      <c r="A107" s="2200">
        <v>70</v>
      </c>
      <c r="B107" s="2261" t="s">
        <v>204</v>
      </c>
      <c r="C107" s="2264" t="s">
        <v>889</v>
      </c>
      <c r="D107" s="2199">
        <v>100000000</v>
      </c>
      <c r="E107" s="2263">
        <v>0.04</v>
      </c>
      <c r="F107" s="2199">
        <f t="shared" si="10"/>
        <v>4000000</v>
      </c>
      <c r="G107" s="2199">
        <v>4000000</v>
      </c>
      <c r="H107" s="2199" t="s">
        <v>3923</v>
      </c>
      <c r="I107" s="2272" t="s">
        <v>3405</v>
      </c>
      <c r="J107" s="2199">
        <f t="shared" si="12"/>
        <v>4000000</v>
      </c>
      <c r="K107" s="2199">
        <f t="shared" si="11"/>
        <v>0</v>
      </c>
      <c r="L107" s="2232"/>
    </row>
    <row r="108" spans="1:12" ht="30" customHeight="1" x14ac:dyDescent="0.2">
      <c r="A108" s="7654"/>
      <c r="B108" s="7652" t="s">
        <v>205</v>
      </c>
      <c r="C108" s="7723" t="s">
        <v>889</v>
      </c>
      <c r="D108" s="2211">
        <v>30000000</v>
      </c>
      <c r="E108" s="2208">
        <v>0.05</v>
      </c>
      <c r="F108" s="2211">
        <f t="shared" si="10"/>
        <v>1500000</v>
      </c>
      <c r="G108" s="2211">
        <v>1500000</v>
      </c>
      <c r="H108" s="2211" t="s">
        <v>3923</v>
      </c>
      <c r="I108" s="2211" t="s">
        <v>1407</v>
      </c>
      <c r="J108" s="2211">
        <f t="shared" si="12"/>
        <v>1500000</v>
      </c>
      <c r="K108" s="2211">
        <f t="shared" si="11"/>
        <v>0</v>
      </c>
      <c r="L108" s="2213"/>
    </row>
    <row r="109" spans="1:12" ht="30" customHeight="1" x14ac:dyDescent="0.2">
      <c r="A109" s="7655"/>
      <c r="B109" s="7653"/>
      <c r="C109" s="7724"/>
      <c r="D109" s="2210">
        <v>10000000</v>
      </c>
      <c r="E109" s="2207">
        <v>0.05</v>
      </c>
      <c r="F109" s="2210">
        <f t="shared" si="10"/>
        <v>500000</v>
      </c>
      <c r="G109" s="2211"/>
      <c r="H109" s="2211"/>
      <c r="I109" s="2230"/>
      <c r="J109" s="2210"/>
      <c r="K109" s="2210"/>
      <c r="L109" s="2242" t="s">
        <v>4218</v>
      </c>
    </row>
    <row r="110" spans="1:12" ht="30" customHeight="1" x14ac:dyDescent="0.2">
      <c r="A110" s="7654">
        <v>72</v>
      </c>
      <c r="B110" s="7652" t="s">
        <v>1023</v>
      </c>
      <c r="C110" s="7723" t="s">
        <v>1718</v>
      </c>
      <c r="D110" s="7563">
        <v>1685000000</v>
      </c>
      <c r="E110" s="7659">
        <v>0.06</v>
      </c>
      <c r="F110" s="7563">
        <f t="shared" si="10"/>
        <v>101100000</v>
      </c>
      <c r="G110" s="2211">
        <v>50000000</v>
      </c>
      <c r="H110" s="2211" t="s">
        <v>4043</v>
      </c>
      <c r="I110" s="21" t="s">
        <v>3067</v>
      </c>
      <c r="J110" s="7563">
        <f>G110+G111</f>
        <v>100000000</v>
      </c>
      <c r="K110" s="7563">
        <f t="shared" si="11"/>
        <v>1100000</v>
      </c>
      <c r="L110" s="7798"/>
    </row>
    <row r="111" spans="1:12" ht="30" customHeight="1" x14ac:dyDescent="0.2">
      <c r="A111" s="7655"/>
      <c r="B111" s="7653"/>
      <c r="C111" s="7724"/>
      <c r="D111" s="7564"/>
      <c r="E111" s="7660"/>
      <c r="F111" s="7564"/>
      <c r="G111" s="2211">
        <v>50000000</v>
      </c>
      <c r="H111" s="2211" t="s">
        <v>4074</v>
      </c>
      <c r="I111" s="21" t="s">
        <v>3067</v>
      </c>
      <c r="J111" s="7564"/>
      <c r="K111" s="7564"/>
      <c r="L111" s="7800"/>
    </row>
    <row r="112" spans="1:12" ht="30" customHeight="1" x14ac:dyDescent="0.2">
      <c r="A112" s="2202">
        <v>73</v>
      </c>
      <c r="B112" s="2265" t="s">
        <v>206</v>
      </c>
      <c r="C112" s="2236" t="s">
        <v>1293</v>
      </c>
      <c r="D112" s="2211">
        <v>20000000</v>
      </c>
      <c r="E112" s="2263">
        <v>0.05</v>
      </c>
      <c r="F112" s="2211">
        <f t="shared" si="10"/>
        <v>1000000</v>
      </c>
      <c r="G112" s="2211">
        <v>1000000</v>
      </c>
      <c r="H112" s="2211" t="s">
        <v>3965</v>
      </c>
      <c r="I112" s="21" t="s">
        <v>3988</v>
      </c>
      <c r="J112" s="2211">
        <f>G112</f>
        <v>1000000</v>
      </c>
      <c r="K112" s="2211">
        <f>F112-J112</f>
        <v>0</v>
      </c>
      <c r="L112" s="2265"/>
    </row>
    <row r="113" spans="1:16" ht="30" customHeight="1" x14ac:dyDescent="0.2">
      <c r="A113" s="7654">
        <v>74</v>
      </c>
      <c r="B113" s="7652" t="s">
        <v>4203</v>
      </c>
      <c r="C113" s="2236" t="s">
        <v>2644</v>
      </c>
      <c r="D113" s="2211">
        <v>125000000</v>
      </c>
      <c r="E113" s="2263">
        <v>0.04</v>
      </c>
      <c r="F113" s="2211">
        <f t="shared" si="10"/>
        <v>5000000</v>
      </c>
      <c r="G113" s="2211">
        <v>5000000</v>
      </c>
      <c r="H113" s="2211" t="s">
        <v>1215</v>
      </c>
      <c r="I113" s="2230" t="s">
        <v>3938</v>
      </c>
      <c r="J113" s="2211">
        <f>G113</f>
        <v>5000000</v>
      </c>
      <c r="K113" s="2211">
        <f>F113-J113</f>
        <v>0</v>
      </c>
      <c r="L113" s="736"/>
    </row>
    <row r="114" spans="1:16" ht="30" customHeight="1" x14ac:dyDescent="0.2">
      <c r="A114" s="7655"/>
      <c r="B114" s="7653"/>
      <c r="C114" s="2236" t="s">
        <v>2644</v>
      </c>
      <c r="D114" s="2211">
        <v>90000000</v>
      </c>
      <c r="E114" s="2263">
        <v>0.05</v>
      </c>
      <c r="F114" s="2211">
        <f t="shared" si="10"/>
        <v>4500000</v>
      </c>
      <c r="G114" s="2211"/>
      <c r="H114" s="2211"/>
      <c r="I114" s="2230"/>
      <c r="J114" s="2211"/>
      <c r="K114" s="2211"/>
      <c r="L114" s="736" t="s">
        <v>4206</v>
      </c>
    </row>
    <row r="115" spans="1:16" ht="30" customHeight="1" x14ac:dyDescent="0.2">
      <c r="A115" s="2267"/>
      <c r="B115" s="2265" t="s">
        <v>4205</v>
      </c>
      <c r="C115" s="2236" t="s">
        <v>262</v>
      </c>
      <c r="D115" s="2211">
        <v>200000000</v>
      </c>
      <c r="E115" s="2263">
        <v>0.05</v>
      </c>
      <c r="F115" s="2211">
        <f t="shared" si="10"/>
        <v>10000000</v>
      </c>
      <c r="G115" s="2211"/>
      <c r="H115" s="2211"/>
      <c r="I115" s="2230"/>
      <c r="J115" s="2211"/>
      <c r="K115" s="2211"/>
      <c r="L115" s="736" t="s">
        <v>4204</v>
      </c>
    </row>
    <row r="116" spans="1:16" ht="30" customHeight="1" x14ac:dyDescent="0.2">
      <c r="A116" s="2267"/>
      <c r="B116" s="2265" t="s">
        <v>208</v>
      </c>
      <c r="C116" s="2236"/>
      <c r="D116" s="2211">
        <v>50000000</v>
      </c>
      <c r="E116" s="2263">
        <v>0.05</v>
      </c>
      <c r="F116" s="2211">
        <f t="shared" si="10"/>
        <v>2500000</v>
      </c>
      <c r="G116" s="2211"/>
      <c r="H116" s="2211"/>
      <c r="I116" s="2230"/>
      <c r="J116" s="2211"/>
      <c r="K116" s="2211"/>
      <c r="L116" s="180"/>
    </row>
    <row r="117" spans="1:16" ht="30" customHeight="1" x14ac:dyDescent="0.2">
      <c r="A117" s="2267">
        <v>76</v>
      </c>
      <c r="B117" s="2265" t="s">
        <v>3462</v>
      </c>
      <c r="C117" s="2236" t="s">
        <v>1293</v>
      </c>
      <c r="D117" s="2211">
        <v>100000000</v>
      </c>
      <c r="E117" s="2263">
        <v>0.05</v>
      </c>
      <c r="F117" s="2211">
        <f t="shared" si="10"/>
        <v>5000000</v>
      </c>
      <c r="G117" s="2211"/>
      <c r="H117" s="2211"/>
      <c r="I117" s="21" t="s">
        <v>1538</v>
      </c>
      <c r="J117" s="2211">
        <f>G117</f>
        <v>0</v>
      </c>
      <c r="K117" s="2211">
        <f>F117-J117</f>
        <v>5000000</v>
      </c>
      <c r="L117" s="736" t="s">
        <v>3953</v>
      </c>
    </row>
    <row r="118" spans="1:16" ht="30" customHeight="1" x14ac:dyDescent="0.2">
      <c r="A118" s="7654">
        <v>77</v>
      </c>
      <c r="B118" s="7652" t="s">
        <v>210</v>
      </c>
      <c r="C118" s="7723" t="s">
        <v>1717</v>
      </c>
      <c r="D118" s="2211">
        <v>30000000</v>
      </c>
      <c r="E118" s="2263">
        <v>7.0000000000000007E-2</v>
      </c>
      <c r="F118" s="2211">
        <f t="shared" si="10"/>
        <v>2100000</v>
      </c>
      <c r="G118" s="7563">
        <v>3675000</v>
      </c>
      <c r="H118" s="7563" t="s">
        <v>3923</v>
      </c>
      <c r="I118" s="7561" t="s">
        <v>952</v>
      </c>
      <c r="J118" s="7563">
        <f>G118</f>
        <v>3675000</v>
      </c>
      <c r="K118" s="7563">
        <f>(F118+F119)-J118</f>
        <v>0</v>
      </c>
      <c r="L118" s="7713"/>
    </row>
    <row r="119" spans="1:16" ht="30" customHeight="1" x14ac:dyDescent="0.2">
      <c r="A119" s="7655"/>
      <c r="B119" s="7653"/>
      <c r="C119" s="7724"/>
      <c r="D119" s="2211">
        <v>35000000</v>
      </c>
      <c r="E119" s="2263">
        <v>4.4999999999999998E-2</v>
      </c>
      <c r="F119" s="2211">
        <f t="shared" si="10"/>
        <v>1575000</v>
      </c>
      <c r="G119" s="7564"/>
      <c r="H119" s="7564"/>
      <c r="I119" s="7562"/>
      <c r="J119" s="7564"/>
      <c r="K119" s="7564"/>
      <c r="L119" s="7714"/>
    </row>
    <row r="120" spans="1:16" ht="30" customHeight="1" x14ac:dyDescent="0.2">
      <c r="A120" s="2267">
        <v>78</v>
      </c>
      <c r="B120" s="2265" t="s">
        <v>211</v>
      </c>
      <c r="C120" s="2236"/>
      <c r="D120" s="2224"/>
      <c r="E120" s="2295"/>
      <c r="F120" s="2224">
        <f t="shared" si="10"/>
        <v>0</v>
      </c>
      <c r="G120" s="2211">
        <v>1900000</v>
      </c>
      <c r="H120" s="2211" t="s">
        <v>2015</v>
      </c>
      <c r="I120" s="2272" t="s">
        <v>955</v>
      </c>
      <c r="J120" s="2211">
        <f t="shared" ref="J120:J126" si="13">G120</f>
        <v>1900000</v>
      </c>
      <c r="K120" s="2224">
        <f t="shared" ref="K120:K126" si="14">F120-J120</f>
        <v>-1900000</v>
      </c>
      <c r="L120" s="2265"/>
    </row>
    <row r="121" spans="1:16" ht="30" customHeight="1" x14ac:dyDescent="0.2">
      <c r="A121" s="2267">
        <v>79</v>
      </c>
      <c r="B121" s="2265" t="s">
        <v>212</v>
      </c>
      <c r="C121" s="2236" t="s">
        <v>889</v>
      </c>
      <c r="D121" s="2211">
        <v>15000000</v>
      </c>
      <c r="E121" s="2263">
        <v>4.4999999999999998E-2</v>
      </c>
      <c r="F121" s="2211">
        <f t="shared" si="10"/>
        <v>675000</v>
      </c>
      <c r="G121" s="2211">
        <v>675000</v>
      </c>
      <c r="H121" s="2211" t="s">
        <v>2015</v>
      </c>
      <c r="I121" s="21" t="s">
        <v>1766</v>
      </c>
      <c r="J121" s="2211">
        <f t="shared" si="13"/>
        <v>675000</v>
      </c>
      <c r="K121" s="2211">
        <f t="shared" si="14"/>
        <v>0</v>
      </c>
      <c r="L121" s="2265"/>
      <c r="M121" s="366"/>
      <c r="N121" s="366"/>
      <c r="O121" s="366"/>
      <c r="P121" s="366"/>
    </row>
    <row r="122" spans="1:16" ht="30" customHeight="1" x14ac:dyDescent="0.2">
      <c r="A122" s="2267">
        <v>80</v>
      </c>
      <c r="B122" s="2265" t="s">
        <v>182</v>
      </c>
      <c r="C122" s="2236" t="s">
        <v>1293</v>
      </c>
      <c r="D122" s="2211">
        <v>145000000</v>
      </c>
      <c r="E122" s="2263">
        <v>4.4999999999999998E-2</v>
      </c>
      <c r="F122" s="2211">
        <v>6775000</v>
      </c>
      <c r="G122" s="2211">
        <v>6775000</v>
      </c>
      <c r="H122" s="2211" t="s">
        <v>3923</v>
      </c>
      <c r="I122" s="2199" t="s">
        <v>3928</v>
      </c>
      <c r="J122" s="2211">
        <f t="shared" si="13"/>
        <v>6775000</v>
      </c>
      <c r="K122" s="2211">
        <f t="shared" si="14"/>
        <v>0</v>
      </c>
      <c r="L122" s="2265"/>
      <c r="M122" s="366"/>
      <c r="N122" s="366"/>
      <c r="O122" s="366"/>
      <c r="P122" s="366"/>
    </row>
    <row r="123" spans="1:16" ht="30" customHeight="1" x14ac:dyDescent="0.2">
      <c r="A123" s="2267">
        <v>81</v>
      </c>
      <c r="B123" s="2265" t="s">
        <v>213</v>
      </c>
      <c r="C123" s="2236"/>
      <c r="D123" s="2211">
        <v>5000000</v>
      </c>
      <c r="E123" s="2263">
        <v>0.04</v>
      </c>
      <c r="F123" s="2211">
        <f t="shared" si="10"/>
        <v>200000</v>
      </c>
      <c r="G123" s="2211">
        <v>200000</v>
      </c>
      <c r="H123" s="2211" t="s">
        <v>3965</v>
      </c>
      <c r="I123" s="21" t="s">
        <v>1363</v>
      </c>
      <c r="J123" s="2211">
        <f t="shared" si="13"/>
        <v>200000</v>
      </c>
      <c r="K123" s="2211">
        <f t="shared" si="14"/>
        <v>0</v>
      </c>
      <c r="L123" s="2265"/>
      <c r="M123" s="366"/>
      <c r="N123" s="366"/>
      <c r="O123" s="366"/>
      <c r="P123" s="366"/>
    </row>
    <row r="124" spans="1:16" ht="30" customHeight="1" x14ac:dyDescent="0.2">
      <c r="A124" s="2267">
        <v>82</v>
      </c>
      <c r="B124" s="2265" t="s">
        <v>214</v>
      </c>
      <c r="C124" s="2236"/>
      <c r="D124" s="2211">
        <v>16000000</v>
      </c>
      <c r="E124" s="2263">
        <v>0.05</v>
      </c>
      <c r="F124" s="2211">
        <f t="shared" si="10"/>
        <v>800000</v>
      </c>
      <c r="G124" s="2211">
        <v>800000</v>
      </c>
      <c r="H124" s="2211" t="s">
        <v>3923</v>
      </c>
      <c r="I124" s="2272" t="s">
        <v>964</v>
      </c>
      <c r="J124" s="2211">
        <f t="shared" si="13"/>
        <v>800000</v>
      </c>
      <c r="K124" s="2211">
        <f t="shared" si="14"/>
        <v>0</v>
      </c>
      <c r="L124" s="2265"/>
      <c r="M124" s="366"/>
      <c r="N124" s="366"/>
      <c r="O124" s="366"/>
      <c r="P124" s="366"/>
    </row>
    <row r="125" spans="1:16" ht="30" customHeight="1" x14ac:dyDescent="0.2">
      <c r="A125" s="2267">
        <v>83</v>
      </c>
      <c r="B125" s="2265" t="s">
        <v>215</v>
      </c>
      <c r="C125" s="2236" t="s">
        <v>889</v>
      </c>
      <c r="D125" s="2211">
        <v>160000000</v>
      </c>
      <c r="E125" s="2263">
        <v>0.05</v>
      </c>
      <c r="F125" s="2211">
        <f>D125*E125</f>
        <v>8000000</v>
      </c>
      <c r="G125" s="2211">
        <v>8000000</v>
      </c>
      <c r="H125" s="2211" t="s">
        <v>3965</v>
      </c>
      <c r="I125" s="2199" t="s">
        <v>3982</v>
      </c>
      <c r="J125" s="2211">
        <f t="shared" si="13"/>
        <v>8000000</v>
      </c>
      <c r="K125" s="2211">
        <f t="shared" si="14"/>
        <v>0</v>
      </c>
      <c r="L125" s="2265"/>
      <c r="M125" s="366"/>
      <c r="N125" s="366"/>
      <c r="O125" s="366"/>
      <c r="P125" s="366"/>
    </row>
    <row r="126" spans="1:16" ht="30" customHeight="1" x14ac:dyDescent="0.2">
      <c r="A126" s="2267">
        <v>84</v>
      </c>
      <c r="B126" s="2265" t="s">
        <v>216</v>
      </c>
      <c r="C126" s="2236"/>
      <c r="D126" s="2211">
        <v>400000000</v>
      </c>
      <c r="E126" s="2263">
        <v>6.0999999999999999E-2</v>
      </c>
      <c r="F126" s="2211">
        <f t="shared" si="10"/>
        <v>24400000</v>
      </c>
      <c r="G126" s="2211">
        <v>24400000</v>
      </c>
      <c r="H126" s="2211" t="s">
        <v>2015</v>
      </c>
      <c r="I126" s="2272" t="s">
        <v>1553</v>
      </c>
      <c r="J126" s="2211">
        <f t="shared" si="13"/>
        <v>24400000</v>
      </c>
      <c r="K126" s="2211">
        <f t="shared" si="14"/>
        <v>0</v>
      </c>
      <c r="L126" s="2265"/>
      <c r="M126" s="366"/>
      <c r="N126" s="366"/>
      <c r="O126" s="366"/>
      <c r="P126" s="366"/>
    </row>
    <row r="127" spans="1:16" ht="30" customHeight="1" x14ac:dyDescent="0.2">
      <c r="A127" s="7654"/>
      <c r="B127" s="7652" t="s">
        <v>975</v>
      </c>
      <c r="C127" s="7723" t="s">
        <v>889</v>
      </c>
      <c r="D127" s="7563">
        <v>850000000</v>
      </c>
      <c r="E127" s="7659">
        <f>F127/D127</f>
        <v>6.1647058823529409E-2</v>
      </c>
      <c r="F127" s="7563">
        <v>52400000</v>
      </c>
      <c r="G127" s="7563">
        <v>52400000</v>
      </c>
      <c r="H127" s="7563" t="s">
        <v>3923</v>
      </c>
      <c r="I127" s="7563" t="s">
        <v>2540</v>
      </c>
      <c r="J127" s="7563">
        <f>G127+G128</f>
        <v>52400000</v>
      </c>
      <c r="K127" s="7563">
        <f>F127-J127</f>
        <v>0</v>
      </c>
      <c r="L127" s="7723"/>
      <c r="M127" s="366"/>
      <c r="N127" s="366"/>
      <c r="O127" s="366"/>
      <c r="P127" s="366"/>
    </row>
    <row r="128" spans="1:16" ht="30" customHeight="1" x14ac:dyDescent="0.2">
      <c r="A128" s="7655"/>
      <c r="B128" s="7653"/>
      <c r="C128" s="7724"/>
      <c r="D128" s="7564"/>
      <c r="E128" s="7660"/>
      <c r="F128" s="7564"/>
      <c r="G128" s="7564"/>
      <c r="H128" s="7564"/>
      <c r="I128" s="7564"/>
      <c r="J128" s="7564"/>
      <c r="K128" s="7564"/>
      <c r="L128" s="7724"/>
      <c r="M128" s="366"/>
      <c r="N128" s="366"/>
      <c r="O128" s="366"/>
      <c r="P128" s="366"/>
    </row>
    <row r="129" spans="1:16" ht="30" customHeight="1" x14ac:dyDescent="0.2">
      <c r="A129" s="2267">
        <v>86</v>
      </c>
      <c r="B129" s="19" t="s">
        <v>217</v>
      </c>
      <c r="C129" s="2264" t="s">
        <v>889</v>
      </c>
      <c r="D129" s="2199">
        <v>111000000</v>
      </c>
      <c r="E129" s="2263">
        <v>0.05</v>
      </c>
      <c r="F129" s="2199">
        <f t="shared" ref="F129" si="15">D129*E129</f>
        <v>5550000</v>
      </c>
      <c r="G129" s="2199">
        <v>5550000</v>
      </c>
      <c r="H129" s="2199" t="s">
        <v>3923</v>
      </c>
      <c r="I129" s="2199" t="s">
        <v>3971</v>
      </c>
      <c r="J129" s="2199">
        <f>G129</f>
        <v>5550000</v>
      </c>
      <c r="K129" s="2199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2"/>
      <c r="B130" s="2204" t="s">
        <v>174</v>
      </c>
      <c r="C130" s="2236" t="s">
        <v>889</v>
      </c>
      <c r="D130" s="2211">
        <v>723000000</v>
      </c>
      <c r="E130" s="2208">
        <f>F130/D130</f>
        <v>6.5560165975103737E-2</v>
      </c>
      <c r="F130" s="2211">
        <v>47400000</v>
      </c>
      <c r="G130" s="2211">
        <v>47400000</v>
      </c>
      <c r="H130" s="2211" t="s">
        <v>1846</v>
      </c>
      <c r="I130" s="18" t="s">
        <v>3061</v>
      </c>
      <c r="J130" s="2211">
        <f>G130</f>
        <v>47400000</v>
      </c>
      <c r="K130" s="2211">
        <f>F130-J130</f>
        <v>0</v>
      </c>
      <c r="L130" s="7874"/>
      <c r="M130" s="7875"/>
      <c r="N130" s="7875"/>
      <c r="O130" s="7875"/>
      <c r="P130" s="7876"/>
    </row>
    <row r="131" spans="1:16" ht="30" customHeight="1" x14ac:dyDescent="0.2">
      <c r="A131" s="2267">
        <v>88</v>
      </c>
      <c r="B131" s="2265" t="s">
        <v>218</v>
      </c>
      <c r="C131" s="2236" t="s">
        <v>1295</v>
      </c>
      <c r="D131" s="2211">
        <v>45000000</v>
      </c>
      <c r="E131" s="2263">
        <v>0.04</v>
      </c>
      <c r="F131" s="2211">
        <v>2050000</v>
      </c>
      <c r="G131" s="2211">
        <v>2050000</v>
      </c>
      <c r="H131" s="2211" t="s">
        <v>3923</v>
      </c>
      <c r="I131" s="18" t="s">
        <v>756</v>
      </c>
      <c r="J131" s="2211">
        <f>G131</f>
        <v>2050000</v>
      </c>
      <c r="K131" s="2211">
        <f>F131-J131</f>
        <v>0</v>
      </c>
      <c r="L131" s="2265"/>
      <c r="M131" s="366"/>
      <c r="N131" s="366"/>
      <c r="O131" s="366"/>
      <c r="P131" s="366"/>
    </row>
    <row r="132" spans="1:16" ht="30" customHeight="1" x14ac:dyDescent="0.2">
      <c r="A132" s="7654">
        <v>89</v>
      </c>
      <c r="B132" s="7652" t="s">
        <v>219</v>
      </c>
      <c r="C132" s="7723" t="s">
        <v>1293</v>
      </c>
      <c r="D132" s="2199">
        <v>93000000</v>
      </c>
      <c r="E132" s="2263">
        <v>7.0000000000000007E-2</v>
      </c>
      <c r="F132" s="2199">
        <v>6500000</v>
      </c>
      <c r="G132" s="7924">
        <v>30200000</v>
      </c>
      <c r="H132" s="7924" t="s">
        <v>2015</v>
      </c>
      <c r="I132" s="7924" t="s">
        <v>2666</v>
      </c>
      <c r="J132" s="7563">
        <f>G132</f>
        <v>30200000</v>
      </c>
      <c r="K132" s="7563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7655"/>
      <c r="B133" s="7653"/>
      <c r="C133" s="7724"/>
      <c r="D133" s="2199">
        <v>450000000</v>
      </c>
      <c r="E133" s="2263">
        <v>0.05</v>
      </c>
      <c r="F133" s="2211">
        <f>D133*E133</f>
        <v>22500000</v>
      </c>
      <c r="G133" s="7925"/>
      <c r="H133" s="7925"/>
      <c r="I133" s="7925"/>
      <c r="J133" s="7564"/>
      <c r="K133" s="7564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7654">
        <v>90</v>
      </c>
      <c r="B134" s="7652" t="s">
        <v>220</v>
      </c>
      <c r="C134" s="7723" t="s">
        <v>1172</v>
      </c>
      <c r="D134" s="2211">
        <v>130000000</v>
      </c>
      <c r="E134" s="2263">
        <v>7.0000000000000007E-2</v>
      </c>
      <c r="F134" s="2211">
        <f>D134*E134</f>
        <v>9100000</v>
      </c>
      <c r="G134" s="7563">
        <v>14460000</v>
      </c>
      <c r="H134" s="7563" t="s">
        <v>3965</v>
      </c>
      <c r="I134" s="7561" t="s">
        <v>3955</v>
      </c>
      <c r="J134" s="7563">
        <f>G134</f>
        <v>14460000</v>
      </c>
      <c r="K134" s="7563">
        <f>(F134+F135)-J134</f>
        <v>0</v>
      </c>
      <c r="L134" s="7703"/>
      <c r="M134" s="366"/>
      <c r="N134" s="366"/>
      <c r="O134" s="366"/>
      <c r="P134" s="366"/>
    </row>
    <row r="135" spans="1:16" ht="30" customHeight="1" x14ac:dyDescent="0.2">
      <c r="A135" s="7655"/>
      <c r="B135" s="7653"/>
      <c r="C135" s="7724"/>
      <c r="D135" s="2211">
        <v>100000000</v>
      </c>
      <c r="E135" s="2263">
        <v>5.3999999999999999E-2</v>
      </c>
      <c r="F135" s="2211">
        <v>5360000</v>
      </c>
      <c r="G135" s="7564"/>
      <c r="H135" s="7564"/>
      <c r="I135" s="7562"/>
      <c r="J135" s="7564"/>
      <c r="K135" s="7564"/>
      <c r="L135" s="7705"/>
      <c r="M135" s="366"/>
      <c r="N135" s="366"/>
      <c r="O135" s="366"/>
      <c r="P135" s="366"/>
    </row>
    <row r="136" spans="1:16" ht="30" customHeight="1" x14ac:dyDescent="0.2">
      <c r="A136" s="7654">
        <v>91</v>
      </c>
      <c r="B136" s="7652" t="s">
        <v>221</v>
      </c>
      <c r="C136" s="7723"/>
      <c r="D136" s="2211">
        <v>50000000</v>
      </c>
      <c r="E136" s="2263">
        <v>0.05</v>
      </c>
      <c r="F136" s="2211">
        <f t="shared" si="10"/>
        <v>2500000</v>
      </c>
      <c r="G136" s="7563">
        <v>3500000</v>
      </c>
      <c r="H136" s="7563" t="s">
        <v>3965</v>
      </c>
      <c r="I136" s="7772" t="s">
        <v>764</v>
      </c>
      <c r="J136" s="7563">
        <f>G136</f>
        <v>3500000</v>
      </c>
      <c r="K136" s="7563">
        <f>F136-J136</f>
        <v>-1000000</v>
      </c>
      <c r="L136" s="29" t="s">
        <v>3990</v>
      </c>
      <c r="M136" s="366"/>
      <c r="N136" s="366"/>
      <c r="O136" s="366"/>
      <c r="P136" s="366"/>
    </row>
    <row r="137" spans="1:16" ht="30" customHeight="1" x14ac:dyDescent="0.2">
      <c r="A137" s="7655"/>
      <c r="B137" s="7653"/>
      <c r="C137" s="7724"/>
      <c r="D137" s="2211">
        <v>30000000</v>
      </c>
      <c r="E137" s="2263">
        <v>0.05</v>
      </c>
      <c r="F137" s="2211">
        <f>D137*E137</f>
        <v>1500000</v>
      </c>
      <c r="G137" s="7564"/>
      <c r="H137" s="7564"/>
      <c r="I137" s="7773"/>
      <c r="J137" s="7564"/>
      <c r="K137" s="7564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7654">
        <v>92</v>
      </c>
      <c r="B138" s="7703" t="s">
        <v>749</v>
      </c>
      <c r="C138" s="2264" t="s">
        <v>889</v>
      </c>
      <c r="D138" s="2199">
        <v>450000000</v>
      </c>
      <c r="E138" s="2263">
        <f>F138/D138</f>
        <v>5.3222222222222219E-2</v>
      </c>
      <c r="F138" s="2199">
        <v>23950000</v>
      </c>
      <c r="G138" s="2199">
        <v>23950000</v>
      </c>
      <c r="H138" s="2199" t="s">
        <v>2015</v>
      </c>
      <c r="I138" s="2260" t="s">
        <v>3009</v>
      </c>
      <c r="J138" s="2199">
        <f>G138</f>
        <v>23950000</v>
      </c>
      <c r="K138" s="2199">
        <f>F138-J138</f>
        <v>0</v>
      </c>
      <c r="L138" s="2261"/>
      <c r="M138" s="366"/>
      <c r="N138" s="366"/>
      <c r="O138" s="366"/>
      <c r="P138" s="366"/>
    </row>
    <row r="139" spans="1:16" ht="30" customHeight="1" x14ac:dyDescent="0.2">
      <c r="A139" s="7656"/>
      <c r="B139" s="7704"/>
      <c r="C139" s="7723" t="s">
        <v>1287</v>
      </c>
      <c r="D139" s="2211">
        <v>273000000</v>
      </c>
      <c r="E139" s="2208">
        <f>F139/D139</f>
        <v>5.4615384615384614E-2</v>
      </c>
      <c r="F139" s="2211">
        <v>14910000</v>
      </c>
      <c r="G139" s="7563">
        <v>19910000</v>
      </c>
      <c r="H139" s="7563" t="s">
        <v>4074</v>
      </c>
      <c r="I139" s="7563" t="s">
        <v>3009</v>
      </c>
      <c r="J139" s="7563">
        <f>G139</f>
        <v>19910000</v>
      </c>
      <c r="K139" s="7563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7655"/>
      <c r="B140" s="7704"/>
      <c r="C140" s="7747"/>
      <c r="D140" s="2266">
        <v>100000000</v>
      </c>
      <c r="E140" s="2206">
        <v>0.05</v>
      </c>
      <c r="F140" s="2209">
        <f>D140*E140</f>
        <v>5000000</v>
      </c>
      <c r="G140" s="7564"/>
      <c r="H140" s="7564"/>
      <c r="I140" s="7564"/>
      <c r="J140" s="7564"/>
      <c r="K140" s="7564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7654"/>
      <c r="B141" s="7652" t="s">
        <v>222</v>
      </c>
      <c r="C141" s="7723" t="s">
        <v>889</v>
      </c>
      <c r="D141" s="2495">
        <v>50000000</v>
      </c>
      <c r="E141" s="3039">
        <v>5.5E-2</v>
      </c>
      <c r="F141" s="3035">
        <f>D141*E141</f>
        <v>2750000</v>
      </c>
      <c r="G141" s="7789" t="s">
        <v>4953</v>
      </c>
      <c r="H141" s="7790"/>
      <c r="I141" s="7790"/>
      <c r="J141" s="7791"/>
      <c r="K141" s="2495"/>
      <c r="L141" s="2013" t="s">
        <v>1236</v>
      </c>
      <c r="M141" s="366"/>
      <c r="N141" s="366"/>
      <c r="O141" s="366"/>
      <c r="P141" s="366"/>
    </row>
    <row r="142" spans="1:16" ht="30" customHeight="1" x14ac:dyDescent="0.2">
      <c r="A142" s="7656"/>
      <c r="B142" s="7665"/>
      <c r="C142" s="7747"/>
      <c r="D142" s="7470" t="s">
        <v>3428</v>
      </c>
      <c r="E142" s="7493"/>
      <c r="F142" s="7510"/>
      <c r="G142" s="3041">
        <v>25000000</v>
      </c>
      <c r="H142" s="3041" t="s">
        <v>4128</v>
      </c>
      <c r="I142" s="3041" t="s">
        <v>4582</v>
      </c>
      <c r="J142" s="3041">
        <f>G142</f>
        <v>25000000</v>
      </c>
      <c r="K142" s="3038"/>
      <c r="L142" s="2013"/>
      <c r="M142" s="366"/>
      <c r="N142" s="366"/>
      <c r="O142" s="366"/>
      <c r="P142" s="366"/>
    </row>
    <row r="143" spans="1:16" ht="30" customHeight="1" x14ac:dyDescent="0.2">
      <c r="A143" s="7655"/>
      <c r="B143" s="7653"/>
      <c r="C143" s="7724"/>
      <c r="D143" s="3038">
        <v>25000000</v>
      </c>
      <c r="E143" s="2959">
        <v>5.5E-2</v>
      </c>
      <c r="F143" s="2496">
        <f>D143*E143</f>
        <v>1375000</v>
      </c>
      <c r="G143" s="2496"/>
      <c r="H143" s="2496"/>
      <c r="I143" s="2503"/>
      <c r="J143" s="2496"/>
      <c r="K143" s="2496"/>
      <c r="L143" s="2013"/>
      <c r="M143" s="366"/>
      <c r="N143" s="366"/>
      <c r="O143" s="366"/>
      <c r="P143" s="366"/>
    </row>
    <row r="144" spans="1:16" ht="30" customHeight="1" x14ac:dyDescent="0.2">
      <c r="A144" s="2267">
        <v>94</v>
      </c>
      <c r="B144" s="2265" t="s">
        <v>1144</v>
      </c>
      <c r="C144" s="2236"/>
      <c r="D144" s="2211">
        <v>25000000</v>
      </c>
      <c r="E144" s="2263">
        <v>0.04</v>
      </c>
      <c r="F144" s="2211">
        <f>D144*E144</f>
        <v>1000000</v>
      </c>
      <c r="G144" s="2211">
        <v>1000000</v>
      </c>
      <c r="H144" s="2211" t="s">
        <v>4016</v>
      </c>
      <c r="I144" s="21" t="s">
        <v>1146</v>
      </c>
      <c r="J144" s="2211">
        <f>G144</f>
        <v>1000000</v>
      </c>
      <c r="K144" s="2211">
        <f t="shared" ref="K144:K149" si="16">F144-J144</f>
        <v>0</v>
      </c>
      <c r="L144" s="2265"/>
      <c r="M144" s="366"/>
      <c r="N144" s="366"/>
      <c r="O144" s="366"/>
      <c r="P144" s="366"/>
    </row>
    <row r="145" spans="1:16" ht="30" customHeight="1" x14ac:dyDescent="0.2">
      <c r="A145" s="2202"/>
      <c r="B145" s="19" t="s">
        <v>223</v>
      </c>
      <c r="C145" s="2264"/>
      <c r="D145" s="2199">
        <v>355000000</v>
      </c>
      <c r="E145" s="2263">
        <v>0.05</v>
      </c>
      <c r="F145" s="2199">
        <f>D145*E145</f>
        <v>17750000</v>
      </c>
      <c r="G145" s="2199">
        <v>17500000</v>
      </c>
      <c r="H145" s="2199" t="s">
        <v>2015</v>
      </c>
      <c r="I145" s="2260" t="s">
        <v>3431</v>
      </c>
      <c r="J145" s="2199">
        <f>G145</f>
        <v>17500000</v>
      </c>
      <c r="K145" s="2199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7">
        <v>97</v>
      </c>
      <c r="B146" s="2265" t="s">
        <v>225</v>
      </c>
      <c r="C146" s="2236"/>
      <c r="D146" s="2211">
        <v>100000000</v>
      </c>
      <c r="E146" s="2263">
        <v>0.04</v>
      </c>
      <c r="F146" s="2211">
        <f t="shared" ref="F146:F147" si="17">D146*E146</f>
        <v>4000000</v>
      </c>
      <c r="G146" s="2211"/>
      <c r="H146" s="2211"/>
      <c r="I146" s="21"/>
      <c r="J146" s="2211"/>
      <c r="K146" s="2211">
        <f t="shared" si="16"/>
        <v>4000000</v>
      </c>
      <c r="L146" s="2265"/>
      <c r="M146" s="366"/>
      <c r="N146" s="366"/>
      <c r="O146" s="366"/>
      <c r="P146" s="366"/>
    </row>
    <row r="147" spans="1:16" ht="30" customHeight="1" x14ac:dyDescent="0.2">
      <c r="A147" s="2267">
        <v>98</v>
      </c>
      <c r="B147" s="2265" t="s">
        <v>226</v>
      </c>
      <c r="C147" s="2236"/>
      <c r="D147" s="2211">
        <v>20000000</v>
      </c>
      <c r="E147" s="2263">
        <v>0.05</v>
      </c>
      <c r="F147" s="2211">
        <f t="shared" si="17"/>
        <v>1000000</v>
      </c>
      <c r="G147" s="2211"/>
      <c r="H147" s="2211"/>
      <c r="I147" s="2199" t="s">
        <v>789</v>
      </c>
      <c r="J147" s="2211">
        <f>G147</f>
        <v>0</v>
      </c>
      <c r="K147" s="2211">
        <f t="shared" si="16"/>
        <v>1000000</v>
      </c>
      <c r="L147" s="2265"/>
      <c r="M147" s="366"/>
      <c r="N147" s="366"/>
      <c r="O147" s="366"/>
      <c r="P147" s="366"/>
    </row>
    <row r="148" spans="1:16" ht="30" customHeight="1" x14ac:dyDescent="0.2">
      <c r="A148" s="2267">
        <v>99</v>
      </c>
      <c r="B148" s="2265" t="s">
        <v>227</v>
      </c>
      <c r="C148" s="2236" t="s">
        <v>1297</v>
      </c>
      <c r="D148" s="2211">
        <v>100000000</v>
      </c>
      <c r="E148" s="2263">
        <v>0.04</v>
      </c>
      <c r="F148" s="2211">
        <f>D148*E148</f>
        <v>4000000</v>
      </c>
      <c r="G148" s="2211">
        <v>4000000</v>
      </c>
      <c r="H148" s="2211" t="s">
        <v>3937</v>
      </c>
      <c r="I148" s="2272" t="s">
        <v>3403</v>
      </c>
      <c r="J148" s="2211">
        <f>G148</f>
        <v>4000000</v>
      </c>
      <c r="K148" s="2211">
        <f t="shared" si="16"/>
        <v>0</v>
      </c>
      <c r="L148" s="2265"/>
      <c r="M148" s="366"/>
      <c r="N148" s="366"/>
      <c r="O148" s="366"/>
      <c r="P148" s="366"/>
    </row>
    <row r="149" spans="1:16" ht="30" customHeight="1" x14ac:dyDescent="0.2">
      <c r="A149" s="2267">
        <v>100</v>
      </c>
      <c r="B149" s="2265" t="s">
        <v>228</v>
      </c>
      <c r="C149" s="2236" t="s">
        <v>392</v>
      </c>
      <c r="D149" s="2211">
        <v>101000000</v>
      </c>
      <c r="E149" s="2263">
        <v>5.0999999999999997E-2</v>
      </c>
      <c r="F149" s="2211">
        <v>5100000</v>
      </c>
      <c r="G149" s="2211"/>
      <c r="H149" s="2211"/>
      <c r="I149" s="21" t="s">
        <v>2860</v>
      </c>
      <c r="J149" s="2211">
        <f>G149</f>
        <v>0</v>
      </c>
      <c r="K149" s="2211">
        <f t="shared" si="16"/>
        <v>5100000</v>
      </c>
      <c r="L149" s="2265"/>
      <c r="M149" s="366"/>
      <c r="N149" s="366"/>
      <c r="O149" s="366"/>
      <c r="P149" s="366"/>
    </row>
    <row r="150" spans="1:16" ht="30" customHeight="1" x14ac:dyDescent="0.2">
      <c r="A150" s="7795"/>
      <c r="B150" s="7652" t="s">
        <v>177</v>
      </c>
      <c r="C150" s="7723" t="s">
        <v>1080</v>
      </c>
      <c r="D150" s="7563">
        <v>100000000</v>
      </c>
      <c r="E150" s="7659">
        <v>0.06</v>
      </c>
      <c r="F150" s="7563">
        <f>D150*E150</f>
        <v>6000000</v>
      </c>
      <c r="G150" s="1399"/>
      <c r="H150" s="233"/>
      <c r="I150" s="233"/>
      <c r="J150" s="233"/>
      <c r="K150" s="2211"/>
      <c r="L150" s="2259" t="s">
        <v>3303</v>
      </c>
      <c r="M150" s="366"/>
      <c r="N150" s="366"/>
      <c r="O150" s="366"/>
      <c r="P150" s="366"/>
    </row>
    <row r="151" spans="1:16" ht="30" customHeight="1" x14ac:dyDescent="0.2">
      <c r="A151" s="7796"/>
      <c r="B151" s="7653"/>
      <c r="C151" s="7724"/>
      <c r="D151" s="7564"/>
      <c r="E151" s="7660"/>
      <c r="F151" s="7564"/>
      <c r="G151" s="2211"/>
      <c r="H151" s="233"/>
      <c r="I151" s="233"/>
      <c r="J151" s="233"/>
      <c r="K151" s="2211"/>
      <c r="L151" s="2259" t="s">
        <v>3917</v>
      </c>
      <c r="M151" s="366"/>
      <c r="N151" s="366"/>
      <c r="O151" s="366"/>
      <c r="P151" s="366"/>
    </row>
    <row r="152" spans="1:16" s="1539" customFormat="1" ht="30" customHeight="1" x14ac:dyDescent="0.2">
      <c r="A152" s="2267"/>
      <c r="B152" s="19" t="s">
        <v>230</v>
      </c>
      <c r="C152" s="2264" t="s">
        <v>1172</v>
      </c>
      <c r="D152" s="2199">
        <v>37000000</v>
      </c>
      <c r="E152" s="2263">
        <v>5.5E-2</v>
      </c>
      <c r="F152" s="2199">
        <v>2000000</v>
      </c>
      <c r="G152" s="2199"/>
      <c r="H152" s="2199"/>
      <c r="I152" s="2199" t="s">
        <v>1551</v>
      </c>
      <c r="J152" s="2199">
        <f>G152</f>
        <v>0</v>
      </c>
      <c r="K152" s="2199">
        <f>F152-J152</f>
        <v>2000000</v>
      </c>
      <c r="L152" s="2013" t="s">
        <v>3376</v>
      </c>
      <c r="M152" s="9"/>
      <c r="N152" s="9"/>
      <c r="O152" s="9"/>
      <c r="P152" s="9"/>
    </row>
    <row r="153" spans="1:16" ht="30" customHeight="1" x14ac:dyDescent="0.2">
      <c r="A153" s="2202">
        <v>104</v>
      </c>
      <c r="B153" s="2204" t="s">
        <v>231</v>
      </c>
      <c r="C153" s="2236" t="s">
        <v>1172</v>
      </c>
      <c r="D153" s="2211">
        <v>20000000</v>
      </c>
      <c r="E153" s="2208">
        <v>0.05</v>
      </c>
      <c r="F153" s="2211">
        <f t="shared" si="10"/>
        <v>1000000</v>
      </c>
      <c r="G153" s="2211">
        <v>1000000</v>
      </c>
      <c r="H153" s="2211" t="s">
        <v>3965</v>
      </c>
      <c r="I153" s="21" t="s">
        <v>3437</v>
      </c>
      <c r="J153" s="2211">
        <f>G153</f>
        <v>1000000</v>
      </c>
      <c r="K153" s="2211">
        <f>F153-J153</f>
        <v>0</v>
      </c>
      <c r="L153" s="2204"/>
      <c r="M153" s="366"/>
      <c r="N153" s="366"/>
      <c r="O153" s="366"/>
      <c r="P153" s="366"/>
    </row>
    <row r="154" spans="1:16" ht="30" customHeight="1" x14ac:dyDescent="0.2">
      <c r="A154" s="7654">
        <v>105</v>
      </c>
      <c r="B154" s="7864" t="s">
        <v>232</v>
      </c>
      <c r="C154" s="7723"/>
      <c r="D154" s="7677"/>
      <c r="E154" s="7691"/>
      <c r="F154" s="7677">
        <f t="shared" ref="F154:F186" si="18">D154*E154</f>
        <v>0</v>
      </c>
      <c r="G154" s="2211"/>
      <c r="H154" s="2211"/>
      <c r="I154" s="21" t="s">
        <v>772</v>
      </c>
      <c r="J154" s="2211">
        <f>G154</f>
        <v>0</v>
      </c>
      <c r="K154" s="2224">
        <f>F154-J154</f>
        <v>0</v>
      </c>
      <c r="L154" s="2203"/>
    </row>
    <row r="155" spans="1:16" ht="30" customHeight="1" x14ac:dyDescent="0.2">
      <c r="A155" s="7655"/>
      <c r="B155" s="7866"/>
      <c r="C155" s="7724"/>
      <c r="D155" s="7678"/>
      <c r="E155" s="7693"/>
      <c r="F155" s="7678"/>
      <c r="G155" s="2211"/>
      <c r="H155" s="2211"/>
      <c r="I155" s="21" t="s">
        <v>3548</v>
      </c>
      <c r="J155" s="2211">
        <f>G155</f>
        <v>0</v>
      </c>
      <c r="K155" s="2224"/>
      <c r="L155" s="2219" t="s">
        <v>3549</v>
      </c>
    </row>
    <row r="156" spans="1:16" ht="30" customHeight="1" x14ac:dyDescent="0.2">
      <c r="A156" s="2267">
        <v>107</v>
      </c>
      <c r="B156" s="2265" t="s">
        <v>234</v>
      </c>
      <c r="C156" s="2236"/>
      <c r="D156" s="2211">
        <v>65000000</v>
      </c>
      <c r="E156" s="2263">
        <v>3.4000000000000002E-2</v>
      </c>
      <c r="F156" s="2211">
        <v>2200000</v>
      </c>
      <c r="G156" s="2211">
        <v>2200000</v>
      </c>
      <c r="H156" s="2211" t="s">
        <v>3920</v>
      </c>
      <c r="I156" s="2199" t="s">
        <v>798</v>
      </c>
      <c r="J156" s="2211">
        <f t="shared" ref="J156:J162" si="19">G156</f>
        <v>2200000</v>
      </c>
      <c r="K156" s="2211">
        <f t="shared" ref="K156:K162" si="20">F156-J156</f>
        <v>0</v>
      </c>
      <c r="L156" s="2219" t="s">
        <v>4269</v>
      </c>
    </row>
    <row r="157" spans="1:16" ht="30" customHeight="1" x14ac:dyDescent="0.2">
      <c r="A157" s="2200">
        <v>108</v>
      </c>
      <c r="B157" s="2265" t="s">
        <v>235</v>
      </c>
      <c r="C157" s="2264"/>
      <c r="D157" s="2199">
        <v>1430000000</v>
      </c>
      <c r="E157" s="2263">
        <v>5.5E-2</v>
      </c>
      <c r="F157" s="2199">
        <f t="shared" si="18"/>
        <v>78650000</v>
      </c>
      <c r="G157" s="2199">
        <v>78650000</v>
      </c>
      <c r="H157" s="2199" t="s">
        <v>2015</v>
      </c>
      <c r="I157" s="2260" t="s">
        <v>3967</v>
      </c>
      <c r="J157" s="2199">
        <f t="shared" si="19"/>
        <v>78650000</v>
      </c>
      <c r="K157" s="2199">
        <f t="shared" si="20"/>
        <v>0</v>
      </c>
      <c r="L157" s="2264"/>
    </row>
    <row r="158" spans="1:16" ht="30" customHeight="1" x14ac:dyDescent="0.2">
      <c r="A158" s="2267">
        <v>109</v>
      </c>
      <c r="B158" s="2204" t="s">
        <v>236</v>
      </c>
      <c r="C158" s="2236"/>
      <c r="D158" s="2211">
        <v>1000000000</v>
      </c>
      <c r="E158" s="2208">
        <v>0.05</v>
      </c>
      <c r="F158" s="2211">
        <f t="shared" si="18"/>
        <v>50000000</v>
      </c>
      <c r="G158" s="2211">
        <v>50000000</v>
      </c>
      <c r="H158" s="2211" t="s">
        <v>3993</v>
      </c>
      <c r="I158" s="21" t="s">
        <v>2616</v>
      </c>
      <c r="J158" s="2211">
        <f t="shared" si="19"/>
        <v>50000000</v>
      </c>
      <c r="K158" s="2211">
        <f t="shared" si="20"/>
        <v>0</v>
      </c>
      <c r="L158" s="2204"/>
    </row>
    <row r="159" spans="1:16" ht="30" customHeight="1" x14ac:dyDescent="0.2">
      <c r="A159" s="2267">
        <v>110</v>
      </c>
      <c r="B159" s="2261" t="s">
        <v>1842</v>
      </c>
      <c r="C159" s="2235" t="s">
        <v>1292</v>
      </c>
      <c r="D159" s="2210">
        <v>14000000</v>
      </c>
      <c r="E159" s="2206">
        <v>4.2999999999999997E-2</v>
      </c>
      <c r="F159" s="2211">
        <v>600000</v>
      </c>
      <c r="G159" s="2211">
        <v>600000</v>
      </c>
      <c r="H159" s="2211" t="s">
        <v>4107</v>
      </c>
      <c r="I159" s="21" t="s">
        <v>1852</v>
      </c>
      <c r="J159" s="2199">
        <f t="shared" si="19"/>
        <v>600000</v>
      </c>
      <c r="K159" s="2199">
        <f t="shared" si="20"/>
        <v>0</v>
      </c>
      <c r="L159" s="19"/>
    </row>
    <row r="160" spans="1:16" ht="30" customHeight="1" x14ac:dyDescent="0.2">
      <c r="A160" s="2202"/>
      <c r="B160" s="19" t="s">
        <v>237</v>
      </c>
      <c r="C160" s="2264" t="s">
        <v>392</v>
      </c>
      <c r="D160" s="2199">
        <v>30000000</v>
      </c>
      <c r="E160" s="2263">
        <v>0.05</v>
      </c>
      <c r="F160" s="2211">
        <f>D160*E160</f>
        <v>1500000</v>
      </c>
      <c r="G160" s="2199">
        <v>1500000</v>
      </c>
      <c r="H160" s="2199" t="s">
        <v>3923</v>
      </c>
      <c r="I160" s="2199" t="s">
        <v>3927</v>
      </c>
      <c r="J160" s="2199">
        <f t="shared" si="19"/>
        <v>1500000</v>
      </c>
      <c r="K160" s="2211">
        <f t="shared" si="20"/>
        <v>0</v>
      </c>
      <c r="L160" s="2219" t="s">
        <v>3450</v>
      </c>
    </row>
    <row r="161" spans="1:12" ht="30" customHeight="1" x14ac:dyDescent="0.2">
      <c r="A161" s="2267">
        <v>112</v>
      </c>
      <c r="B161" s="2265" t="s">
        <v>238</v>
      </c>
      <c r="C161" s="2264"/>
      <c r="D161" s="2211">
        <v>40000000</v>
      </c>
      <c r="E161" s="2263">
        <v>0.05</v>
      </c>
      <c r="F161" s="2211">
        <f t="shared" si="18"/>
        <v>2000000</v>
      </c>
      <c r="G161" s="2211">
        <v>2000000</v>
      </c>
      <c r="H161" s="2211" t="s">
        <v>3923</v>
      </c>
      <c r="I161" s="2272" t="s">
        <v>3465</v>
      </c>
      <c r="J161" s="2211">
        <f t="shared" si="19"/>
        <v>2000000</v>
      </c>
      <c r="K161" s="2211">
        <f t="shared" si="20"/>
        <v>0</v>
      </c>
      <c r="L161" s="2265"/>
    </row>
    <row r="162" spans="1:12" ht="30" customHeight="1" x14ac:dyDescent="0.2">
      <c r="A162" s="2202"/>
      <c r="B162" s="2203" t="s">
        <v>239</v>
      </c>
      <c r="C162" s="2264" t="s">
        <v>402</v>
      </c>
      <c r="D162" s="2211">
        <v>250000000</v>
      </c>
      <c r="E162" s="2263">
        <v>0.05</v>
      </c>
      <c r="F162" s="2211">
        <f>D162*E162</f>
        <v>12500000</v>
      </c>
      <c r="G162" s="2199">
        <v>12500000</v>
      </c>
      <c r="H162" s="2199" t="s">
        <v>3965</v>
      </c>
      <c r="I162" s="2199" t="s">
        <v>3989</v>
      </c>
      <c r="J162" s="2199">
        <f t="shared" si="19"/>
        <v>12500000</v>
      </c>
      <c r="K162" s="2211">
        <f t="shared" si="20"/>
        <v>0</v>
      </c>
      <c r="L162" s="2219" t="s">
        <v>2773</v>
      </c>
    </row>
    <row r="163" spans="1:12" ht="30" customHeight="1" x14ac:dyDescent="0.2">
      <c r="A163" s="2267">
        <v>114</v>
      </c>
      <c r="B163" s="2265" t="s">
        <v>240</v>
      </c>
      <c r="C163" s="2236"/>
      <c r="D163" s="2211">
        <v>100000000</v>
      </c>
      <c r="E163" s="2263">
        <v>4.4999999999999998E-2</v>
      </c>
      <c r="F163" s="2211">
        <f t="shared" si="18"/>
        <v>4500000</v>
      </c>
      <c r="G163" s="2211"/>
      <c r="H163" s="2211"/>
      <c r="I163" s="84"/>
      <c r="J163" s="2211">
        <f>G163</f>
        <v>0</v>
      </c>
      <c r="K163" s="2211">
        <f>F163-J163</f>
        <v>4500000</v>
      </c>
      <c r="L163" s="2265"/>
    </row>
    <row r="164" spans="1:12" ht="30" customHeight="1" x14ac:dyDescent="0.2">
      <c r="A164" s="2279">
        <v>115</v>
      </c>
      <c r="B164" s="2261" t="s">
        <v>241</v>
      </c>
      <c r="C164" s="2235" t="s">
        <v>1138</v>
      </c>
      <c r="D164" s="2209">
        <v>20000000</v>
      </c>
      <c r="E164" s="2206">
        <v>0.05</v>
      </c>
      <c r="F164" s="2209">
        <f t="shared" si="18"/>
        <v>1000000</v>
      </c>
      <c r="G164" s="2211"/>
      <c r="H164" s="2211"/>
      <c r="I164" s="21" t="s">
        <v>1372</v>
      </c>
      <c r="J164" s="2211">
        <f>G164</f>
        <v>0</v>
      </c>
      <c r="K164" s="2211">
        <f>F164-J164</f>
        <v>1000000</v>
      </c>
      <c r="L164" s="2218"/>
    </row>
    <row r="165" spans="1:12" ht="30" customHeight="1" x14ac:dyDescent="0.2">
      <c r="A165" s="1028"/>
      <c r="B165" s="19" t="s">
        <v>243</v>
      </c>
      <c r="C165" s="2264" t="s">
        <v>889</v>
      </c>
      <c r="D165" s="2199">
        <v>445000000</v>
      </c>
      <c r="E165" s="2263">
        <v>4.4999999999999998E-2</v>
      </c>
      <c r="F165" s="2199">
        <v>20000000</v>
      </c>
      <c r="G165" s="2211">
        <v>20000000</v>
      </c>
      <c r="H165" s="2211" t="s">
        <v>4188</v>
      </c>
      <c r="I165" s="84" t="s">
        <v>2646</v>
      </c>
      <c r="J165" s="2211">
        <f>G165</f>
        <v>20000000</v>
      </c>
      <c r="K165" s="2211">
        <f>F165-J165</f>
        <v>0</v>
      </c>
      <c r="L165" s="2290" t="s">
        <v>4265</v>
      </c>
    </row>
    <row r="166" spans="1:12" ht="30" customHeight="1" x14ac:dyDescent="0.2">
      <c r="A166" s="7654">
        <v>118</v>
      </c>
      <c r="B166" s="7652" t="s">
        <v>244</v>
      </c>
      <c r="C166" s="7723" t="s">
        <v>1652</v>
      </c>
      <c r="D166" s="2211">
        <v>20000000</v>
      </c>
      <c r="E166" s="2208">
        <v>0.05</v>
      </c>
      <c r="F166" s="2211">
        <f t="shared" si="18"/>
        <v>1000000</v>
      </c>
      <c r="G166" s="2211">
        <v>1000000</v>
      </c>
      <c r="H166" s="2211" t="s">
        <v>4043</v>
      </c>
      <c r="I166" s="84" t="s">
        <v>611</v>
      </c>
      <c r="J166" s="2211">
        <f>G166</f>
        <v>1000000</v>
      </c>
      <c r="K166" s="2211">
        <f>F166-J166</f>
        <v>0</v>
      </c>
      <c r="L166" s="2290" t="s">
        <v>4224</v>
      </c>
    </row>
    <row r="167" spans="1:12" ht="30" customHeight="1" x14ac:dyDescent="0.2">
      <c r="A167" s="7656"/>
      <c r="B167" s="7665"/>
      <c r="C167" s="7724"/>
      <c r="D167" s="7470" t="s">
        <v>4073</v>
      </c>
      <c r="E167" s="7493"/>
      <c r="F167" s="7510"/>
      <c r="G167" s="2211">
        <v>20000000</v>
      </c>
      <c r="H167" s="2211" t="s">
        <v>3025</v>
      </c>
      <c r="I167" s="84" t="s">
        <v>3529</v>
      </c>
      <c r="J167" s="2199">
        <f>G167</f>
        <v>20000000</v>
      </c>
      <c r="K167" s="2199">
        <v>0</v>
      </c>
      <c r="L167" s="2290" t="s">
        <v>4225</v>
      </c>
    </row>
    <row r="168" spans="1:12" ht="30" customHeight="1" x14ac:dyDescent="0.2">
      <c r="A168" s="7655"/>
      <c r="B168" s="7653"/>
      <c r="C168" s="2237" t="s">
        <v>4223</v>
      </c>
      <c r="D168" s="2199">
        <v>33000000</v>
      </c>
      <c r="E168" s="2208">
        <v>0.05</v>
      </c>
      <c r="F168" s="2199">
        <f>D168*E168</f>
        <v>1650000</v>
      </c>
      <c r="G168" s="2211"/>
      <c r="H168" s="2211"/>
      <c r="I168" s="84"/>
      <c r="J168" s="2210"/>
      <c r="K168" s="2210"/>
      <c r="L168" s="2203"/>
    </row>
    <row r="169" spans="1:12" ht="30" customHeight="1" x14ac:dyDescent="0.2">
      <c r="A169" s="7654">
        <v>120</v>
      </c>
      <c r="B169" s="7652" t="s">
        <v>246</v>
      </c>
      <c r="C169" s="7723" t="s">
        <v>371</v>
      </c>
      <c r="D169" s="7563">
        <v>617000000</v>
      </c>
      <c r="E169" s="7659">
        <v>7.0000000000000007E-2</v>
      </c>
      <c r="F169" s="7563">
        <v>43200000</v>
      </c>
      <c r="G169" s="2199">
        <v>10000000</v>
      </c>
      <c r="H169" s="2199" t="s">
        <v>4036</v>
      </c>
      <c r="I169" s="2260" t="s">
        <v>2866</v>
      </c>
      <c r="J169" s="7563">
        <f>G169+G170</f>
        <v>43200000</v>
      </c>
      <c r="K169" s="7563">
        <f>F169-J169</f>
        <v>0</v>
      </c>
      <c r="L169" s="7703"/>
    </row>
    <row r="170" spans="1:12" ht="30" customHeight="1" x14ac:dyDescent="0.2">
      <c r="A170" s="7655"/>
      <c r="B170" s="7653"/>
      <c r="C170" s="7724"/>
      <c r="D170" s="7564"/>
      <c r="E170" s="7660"/>
      <c r="F170" s="7564"/>
      <c r="G170" s="2211">
        <v>33200000</v>
      </c>
      <c r="H170" s="2211" t="s">
        <v>4060</v>
      </c>
      <c r="I170" s="2260" t="s">
        <v>2866</v>
      </c>
      <c r="J170" s="7564"/>
      <c r="K170" s="7564"/>
      <c r="L170" s="7705"/>
    </row>
    <row r="171" spans="1:12" ht="30" customHeight="1" x14ac:dyDescent="0.2">
      <c r="A171" s="2267">
        <v>122</v>
      </c>
      <c r="B171" s="2265" t="s">
        <v>248</v>
      </c>
      <c r="C171" s="2236"/>
      <c r="D171" s="2211">
        <v>50000000</v>
      </c>
      <c r="E171" s="2263">
        <v>4.4999999999999998E-2</v>
      </c>
      <c r="F171" s="2211">
        <f t="shared" si="18"/>
        <v>2250000</v>
      </c>
      <c r="G171" s="2211">
        <v>2250000</v>
      </c>
      <c r="H171" s="2211" t="s">
        <v>4016</v>
      </c>
      <c r="I171" s="18" t="s">
        <v>1568</v>
      </c>
      <c r="J171" s="2211">
        <f>G171</f>
        <v>2250000</v>
      </c>
      <c r="K171" s="2211">
        <f>F171-J171</f>
        <v>0</v>
      </c>
      <c r="L171" s="2265"/>
    </row>
    <row r="172" spans="1:12" ht="30" customHeight="1" x14ac:dyDescent="0.2">
      <c r="A172" s="7654">
        <v>123</v>
      </c>
      <c r="B172" s="7652" t="s">
        <v>1650</v>
      </c>
      <c r="C172" s="7723" t="s">
        <v>1176</v>
      </c>
      <c r="D172" s="2211">
        <v>60000000</v>
      </c>
      <c r="E172" s="2263">
        <v>0.05</v>
      </c>
      <c r="F172" s="2211">
        <f t="shared" si="18"/>
        <v>3000000</v>
      </c>
      <c r="G172" s="7563"/>
      <c r="H172" s="7563"/>
      <c r="I172" s="7561" t="s">
        <v>3533</v>
      </c>
      <c r="J172" s="7563">
        <f>G172</f>
        <v>0</v>
      </c>
      <c r="K172" s="7563">
        <f>(F172+F173)-J172</f>
        <v>4400000</v>
      </c>
      <c r="L172" s="7703"/>
    </row>
    <row r="173" spans="1:12" ht="30" customHeight="1" x14ac:dyDescent="0.2">
      <c r="A173" s="7656"/>
      <c r="B173" s="7665"/>
      <c r="C173" s="7747"/>
      <c r="D173" s="2211">
        <v>20000000</v>
      </c>
      <c r="E173" s="2263">
        <v>7.0000000000000007E-2</v>
      </c>
      <c r="F173" s="2211">
        <f t="shared" si="18"/>
        <v>1400000.0000000002</v>
      </c>
      <c r="G173" s="7564"/>
      <c r="H173" s="7564"/>
      <c r="I173" s="7562"/>
      <c r="J173" s="7564"/>
      <c r="K173" s="7564"/>
      <c r="L173" s="7705"/>
    </row>
    <row r="174" spans="1:12" ht="30" customHeight="1" x14ac:dyDescent="0.2">
      <c r="A174" s="7656"/>
      <c r="B174" s="7665"/>
      <c r="C174" s="7747"/>
      <c r="D174" s="7563">
        <v>52000000</v>
      </c>
      <c r="E174" s="7659">
        <v>0.05</v>
      </c>
      <c r="F174" s="7563">
        <f>D174*E174</f>
        <v>2600000</v>
      </c>
      <c r="G174" s="7732" t="s">
        <v>3457</v>
      </c>
      <c r="H174" s="7733"/>
      <c r="I174" s="7733"/>
      <c r="J174" s="7734"/>
      <c r="K174" s="2211"/>
      <c r="L174" s="2290" t="s">
        <v>3745</v>
      </c>
    </row>
    <row r="175" spans="1:12" ht="30" customHeight="1" x14ac:dyDescent="0.2">
      <c r="A175" s="7656"/>
      <c r="B175" s="7665"/>
      <c r="C175" s="7747"/>
      <c r="D175" s="7586"/>
      <c r="E175" s="7676"/>
      <c r="F175" s="7586"/>
      <c r="G175" s="7563">
        <v>6600000</v>
      </c>
      <c r="H175" s="7563" t="s">
        <v>4043</v>
      </c>
      <c r="I175" s="7563" t="s">
        <v>574</v>
      </c>
      <c r="J175" s="7563">
        <f>G175</f>
        <v>6600000</v>
      </c>
      <c r="K175" s="7563">
        <v>0</v>
      </c>
      <c r="L175" s="2290" t="s">
        <v>3746</v>
      </c>
    </row>
    <row r="176" spans="1:12" ht="30" customHeight="1" x14ac:dyDescent="0.2">
      <c r="A176" s="7656"/>
      <c r="B176" s="7665"/>
      <c r="C176" s="7747"/>
      <c r="D176" s="7586"/>
      <c r="E176" s="7676"/>
      <c r="F176" s="7586"/>
      <c r="G176" s="7586"/>
      <c r="H176" s="7586"/>
      <c r="I176" s="7586"/>
      <c r="J176" s="7586"/>
      <c r="K176" s="7586"/>
      <c r="L176" s="2290" t="s">
        <v>3747</v>
      </c>
    </row>
    <row r="177" spans="1:12" ht="30" customHeight="1" x14ac:dyDescent="0.2">
      <c r="A177" s="7655"/>
      <c r="B177" s="7653"/>
      <c r="C177" s="7724"/>
      <c r="D177" s="7564"/>
      <c r="E177" s="7660"/>
      <c r="F177" s="7564"/>
      <c r="G177" s="7564"/>
      <c r="H177" s="7564"/>
      <c r="I177" s="7564"/>
      <c r="J177" s="7564"/>
      <c r="K177" s="7564"/>
      <c r="L177" s="2290" t="s">
        <v>3748</v>
      </c>
    </row>
    <row r="178" spans="1:12" ht="30" customHeight="1" x14ac:dyDescent="0.2">
      <c r="A178" s="2267">
        <v>124</v>
      </c>
      <c r="B178" s="2265" t="s">
        <v>250</v>
      </c>
      <c r="C178" s="2236" t="s">
        <v>392</v>
      </c>
      <c r="D178" s="2211">
        <v>200000000</v>
      </c>
      <c r="E178" s="2263">
        <v>0.05</v>
      </c>
      <c r="F178" s="2211">
        <f t="shared" si="18"/>
        <v>10000000</v>
      </c>
      <c r="G178" s="2211">
        <v>10000000</v>
      </c>
      <c r="H178" s="2211" t="s">
        <v>2015</v>
      </c>
      <c r="I178" s="18" t="s">
        <v>1401</v>
      </c>
      <c r="J178" s="2211">
        <f>G178</f>
        <v>10000000</v>
      </c>
      <c r="K178" s="2211">
        <f>F178-J178</f>
        <v>0</v>
      </c>
      <c r="L178" s="2265"/>
    </row>
    <row r="179" spans="1:12" ht="30" customHeight="1" x14ac:dyDescent="0.2">
      <c r="A179" s="2279">
        <v>125</v>
      </c>
      <c r="B179" s="2261" t="s">
        <v>251</v>
      </c>
      <c r="C179" s="2264"/>
      <c r="D179" s="2199">
        <v>160000000</v>
      </c>
      <c r="E179" s="2263">
        <v>7.0000000000000007E-2</v>
      </c>
      <c r="F179" s="2199">
        <v>11000000</v>
      </c>
      <c r="G179" s="2211">
        <v>11000000</v>
      </c>
      <c r="H179" s="2211" t="s">
        <v>2015</v>
      </c>
      <c r="I179" s="21" t="s">
        <v>1630</v>
      </c>
      <c r="J179" s="2211">
        <f>G179</f>
        <v>11000000</v>
      </c>
      <c r="K179" s="2211">
        <f>F179-J179</f>
        <v>0</v>
      </c>
      <c r="L179" s="2265"/>
    </row>
    <row r="180" spans="1:12" ht="30" customHeight="1" x14ac:dyDescent="0.2">
      <c r="A180" s="2267">
        <v>126</v>
      </c>
      <c r="B180" s="2265" t="s">
        <v>252</v>
      </c>
      <c r="C180" s="2236" t="s">
        <v>402</v>
      </c>
      <c r="D180" s="2211">
        <v>180000000</v>
      </c>
      <c r="E180" s="2208">
        <v>4.4999999999999998E-2</v>
      </c>
      <c r="F180" s="2211">
        <f t="shared" si="18"/>
        <v>8100000</v>
      </c>
      <c r="G180" s="2211">
        <v>8100000</v>
      </c>
      <c r="H180" s="2211" t="s">
        <v>3965</v>
      </c>
      <c r="I180" s="21" t="s">
        <v>618</v>
      </c>
      <c r="J180" s="2211">
        <f>G180</f>
        <v>8100000</v>
      </c>
      <c r="K180" s="2211">
        <f>F180-J180</f>
        <v>0</v>
      </c>
      <c r="L180" s="2265"/>
    </row>
    <row r="181" spans="1:12" ht="30" customHeight="1" x14ac:dyDescent="0.2">
      <c r="A181" s="7654">
        <v>127</v>
      </c>
      <c r="B181" s="7652" t="s">
        <v>253</v>
      </c>
      <c r="C181" s="7723" t="s">
        <v>889</v>
      </c>
      <c r="D181" s="7563">
        <v>800000000</v>
      </c>
      <c r="E181" s="7659">
        <v>0.05</v>
      </c>
      <c r="F181" s="7563">
        <f t="shared" si="18"/>
        <v>40000000</v>
      </c>
      <c r="G181" s="7563">
        <v>40000000</v>
      </c>
      <c r="H181" s="7563" t="s">
        <v>1215</v>
      </c>
      <c r="I181" s="7561" t="s">
        <v>2540</v>
      </c>
      <c r="J181" s="7563">
        <f>G181+G182</f>
        <v>40000000</v>
      </c>
      <c r="K181" s="7563">
        <f>F181-J181</f>
        <v>0</v>
      </c>
      <c r="L181" s="7703"/>
    </row>
    <row r="182" spans="1:12" ht="30" customHeight="1" x14ac:dyDescent="0.2">
      <c r="A182" s="7655"/>
      <c r="B182" s="7653"/>
      <c r="C182" s="7724"/>
      <c r="D182" s="7564"/>
      <c r="E182" s="7660"/>
      <c r="F182" s="7564"/>
      <c r="G182" s="7564"/>
      <c r="H182" s="7564"/>
      <c r="I182" s="7562"/>
      <c r="J182" s="7564"/>
      <c r="K182" s="7564"/>
      <c r="L182" s="7705"/>
    </row>
    <row r="183" spans="1:12" ht="30" customHeight="1" x14ac:dyDescent="0.2">
      <c r="A183" s="2267">
        <v>128</v>
      </c>
      <c r="B183" s="2265" t="s">
        <v>254</v>
      </c>
      <c r="C183" s="2236"/>
      <c r="D183" s="2224"/>
      <c r="E183" s="2295"/>
      <c r="F183" s="2224">
        <f t="shared" si="18"/>
        <v>0</v>
      </c>
      <c r="G183" s="2211"/>
      <c r="H183" s="2211"/>
      <c r="I183" s="21"/>
      <c r="J183" s="2211">
        <f>G183</f>
        <v>0</v>
      </c>
      <c r="K183" s="2224">
        <f>F183-J183</f>
        <v>0</v>
      </c>
      <c r="L183" s="2265"/>
    </row>
    <row r="184" spans="1:12" ht="30" customHeight="1" x14ac:dyDescent="0.2">
      <c r="A184" s="2267">
        <v>129</v>
      </c>
      <c r="B184" s="19" t="s">
        <v>255</v>
      </c>
      <c r="C184" s="2264" t="s">
        <v>1107</v>
      </c>
      <c r="D184" s="2199">
        <v>200000000</v>
      </c>
      <c r="E184" s="2263">
        <v>0.06</v>
      </c>
      <c r="F184" s="2199">
        <f>D184*E184</f>
        <v>12000000</v>
      </c>
      <c r="G184" s="2211">
        <v>12000000</v>
      </c>
      <c r="H184" s="2211" t="s">
        <v>4144</v>
      </c>
      <c r="I184" s="21" t="s">
        <v>3252</v>
      </c>
      <c r="J184" s="2211">
        <f>G184</f>
        <v>12000000</v>
      </c>
      <c r="K184" s="2211">
        <f>F184-J184</f>
        <v>0</v>
      </c>
      <c r="L184" s="2290"/>
    </row>
    <row r="185" spans="1:12" ht="30" customHeight="1" x14ac:dyDescent="0.2">
      <c r="A185" s="2267"/>
      <c r="B185" s="19" t="s">
        <v>1171</v>
      </c>
      <c r="C185" s="2264" t="s">
        <v>1299</v>
      </c>
      <c r="D185" s="2199">
        <v>150000000</v>
      </c>
      <c r="E185" s="2263">
        <v>0.05</v>
      </c>
      <c r="F185" s="2199">
        <f>D185*E185</f>
        <v>7500000</v>
      </c>
      <c r="G185" s="2199">
        <v>5000000</v>
      </c>
      <c r="H185" s="2199" t="s">
        <v>4060</v>
      </c>
      <c r="I185" s="2199" t="s">
        <v>1693</v>
      </c>
      <c r="J185" s="2199">
        <f>G185</f>
        <v>5000000</v>
      </c>
      <c r="K185" s="2199">
        <f>F185-J185</f>
        <v>2500000</v>
      </c>
      <c r="L185" s="2290" t="s">
        <v>4068</v>
      </c>
    </row>
    <row r="186" spans="1:12" ht="30" customHeight="1" x14ac:dyDescent="0.2">
      <c r="A186" s="7654">
        <v>131</v>
      </c>
      <c r="B186" s="7652" t="s">
        <v>256</v>
      </c>
      <c r="C186" s="7723"/>
      <c r="D186" s="2211">
        <v>200000000</v>
      </c>
      <c r="E186" s="2208">
        <v>0.05</v>
      </c>
      <c r="F186" s="2211">
        <f t="shared" si="18"/>
        <v>10000000</v>
      </c>
      <c r="G186" s="2211">
        <v>10000000</v>
      </c>
      <c r="H186" s="2211" t="s">
        <v>2015</v>
      </c>
      <c r="I186" s="2230" t="s">
        <v>3436</v>
      </c>
      <c r="J186" s="2211">
        <f>G186</f>
        <v>10000000</v>
      </c>
      <c r="K186" s="2211">
        <f>F186-J186</f>
        <v>0</v>
      </c>
      <c r="L186" s="2290"/>
    </row>
    <row r="187" spans="1:12" ht="30" customHeight="1" x14ac:dyDescent="0.2">
      <c r="A187" s="7655"/>
      <c r="B187" s="7653"/>
      <c r="C187" s="7724"/>
      <c r="D187" s="2210">
        <v>400000000</v>
      </c>
      <c r="E187" s="2207"/>
      <c r="F187" s="2210"/>
      <c r="G187" s="7732" t="s">
        <v>4013</v>
      </c>
      <c r="H187" s="7733"/>
      <c r="I187" s="7733"/>
      <c r="J187" s="7734"/>
      <c r="K187" s="2211"/>
      <c r="L187" s="2218"/>
    </row>
    <row r="188" spans="1:12" ht="30" customHeight="1" x14ac:dyDescent="0.2">
      <c r="A188" s="7654"/>
      <c r="B188" s="7652" t="s">
        <v>1218</v>
      </c>
      <c r="C188" s="7723" t="s">
        <v>1652</v>
      </c>
      <c r="D188" s="7563">
        <v>490000000</v>
      </c>
      <c r="E188" s="7659">
        <v>0.05</v>
      </c>
      <c r="F188" s="7563">
        <f>D188*E188</f>
        <v>24500000</v>
      </c>
      <c r="G188" s="233">
        <v>14500000</v>
      </c>
      <c r="H188" s="2211" t="s">
        <v>3993</v>
      </c>
      <c r="I188" s="2230" t="s">
        <v>1220</v>
      </c>
      <c r="J188" s="2211">
        <f>10000000+G188</f>
        <v>24500000</v>
      </c>
      <c r="K188" s="2211">
        <f>F188-J188</f>
        <v>0</v>
      </c>
      <c r="L188" s="2218" t="s">
        <v>3918</v>
      </c>
    </row>
    <row r="189" spans="1:12" ht="30" customHeight="1" x14ac:dyDescent="0.2">
      <c r="A189" s="7655"/>
      <c r="B189" s="7653"/>
      <c r="C189" s="7724"/>
      <c r="D189" s="7564"/>
      <c r="E189" s="7660"/>
      <c r="F189" s="7564"/>
      <c r="G189" s="233">
        <v>10000000</v>
      </c>
      <c r="H189" s="2211" t="s">
        <v>4128</v>
      </c>
      <c r="I189" s="2230" t="s">
        <v>1220</v>
      </c>
      <c r="J189" s="2211">
        <f>G189</f>
        <v>10000000</v>
      </c>
      <c r="K189" s="2211"/>
      <c r="L189" s="2218" t="s">
        <v>4129</v>
      </c>
    </row>
    <row r="190" spans="1:12" ht="30" customHeight="1" x14ac:dyDescent="0.2">
      <c r="A190" s="2267">
        <v>133</v>
      </c>
      <c r="B190" s="2204" t="s">
        <v>175</v>
      </c>
      <c r="C190" s="2236" t="s">
        <v>1718</v>
      </c>
      <c r="D190" s="2211">
        <v>100000000</v>
      </c>
      <c r="E190" s="2208">
        <v>0.05</v>
      </c>
      <c r="F190" s="2211">
        <f t="shared" ref="F190:F272" si="21">D190*E190</f>
        <v>5000000</v>
      </c>
      <c r="G190" s="2211">
        <v>5000000</v>
      </c>
      <c r="H190" s="2211" t="s">
        <v>3965</v>
      </c>
      <c r="I190" s="21" t="s">
        <v>521</v>
      </c>
      <c r="J190" s="2211">
        <f>G190</f>
        <v>5000000</v>
      </c>
      <c r="K190" s="2211">
        <f>F190-J190</f>
        <v>0</v>
      </c>
      <c r="L190" s="2218" t="s">
        <v>3112</v>
      </c>
    </row>
    <row r="191" spans="1:12" ht="30" customHeight="1" x14ac:dyDescent="0.2">
      <c r="A191" s="2200">
        <v>134</v>
      </c>
      <c r="B191" s="2261" t="s">
        <v>166</v>
      </c>
      <c r="C191" s="2264" t="s">
        <v>1652</v>
      </c>
      <c r="D191" s="2199">
        <v>110000000</v>
      </c>
      <c r="E191" s="2263">
        <v>0.04</v>
      </c>
      <c r="F191" s="2199">
        <f t="shared" si="21"/>
        <v>4400000</v>
      </c>
      <c r="G191" s="2211">
        <v>4400000</v>
      </c>
      <c r="H191" s="2211" t="s">
        <v>4016</v>
      </c>
      <c r="I191" s="21" t="s">
        <v>4099</v>
      </c>
      <c r="J191" s="2209">
        <f>G191</f>
        <v>4400000</v>
      </c>
      <c r="K191" s="2209">
        <f>F191-J191</f>
        <v>0</v>
      </c>
      <c r="L191" s="2232"/>
    </row>
    <row r="192" spans="1:12" ht="30" customHeight="1" x14ac:dyDescent="0.2">
      <c r="A192" s="7654">
        <v>135</v>
      </c>
      <c r="B192" s="7652" t="s">
        <v>6</v>
      </c>
      <c r="C192" s="2264" t="s">
        <v>392</v>
      </c>
      <c r="D192" s="2211">
        <v>100000000</v>
      </c>
      <c r="E192" s="2263">
        <v>0.05</v>
      </c>
      <c r="F192" s="2211">
        <f t="shared" si="21"/>
        <v>5000000</v>
      </c>
      <c r="G192" s="2211">
        <v>5000000</v>
      </c>
      <c r="H192" s="2211" t="s">
        <v>2015</v>
      </c>
      <c r="I192" s="26" t="s">
        <v>1549</v>
      </c>
      <c r="J192" s="7563">
        <f>G192+G193</f>
        <v>11000000</v>
      </c>
      <c r="K192" s="7563">
        <f>(F192+F193)-J192</f>
        <v>0</v>
      </c>
      <c r="L192" s="7703"/>
    </row>
    <row r="193" spans="1:12" ht="30" customHeight="1" x14ac:dyDescent="0.2">
      <c r="A193" s="7655"/>
      <c r="B193" s="7653"/>
      <c r="C193" s="2264" t="s">
        <v>1299</v>
      </c>
      <c r="D193" s="2211">
        <v>124000000</v>
      </c>
      <c r="E193" s="2263">
        <v>4.9000000000000002E-2</v>
      </c>
      <c r="F193" s="2211">
        <v>6000000</v>
      </c>
      <c r="G193" s="2211">
        <v>6000000</v>
      </c>
      <c r="H193" s="2211" t="s">
        <v>4107</v>
      </c>
      <c r="I193" s="52" t="s">
        <v>1549</v>
      </c>
      <c r="J193" s="7564"/>
      <c r="K193" s="7564"/>
      <c r="L193" s="7705"/>
    </row>
    <row r="194" spans="1:12" ht="30" customHeight="1" x14ac:dyDescent="0.2">
      <c r="A194" s="2267">
        <v>136</v>
      </c>
      <c r="B194" s="7652" t="s">
        <v>4002</v>
      </c>
      <c r="C194" s="7873"/>
      <c r="D194" s="7677"/>
      <c r="E194" s="7691"/>
      <c r="F194" s="7677">
        <f t="shared" si="21"/>
        <v>0</v>
      </c>
      <c r="G194" s="2211">
        <v>57000000</v>
      </c>
      <c r="H194" s="2211" t="s">
        <v>3923</v>
      </c>
      <c r="I194" s="24" t="s">
        <v>3968</v>
      </c>
      <c r="J194" s="2211">
        <f>G194</f>
        <v>57000000</v>
      </c>
      <c r="K194" s="2224">
        <f>F194-J194</f>
        <v>-57000000</v>
      </c>
      <c r="L194" s="2218" t="s">
        <v>3162</v>
      </c>
    </row>
    <row r="195" spans="1:12" ht="30" customHeight="1" x14ac:dyDescent="0.2">
      <c r="A195" s="2200"/>
      <c r="B195" s="7665"/>
      <c r="C195" s="7873"/>
      <c r="D195" s="7690"/>
      <c r="E195" s="7692"/>
      <c r="F195" s="7690"/>
      <c r="G195" s="2199">
        <v>140000000</v>
      </c>
      <c r="H195" s="2199" t="s">
        <v>3993</v>
      </c>
      <c r="I195" s="234" t="s">
        <v>3968</v>
      </c>
      <c r="J195" s="2199">
        <f>G195</f>
        <v>140000000</v>
      </c>
      <c r="K195" s="2227"/>
      <c r="L195" s="2290" t="s">
        <v>4752</v>
      </c>
    </row>
    <row r="196" spans="1:12" ht="30" customHeight="1" x14ac:dyDescent="0.2">
      <c r="A196" s="2200"/>
      <c r="B196" s="7653"/>
      <c r="C196" s="7873"/>
      <c r="D196" s="7678"/>
      <c r="E196" s="7693"/>
      <c r="F196" s="7678"/>
      <c r="G196" s="7470" t="s">
        <v>4276</v>
      </c>
      <c r="H196" s="7493"/>
      <c r="I196" s="7493"/>
      <c r="J196" s="7510"/>
      <c r="K196" s="2227"/>
      <c r="L196" s="2290" t="s">
        <v>4195</v>
      </c>
    </row>
    <row r="197" spans="1:12" ht="30" customHeight="1" x14ac:dyDescent="0.2">
      <c r="A197" s="2200"/>
      <c r="B197" s="2203" t="s">
        <v>257</v>
      </c>
      <c r="C197" s="2237"/>
      <c r="D197" s="2211">
        <v>100000000</v>
      </c>
      <c r="E197" s="2263">
        <v>0.05</v>
      </c>
      <c r="F197" s="2211">
        <f>D197*E197</f>
        <v>5000000</v>
      </c>
      <c r="G197" s="2210">
        <v>5000000</v>
      </c>
      <c r="H197" s="2210" t="s">
        <v>3993</v>
      </c>
      <c r="I197" s="1610" t="s">
        <v>4003</v>
      </c>
      <c r="J197" s="2210">
        <f>G197</f>
        <v>5000000</v>
      </c>
      <c r="K197" s="2210">
        <f>F197-J197</f>
        <v>0</v>
      </c>
      <c r="L197" s="2242"/>
    </row>
    <row r="198" spans="1:12" ht="30" customHeight="1" x14ac:dyDescent="0.2">
      <c r="A198" s="7654"/>
      <c r="B198" s="7652" t="s">
        <v>179</v>
      </c>
      <c r="C198" s="7723" t="s">
        <v>1176</v>
      </c>
      <c r="D198" s="2199">
        <v>80000000</v>
      </c>
      <c r="E198" s="2263">
        <v>0.05</v>
      </c>
      <c r="F198" s="2199">
        <f>D198*E198</f>
        <v>4000000</v>
      </c>
      <c r="G198" s="7563">
        <v>6100000</v>
      </c>
      <c r="H198" s="7563" t="s">
        <v>3993</v>
      </c>
      <c r="I198" s="7563" t="s">
        <v>1711</v>
      </c>
      <c r="J198" s="7563">
        <f>G198</f>
        <v>6100000</v>
      </c>
      <c r="K198" s="7563">
        <f>(F198+F199)-J198</f>
        <v>0</v>
      </c>
      <c r="L198" s="7713" t="s">
        <v>3445</v>
      </c>
    </row>
    <row r="199" spans="1:12" ht="30" customHeight="1" x14ac:dyDescent="0.2">
      <c r="A199" s="7655"/>
      <c r="B199" s="7653"/>
      <c r="C199" s="7724"/>
      <c r="D199" s="2209">
        <v>30000000</v>
      </c>
      <c r="E199" s="2206">
        <v>7.0000000000000007E-2</v>
      </c>
      <c r="F199" s="2209">
        <f>D199*E199</f>
        <v>2100000</v>
      </c>
      <c r="G199" s="7564"/>
      <c r="H199" s="7564"/>
      <c r="I199" s="7564"/>
      <c r="J199" s="7564"/>
      <c r="K199" s="7564"/>
      <c r="L199" s="7714"/>
    </row>
    <row r="200" spans="1:12" ht="30" customHeight="1" x14ac:dyDescent="0.2">
      <c r="A200" s="7654">
        <v>138</v>
      </c>
      <c r="B200" s="7652" t="s">
        <v>259</v>
      </c>
      <c r="C200" s="7723" t="s">
        <v>1172</v>
      </c>
      <c r="D200" s="7563">
        <v>1200000000</v>
      </c>
      <c r="E200" s="7659">
        <v>6.5000000000000002E-2</v>
      </c>
      <c r="F200" s="7563">
        <f t="shared" si="21"/>
        <v>78000000</v>
      </c>
      <c r="G200" s="2211">
        <v>50000000</v>
      </c>
      <c r="H200" s="2199" t="s">
        <v>4016</v>
      </c>
      <c r="I200" s="2260" t="s">
        <v>529</v>
      </c>
      <c r="J200" s="7563">
        <f>G200+G201</f>
        <v>78000000</v>
      </c>
      <c r="K200" s="7563">
        <f>F200-J200</f>
        <v>0</v>
      </c>
      <c r="L200" s="7703"/>
    </row>
    <row r="201" spans="1:12" ht="30" customHeight="1" x14ac:dyDescent="0.2">
      <c r="A201" s="7656"/>
      <c r="B201" s="7665"/>
      <c r="C201" s="7747"/>
      <c r="D201" s="7564"/>
      <c r="E201" s="7660"/>
      <c r="F201" s="7564"/>
      <c r="G201" s="2199">
        <v>28000000</v>
      </c>
      <c r="H201" s="2199" t="s">
        <v>4043</v>
      </c>
      <c r="I201" s="2260" t="s">
        <v>529</v>
      </c>
      <c r="J201" s="7564"/>
      <c r="K201" s="7564"/>
      <c r="L201" s="7704"/>
    </row>
    <row r="202" spans="1:12" ht="30" customHeight="1" x14ac:dyDescent="0.2">
      <c r="A202" s="7656"/>
      <c r="B202" s="7665"/>
      <c r="C202" s="7747"/>
      <c r="D202" s="2211">
        <v>150000000</v>
      </c>
      <c r="E202" s="2208">
        <v>6.5000000000000002E-2</v>
      </c>
      <c r="F202" s="2211">
        <f>D202*E202</f>
        <v>9750000</v>
      </c>
      <c r="G202" s="8099" t="s">
        <v>4230</v>
      </c>
      <c r="H202" s="8100"/>
      <c r="I202" s="8100"/>
      <c r="J202" s="8101"/>
      <c r="K202" s="2211"/>
      <c r="L202" s="7797" t="s">
        <v>4232</v>
      </c>
    </row>
    <row r="203" spans="1:12" ht="30" customHeight="1" x14ac:dyDescent="0.2">
      <c r="A203" s="7655"/>
      <c r="B203" s="7653"/>
      <c r="C203" s="7724"/>
      <c r="D203" s="2211">
        <v>79600000</v>
      </c>
      <c r="E203" s="2208">
        <v>6.5000000000000002E-2</v>
      </c>
      <c r="F203" s="2211">
        <f>D203*E203</f>
        <v>5174000</v>
      </c>
      <c r="G203" s="7732" t="s">
        <v>4231</v>
      </c>
      <c r="H203" s="7733"/>
      <c r="I203" s="7733"/>
      <c r="J203" s="7734"/>
      <c r="K203" s="2211"/>
      <c r="L203" s="7714"/>
    </row>
    <row r="204" spans="1:12" ht="30" customHeight="1" x14ac:dyDescent="0.2">
      <c r="A204" s="2267">
        <v>139</v>
      </c>
      <c r="B204" s="19" t="s">
        <v>160</v>
      </c>
      <c r="C204" s="2236" t="s">
        <v>1718</v>
      </c>
      <c r="D204" s="2199">
        <v>110000000</v>
      </c>
      <c r="E204" s="2263">
        <v>0.05</v>
      </c>
      <c r="F204" s="2199">
        <f t="shared" si="21"/>
        <v>5500000</v>
      </c>
      <c r="G204" s="2211">
        <v>5500000</v>
      </c>
      <c r="H204" s="2211" t="s">
        <v>3965</v>
      </c>
      <c r="I204" s="26" t="s">
        <v>3955</v>
      </c>
      <c r="J204" s="2199">
        <f>G204</f>
        <v>5500000</v>
      </c>
      <c r="K204" s="2199">
        <f>F204-J204</f>
        <v>0</v>
      </c>
      <c r="L204" s="19"/>
    </row>
    <row r="205" spans="1:12" ht="30" customHeight="1" x14ac:dyDescent="0.2">
      <c r="A205" s="2267"/>
      <c r="B205" s="19" t="s">
        <v>2270</v>
      </c>
      <c r="C205" s="2236" t="s">
        <v>262</v>
      </c>
      <c r="D205" s="2199">
        <v>50000000</v>
      </c>
      <c r="E205" s="2263">
        <v>0.05</v>
      </c>
      <c r="F205" s="2199">
        <f>D205*E205</f>
        <v>2500000</v>
      </c>
      <c r="G205" s="2211">
        <v>2500000</v>
      </c>
      <c r="H205" s="2211" t="s">
        <v>4060</v>
      </c>
      <c r="I205" s="26" t="s">
        <v>456</v>
      </c>
      <c r="J205" s="2199">
        <f>G205</f>
        <v>2500000</v>
      </c>
      <c r="K205" s="2199">
        <f>F205-J205</f>
        <v>0</v>
      </c>
      <c r="L205" s="19"/>
    </row>
    <row r="206" spans="1:12" ht="30" customHeight="1" x14ac:dyDescent="0.2">
      <c r="A206" s="2267">
        <v>140</v>
      </c>
      <c r="B206" s="2265" t="s">
        <v>533</v>
      </c>
      <c r="C206" s="2236" t="s">
        <v>372</v>
      </c>
      <c r="D206" s="2211">
        <v>150000000</v>
      </c>
      <c r="E206" s="2263">
        <v>0.04</v>
      </c>
      <c r="F206" s="2211">
        <f t="shared" si="21"/>
        <v>6000000</v>
      </c>
      <c r="G206" s="2211">
        <v>6000000</v>
      </c>
      <c r="H206" s="2211" t="s">
        <v>3993</v>
      </c>
      <c r="I206" s="18" t="s">
        <v>2682</v>
      </c>
      <c r="J206" s="2211">
        <f>G206</f>
        <v>6000000</v>
      </c>
      <c r="K206" s="2211">
        <f>F206-J206</f>
        <v>0</v>
      </c>
      <c r="L206" s="2265"/>
    </row>
    <row r="207" spans="1:12" ht="30" customHeight="1" x14ac:dyDescent="0.2">
      <c r="A207" s="7654">
        <v>141</v>
      </c>
      <c r="B207" s="7652" t="s">
        <v>7</v>
      </c>
      <c r="C207" s="7723"/>
      <c r="D207" s="7563">
        <v>30000000</v>
      </c>
      <c r="E207" s="7659">
        <v>0.05</v>
      </c>
      <c r="F207" s="7563">
        <f t="shared" si="21"/>
        <v>1500000</v>
      </c>
      <c r="G207" s="2211">
        <v>1500000</v>
      </c>
      <c r="H207" s="2211" t="s">
        <v>3929</v>
      </c>
      <c r="I207" s="21" t="s">
        <v>535</v>
      </c>
      <c r="J207" s="2211">
        <f>G207</f>
        <v>1500000</v>
      </c>
      <c r="K207" s="2211">
        <f>F207-J207</f>
        <v>0</v>
      </c>
      <c r="L207" s="2218"/>
    </row>
    <row r="208" spans="1:12" ht="30" customHeight="1" x14ac:dyDescent="0.2">
      <c r="A208" s="7655"/>
      <c r="B208" s="7653"/>
      <c r="C208" s="7724"/>
      <c r="D208" s="7564"/>
      <c r="E208" s="7660"/>
      <c r="F208" s="7564"/>
      <c r="G208" s="2224">
        <v>1500000</v>
      </c>
      <c r="H208" s="2224" t="s">
        <v>3965</v>
      </c>
      <c r="I208" s="56" t="s">
        <v>535</v>
      </c>
      <c r="J208" s="2233">
        <f>G208</f>
        <v>1500000</v>
      </c>
      <c r="K208" s="2210">
        <f>F207-J208</f>
        <v>0</v>
      </c>
      <c r="L208" s="2218" t="s">
        <v>4087</v>
      </c>
    </row>
    <row r="209" spans="1:12" ht="30" customHeight="1" x14ac:dyDescent="0.2">
      <c r="A209" s="7654">
        <v>142</v>
      </c>
      <c r="B209" s="7652" t="s">
        <v>8</v>
      </c>
      <c r="C209" s="7723"/>
      <c r="D209" s="7563">
        <v>2000000000</v>
      </c>
      <c r="E209" s="7659">
        <v>0.08</v>
      </c>
      <c r="F209" s="7563">
        <f>D209*E209</f>
        <v>160000000</v>
      </c>
      <c r="G209" s="1854">
        <v>49750000</v>
      </c>
      <c r="H209" s="1854" t="s">
        <v>1846</v>
      </c>
      <c r="I209" s="1854" t="s">
        <v>1937</v>
      </c>
      <c r="J209" s="7482">
        <f>SUM(G209:G213)</f>
        <v>179750000</v>
      </c>
      <c r="K209" s="7482"/>
      <c r="L209" s="7713" t="s">
        <v>3378</v>
      </c>
    </row>
    <row r="210" spans="1:12" ht="30" customHeight="1" x14ac:dyDescent="0.2">
      <c r="A210" s="7656"/>
      <c r="B210" s="7665"/>
      <c r="C210" s="7747"/>
      <c r="D210" s="7586"/>
      <c r="E210" s="7676"/>
      <c r="F210" s="7586"/>
      <c r="G210" s="1854">
        <v>50000000</v>
      </c>
      <c r="H210" s="1854" t="s">
        <v>3965</v>
      </c>
      <c r="I210" s="1854" t="s">
        <v>1937</v>
      </c>
      <c r="J210" s="7482"/>
      <c r="K210" s="7482"/>
      <c r="L210" s="7797"/>
    </row>
    <row r="211" spans="1:12" ht="30" customHeight="1" x14ac:dyDescent="0.2">
      <c r="A211" s="7656"/>
      <c r="B211" s="7665"/>
      <c r="C211" s="7747"/>
      <c r="D211" s="7586"/>
      <c r="E211" s="7676"/>
      <c r="F211" s="7586"/>
      <c r="G211" s="2554">
        <v>30000000</v>
      </c>
      <c r="H211" s="2554" t="s">
        <v>1015</v>
      </c>
      <c r="I211" s="2565" t="s">
        <v>1937</v>
      </c>
      <c r="J211" s="7482"/>
      <c r="K211" s="7482"/>
      <c r="L211" s="7797"/>
    </row>
    <row r="212" spans="1:12" ht="30" customHeight="1" x14ac:dyDescent="0.2">
      <c r="A212" s="7656"/>
      <c r="B212" s="7665"/>
      <c r="C212" s="7747"/>
      <c r="D212" s="7586"/>
      <c r="E212" s="7676"/>
      <c r="F212" s="7586"/>
      <c r="G212" s="2554">
        <v>50000000</v>
      </c>
      <c r="H212" s="2554" t="s">
        <v>4134</v>
      </c>
      <c r="I212" s="2565" t="s">
        <v>1937</v>
      </c>
      <c r="J212" s="7482"/>
      <c r="K212" s="7482"/>
      <c r="L212" s="7797"/>
    </row>
    <row r="213" spans="1:12" ht="30" customHeight="1" x14ac:dyDescent="0.2">
      <c r="A213" s="7655"/>
      <c r="B213" s="7653"/>
      <c r="C213" s="7724"/>
      <c r="D213" s="7564"/>
      <c r="E213" s="7660"/>
      <c r="F213" s="7564"/>
      <c r="G213" s="7732" t="s">
        <v>4721</v>
      </c>
      <c r="H213" s="7733"/>
      <c r="I213" s="7733"/>
      <c r="J213" s="7733"/>
      <c r="K213" s="7734"/>
      <c r="L213" s="7714"/>
    </row>
    <row r="214" spans="1:12" ht="30" customHeight="1" x14ac:dyDescent="0.2">
      <c r="A214" s="2267">
        <v>143</v>
      </c>
      <c r="B214" s="2265" t="s">
        <v>4146</v>
      </c>
      <c r="C214" s="2236"/>
      <c r="D214" s="2211">
        <v>50000000</v>
      </c>
      <c r="E214" s="2263">
        <v>0.04</v>
      </c>
      <c r="F214" s="2211">
        <f t="shared" si="21"/>
        <v>2000000</v>
      </c>
      <c r="G214" s="2211">
        <v>2000000</v>
      </c>
      <c r="H214" s="2211" t="s">
        <v>4188</v>
      </c>
      <c r="I214" s="26" t="s">
        <v>4257</v>
      </c>
      <c r="J214" s="2211">
        <f>G214</f>
        <v>2000000</v>
      </c>
      <c r="K214" s="2211">
        <f>F214-J214</f>
        <v>0</v>
      </c>
      <c r="L214" s="2290" t="s">
        <v>4458</v>
      </c>
    </row>
    <row r="215" spans="1:12" ht="30" customHeight="1" x14ac:dyDescent="0.2">
      <c r="A215" s="2267">
        <v>144</v>
      </c>
      <c r="B215" s="2265" t="s">
        <v>514</v>
      </c>
      <c r="C215" s="2236"/>
      <c r="D215" s="2211">
        <v>5000000</v>
      </c>
      <c r="E215" s="2263">
        <v>0.05</v>
      </c>
      <c r="F215" s="2211">
        <f t="shared" si="21"/>
        <v>250000</v>
      </c>
      <c r="G215" s="2211">
        <v>250000</v>
      </c>
      <c r="H215" s="2211" t="s">
        <v>3923</v>
      </c>
      <c r="I215" s="21" t="s">
        <v>3433</v>
      </c>
      <c r="J215" s="2211">
        <f>G215</f>
        <v>250000</v>
      </c>
      <c r="K215" s="2211">
        <f>F215-J215</f>
        <v>0</v>
      </c>
      <c r="L215" s="2265"/>
    </row>
    <row r="216" spans="1:12" ht="30" customHeight="1" x14ac:dyDescent="0.2">
      <c r="A216" s="2267">
        <v>145</v>
      </c>
      <c r="B216" s="2265" t="s">
        <v>10</v>
      </c>
      <c r="C216" s="2236" t="s">
        <v>1172</v>
      </c>
      <c r="D216" s="2211">
        <v>105000000</v>
      </c>
      <c r="E216" s="2263">
        <v>0.04</v>
      </c>
      <c r="F216" s="2211">
        <f t="shared" si="21"/>
        <v>4200000</v>
      </c>
      <c r="G216" s="2211"/>
      <c r="H216" s="2211"/>
      <c r="I216" s="18" t="s">
        <v>3525</v>
      </c>
      <c r="J216" s="2211">
        <f>G216</f>
        <v>0</v>
      </c>
      <c r="K216" s="2211">
        <f>F216-J216</f>
        <v>4200000</v>
      </c>
      <c r="L216" s="2265"/>
    </row>
    <row r="217" spans="1:12" ht="30" customHeight="1" x14ac:dyDescent="0.2">
      <c r="A217" s="2267">
        <v>146</v>
      </c>
      <c r="B217" s="2265" t="s">
        <v>11</v>
      </c>
      <c r="C217" s="2236"/>
      <c r="D217" s="2211">
        <v>50000000</v>
      </c>
      <c r="E217" s="2263">
        <v>4.4999999999999998E-2</v>
      </c>
      <c r="F217" s="2211">
        <f t="shared" si="21"/>
        <v>2250000</v>
      </c>
      <c r="G217" s="2211"/>
      <c r="H217" s="2211"/>
      <c r="I217" s="21"/>
      <c r="J217" s="2211"/>
      <c r="K217" s="2211">
        <f>F217-J217</f>
        <v>2250000</v>
      </c>
      <c r="L217" s="2265"/>
    </row>
    <row r="218" spans="1:12" ht="30" customHeight="1" x14ac:dyDescent="0.2">
      <c r="A218" s="2267">
        <v>147</v>
      </c>
      <c r="B218" s="2261" t="s">
        <v>12</v>
      </c>
      <c r="C218" s="2235" t="s">
        <v>1295</v>
      </c>
      <c r="D218" s="2211">
        <v>60000000</v>
      </c>
      <c r="E218" s="2263">
        <v>0.05</v>
      </c>
      <c r="F218" s="2211">
        <f t="shared" si="21"/>
        <v>3000000</v>
      </c>
      <c r="G218" s="2199">
        <v>3000000</v>
      </c>
      <c r="H218" s="2199" t="s">
        <v>2015</v>
      </c>
      <c r="I218" s="26" t="s">
        <v>3419</v>
      </c>
      <c r="J218" s="2199">
        <f>G218</f>
        <v>3000000</v>
      </c>
      <c r="K218" s="2199">
        <f>F218-J218</f>
        <v>0</v>
      </c>
      <c r="L218" s="2289"/>
    </row>
    <row r="219" spans="1:12" ht="30" customHeight="1" x14ac:dyDescent="0.2">
      <c r="A219" s="7654">
        <v>148</v>
      </c>
      <c r="B219" s="7652" t="s">
        <v>13</v>
      </c>
      <c r="C219" s="7723" t="s">
        <v>371</v>
      </c>
      <c r="D219" s="2199">
        <v>55000000</v>
      </c>
      <c r="E219" s="2263">
        <v>0.05</v>
      </c>
      <c r="F219" s="2199">
        <f t="shared" si="21"/>
        <v>2750000</v>
      </c>
      <c r="G219" s="2199">
        <v>5000000</v>
      </c>
      <c r="H219" s="2199" t="s">
        <v>3923</v>
      </c>
      <c r="I219" s="2260" t="s">
        <v>3569</v>
      </c>
      <c r="J219" s="2199">
        <f t="shared" ref="J219:J227" si="22">G219</f>
        <v>5000000</v>
      </c>
      <c r="K219" s="2199"/>
      <c r="L219" s="2013" t="s">
        <v>1236</v>
      </c>
    </row>
    <row r="220" spans="1:12" ht="30" customHeight="1" x14ac:dyDescent="0.2">
      <c r="A220" s="7655"/>
      <c r="B220" s="7653"/>
      <c r="C220" s="7724"/>
      <c r="D220" s="2211">
        <v>50000000</v>
      </c>
      <c r="E220" s="2208">
        <v>0.05</v>
      </c>
      <c r="F220" s="2211">
        <f t="shared" si="21"/>
        <v>2500000</v>
      </c>
      <c r="G220" s="2211">
        <v>2500000</v>
      </c>
      <c r="H220" s="2211" t="s">
        <v>4043</v>
      </c>
      <c r="I220" s="2234" t="s">
        <v>3955</v>
      </c>
      <c r="J220" s="2211">
        <f t="shared" si="22"/>
        <v>2500000</v>
      </c>
      <c r="K220" s="2211">
        <f t="shared" ref="K220:K228" si="23">F220-J220</f>
        <v>0</v>
      </c>
      <c r="L220" s="2013"/>
    </row>
    <row r="221" spans="1:12" ht="30" customHeight="1" x14ac:dyDescent="0.2">
      <c r="A221" s="2267">
        <v>149</v>
      </c>
      <c r="B221" s="2265" t="s">
        <v>14</v>
      </c>
      <c r="C221" s="2236" t="s">
        <v>1291</v>
      </c>
      <c r="D221" s="2211">
        <v>80000000</v>
      </c>
      <c r="E221" s="2208">
        <v>0.05</v>
      </c>
      <c r="F221" s="2211">
        <f t="shared" si="21"/>
        <v>4000000</v>
      </c>
      <c r="G221" s="2211">
        <v>4000000</v>
      </c>
      <c r="H221" s="2211" t="s">
        <v>4060</v>
      </c>
      <c r="I221" s="2293" t="s">
        <v>474</v>
      </c>
      <c r="J221" s="2211">
        <f t="shared" si="22"/>
        <v>4000000</v>
      </c>
      <c r="K221" s="2211">
        <f t="shared" si="23"/>
        <v>0</v>
      </c>
      <c r="L221" s="2013" t="s">
        <v>357</v>
      </c>
    </row>
    <row r="222" spans="1:12" ht="30" customHeight="1" x14ac:dyDescent="0.2">
      <c r="A222" s="2267">
        <v>150</v>
      </c>
      <c r="B222" s="2265" t="s">
        <v>15</v>
      </c>
      <c r="C222" s="2236" t="s">
        <v>1294</v>
      </c>
      <c r="D222" s="2211">
        <v>160000000</v>
      </c>
      <c r="E222" s="2263">
        <v>0.04</v>
      </c>
      <c r="F222" s="2211">
        <f t="shared" si="21"/>
        <v>6400000</v>
      </c>
      <c r="G222" s="2211">
        <v>6400000</v>
      </c>
      <c r="H222" s="2211" t="s">
        <v>4074</v>
      </c>
      <c r="I222" s="21" t="s">
        <v>2986</v>
      </c>
      <c r="J222" s="2211">
        <f t="shared" si="22"/>
        <v>6400000</v>
      </c>
      <c r="K222" s="2211">
        <f t="shared" si="23"/>
        <v>0</v>
      </c>
      <c r="L222" s="2218" t="s">
        <v>2987</v>
      </c>
    </row>
    <row r="223" spans="1:12" ht="30" customHeight="1" x14ac:dyDescent="0.2">
      <c r="A223" s="2267">
        <v>151</v>
      </c>
      <c r="B223" s="2265" t="s">
        <v>16</v>
      </c>
      <c r="C223" s="2236" t="s">
        <v>1107</v>
      </c>
      <c r="D223" s="2211">
        <v>180000000</v>
      </c>
      <c r="E223" s="2263">
        <v>0.05</v>
      </c>
      <c r="F223" s="2211">
        <f t="shared" si="21"/>
        <v>9000000</v>
      </c>
      <c r="G223" s="2211">
        <v>9000000</v>
      </c>
      <c r="H223" s="2211" t="s">
        <v>4122</v>
      </c>
      <c r="I223" s="21" t="s">
        <v>2149</v>
      </c>
      <c r="J223" s="2211">
        <f t="shared" si="22"/>
        <v>9000000</v>
      </c>
      <c r="K223" s="2211">
        <f t="shared" si="23"/>
        <v>0</v>
      </c>
      <c r="L223" s="2265"/>
    </row>
    <row r="224" spans="1:12" ht="30" customHeight="1" x14ac:dyDescent="0.2">
      <c r="A224" s="7654">
        <v>152</v>
      </c>
      <c r="B224" s="7652" t="s">
        <v>1115</v>
      </c>
      <c r="C224" s="7723" t="s">
        <v>3007</v>
      </c>
      <c r="D224" s="2211">
        <v>35000000</v>
      </c>
      <c r="E224" s="2263">
        <v>4.7E-2</v>
      </c>
      <c r="F224" s="2211">
        <v>1650000</v>
      </c>
      <c r="G224" s="2199">
        <v>1650000</v>
      </c>
      <c r="H224" s="7563" t="s">
        <v>4074</v>
      </c>
      <c r="I224" s="7561" t="s">
        <v>3703</v>
      </c>
      <c r="J224" s="7563">
        <f>G224+G225</f>
        <v>36650000</v>
      </c>
      <c r="K224" s="7563">
        <f>(D224+F224)-J224</f>
        <v>0</v>
      </c>
      <c r="L224" s="7818" t="s">
        <v>1326</v>
      </c>
    </row>
    <row r="225" spans="1:16" ht="30" customHeight="1" x14ac:dyDescent="0.2">
      <c r="A225" s="7655"/>
      <c r="B225" s="7653"/>
      <c r="C225" s="7724"/>
      <c r="D225" s="2211">
        <v>35000000</v>
      </c>
      <c r="E225" s="7880" t="s">
        <v>4073</v>
      </c>
      <c r="F225" s="7881"/>
      <c r="G225" s="2199">
        <v>35000000</v>
      </c>
      <c r="H225" s="7564"/>
      <c r="I225" s="7562"/>
      <c r="J225" s="7564"/>
      <c r="K225" s="7564"/>
      <c r="L225" s="7819"/>
    </row>
    <row r="226" spans="1:16" ht="30" customHeight="1" x14ac:dyDescent="0.2">
      <c r="A226" s="2267">
        <v>153</v>
      </c>
      <c r="B226" s="2265" t="s">
        <v>17</v>
      </c>
      <c r="C226" s="2236"/>
      <c r="D226" s="2211">
        <v>30000000</v>
      </c>
      <c r="E226" s="2263">
        <v>0.04</v>
      </c>
      <c r="F226" s="2211">
        <f t="shared" si="21"/>
        <v>1200000</v>
      </c>
      <c r="G226" s="2211">
        <v>1200000</v>
      </c>
      <c r="H226" s="2211" t="s">
        <v>4107</v>
      </c>
      <c r="I226" s="21" t="s">
        <v>1143</v>
      </c>
      <c r="J226" s="2211">
        <f t="shared" si="22"/>
        <v>1200000</v>
      </c>
      <c r="K226" s="2211">
        <f t="shared" si="23"/>
        <v>0</v>
      </c>
      <c r="L226" s="2265"/>
    </row>
    <row r="227" spans="1:16" ht="30" customHeight="1" x14ac:dyDescent="0.2">
      <c r="A227" s="2267">
        <v>154</v>
      </c>
      <c r="B227" s="2265" t="s">
        <v>18</v>
      </c>
      <c r="C227" s="2236" t="s">
        <v>1796</v>
      </c>
      <c r="D227" s="2211">
        <v>15000000</v>
      </c>
      <c r="E227" s="2263">
        <v>7.0000000000000007E-2</v>
      </c>
      <c r="F227" s="2211">
        <f t="shared" si="21"/>
        <v>1050000</v>
      </c>
      <c r="G227" s="2211">
        <v>1050000</v>
      </c>
      <c r="H227" s="2211" t="s">
        <v>4144</v>
      </c>
      <c r="I227" s="21" t="s">
        <v>1278</v>
      </c>
      <c r="J227" s="2211">
        <f t="shared" si="22"/>
        <v>1050000</v>
      </c>
      <c r="K227" s="2211">
        <f t="shared" si="23"/>
        <v>0</v>
      </c>
      <c r="L227" s="2265"/>
    </row>
    <row r="228" spans="1:16" ht="30" customHeight="1" x14ac:dyDescent="0.2">
      <c r="A228" s="2267">
        <v>155</v>
      </c>
      <c r="B228" s="2265" t="s">
        <v>19</v>
      </c>
      <c r="C228" s="2236"/>
      <c r="D228" s="2224"/>
      <c r="E228" s="2295"/>
      <c r="F228" s="2224">
        <f t="shared" si="21"/>
        <v>0</v>
      </c>
      <c r="G228" s="2211"/>
      <c r="H228" s="2211"/>
      <c r="I228" s="21"/>
      <c r="J228" s="2211"/>
      <c r="K228" s="2224">
        <f t="shared" si="23"/>
        <v>0</v>
      </c>
      <c r="L228" s="2265"/>
    </row>
    <row r="229" spans="1:16" ht="30" customHeight="1" x14ac:dyDescent="0.2">
      <c r="A229" s="2200">
        <v>156</v>
      </c>
      <c r="B229" s="2261" t="s">
        <v>20</v>
      </c>
      <c r="C229" s="378"/>
      <c r="D229" s="2199">
        <v>50000000</v>
      </c>
      <c r="E229" s="2263">
        <v>0.04</v>
      </c>
      <c r="F229" s="2199">
        <f t="shared" si="21"/>
        <v>2000000</v>
      </c>
      <c r="G229" s="2211">
        <v>2000000</v>
      </c>
      <c r="H229" s="2211" t="s">
        <v>4060</v>
      </c>
      <c r="I229" s="18" t="s">
        <v>3664</v>
      </c>
      <c r="J229" s="2199">
        <f>G229</f>
        <v>2000000</v>
      </c>
      <c r="K229" s="2199">
        <f>F229-500000</f>
        <v>1500000</v>
      </c>
      <c r="L229" s="2218" t="s">
        <v>3665</v>
      </c>
      <c r="M229" s="366"/>
      <c r="N229" s="366"/>
      <c r="O229" s="366"/>
      <c r="P229" s="366"/>
    </row>
    <row r="230" spans="1:16" ht="30" customHeight="1" x14ac:dyDescent="0.2">
      <c r="A230" s="2267">
        <v>157</v>
      </c>
      <c r="B230" s="2265" t="s">
        <v>21</v>
      </c>
      <c r="C230" s="2236" t="s">
        <v>1294</v>
      </c>
      <c r="D230" s="2211">
        <v>20000000</v>
      </c>
      <c r="E230" s="2208">
        <v>0.05</v>
      </c>
      <c r="F230" s="2211">
        <f t="shared" si="21"/>
        <v>1000000</v>
      </c>
      <c r="G230" s="2211">
        <v>1000000</v>
      </c>
      <c r="H230" s="2211" t="s">
        <v>4128</v>
      </c>
      <c r="I230" s="21" t="s">
        <v>4587</v>
      </c>
      <c r="J230" s="2211">
        <f>G230</f>
        <v>1000000</v>
      </c>
      <c r="K230" s="2211">
        <f>F230-J230</f>
        <v>0</v>
      </c>
      <c r="L230" s="2265"/>
      <c r="M230" s="366"/>
      <c r="N230" s="366"/>
      <c r="O230" s="366"/>
      <c r="P230" s="366"/>
    </row>
    <row r="231" spans="1:16" ht="30" customHeight="1" x14ac:dyDescent="0.2">
      <c r="A231" s="7656"/>
      <c r="B231" s="7652" t="s">
        <v>822</v>
      </c>
      <c r="C231" s="2236" t="s">
        <v>1306</v>
      </c>
      <c r="D231" s="2211">
        <v>160000000</v>
      </c>
      <c r="E231" s="2263">
        <v>0.05</v>
      </c>
      <c r="F231" s="2211">
        <f>D231*E231</f>
        <v>8000000</v>
      </c>
      <c r="G231" s="7563">
        <v>9200000</v>
      </c>
      <c r="H231" s="7563" t="s">
        <v>4107</v>
      </c>
      <c r="I231" s="7563" t="s">
        <v>3129</v>
      </c>
      <c r="J231" s="7563">
        <f>G231</f>
        <v>9200000</v>
      </c>
      <c r="K231" s="7563">
        <f>(F231+F232)-J231</f>
        <v>0</v>
      </c>
      <c r="L231" s="233"/>
      <c r="M231" s="233"/>
      <c r="N231" s="233"/>
      <c r="O231" s="233"/>
      <c r="P231" s="233"/>
    </row>
    <row r="232" spans="1:16" ht="30" customHeight="1" x14ac:dyDescent="0.2">
      <c r="A232" s="7655"/>
      <c r="B232" s="7653"/>
      <c r="C232" s="2236" t="s">
        <v>1306</v>
      </c>
      <c r="D232" s="2211">
        <v>22000000</v>
      </c>
      <c r="E232" s="2263">
        <v>5.5E-2</v>
      </c>
      <c r="F232" s="2211">
        <v>1200000</v>
      </c>
      <c r="G232" s="7564"/>
      <c r="H232" s="7564"/>
      <c r="I232" s="7564"/>
      <c r="J232" s="7564"/>
      <c r="K232" s="7564"/>
      <c r="L232" s="2265"/>
      <c r="M232" s="366"/>
      <c r="N232" s="366"/>
      <c r="O232" s="366"/>
      <c r="P232" s="366"/>
    </row>
    <row r="233" spans="1:16" ht="30" customHeight="1" x14ac:dyDescent="0.2">
      <c r="A233" s="2267">
        <v>159</v>
      </c>
      <c r="B233" s="2265" t="s">
        <v>22</v>
      </c>
      <c r="C233" s="2236" t="s">
        <v>1300</v>
      </c>
      <c r="D233" s="2211">
        <v>25000000</v>
      </c>
      <c r="E233" s="2263">
        <v>0.05</v>
      </c>
      <c r="F233" s="2211">
        <f t="shared" si="21"/>
        <v>1250000</v>
      </c>
      <c r="G233" s="2211">
        <v>1250000</v>
      </c>
      <c r="H233" s="2211" t="s">
        <v>3993</v>
      </c>
      <c r="I233" s="21" t="s">
        <v>2192</v>
      </c>
      <c r="J233" s="2211">
        <f>G233</f>
        <v>1250000</v>
      </c>
      <c r="K233" s="2211">
        <f t="shared" ref="K233:K243" si="24">F233-J233</f>
        <v>0</v>
      </c>
      <c r="L233" s="2265"/>
      <c r="M233" s="366"/>
      <c r="N233" s="366"/>
      <c r="O233" s="366"/>
      <c r="P233" s="366"/>
    </row>
    <row r="234" spans="1:16" ht="30" customHeight="1" x14ac:dyDescent="0.2">
      <c r="A234" s="2267">
        <v>160</v>
      </c>
      <c r="B234" s="2265" t="s">
        <v>23</v>
      </c>
      <c r="C234" s="2236"/>
      <c r="D234" s="2211">
        <v>55000000</v>
      </c>
      <c r="E234" s="2263">
        <v>0.05</v>
      </c>
      <c r="F234" s="2211">
        <f t="shared" si="21"/>
        <v>2750000</v>
      </c>
      <c r="G234" s="2211"/>
      <c r="H234" s="2211"/>
      <c r="I234" s="21"/>
      <c r="J234" s="2211">
        <f>G234</f>
        <v>0</v>
      </c>
      <c r="K234" s="2211">
        <f t="shared" si="24"/>
        <v>2750000</v>
      </c>
      <c r="L234" s="2265"/>
      <c r="M234" s="366"/>
      <c r="N234" s="366"/>
      <c r="O234" s="366"/>
      <c r="P234" s="366"/>
    </row>
    <row r="235" spans="1:16" ht="30" customHeight="1" x14ac:dyDescent="0.2">
      <c r="A235" s="2267">
        <v>161</v>
      </c>
      <c r="B235" s="2261" t="s">
        <v>24</v>
      </c>
      <c r="C235" s="2264" t="s">
        <v>1306</v>
      </c>
      <c r="D235" s="2211">
        <v>20000000</v>
      </c>
      <c r="E235" s="2263">
        <v>4.4999999999999998E-2</v>
      </c>
      <c r="F235" s="2211">
        <f t="shared" si="21"/>
        <v>900000</v>
      </c>
      <c r="G235" s="2211">
        <v>900000</v>
      </c>
      <c r="H235" s="2211" t="s">
        <v>4144</v>
      </c>
      <c r="I235" s="21" t="s">
        <v>4153</v>
      </c>
      <c r="J235" s="2211">
        <f>G235</f>
        <v>900000</v>
      </c>
      <c r="K235" s="2211">
        <f t="shared" si="24"/>
        <v>0</v>
      </c>
      <c r="L235" s="2265"/>
      <c r="M235" s="366"/>
      <c r="N235" s="366"/>
      <c r="O235" s="366"/>
      <c r="P235" s="366"/>
    </row>
    <row r="236" spans="1:16" ht="30" customHeight="1" x14ac:dyDescent="0.2">
      <c r="A236" s="2267">
        <v>162</v>
      </c>
      <c r="B236" s="2265" t="s">
        <v>25</v>
      </c>
      <c r="C236" s="2236" t="s">
        <v>1306</v>
      </c>
      <c r="D236" s="2211">
        <v>180000000</v>
      </c>
      <c r="E236" s="2263">
        <v>0.05</v>
      </c>
      <c r="F236" s="2211">
        <f t="shared" si="21"/>
        <v>9000000</v>
      </c>
      <c r="G236" s="2211">
        <v>9000000</v>
      </c>
      <c r="H236" s="2211" t="s">
        <v>4107</v>
      </c>
      <c r="I236" s="21" t="s">
        <v>3132</v>
      </c>
      <c r="J236" s="2211">
        <f>G236</f>
        <v>9000000</v>
      </c>
      <c r="K236" s="2211">
        <f t="shared" si="24"/>
        <v>0</v>
      </c>
      <c r="L236" s="2265"/>
      <c r="M236" s="366"/>
      <c r="N236" s="366"/>
      <c r="O236" s="366"/>
      <c r="P236" s="366"/>
    </row>
    <row r="237" spans="1:16" ht="30" customHeight="1" x14ac:dyDescent="0.2">
      <c r="A237" s="2267">
        <v>163</v>
      </c>
      <c r="B237" s="2265" t="s">
        <v>828</v>
      </c>
      <c r="C237" s="2236"/>
      <c r="D237" s="2211">
        <v>200000000</v>
      </c>
      <c r="E237" s="2263">
        <v>0.05</v>
      </c>
      <c r="F237" s="2211">
        <f t="shared" si="21"/>
        <v>10000000</v>
      </c>
      <c r="G237" s="2211">
        <v>10000000</v>
      </c>
      <c r="H237" s="2211" t="s">
        <v>4119</v>
      </c>
      <c r="I237" s="21" t="s">
        <v>3732</v>
      </c>
      <c r="J237" s="2211">
        <f>G237</f>
        <v>10000000</v>
      </c>
      <c r="K237" s="2211">
        <f t="shared" si="24"/>
        <v>0</v>
      </c>
      <c r="L237" s="2265"/>
      <c r="M237" s="366"/>
      <c r="N237" s="366"/>
      <c r="O237" s="366"/>
      <c r="P237" s="366"/>
    </row>
    <row r="238" spans="1:16" ht="30" customHeight="1" x14ac:dyDescent="0.2">
      <c r="A238" s="2267">
        <v>164</v>
      </c>
      <c r="B238" s="2265" t="s">
        <v>26</v>
      </c>
      <c r="C238" s="2236"/>
      <c r="D238" s="2211">
        <v>50000000</v>
      </c>
      <c r="E238" s="2263">
        <v>0.05</v>
      </c>
      <c r="F238" s="2211">
        <f t="shared" si="21"/>
        <v>2500000</v>
      </c>
      <c r="G238" s="2211">
        <v>2500000</v>
      </c>
      <c r="H238" s="2211" t="s">
        <v>4107</v>
      </c>
      <c r="I238" s="21" t="s">
        <v>741</v>
      </c>
      <c r="J238" s="2211">
        <f t="shared" ref="J238:J246" si="25">G238</f>
        <v>2500000</v>
      </c>
      <c r="K238" s="2211">
        <f t="shared" si="24"/>
        <v>0</v>
      </c>
      <c r="L238" s="2265"/>
      <c r="M238" s="366"/>
      <c r="N238" s="366"/>
      <c r="O238" s="366"/>
      <c r="P238" s="366"/>
    </row>
    <row r="239" spans="1:16" ht="30" customHeight="1" x14ac:dyDescent="0.2">
      <c r="A239" s="2267">
        <v>165</v>
      </c>
      <c r="B239" s="2265" t="s">
        <v>27</v>
      </c>
      <c r="C239" s="2236" t="s">
        <v>681</v>
      </c>
      <c r="D239" s="2211">
        <v>20000000</v>
      </c>
      <c r="E239" s="2263">
        <v>0.04</v>
      </c>
      <c r="F239" s="2211">
        <f t="shared" si="21"/>
        <v>800000</v>
      </c>
      <c r="G239" s="2211">
        <v>800000</v>
      </c>
      <c r="H239" s="2211" t="s">
        <v>4107</v>
      </c>
      <c r="I239" s="21" t="s">
        <v>3740</v>
      </c>
      <c r="J239" s="2211">
        <f t="shared" si="25"/>
        <v>800000</v>
      </c>
      <c r="K239" s="2211">
        <f t="shared" si="24"/>
        <v>0</v>
      </c>
      <c r="L239" s="2265"/>
      <c r="M239" s="366"/>
      <c r="N239" s="366"/>
      <c r="O239" s="366"/>
      <c r="P239" s="366"/>
    </row>
    <row r="240" spans="1:16" ht="30" customHeight="1" x14ac:dyDescent="0.2">
      <c r="A240" s="2267">
        <v>166</v>
      </c>
      <c r="B240" s="2265" t="s">
        <v>28</v>
      </c>
      <c r="C240" s="2236" t="s">
        <v>551</v>
      </c>
      <c r="D240" s="2211">
        <v>100000000</v>
      </c>
      <c r="E240" s="2263">
        <v>0.05</v>
      </c>
      <c r="F240" s="2211">
        <f t="shared" si="21"/>
        <v>5000000</v>
      </c>
      <c r="G240" s="2211">
        <v>5000000</v>
      </c>
      <c r="H240" s="2211" t="s">
        <v>4107</v>
      </c>
      <c r="I240" s="26" t="s">
        <v>4123</v>
      </c>
      <c r="J240" s="2211">
        <f t="shared" si="25"/>
        <v>5000000</v>
      </c>
      <c r="K240" s="2211">
        <f t="shared" si="24"/>
        <v>0</v>
      </c>
      <c r="L240" s="2265"/>
      <c r="M240" s="366"/>
      <c r="N240" s="366"/>
      <c r="O240" s="366"/>
      <c r="P240" s="366"/>
    </row>
    <row r="241" spans="1:16" ht="30" customHeight="1" x14ac:dyDescent="0.2">
      <c r="A241" s="2267">
        <v>167</v>
      </c>
      <c r="B241" s="2265" t="s">
        <v>737</v>
      </c>
      <c r="C241" s="2236" t="s">
        <v>1306</v>
      </c>
      <c r="D241" s="2211">
        <v>50000000</v>
      </c>
      <c r="E241" s="2263">
        <v>0.05</v>
      </c>
      <c r="F241" s="2211">
        <f t="shared" si="21"/>
        <v>2500000</v>
      </c>
      <c r="G241" s="2211">
        <v>2500000</v>
      </c>
      <c r="H241" s="2211" t="s">
        <v>4107</v>
      </c>
      <c r="I241" s="21" t="s">
        <v>739</v>
      </c>
      <c r="J241" s="2211">
        <f t="shared" si="25"/>
        <v>2500000</v>
      </c>
      <c r="K241" s="2211">
        <f t="shared" si="24"/>
        <v>0</v>
      </c>
      <c r="L241" s="2265"/>
      <c r="M241" s="366"/>
      <c r="N241" s="366"/>
      <c r="O241" s="366"/>
      <c r="P241" s="366"/>
    </row>
    <row r="242" spans="1:16" ht="30" customHeight="1" x14ac:dyDescent="0.2">
      <c r="A242" s="2267">
        <v>168</v>
      </c>
      <c r="B242" s="2265" t="s">
        <v>818</v>
      </c>
      <c r="C242" s="2236"/>
      <c r="D242" s="2211">
        <v>50000000</v>
      </c>
      <c r="E242" s="2263">
        <v>7.0000000000000007E-2</v>
      </c>
      <c r="F242" s="2211">
        <f t="shared" si="21"/>
        <v>3500000.0000000005</v>
      </c>
      <c r="G242" s="2211">
        <v>3500000</v>
      </c>
      <c r="H242" s="2211" t="s">
        <v>4107</v>
      </c>
      <c r="I242" s="21" t="s">
        <v>3085</v>
      </c>
      <c r="J242" s="2211">
        <f t="shared" si="25"/>
        <v>3500000</v>
      </c>
      <c r="K242" s="2211">
        <f t="shared" si="24"/>
        <v>0</v>
      </c>
      <c r="L242" s="2265"/>
      <c r="M242" s="366"/>
      <c r="N242" s="366"/>
      <c r="O242" s="366"/>
      <c r="P242" s="366"/>
    </row>
    <row r="243" spans="1:16" ht="30" customHeight="1" x14ac:dyDescent="0.2">
      <c r="A243" s="2280"/>
      <c r="B243" s="2261" t="s">
        <v>29</v>
      </c>
      <c r="C243" s="710"/>
      <c r="D243" s="2211">
        <v>20000000</v>
      </c>
      <c r="E243" s="2263">
        <v>0.05</v>
      </c>
      <c r="F243" s="2211">
        <f>D243*E243</f>
        <v>1000000</v>
      </c>
      <c r="G243" s="2211">
        <v>1000000</v>
      </c>
      <c r="H243" s="2211" t="s">
        <v>4107</v>
      </c>
      <c r="I243" s="2211" t="s">
        <v>848</v>
      </c>
      <c r="J243" s="2211">
        <f t="shared" si="25"/>
        <v>1000000</v>
      </c>
      <c r="K243" s="2211">
        <f t="shared" si="24"/>
        <v>0</v>
      </c>
      <c r="L243" s="7732"/>
      <c r="M243" s="7733"/>
      <c r="N243" s="7733"/>
      <c r="O243" s="7733"/>
      <c r="P243" s="7734"/>
    </row>
    <row r="244" spans="1:16" ht="30" customHeight="1" x14ac:dyDescent="0.2">
      <c r="A244" s="2267">
        <v>170</v>
      </c>
      <c r="B244" s="2265" t="s">
        <v>30</v>
      </c>
      <c r="C244" s="2236" t="s">
        <v>1107</v>
      </c>
      <c r="D244" s="2211">
        <v>70000000</v>
      </c>
      <c r="E244" s="2263">
        <v>0.05</v>
      </c>
      <c r="F244" s="2211">
        <f t="shared" si="21"/>
        <v>3500000</v>
      </c>
      <c r="G244" s="2211">
        <v>3500000</v>
      </c>
      <c r="H244" s="2211" t="s">
        <v>4134</v>
      </c>
      <c r="I244" s="21" t="s">
        <v>4138</v>
      </c>
      <c r="J244" s="2211">
        <f t="shared" si="25"/>
        <v>3500000</v>
      </c>
      <c r="K244" s="2211">
        <f>F244-J244</f>
        <v>0</v>
      </c>
      <c r="L244" s="2265"/>
      <c r="M244" s="366"/>
      <c r="N244" s="366"/>
      <c r="O244" s="366"/>
      <c r="P244" s="366"/>
    </row>
    <row r="245" spans="1:16" ht="30" customHeight="1" x14ac:dyDescent="0.2">
      <c r="A245" s="2267">
        <v>171</v>
      </c>
      <c r="B245" s="2265" t="s">
        <v>31</v>
      </c>
      <c r="C245" s="2236" t="s">
        <v>1293</v>
      </c>
      <c r="D245" s="2211">
        <v>10000000</v>
      </c>
      <c r="E245" s="2263">
        <v>0.04</v>
      </c>
      <c r="F245" s="2211">
        <f>D245*E245</f>
        <v>400000</v>
      </c>
      <c r="G245" s="2211">
        <v>400000</v>
      </c>
      <c r="H245" s="2211" t="s">
        <v>3965</v>
      </c>
      <c r="I245" s="21" t="s">
        <v>670</v>
      </c>
      <c r="J245" s="2211">
        <f t="shared" si="25"/>
        <v>400000</v>
      </c>
      <c r="K245" s="2211">
        <f>F245-J245</f>
        <v>0</v>
      </c>
      <c r="L245" s="2290"/>
    </row>
    <row r="246" spans="1:16" ht="30" customHeight="1" x14ac:dyDescent="0.2">
      <c r="A246" s="2200">
        <v>172</v>
      </c>
      <c r="B246" s="2261" t="s">
        <v>32</v>
      </c>
      <c r="C246" s="378"/>
      <c r="D246" s="2211">
        <v>5000000</v>
      </c>
      <c r="E246" s="2263">
        <v>0.06</v>
      </c>
      <c r="F246" s="2211">
        <f t="shared" si="21"/>
        <v>300000</v>
      </c>
      <c r="G246" s="2211">
        <v>300000</v>
      </c>
      <c r="H246" s="2211" t="s">
        <v>4144</v>
      </c>
      <c r="I246" s="21" t="s">
        <v>632</v>
      </c>
      <c r="J246" s="2211">
        <f t="shared" si="25"/>
        <v>300000</v>
      </c>
      <c r="K246" s="2211">
        <f>F246-J246</f>
        <v>0</v>
      </c>
      <c r="L246" s="388" t="s">
        <v>3258</v>
      </c>
    </row>
    <row r="247" spans="1:16" ht="30" customHeight="1" x14ac:dyDescent="0.2">
      <c r="A247" s="2267">
        <v>173</v>
      </c>
      <c r="B247" s="2265" t="s">
        <v>33</v>
      </c>
      <c r="C247" s="2236"/>
      <c r="D247" s="2211">
        <v>40000000</v>
      </c>
      <c r="E247" s="2263">
        <v>0.05</v>
      </c>
      <c r="F247" s="2211">
        <f t="shared" si="21"/>
        <v>2000000</v>
      </c>
      <c r="G247" s="2211">
        <v>2000000</v>
      </c>
      <c r="H247" s="2211" t="s">
        <v>4134</v>
      </c>
      <c r="I247" s="21" t="s">
        <v>838</v>
      </c>
      <c r="J247" s="2211">
        <f>G247</f>
        <v>2000000</v>
      </c>
      <c r="K247" s="2211">
        <f>F247-J247</f>
        <v>0</v>
      </c>
      <c r="L247" s="2265"/>
    </row>
    <row r="248" spans="1:16" ht="30" customHeight="1" x14ac:dyDescent="0.2">
      <c r="A248" s="7879"/>
      <c r="B248" s="7717" t="s">
        <v>4266</v>
      </c>
      <c r="C248" s="7873" t="s">
        <v>1287</v>
      </c>
      <c r="D248" s="7482">
        <v>5000000000</v>
      </c>
      <c r="E248" s="7870">
        <v>0.08</v>
      </c>
      <c r="F248" s="7482">
        <f>D248*E248</f>
        <v>400000000</v>
      </c>
      <c r="G248" s="2211"/>
      <c r="H248" s="2211"/>
      <c r="I248" s="21"/>
      <c r="J248" s="7563"/>
      <c r="K248" s="7563"/>
      <c r="L248" s="388" t="s">
        <v>2888</v>
      </c>
    </row>
    <row r="249" spans="1:16" ht="30" customHeight="1" x14ac:dyDescent="0.2">
      <c r="A249" s="7879"/>
      <c r="B249" s="7717"/>
      <c r="C249" s="7873"/>
      <c r="D249" s="7482"/>
      <c r="E249" s="7870"/>
      <c r="F249" s="7482"/>
      <c r="G249" s="233"/>
      <c r="H249" s="233"/>
      <c r="I249" s="233"/>
      <c r="J249" s="7586"/>
      <c r="K249" s="7586"/>
      <c r="L249" s="1661" t="s">
        <v>2324</v>
      </c>
    </row>
    <row r="250" spans="1:16" ht="30" customHeight="1" x14ac:dyDescent="0.2">
      <c r="A250" s="7879"/>
      <c r="B250" s="7717"/>
      <c r="C250" s="7873"/>
      <c r="D250" s="7482"/>
      <c r="E250" s="7870"/>
      <c r="F250" s="7482"/>
      <c r="G250" s="233"/>
      <c r="H250" s="233"/>
      <c r="I250" s="233"/>
      <c r="J250" s="7586"/>
      <c r="K250" s="7586"/>
      <c r="L250" s="388" t="s">
        <v>2886</v>
      </c>
    </row>
    <row r="251" spans="1:16" ht="30" customHeight="1" x14ac:dyDescent="0.2">
      <c r="A251" s="7879"/>
      <c r="B251" s="7717"/>
      <c r="C251" s="7873"/>
      <c r="D251" s="7482"/>
      <c r="E251" s="7870"/>
      <c r="F251" s="7482"/>
      <c r="G251" s="233"/>
      <c r="H251" s="233"/>
      <c r="I251" s="233"/>
      <c r="J251" s="7586"/>
      <c r="K251" s="7586"/>
      <c r="L251" s="7652"/>
    </row>
    <row r="252" spans="1:16" ht="30" customHeight="1" x14ac:dyDescent="0.2">
      <c r="A252" s="7879"/>
      <c r="B252" s="7717"/>
      <c r="C252" s="7873"/>
      <c r="D252" s="7482"/>
      <c r="E252" s="7870"/>
      <c r="F252" s="7482"/>
      <c r="G252" s="233"/>
      <c r="H252" s="233"/>
      <c r="I252" s="233"/>
      <c r="J252" s="7564"/>
      <c r="K252" s="7564"/>
      <c r="L252" s="7653"/>
    </row>
    <row r="253" spans="1:16" ht="30" customHeight="1" x14ac:dyDescent="0.2">
      <c r="A253" s="7654">
        <v>175</v>
      </c>
      <c r="B253" s="7652" t="s">
        <v>36</v>
      </c>
      <c r="C253" s="7723" t="s">
        <v>1306</v>
      </c>
      <c r="D253" s="7563">
        <v>200000000</v>
      </c>
      <c r="E253" s="7659">
        <v>0.05</v>
      </c>
      <c r="F253" s="7563">
        <f t="shared" si="21"/>
        <v>10000000</v>
      </c>
      <c r="G253" s="2211">
        <v>10000000</v>
      </c>
      <c r="H253" s="2211" t="s">
        <v>4144</v>
      </c>
      <c r="I253" s="21" t="s">
        <v>3738</v>
      </c>
      <c r="J253" s="2211">
        <f t="shared" ref="J253:J261" si="26">G253</f>
        <v>10000000</v>
      </c>
      <c r="K253" s="2211">
        <f t="shared" ref="K253:K259" si="27">F253-J253</f>
        <v>0</v>
      </c>
      <c r="L253" s="388" t="s">
        <v>3778</v>
      </c>
    </row>
    <row r="254" spans="1:16" ht="30" customHeight="1" x14ac:dyDescent="0.2">
      <c r="A254" s="7655"/>
      <c r="B254" s="7653"/>
      <c r="C254" s="7724"/>
      <c r="D254" s="7564"/>
      <c r="E254" s="7660"/>
      <c r="F254" s="7564"/>
      <c r="G254" s="2496">
        <v>10000000</v>
      </c>
      <c r="H254" s="2496" t="s">
        <v>4128</v>
      </c>
      <c r="I254" s="21" t="s">
        <v>3738</v>
      </c>
      <c r="J254" s="2496">
        <f>G254</f>
        <v>10000000</v>
      </c>
      <c r="K254" s="2496">
        <f>F253-J254</f>
        <v>0</v>
      </c>
      <c r="L254" s="388" t="s">
        <v>4580</v>
      </c>
    </row>
    <row r="255" spans="1:16" ht="30" customHeight="1" x14ac:dyDescent="0.2">
      <c r="A255" s="2267">
        <v>176</v>
      </c>
      <c r="B255" s="2265" t="s">
        <v>37</v>
      </c>
      <c r="C255" s="2236" t="s">
        <v>1107</v>
      </c>
      <c r="D255" s="2211">
        <v>150000000</v>
      </c>
      <c r="E255" s="2263">
        <v>7.0000000000000007E-2</v>
      </c>
      <c r="F255" s="2211">
        <f t="shared" si="21"/>
        <v>10500000.000000002</v>
      </c>
      <c r="G255" s="2211">
        <v>10500000</v>
      </c>
      <c r="H255" s="2211" t="s">
        <v>4128</v>
      </c>
      <c r="I255" s="21" t="s">
        <v>3223</v>
      </c>
      <c r="J255" s="2211">
        <f t="shared" si="26"/>
        <v>10500000</v>
      </c>
      <c r="K255" s="2211">
        <f t="shared" si="27"/>
        <v>0</v>
      </c>
      <c r="L255" s="2265"/>
    </row>
    <row r="256" spans="1:16" ht="30" customHeight="1" x14ac:dyDescent="0.2">
      <c r="A256" s="2267">
        <v>177</v>
      </c>
      <c r="B256" s="2265" t="s">
        <v>38</v>
      </c>
      <c r="C256" s="2236" t="s">
        <v>1299</v>
      </c>
      <c r="D256" s="2211">
        <v>25000000</v>
      </c>
      <c r="E256" s="2263">
        <v>0.04</v>
      </c>
      <c r="F256" s="2211">
        <f t="shared" si="21"/>
        <v>1000000</v>
      </c>
      <c r="G256" s="2211">
        <v>1000000</v>
      </c>
      <c r="H256" s="2211" t="s">
        <v>4107</v>
      </c>
      <c r="I256" s="18" t="s">
        <v>746</v>
      </c>
      <c r="J256" s="2211">
        <f t="shared" si="26"/>
        <v>1000000</v>
      </c>
      <c r="K256" s="2211">
        <f t="shared" si="27"/>
        <v>0</v>
      </c>
      <c r="L256" s="2265"/>
    </row>
    <row r="257" spans="1:12" ht="30" customHeight="1" x14ac:dyDescent="0.2">
      <c r="A257" s="2267">
        <v>178</v>
      </c>
      <c r="B257" s="2265" t="s">
        <v>39</v>
      </c>
      <c r="C257" s="2236" t="s">
        <v>1299</v>
      </c>
      <c r="D257" s="2211">
        <v>90000000</v>
      </c>
      <c r="E257" s="2263">
        <v>4.4999999999999998E-2</v>
      </c>
      <c r="F257" s="2211">
        <v>4000000</v>
      </c>
      <c r="G257" s="2211">
        <v>4000000</v>
      </c>
      <c r="H257" s="2211" t="s">
        <v>4107</v>
      </c>
      <c r="I257" s="21" t="s">
        <v>2164</v>
      </c>
      <c r="J257" s="2211">
        <f t="shared" si="26"/>
        <v>4000000</v>
      </c>
      <c r="K257" s="2211">
        <f t="shared" si="27"/>
        <v>0</v>
      </c>
      <c r="L257" s="2265"/>
    </row>
    <row r="258" spans="1:12" ht="30" customHeight="1" x14ac:dyDescent="0.2">
      <c r="A258" s="2279">
        <v>179</v>
      </c>
      <c r="B258" s="2261" t="s">
        <v>40</v>
      </c>
      <c r="C258" s="2235"/>
      <c r="D258" s="2209">
        <v>320000000</v>
      </c>
      <c r="E258" s="2206">
        <v>0.05</v>
      </c>
      <c r="F258" s="2209">
        <f t="shared" si="21"/>
        <v>16000000</v>
      </c>
      <c r="G258" s="2211">
        <v>16000000</v>
      </c>
      <c r="H258" s="2211" t="s">
        <v>4107</v>
      </c>
      <c r="I258" s="21" t="s">
        <v>1090</v>
      </c>
      <c r="J258" s="2209">
        <f t="shared" si="26"/>
        <v>16000000</v>
      </c>
      <c r="K258" s="2209">
        <f t="shared" si="27"/>
        <v>0</v>
      </c>
      <c r="L258" s="2232"/>
    </row>
    <row r="259" spans="1:12" ht="30" customHeight="1" x14ac:dyDescent="0.2">
      <c r="A259" s="2200">
        <v>180</v>
      </c>
      <c r="B259" s="19" t="s">
        <v>41</v>
      </c>
      <c r="C259" s="48" t="s">
        <v>2403</v>
      </c>
      <c r="D259" s="2199">
        <v>300000000</v>
      </c>
      <c r="E259" s="2263">
        <v>5.7000000000000002E-2</v>
      </c>
      <c r="F259" s="2199">
        <v>17000000</v>
      </c>
      <c r="G259" s="2199">
        <v>17000000</v>
      </c>
      <c r="H259" s="2199" t="s">
        <v>4107</v>
      </c>
      <c r="I259" s="2260" t="s">
        <v>2260</v>
      </c>
      <c r="J259" s="2199">
        <f t="shared" si="26"/>
        <v>17000000</v>
      </c>
      <c r="K259" s="2199">
        <f t="shared" si="27"/>
        <v>0</v>
      </c>
      <c r="L259" s="2276"/>
    </row>
    <row r="260" spans="1:12" ht="30" customHeight="1" x14ac:dyDescent="0.2">
      <c r="A260" s="2267">
        <v>181</v>
      </c>
      <c r="B260" s="2204" t="s">
        <v>42</v>
      </c>
      <c r="C260" s="2236" t="s">
        <v>989</v>
      </c>
      <c r="D260" s="2211">
        <v>50000000</v>
      </c>
      <c r="E260" s="2208">
        <v>0.05</v>
      </c>
      <c r="F260" s="2211">
        <f t="shared" si="21"/>
        <v>2500000</v>
      </c>
      <c r="G260" s="2211">
        <v>2500000</v>
      </c>
      <c r="H260" s="2211" t="s">
        <v>4128</v>
      </c>
      <c r="I260" s="21" t="s">
        <v>1076</v>
      </c>
      <c r="J260" s="2211">
        <f t="shared" si="26"/>
        <v>2500000</v>
      </c>
      <c r="K260" s="2211">
        <f>F260-J260</f>
        <v>0</v>
      </c>
      <c r="L260" s="2204"/>
    </row>
    <row r="261" spans="1:12" ht="30" customHeight="1" x14ac:dyDescent="0.2">
      <c r="A261" s="7656"/>
      <c r="B261" s="7652" t="s">
        <v>43</v>
      </c>
      <c r="C261" s="7723" t="s">
        <v>989</v>
      </c>
      <c r="D261" s="7563">
        <v>125000000</v>
      </c>
      <c r="E261" s="7659">
        <v>0.05</v>
      </c>
      <c r="F261" s="7563">
        <f>D261*E261</f>
        <v>6250000</v>
      </c>
      <c r="G261" s="7563">
        <v>6250000</v>
      </c>
      <c r="H261" s="7563" t="s">
        <v>4060</v>
      </c>
      <c r="I261" s="7563" t="s">
        <v>3716</v>
      </c>
      <c r="J261" s="7563">
        <f t="shared" si="26"/>
        <v>6250000</v>
      </c>
      <c r="K261" s="7563">
        <f>F261-J261</f>
        <v>0</v>
      </c>
      <c r="L261" s="388" t="s">
        <v>2765</v>
      </c>
    </row>
    <row r="262" spans="1:12" ht="30" customHeight="1" x14ac:dyDescent="0.2">
      <c r="A262" s="7655"/>
      <c r="B262" s="7653"/>
      <c r="C262" s="7724"/>
      <c r="D262" s="7564"/>
      <c r="E262" s="7660"/>
      <c r="F262" s="7564"/>
      <c r="G262" s="7564"/>
      <c r="H262" s="7564"/>
      <c r="I262" s="7564"/>
      <c r="J262" s="7564"/>
      <c r="K262" s="7564"/>
      <c r="L262" s="388" t="s">
        <v>3167</v>
      </c>
    </row>
    <row r="263" spans="1:12" ht="30" customHeight="1" x14ac:dyDescent="0.2">
      <c r="A263" s="2267">
        <v>183</v>
      </c>
      <c r="B263" s="2265" t="s">
        <v>4148</v>
      </c>
      <c r="C263" s="2236" t="s">
        <v>1100</v>
      </c>
      <c r="D263" s="2211">
        <v>100000000</v>
      </c>
      <c r="E263" s="2263">
        <v>0.05</v>
      </c>
      <c r="F263" s="2211">
        <f t="shared" si="21"/>
        <v>5000000</v>
      </c>
      <c r="G263" s="2211">
        <v>5000000</v>
      </c>
      <c r="H263" s="2211" t="s">
        <v>4144</v>
      </c>
      <c r="I263" s="21" t="s">
        <v>4149</v>
      </c>
      <c r="J263" s="2211">
        <f>G263</f>
        <v>5000000</v>
      </c>
      <c r="K263" s="2211">
        <f t="shared" ref="K263:K269" si="28">F263-J263</f>
        <v>0</v>
      </c>
      <c r="L263" s="2013"/>
    </row>
    <row r="264" spans="1:12" ht="30" customHeight="1" x14ac:dyDescent="0.2">
      <c r="A264" s="2267">
        <v>184</v>
      </c>
      <c r="B264" s="2265" t="s">
        <v>45</v>
      </c>
      <c r="C264" s="2236" t="s">
        <v>989</v>
      </c>
      <c r="D264" s="2211">
        <v>20000000</v>
      </c>
      <c r="E264" s="2263">
        <v>0.05</v>
      </c>
      <c r="F264" s="2211">
        <f t="shared" si="21"/>
        <v>1000000</v>
      </c>
      <c r="G264" s="2211">
        <v>1000000</v>
      </c>
      <c r="H264" s="2211" t="s">
        <v>4144</v>
      </c>
      <c r="I264" s="21" t="s">
        <v>1094</v>
      </c>
      <c r="J264" s="2211">
        <f>G264</f>
        <v>1000000</v>
      </c>
      <c r="K264" s="2211">
        <f t="shared" si="28"/>
        <v>0</v>
      </c>
      <c r="L264" s="2265"/>
    </row>
    <row r="265" spans="1:12" ht="30" customHeight="1" x14ac:dyDescent="0.2">
      <c r="A265" s="2267">
        <v>185</v>
      </c>
      <c r="B265" s="2265" t="s">
        <v>46</v>
      </c>
      <c r="C265" s="2236" t="s">
        <v>990</v>
      </c>
      <c r="D265" s="2211">
        <v>70000000</v>
      </c>
      <c r="E265" s="2263">
        <v>0.05</v>
      </c>
      <c r="F265" s="2211">
        <f t="shared" si="21"/>
        <v>3500000</v>
      </c>
      <c r="G265" s="2211"/>
      <c r="H265" s="2211"/>
      <c r="I265" s="21"/>
      <c r="J265" s="2211">
        <f>G265</f>
        <v>0</v>
      </c>
      <c r="K265" s="2211">
        <f t="shared" si="28"/>
        <v>3500000</v>
      </c>
      <c r="L265" s="180" t="s">
        <v>3744</v>
      </c>
    </row>
    <row r="266" spans="1:12" ht="30" customHeight="1" x14ac:dyDescent="0.2">
      <c r="A266" s="2267">
        <v>186</v>
      </c>
      <c r="B266" s="2265" t="s">
        <v>47</v>
      </c>
      <c r="C266" s="2236"/>
      <c r="D266" s="2211">
        <v>8000000</v>
      </c>
      <c r="E266" s="2263">
        <v>0.04</v>
      </c>
      <c r="F266" s="2211">
        <f t="shared" si="21"/>
        <v>320000</v>
      </c>
      <c r="G266" s="2211">
        <v>320000</v>
      </c>
      <c r="H266" s="2211" t="s">
        <v>4134</v>
      </c>
      <c r="I266" s="21" t="s">
        <v>836</v>
      </c>
      <c r="J266" s="2211">
        <f>G266</f>
        <v>320000</v>
      </c>
      <c r="K266" s="2211">
        <f t="shared" si="28"/>
        <v>0</v>
      </c>
      <c r="L266" s="2265"/>
    </row>
    <row r="267" spans="1:12" ht="30" customHeight="1" x14ac:dyDescent="0.2">
      <c r="A267" s="2200">
        <v>187</v>
      </c>
      <c r="B267" s="2265" t="s">
        <v>2470</v>
      </c>
      <c r="C267" s="2264" t="s">
        <v>1138</v>
      </c>
      <c r="D267" s="2199">
        <v>200000000</v>
      </c>
      <c r="E267" s="2263">
        <v>0.05</v>
      </c>
      <c r="F267" s="2199">
        <f t="shared" si="21"/>
        <v>10000000</v>
      </c>
      <c r="G267" s="2211"/>
      <c r="H267" s="2211"/>
      <c r="I267" s="21"/>
      <c r="J267" s="2211"/>
      <c r="K267" s="2211">
        <f t="shared" si="28"/>
        <v>10000000</v>
      </c>
      <c r="L267" s="2290"/>
    </row>
    <row r="268" spans="1:12" ht="30" customHeight="1" x14ac:dyDescent="0.2">
      <c r="A268" s="2267">
        <v>188</v>
      </c>
      <c r="B268" s="2204" t="s">
        <v>49</v>
      </c>
      <c r="C268" s="2236"/>
      <c r="D268" s="2211">
        <v>200000000</v>
      </c>
      <c r="E268" s="2208">
        <v>0.05</v>
      </c>
      <c r="F268" s="2211">
        <f t="shared" si="21"/>
        <v>10000000</v>
      </c>
      <c r="G268" s="2211">
        <v>10000000</v>
      </c>
      <c r="H268" s="2211" t="s">
        <v>4134</v>
      </c>
      <c r="I268" s="21" t="s">
        <v>1810</v>
      </c>
      <c r="J268" s="2211">
        <f>G268</f>
        <v>10000000</v>
      </c>
      <c r="K268" s="2211">
        <f t="shared" si="28"/>
        <v>0</v>
      </c>
      <c r="L268" s="2265"/>
    </row>
    <row r="269" spans="1:12" ht="30" customHeight="1" x14ac:dyDescent="0.2">
      <c r="A269" s="2267">
        <v>189</v>
      </c>
      <c r="B269" s="2265" t="s">
        <v>50</v>
      </c>
      <c r="C269" s="2236" t="s">
        <v>681</v>
      </c>
      <c r="D269" s="2211">
        <v>15000000</v>
      </c>
      <c r="E269" s="2263">
        <v>0.05</v>
      </c>
      <c r="F269" s="2211">
        <f t="shared" si="21"/>
        <v>750000</v>
      </c>
      <c r="G269" s="2211">
        <v>750000</v>
      </c>
      <c r="H269" s="2211" t="s">
        <v>4107</v>
      </c>
      <c r="I269" s="21" t="s">
        <v>834</v>
      </c>
      <c r="J269" s="2211">
        <f>G269</f>
        <v>750000</v>
      </c>
      <c r="K269" s="2211">
        <f t="shared" si="28"/>
        <v>0</v>
      </c>
      <c r="L269" s="2265"/>
    </row>
    <row r="270" spans="1:12" ht="30" customHeight="1" x14ac:dyDescent="0.2">
      <c r="A270" s="7654">
        <v>190</v>
      </c>
      <c r="B270" s="7652" t="s">
        <v>51</v>
      </c>
      <c r="C270" s="2236" t="s">
        <v>1100</v>
      </c>
      <c r="D270" s="2211">
        <v>80000000</v>
      </c>
      <c r="E270" s="2263">
        <v>0.05</v>
      </c>
      <c r="F270" s="2211">
        <f t="shared" si="21"/>
        <v>4000000</v>
      </c>
      <c r="G270" s="7563">
        <v>14000000</v>
      </c>
      <c r="H270" s="7563" t="s">
        <v>4144</v>
      </c>
      <c r="I270" s="7561" t="s">
        <v>2967</v>
      </c>
      <c r="J270" s="7563">
        <f>G270</f>
        <v>14000000</v>
      </c>
      <c r="K270" s="7563">
        <f>(F270+F271)-J270</f>
        <v>0</v>
      </c>
      <c r="L270" s="7703"/>
    </row>
    <row r="271" spans="1:12" ht="30" customHeight="1" x14ac:dyDescent="0.2">
      <c r="A271" s="7656"/>
      <c r="B271" s="7665"/>
      <c r="C271" s="2236" t="s">
        <v>1100</v>
      </c>
      <c r="D271" s="2211">
        <v>200000000</v>
      </c>
      <c r="E271" s="2263">
        <v>0.05</v>
      </c>
      <c r="F271" s="2211">
        <f t="shared" si="21"/>
        <v>10000000</v>
      </c>
      <c r="G271" s="7564"/>
      <c r="H271" s="7564"/>
      <c r="I271" s="7562"/>
      <c r="J271" s="7564"/>
      <c r="K271" s="7564"/>
      <c r="L271" s="7705"/>
    </row>
    <row r="272" spans="1:12" ht="30" customHeight="1" x14ac:dyDescent="0.2">
      <c r="A272" s="7655"/>
      <c r="B272" s="7653"/>
      <c r="C272" s="2237" t="s">
        <v>262</v>
      </c>
      <c r="D272" s="2210">
        <v>220000000</v>
      </c>
      <c r="E272" s="2206">
        <v>0.05</v>
      </c>
      <c r="F272" s="2210">
        <f t="shared" si="21"/>
        <v>11000000</v>
      </c>
      <c r="G272" s="2211">
        <v>11000000</v>
      </c>
      <c r="H272" s="2211" t="s">
        <v>4043</v>
      </c>
      <c r="I272" s="21" t="s">
        <v>2967</v>
      </c>
      <c r="J272" s="2210">
        <f>G272</f>
        <v>11000000</v>
      </c>
      <c r="K272" s="2210">
        <f>F272-J272</f>
        <v>0</v>
      </c>
      <c r="L272" s="2256"/>
    </row>
    <row r="273" spans="1:16" ht="30" customHeight="1" x14ac:dyDescent="0.2">
      <c r="A273" s="7654">
        <v>191</v>
      </c>
      <c r="B273" s="7652" t="s">
        <v>52</v>
      </c>
      <c r="C273" s="7723" t="s">
        <v>262</v>
      </c>
      <c r="D273" s="7563">
        <v>700000000</v>
      </c>
      <c r="E273" s="7659">
        <v>7.6999999999999999E-2</v>
      </c>
      <c r="F273" s="7563">
        <v>54000000</v>
      </c>
      <c r="G273" s="2211">
        <v>34000000</v>
      </c>
      <c r="H273" s="2211" t="s">
        <v>4043</v>
      </c>
      <c r="I273" s="21" t="s">
        <v>678</v>
      </c>
      <c r="J273" s="7563">
        <f>G273+G274</f>
        <v>54000000</v>
      </c>
      <c r="K273" s="7563">
        <f>F273-J273</f>
        <v>0</v>
      </c>
      <c r="L273" s="2254"/>
    </row>
    <row r="274" spans="1:16" ht="30" customHeight="1" x14ac:dyDescent="0.2">
      <c r="A274" s="7655"/>
      <c r="B274" s="7653"/>
      <c r="C274" s="7724"/>
      <c r="D274" s="7564"/>
      <c r="E274" s="7660"/>
      <c r="F274" s="7564"/>
      <c r="G274" s="2211">
        <v>20000000</v>
      </c>
      <c r="H274" s="2211" t="s">
        <v>4060</v>
      </c>
      <c r="I274" s="21" t="s">
        <v>678</v>
      </c>
      <c r="J274" s="7564"/>
      <c r="K274" s="7564"/>
      <c r="L274" s="2259"/>
    </row>
    <row r="275" spans="1:16" ht="30" customHeight="1" x14ac:dyDescent="0.2">
      <c r="A275" s="7654">
        <v>192</v>
      </c>
      <c r="B275" s="7652" t="s">
        <v>53</v>
      </c>
      <c r="C275" s="7723" t="s">
        <v>1287</v>
      </c>
      <c r="D275" s="7563">
        <v>1400000000</v>
      </c>
      <c r="E275" s="7659">
        <v>7.0000000000000007E-2</v>
      </c>
      <c r="F275" s="7563">
        <f>D275*E275</f>
        <v>98000000.000000015</v>
      </c>
      <c r="G275" s="2199">
        <v>82000000</v>
      </c>
      <c r="H275" s="2199" t="s">
        <v>4074</v>
      </c>
      <c r="I275" s="2199" t="s">
        <v>861</v>
      </c>
      <c r="J275" s="7563">
        <f>G276+G275</f>
        <v>82000000</v>
      </c>
      <c r="K275" s="7563">
        <f>38000000-J275</f>
        <v>-44000000</v>
      </c>
      <c r="L275" s="180" t="s">
        <v>4097</v>
      </c>
    </row>
    <row r="276" spans="1:16" ht="30" customHeight="1" x14ac:dyDescent="0.2">
      <c r="A276" s="7656"/>
      <c r="B276" s="7665"/>
      <c r="C276" s="7747"/>
      <c r="D276" s="7586"/>
      <c r="E276" s="7676"/>
      <c r="F276" s="7586"/>
      <c r="G276" s="2199"/>
      <c r="H276" s="2199"/>
      <c r="I276" s="2199" t="s">
        <v>861</v>
      </c>
      <c r="J276" s="7564"/>
      <c r="K276" s="7564"/>
      <c r="L276" s="180" t="s">
        <v>1992</v>
      </c>
    </row>
    <row r="277" spans="1:16" ht="30" customHeight="1" x14ac:dyDescent="0.2">
      <c r="A277" s="7656"/>
      <c r="B277" s="7665"/>
      <c r="C277" s="7747"/>
      <c r="D277" s="7586"/>
      <c r="E277" s="7676"/>
      <c r="F277" s="7586"/>
      <c r="G277" s="233"/>
      <c r="H277" s="233"/>
      <c r="I277" s="233"/>
      <c r="J277" s="2211"/>
      <c r="K277" s="2211"/>
      <c r="L277" s="180" t="s">
        <v>2287</v>
      </c>
    </row>
    <row r="278" spans="1:16" ht="30" customHeight="1" x14ac:dyDescent="0.2">
      <c r="A278" s="7656"/>
      <c r="B278" s="7665"/>
      <c r="C278" s="7747"/>
      <c r="D278" s="7586"/>
      <c r="E278" s="7676"/>
      <c r="F278" s="7586"/>
      <c r="G278" s="233"/>
      <c r="H278" s="233"/>
      <c r="I278" s="233"/>
      <c r="J278" s="2211"/>
      <c r="K278" s="2211"/>
      <c r="L278" s="180" t="s">
        <v>2915</v>
      </c>
    </row>
    <row r="279" spans="1:16" ht="30" customHeight="1" x14ac:dyDescent="0.2">
      <c r="A279" s="7656"/>
      <c r="B279" s="7665"/>
      <c r="C279" s="7747"/>
      <c r="D279" s="7586"/>
      <c r="E279" s="7676"/>
      <c r="F279" s="7586"/>
      <c r="G279" s="2199"/>
      <c r="H279" s="2199"/>
      <c r="I279" s="2199"/>
      <c r="J279" s="2211"/>
      <c r="K279" s="2211"/>
      <c r="L279" s="180" t="s">
        <v>2914</v>
      </c>
    </row>
    <row r="280" spans="1:16" ht="30" customHeight="1" x14ac:dyDescent="0.2">
      <c r="A280" s="7655"/>
      <c r="B280" s="7653"/>
      <c r="C280" s="7724"/>
      <c r="D280" s="7564"/>
      <c r="E280" s="7660"/>
      <c r="F280" s="7564"/>
      <c r="G280" s="2199"/>
      <c r="H280" s="2199"/>
      <c r="I280" s="2199"/>
      <c r="J280" s="2211"/>
      <c r="K280" s="2211"/>
      <c r="L280" s="180" t="s">
        <v>2913</v>
      </c>
    </row>
    <row r="281" spans="1:16" ht="30" customHeight="1" x14ac:dyDescent="0.2">
      <c r="A281" s="2267">
        <v>193</v>
      </c>
      <c r="B281" s="2265" t="s">
        <v>54</v>
      </c>
      <c r="C281" s="2236" t="s">
        <v>1306</v>
      </c>
      <c r="D281" s="2211">
        <v>45000000</v>
      </c>
      <c r="E281" s="2263">
        <v>0.04</v>
      </c>
      <c r="F281" s="2211">
        <f t="shared" ref="F281:F366" si="29">D281*E281</f>
        <v>1800000</v>
      </c>
      <c r="G281" s="2211">
        <v>1800000</v>
      </c>
      <c r="H281" s="2211" t="s">
        <v>4134</v>
      </c>
      <c r="I281" s="2199" t="s">
        <v>4136</v>
      </c>
      <c r="J281" s="2211">
        <f t="shared" ref="J281:J296" si="30">G281</f>
        <v>1800000</v>
      </c>
      <c r="K281" s="2211">
        <f t="shared" ref="K281:K295" si="31">F281-J281</f>
        <v>0</v>
      </c>
      <c r="L281" s="2265"/>
    </row>
    <row r="282" spans="1:16" ht="30" customHeight="1" x14ac:dyDescent="0.2">
      <c r="A282" s="2200">
        <v>194</v>
      </c>
      <c r="B282" s="19" t="s">
        <v>55</v>
      </c>
      <c r="C282" s="378"/>
      <c r="D282" s="2227"/>
      <c r="E282" s="1025"/>
      <c r="F282" s="2227">
        <f t="shared" si="29"/>
        <v>0</v>
      </c>
      <c r="G282" s="2199">
        <v>6500000</v>
      </c>
      <c r="H282" s="2199" t="s">
        <v>4188</v>
      </c>
      <c r="I282" s="2260" t="s">
        <v>3184</v>
      </c>
      <c r="J282" s="2199">
        <f t="shared" si="30"/>
        <v>6500000</v>
      </c>
      <c r="K282" s="2227">
        <f t="shared" si="31"/>
        <v>-6500000</v>
      </c>
      <c r="L282" s="2232"/>
    </row>
    <row r="283" spans="1:16" ht="30" customHeight="1" x14ac:dyDescent="0.2">
      <c r="A283" s="2267">
        <v>195</v>
      </c>
      <c r="B283" s="2204" t="s">
        <v>56</v>
      </c>
      <c r="C283" s="2236" t="s">
        <v>990</v>
      </c>
      <c r="D283" s="2211">
        <v>10000000</v>
      </c>
      <c r="E283" s="2208">
        <v>0.05</v>
      </c>
      <c r="F283" s="2211">
        <f t="shared" si="29"/>
        <v>500000</v>
      </c>
      <c r="G283" s="2211">
        <v>500000</v>
      </c>
      <c r="H283" s="2211" t="s">
        <v>4188</v>
      </c>
      <c r="I283" s="21" t="s">
        <v>1121</v>
      </c>
      <c r="J283" s="2211">
        <f t="shared" si="30"/>
        <v>500000</v>
      </c>
      <c r="K283" s="2211">
        <f t="shared" si="31"/>
        <v>0</v>
      </c>
      <c r="L283" s="2265"/>
    </row>
    <row r="284" spans="1:16" ht="30" customHeight="1" x14ac:dyDescent="0.2">
      <c r="A284" s="7654">
        <v>196</v>
      </c>
      <c r="B284" s="7652" t="s">
        <v>57</v>
      </c>
      <c r="C284" s="7723" t="s">
        <v>1107</v>
      </c>
      <c r="D284" s="2211">
        <v>20000000</v>
      </c>
      <c r="E284" s="2263">
        <v>0.04</v>
      </c>
      <c r="F284" s="2211">
        <f t="shared" si="29"/>
        <v>800000</v>
      </c>
      <c r="G284" s="7563">
        <v>2300000</v>
      </c>
      <c r="H284" s="7563" t="s">
        <v>4144</v>
      </c>
      <c r="I284" s="7561" t="s">
        <v>3761</v>
      </c>
      <c r="J284" s="7563">
        <f t="shared" si="30"/>
        <v>2300000</v>
      </c>
      <c r="K284" s="7563">
        <f>(F284+F285)-J284</f>
        <v>0</v>
      </c>
      <c r="L284" s="8072" t="s">
        <v>3763</v>
      </c>
    </row>
    <row r="285" spans="1:16" ht="30" customHeight="1" x14ac:dyDescent="0.2">
      <c r="A285" s="7656"/>
      <c r="B285" s="7665"/>
      <c r="C285" s="7724"/>
      <c r="D285" s="2211">
        <v>30000000</v>
      </c>
      <c r="E285" s="2263">
        <v>0.05</v>
      </c>
      <c r="F285" s="2211">
        <f t="shared" si="29"/>
        <v>1500000</v>
      </c>
      <c r="G285" s="7564"/>
      <c r="H285" s="7564"/>
      <c r="I285" s="7562"/>
      <c r="J285" s="7564"/>
      <c r="K285" s="7564"/>
      <c r="L285" s="8072"/>
    </row>
    <row r="286" spans="1:16" ht="30" customHeight="1" x14ac:dyDescent="0.2">
      <c r="A286" s="7654">
        <v>197</v>
      </c>
      <c r="B286" s="7652" t="s">
        <v>4151</v>
      </c>
      <c r="C286" s="7723" t="s">
        <v>1134</v>
      </c>
      <c r="D286" s="2211">
        <v>150000000</v>
      </c>
      <c r="E286" s="2263">
        <v>0.04</v>
      </c>
      <c r="F286" s="2211">
        <f t="shared" si="29"/>
        <v>6000000</v>
      </c>
      <c r="G286" s="2468">
        <v>6000000</v>
      </c>
      <c r="H286" s="2468" t="s">
        <v>3993</v>
      </c>
      <c r="I286" s="2469" t="s">
        <v>2321</v>
      </c>
      <c r="J286" s="2468">
        <f t="shared" si="30"/>
        <v>6000000</v>
      </c>
      <c r="K286" s="2468">
        <f t="shared" si="31"/>
        <v>0</v>
      </c>
      <c r="L286" s="180" t="s">
        <v>4012</v>
      </c>
      <c r="M286" s="366"/>
      <c r="N286" s="366"/>
      <c r="O286" s="366"/>
      <c r="P286" s="366"/>
    </row>
    <row r="287" spans="1:16" ht="30" customHeight="1" x14ac:dyDescent="0.2">
      <c r="A287" s="7655"/>
      <c r="B287" s="7653"/>
      <c r="C287" s="7724"/>
      <c r="D287" s="2211">
        <v>100000000</v>
      </c>
      <c r="E287" s="2263">
        <v>0.05</v>
      </c>
      <c r="F287" s="2211">
        <f t="shared" si="29"/>
        <v>5000000</v>
      </c>
      <c r="G287" s="2211">
        <v>5000000</v>
      </c>
      <c r="H287" s="2211" t="s">
        <v>4144</v>
      </c>
      <c r="I287" s="2199" t="s">
        <v>4152</v>
      </c>
      <c r="J287" s="2211">
        <f>G287</f>
        <v>5000000</v>
      </c>
      <c r="K287" s="2211">
        <f t="shared" si="31"/>
        <v>0</v>
      </c>
      <c r="L287" s="180"/>
      <c r="M287" s="366"/>
      <c r="N287" s="366"/>
      <c r="O287" s="366"/>
      <c r="P287" s="366"/>
    </row>
    <row r="288" spans="1:16" ht="30" customHeight="1" x14ac:dyDescent="0.2">
      <c r="A288" s="2267">
        <v>198</v>
      </c>
      <c r="B288" s="2265" t="s">
        <v>59</v>
      </c>
      <c r="C288" s="2236" t="s">
        <v>1134</v>
      </c>
      <c r="D288" s="2211">
        <v>30000000</v>
      </c>
      <c r="E288" s="2263">
        <v>8.5000000000000006E-2</v>
      </c>
      <c r="F288" s="2211">
        <v>2500000</v>
      </c>
      <c r="G288" s="2211">
        <v>2500000</v>
      </c>
      <c r="H288" s="2211" t="s">
        <v>4134</v>
      </c>
      <c r="I288" s="2199" t="s">
        <v>4137</v>
      </c>
      <c r="J288" s="2211">
        <f t="shared" si="30"/>
        <v>2500000</v>
      </c>
      <c r="K288" s="2211">
        <f t="shared" si="31"/>
        <v>0</v>
      </c>
      <c r="L288" s="2265"/>
      <c r="M288" s="366"/>
      <c r="N288" s="366"/>
      <c r="O288" s="366"/>
      <c r="P288" s="366"/>
    </row>
    <row r="289" spans="1:16" ht="30" customHeight="1" x14ac:dyDescent="0.2">
      <c r="A289" s="2267">
        <v>199</v>
      </c>
      <c r="B289" s="2265" t="s">
        <v>60</v>
      </c>
      <c r="C289" s="2236" t="s">
        <v>1100</v>
      </c>
      <c r="D289" s="2211">
        <v>50000000</v>
      </c>
      <c r="E289" s="2263">
        <v>0.05</v>
      </c>
      <c r="F289" s="2211">
        <f t="shared" si="29"/>
        <v>2500000</v>
      </c>
      <c r="G289" s="2211">
        <v>2500000</v>
      </c>
      <c r="H289" s="2211" t="s">
        <v>4144</v>
      </c>
      <c r="I289" s="2199" t="s">
        <v>1137</v>
      </c>
      <c r="J289" s="2211">
        <f t="shared" si="30"/>
        <v>2500000</v>
      </c>
      <c r="K289" s="2211">
        <f t="shared" si="31"/>
        <v>0</v>
      </c>
      <c r="L289" s="2265"/>
      <c r="M289" s="366"/>
      <c r="N289" s="366"/>
      <c r="O289" s="366"/>
      <c r="P289" s="366"/>
    </row>
    <row r="290" spans="1:16" ht="30" customHeight="1" x14ac:dyDescent="0.2">
      <c r="A290" s="2267">
        <v>200</v>
      </c>
      <c r="B290" s="2265" t="s">
        <v>61</v>
      </c>
      <c r="C290" s="2236" t="s">
        <v>1081</v>
      </c>
      <c r="D290" s="2211">
        <v>350000000</v>
      </c>
      <c r="E290" s="2263">
        <v>7.0000000000000007E-2</v>
      </c>
      <c r="F290" s="2211">
        <f t="shared" si="29"/>
        <v>24500000.000000004</v>
      </c>
      <c r="G290" s="2211">
        <v>24500000</v>
      </c>
      <c r="H290" s="2211" t="s">
        <v>4188</v>
      </c>
      <c r="I290" s="21" t="s">
        <v>1574</v>
      </c>
      <c r="J290" s="2211">
        <f>G290</f>
        <v>24500000</v>
      </c>
      <c r="K290" s="2211">
        <f t="shared" si="31"/>
        <v>0</v>
      </c>
      <c r="L290" s="2265"/>
      <c r="M290" s="366"/>
      <c r="N290" s="366"/>
      <c r="O290" s="366"/>
      <c r="P290" s="366"/>
    </row>
    <row r="291" spans="1:16" ht="30" customHeight="1" x14ac:dyDescent="0.2">
      <c r="A291" s="2267">
        <v>201</v>
      </c>
      <c r="B291" s="2265" t="s">
        <v>62</v>
      </c>
      <c r="C291" s="2236"/>
      <c r="D291" s="2211">
        <v>60000000</v>
      </c>
      <c r="E291" s="2263">
        <v>6.5000000000000002E-2</v>
      </c>
      <c r="F291" s="2211">
        <v>4500000</v>
      </c>
      <c r="G291" s="2211">
        <v>4500000</v>
      </c>
      <c r="H291" s="2211" t="s">
        <v>4188</v>
      </c>
      <c r="I291" s="2272" t="s">
        <v>3900</v>
      </c>
      <c r="J291" s="2211">
        <f t="shared" si="30"/>
        <v>4500000</v>
      </c>
      <c r="K291" s="2211">
        <f t="shared" si="31"/>
        <v>0</v>
      </c>
      <c r="L291" s="2265"/>
      <c r="M291" s="366"/>
      <c r="N291" s="366"/>
      <c r="O291" s="366"/>
      <c r="P291" s="366"/>
    </row>
    <row r="292" spans="1:16" ht="30" customHeight="1" x14ac:dyDescent="0.2">
      <c r="A292" s="2268">
        <v>202</v>
      </c>
      <c r="B292" s="2265" t="s">
        <v>63</v>
      </c>
      <c r="C292" s="2264" t="s">
        <v>1081</v>
      </c>
      <c r="D292" s="2199">
        <v>100000000</v>
      </c>
      <c r="E292" s="2263">
        <v>4.4999999999999998E-2</v>
      </c>
      <c r="F292" s="2199">
        <f t="shared" si="29"/>
        <v>4500000</v>
      </c>
      <c r="G292" s="2199">
        <v>4500000</v>
      </c>
      <c r="H292" s="2211" t="s">
        <v>4188</v>
      </c>
      <c r="I292" s="21" t="s">
        <v>3889</v>
      </c>
      <c r="J292" s="2211">
        <f t="shared" si="30"/>
        <v>4500000</v>
      </c>
      <c r="K292" s="2211">
        <f t="shared" si="31"/>
        <v>0</v>
      </c>
      <c r="L292" s="2290"/>
      <c r="M292" s="366"/>
      <c r="N292" s="366"/>
      <c r="O292" s="366"/>
      <c r="P292" s="366"/>
    </row>
    <row r="293" spans="1:16" ht="30" customHeight="1" x14ac:dyDescent="0.2">
      <c r="A293" s="2267">
        <v>203</v>
      </c>
      <c r="B293" s="2204" t="s">
        <v>1244</v>
      </c>
      <c r="C293" s="2236" t="s">
        <v>1081</v>
      </c>
      <c r="D293" s="2211">
        <v>60000000</v>
      </c>
      <c r="E293" s="2208">
        <v>0.05</v>
      </c>
      <c r="F293" s="2211">
        <f t="shared" si="29"/>
        <v>3000000</v>
      </c>
      <c r="G293" s="2211">
        <v>3000000</v>
      </c>
      <c r="H293" s="2211" t="s">
        <v>4188</v>
      </c>
      <c r="I293" s="21" t="s">
        <v>1693</v>
      </c>
      <c r="J293" s="2211">
        <f t="shared" si="30"/>
        <v>3000000</v>
      </c>
      <c r="K293" s="2211">
        <f t="shared" si="31"/>
        <v>0</v>
      </c>
      <c r="L293" s="2265"/>
    </row>
    <row r="294" spans="1:16" ht="30" customHeight="1" x14ac:dyDescent="0.2">
      <c r="A294" s="2267">
        <v>205</v>
      </c>
      <c r="B294" s="2265" t="s">
        <v>65</v>
      </c>
      <c r="C294" s="2236" t="s">
        <v>3245</v>
      </c>
      <c r="D294" s="2211">
        <v>15000000</v>
      </c>
      <c r="E294" s="2263">
        <v>0.04</v>
      </c>
      <c r="F294" s="2211">
        <f t="shared" si="29"/>
        <v>600000</v>
      </c>
      <c r="G294" s="2211">
        <v>600000</v>
      </c>
      <c r="H294" s="2211" t="s">
        <v>4134</v>
      </c>
      <c r="I294" s="21" t="s">
        <v>3244</v>
      </c>
      <c r="J294" s="2211">
        <f t="shared" si="30"/>
        <v>600000</v>
      </c>
      <c r="K294" s="2211">
        <f t="shared" si="31"/>
        <v>0</v>
      </c>
      <c r="L294" s="2265"/>
    </row>
    <row r="295" spans="1:16" ht="30" customHeight="1" x14ac:dyDescent="0.2">
      <c r="A295" s="2267">
        <v>206</v>
      </c>
      <c r="B295" s="2265" t="s">
        <v>2401</v>
      </c>
      <c r="C295" s="2236" t="s">
        <v>990</v>
      </c>
      <c r="D295" s="2211">
        <v>150000000</v>
      </c>
      <c r="E295" s="2263">
        <v>0.05</v>
      </c>
      <c r="F295" s="2211">
        <f t="shared" si="29"/>
        <v>7500000</v>
      </c>
      <c r="G295" s="2211">
        <v>7500000</v>
      </c>
      <c r="H295" s="2238" t="s">
        <v>4144</v>
      </c>
      <c r="I295" s="65" t="s">
        <v>3775</v>
      </c>
      <c r="J295" s="2211">
        <f t="shared" si="30"/>
        <v>7500000</v>
      </c>
      <c r="K295" s="2211">
        <f t="shared" si="31"/>
        <v>0</v>
      </c>
      <c r="L295" s="2013" t="s">
        <v>1326</v>
      </c>
    </row>
    <row r="296" spans="1:16" ht="30" customHeight="1" x14ac:dyDescent="0.2">
      <c r="A296" s="7654">
        <v>207</v>
      </c>
      <c r="B296" s="7717" t="s">
        <v>2676</v>
      </c>
      <c r="C296" s="7873" t="s">
        <v>681</v>
      </c>
      <c r="D296" s="2211">
        <v>45000000</v>
      </c>
      <c r="E296" s="2263">
        <v>0.04</v>
      </c>
      <c r="F296" s="2211">
        <f t="shared" si="29"/>
        <v>1800000</v>
      </c>
      <c r="G296" s="7563">
        <v>3800000</v>
      </c>
      <c r="H296" s="7563" t="s">
        <v>4134</v>
      </c>
      <c r="I296" s="7561" t="s">
        <v>3739</v>
      </c>
      <c r="J296" s="7563">
        <f t="shared" si="30"/>
        <v>3800000</v>
      </c>
      <c r="K296" s="7563">
        <f>(F296+F297)-J296</f>
        <v>0</v>
      </c>
      <c r="L296" s="7713"/>
    </row>
    <row r="297" spans="1:16" ht="30" customHeight="1" x14ac:dyDescent="0.2">
      <c r="A297" s="7656"/>
      <c r="B297" s="7717"/>
      <c r="C297" s="7873"/>
      <c r="D297" s="2211">
        <v>50000000</v>
      </c>
      <c r="E297" s="2263">
        <v>0.04</v>
      </c>
      <c r="F297" s="2211">
        <f t="shared" si="29"/>
        <v>2000000</v>
      </c>
      <c r="G297" s="7564"/>
      <c r="H297" s="7564"/>
      <c r="I297" s="7562"/>
      <c r="J297" s="7564"/>
      <c r="K297" s="7564"/>
      <c r="L297" s="7714"/>
    </row>
    <row r="298" spans="1:16" ht="30" customHeight="1" x14ac:dyDescent="0.2">
      <c r="A298" s="2200">
        <v>208</v>
      </c>
      <c r="B298" s="19" t="s">
        <v>69</v>
      </c>
      <c r="C298" s="378" t="s">
        <v>1100</v>
      </c>
      <c r="D298" s="2199">
        <v>15000000</v>
      </c>
      <c r="E298" s="2263">
        <v>0.04</v>
      </c>
      <c r="F298" s="2199">
        <f t="shared" si="29"/>
        <v>600000</v>
      </c>
      <c r="G298" s="2199">
        <v>600000</v>
      </c>
      <c r="H298" s="2199" t="s">
        <v>4188</v>
      </c>
      <c r="I298" s="2260" t="s">
        <v>1099</v>
      </c>
      <c r="J298" s="2199">
        <f t="shared" ref="J298:J308" si="32">G298</f>
        <v>600000</v>
      </c>
      <c r="K298" s="2199">
        <f t="shared" ref="K298:K311" si="33">F298-J298</f>
        <v>0</v>
      </c>
      <c r="L298" s="2013" t="s">
        <v>3952</v>
      </c>
    </row>
    <row r="299" spans="1:16" ht="30" customHeight="1" x14ac:dyDescent="0.2">
      <c r="A299" s="2267">
        <v>209</v>
      </c>
      <c r="B299" s="2204" t="s">
        <v>70</v>
      </c>
      <c r="C299" s="2236" t="s">
        <v>3323</v>
      </c>
      <c r="D299" s="2211">
        <v>10000000</v>
      </c>
      <c r="E299" s="2208">
        <v>0.05</v>
      </c>
      <c r="F299" s="2211">
        <f t="shared" si="29"/>
        <v>500000</v>
      </c>
      <c r="G299" s="2211"/>
      <c r="H299" s="2211"/>
      <c r="I299" s="2241" t="s">
        <v>3905</v>
      </c>
      <c r="J299" s="2211">
        <f t="shared" si="32"/>
        <v>0</v>
      </c>
      <c r="K299" s="2211">
        <f t="shared" si="33"/>
        <v>500000</v>
      </c>
      <c r="L299" s="2265"/>
    </row>
    <row r="300" spans="1:16" ht="30" customHeight="1" x14ac:dyDescent="0.2">
      <c r="A300" s="2267">
        <v>210</v>
      </c>
      <c r="B300" s="2265" t="s">
        <v>72</v>
      </c>
      <c r="C300" s="2236"/>
      <c r="D300" s="2211">
        <v>50000000</v>
      </c>
      <c r="E300" s="2263">
        <v>7.0000000000000007E-2</v>
      </c>
      <c r="F300" s="2211">
        <f t="shared" si="29"/>
        <v>3500000.0000000005</v>
      </c>
      <c r="G300" s="2211">
        <v>3500000</v>
      </c>
      <c r="H300" s="2211" t="s">
        <v>3965</v>
      </c>
      <c r="I300" s="21" t="s">
        <v>3983</v>
      </c>
      <c r="J300" s="2211">
        <f t="shared" si="32"/>
        <v>3500000</v>
      </c>
      <c r="K300" s="2211">
        <f t="shared" si="33"/>
        <v>0</v>
      </c>
      <c r="L300" s="2265"/>
    </row>
    <row r="301" spans="1:16" ht="30" customHeight="1" x14ac:dyDescent="0.2">
      <c r="A301" s="2267">
        <v>211</v>
      </c>
      <c r="B301" s="2265" t="s">
        <v>73</v>
      </c>
      <c r="C301" s="2236" t="s">
        <v>1295</v>
      </c>
      <c r="D301" s="2211">
        <v>100000000</v>
      </c>
      <c r="E301" s="2263">
        <v>0.05</v>
      </c>
      <c r="F301" s="2211">
        <f t="shared" si="29"/>
        <v>5000000</v>
      </c>
      <c r="G301" s="2211">
        <v>5000000</v>
      </c>
      <c r="H301" s="2211" t="s">
        <v>3993</v>
      </c>
      <c r="I301" s="21" t="s">
        <v>4001</v>
      </c>
      <c r="J301" s="2211">
        <f t="shared" si="32"/>
        <v>5000000</v>
      </c>
      <c r="K301" s="2211">
        <f t="shared" si="33"/>
        <v>0</v>
      </c>
      <c r="L301" s="2265"/>
    </row>
    <row r="302" spans="1:16" ht="30" customHeight="1" x14ac:dyDescent="0.2">
      <c r="A302" s="2267">
        <v>212</v>
      </c>
      <c r="B302" s="2265" t="s">
        <v>74</v>
      </c>
      <c r="C302" s="2236" t="s">
        <v>889</v>
      </c>
      <c r="D302" s="2211">
        <v>30000000</v>
      </c>
      <c r="E302" s="2263">
        <v>0.05</v>
      </c>
      <c r="F302" s="2211">
        <f t="shared" si="29"/>
        <v>1500000</v>
      </c>
      <c r="G302" s="2211"/>
      <c r="H302" s="2211"/>
      <c r="I302" s="21" t="s">
        <v>1275</v>
      </c>
      <c r="J302" s="2211">
        <f t="shared" si="32"/>
        <v>0</v>
      </c>
      <c r="K302" s="2211">
        <f t="shared" si="33"/>
        <v>1500000</v>
      </c>
      <c r="L302" s="2265"/>
    </row>
    <row r="303" spans="1:16" ht="30" customHeight="1" x14ac:dyDescent="0.2">
      <c r="A303" s="2267">
        <v>213</v>
      </c>
      <c r="B303" s="2265" t="s">
        <v>75</v>
      </c>
      <c r="C303" s="2236" t="s">
        <v>889</v>
      </c>
      <c r="D303" s="2211">
        <v>15000000</v>
      </c>
      <c r="E303" s="2263">
        <v>4.7E-2</v>
      </c>
      <c r="F303" s="2211">
        <v>700000</v>
      </c>
      <c r="G303" s="2211">
        <v>700000</v>
      </c>
      <c r="H303" s="2211" t="s">
        <v>2015</v>
      </c>
      <c r="I303" s="21" t="s">
        <v>3406</v>
      </c>
      <c r="J303" s="2211">
        <f t="shared" si="32"/>
        <v>700000</v>
      </c>
      <c r="K303" s="2211">
        <f t="shared" si="33"/>
        <v>0</v>
      </c>
      <c r="L303" s="2265"/>
    </row>
    <row r="304" spans="1:16" ht="30" customHeight="1" x14ac:dyDescent="0.2">
      <c r="A304" s="2267">
        <v>214</v>
      </c>
      <c r="B304" s="2265" t="s">
        <v>937</v>
      </c>
      <c r="C304" s="2236"/>
      <c r="D304" s="2211">
        <v>200000000</v>
      </c>
      <c r="E304" s="2263">
        <v>5.5E-2</v>
      </c>
      <c r="F304" s="2211">
        <f t="shared" si="29"/>
        <v>11000000</v>
      </c>
      <c r="G304" s="2211">
        <v>11000000</v>
      </c>
      <c r="H304" s="2211" t="s">
        <v>3920</v>
      </c>
      <c r="I304" s="21" t="s">
        <v>3974</v>
      </c>
      <c r="J304" s="2211">
        <f t="shared" si="32"/>
        <v>11000000</v>
      </c>
      <c r="K304" s="2211">
        <f t="shared" si="33"/>
        <v>0</v>
      </c>
      <c r="L304" s="2265"/>
    </row>
    <row r="305" spans="1:12" ht="30" customHeight="1" x14ac:dyDescent="0.2">
      <c r="A305" s="2267">
        <v>216</v>
      </c>
      <c r="B305" s="2265" t="s">
        <v>77</v>
      </c>
      <c r="C305" s="2236" t="s">
        <v>889</v>
      </c>
      <c r="D305" s="2211">
        <v>250000000</v>
      </c>
      <c r="E305" s="2263">
        <v>0.05</v>
      </c>
      <c r="F305" s="2211">
        <f t="shared" si="29"/>
        <v>12500000</v>
      </c>
      <c r="G305" s="2211">
        <v>12500000</v>
      </c>
      <c r="H305" s="2211" t="s">
        <v>3923</v>
      </c>
      <c r="I305" s="18" t="s">
        <v>3401</v>
      </c>
      <c r="J305" s="2211">
        <f t="shared" si="32"/>
        <v>12500000</v>
      </c>
      <c r="K305" s="2211">
        <f t="shared" si="33"/>
        <v>0</v>
      </c>
      <c r="L305" s="2265"/>
    </row>
    <row r="306" spans="1:12" ht="30" customHeight="1" x14ac:dyDescent="0.2">
      <c r="A306" s="2200">
        <v>217</v>
      </c>
      <c r="B306" s="2265" t="s">
        <v>79</v>
      </c>
      <c r="C306" s="2264"/>
      <c r="D306" s="2199">
        <v>160000000</v>
      </c>
      <c r="E306" s="2263">
        <v>0.05</v>
      </c>
      <c r="F306" s="2199">
        <f t="shared" si="29"/>
        <v>8000000</v>
      </c>
      <c r="G306" s="2199"/>
      <c r="H306" s="2199"/>
      <c r="I306" s="2272"/>
      <c r="J306" s="2199">
        <f t="shared" si="32"/>
        <v>0</v>
      </c>
      <c r="K306" s="2199">
        <f t="shared" si="33"/>
        <v>8000000</v>
      </c>
      <c r="L306" s="2218"/>
    </row>
    <row r="307" spans="1:12" ht="30" customHeight="1" x14ac:dyDescent="0.2">
      <c r="A307" s="7654">
        <v>218</v>
      </c>
      <c r="B307" s="7652" t="s">
        <v>80</v>
      </c>
      <c r="C307" s="7723"/>
      <c r="D307" s="7563">
        <v>45000000</v>
      </c>
      <c r="E307" s="7659">
        <v>0.04</v>
      </c>
      <c r="F307" s="7563">
        <f t="shared" si="29"/>
        <v>1800000</v>
      </c>
      <c r="G307" s="2211"/>
      <c r="H307" s="2211"/>
      <c r="I307" s="65" t="s">
        <v>1695</v>
      </c>
      <c r="J307" s="2211">
        <f t="shared" si="32"/>
        <v>0</v>
      </c>
      <c r="K307" s="2211">
        <f t="shared" si="33"/>
        <v>1800000</v>
      </c>
      <c r="L307" s="2265"/>
    </row>
    <row r="308" spans="1:12" ht="30" customHeight="1" x14ac:dyDescent="0.2">
      <c r="A308" s="7655"/>
      <c r="B308" s="7653"/>
      <c r="C308" s="7724"/>
      <c r="D308" s="7564"/>
      <c r="E308" s="7660"/>
      <c r="F308" s="7564"/>
      <c r="G308" s="2211"/>
      <c r="H308" s="2211"/>
      <c r="I308" s="65" t="s">
        <v>3561</v>
      </c>
      <c r="J308" s="2211">
        <f t="shared" si="32"/>
        <v>0</v>
      </c>
      <c r="K308" s="2211"/>
      <c r="L308" s="2013" t="s">
        <v>3562</v>
      </c>
    </row>
    <row r="309" spans="1:12" ht="30" customHeight="1" x14ac:dyDescent="0.2">
      <c r="A309" s="2267">
        <v>219</v>
      </c>
      <c r="B309" s="2265" t="s">
        <v>1791</v>
      </c>
      <c r="C309" s="2236"/>
      <c r="D309" s="2224"/>
      <c r="E309" s="2295"/>
      <c r="F309" s="2224">
        <f t="shared" si="29"/>
        <v>0</v>
      </c>
      <c r="G309" s="2211"/>
      <c r="H309" s="2211"/>
      <c r="I309" s="21"/>
      <c r="J309" s="2211"/>
      <c r="K309" s="2224">
        <f t="shared" si="33"/>
        <v>0</v>
      </c>
      <c r="L309" s="2265"/>
    </row>
    <row r="310" spans="1:12" ht="30" customHeight="1" x14ac:dyDescent="0.2">
      <c r="A310" s="2267">
        <v>220</v>
      </c>
      <c r="B310" s="2261" t="s">
        <v>81</v>
      </c>
      <c r="C310" s="345"/>
      <c r="D310" s="2209">
        <v>203000000</v>
      </c>
      <c r="E310" s="2206">
        <v>0.05</v>
      </c>
      <c r="F310" s="2209">
        <f t="shared" si="29"/>
        <v>10150000</v>
      </c>
      <c r="G310" s="2211">
        <v>10150000</v>
      </c>
      <c r="H310" s="2211" t="s">
        <v>1846</v>
      </c>
      <c r="I310" s="21" t="s">
        <v>3409</v>
      </c>
      <c r="J310" s="2209">
        <f>G310</f>
        <v>10150000</v>
      </c>
      <c r="K310" s="2209">
        <f t="shared" si="33"/>
        <v>0</v>
      </c>
      <c r="L310" s="2265"/>
    </row>
    <row r="311" spans="1:12" ht="30" customHeight="1" x14ac:dyDescent="0.2">
      <c r="A311" s="2267">
        <v>221</v>
      </c>
      <c r="B311" s="2261" t="s">
        <v>326</v>
      </c>
      <c r="C311" s="2235" t="s">
        <v>1652</v>
      </c>
      <c r="D311" s="2209">
        <v>275000000</v>
      </c>
      <c r="E311" s="2206">
        <v>4.2000000000000003E-2</v>
      </c>
      <c r="F311" s="2209">
        <f>D311*E311</f>
        <v>11550000</v>
      </c>
      <c r="G311" s="2210">
        <v>11550000</v>
      </c>
      <c r="H311" s="2210" t="s">
        <v>3993</v>
      </c>
      <c r="I311" s="384" t="s">
        <v>1654</v>
      </c>
      <c r="J311" s="2209">
        <f>G311</f>
        <v>11550000</v>
      </c>
      <c r="K311" s="2209">
        <f t="shared" si="33"/>
        <v>0</v>
      </c>
      <c r="L311" s="2232"/>
    </row>
    <row r="312" spans="1:12" ht="30" customHeight="1" x14ac:dyDescent="0.2">
      <c r="A312" s="7879">
        <v>222</v>
      </c>
      <c r="B312" s="7652" t="s">
        <v>1818</v>
      </c>
      <c r="C312" s="7723" t="s">
        <v>1287</v>
      </c>
      <c r="D312" s="7563">
        <v>700000000</v>
      </c>
      <c r="E312" s="7659">
        <v>0.06</v>
      </c>
      <c r="F312" s="7563">
        <f>D312*E312</f>
        <v>42000000</v>
      </c>
      <c r="G312" s="7563">
        <v>42000000</v>
      </c>
      <c r="H312" s="7563" t="s">
        <v>4043</v>
      </c>
      <c r="I312" s="7561" t="s">
        <v>3724</v>
      </c>
      <c r="J312" s="7563">
        <f>G312</f>
        <v>42000000</v>
      </c>
      <c r="K312" s="7563">
        <f>F312-J312</f>
        <v>0</v>
      </c>
      <c r="L312" s="2254"/>
    </row>
    <row r="313" spans="1:12" ht="30" customHeight="1" x14ac:dyDescent="0.2">
      <c r="A313" s="7879"/>
      <c r="B313" s="7665"/>
      <c r="C313" s="7747"/>
      <c r="D313" s="7586"/>
      <c r="E313" s="7676"/>
      <c r="F313" s="7586"/>
      <c r="G313" s="7586"/>
      <c r="H313" s="7586"/>
      <c r="I313" s="7672"/>
      <c r="J313" s="7586"/>
      <c r="K313" s="7586"/>
      <c r="L313" s="2259" t="s">
        <v>3693</v>
      </c>
    </row>
    <row r="314" spans="1:12" ht="30" customHeight="1" x14ac:dyDescent="0.2">
      <c r="A314" s="7879"/>
      <c r="B314" s="7653"/>
      <c r="C314" s="7724"/>
      <c r="D314" s="7564"/>
      <c r="E314" s="7660"/>
      <c r="F314" s="7564"/>
      <c r="G314" s="7564"/>
      <c r="H314" s="7564"/>
      <c r="I314" s="7562"/>
      <c r="J314" s="7564"/>
      <c r="K314" s="7564"/>
      <c r="L314" s="2255"/>
    </row>
    <row r="315" spans="1:12" ht="30" customHeight="1" x14ac:dyDescent="0.2">
      <c r="A315" s="2202">
        <v>223</v>
      </c>
      <c r="B315" s="2204" t="s">
        <v>83</v>
      </c>
      <c r="C315" s="2236" t="s">
        <v>1652</v>
      </c>
      <c r="D315" s="2211">
        <v>100000000</v>
      </c>
      <c r="E315" s="2208">
        <v>0.05</v>
      </c>
      <c r="F315" s="2211">
        <f t="shared" si="29"/>
        <v>5000000</v>
      </c>
      <c r="G315" s="2211">
        <v>5000000</v>
      </c>
      <c r="H315" s="2211" t="s">
        <v>3993</v>
      </c>
      <c r="I315" s="21" t="s">
        <v>3491</v>
      </c>
      <c r="J315" s="2211">
        <f t="shared" ref="J315:J321" si="34">G315</f>
        <v>5000000</v>
      </c>
      <c r="K315" s="2211">
        <f t="shared" ref="K315:K321" si="35">F315-J315</f>
        <v>0</v>
      </c>
      <c r="L315" s="2265"/>
    </row>
    <row r="316" spans="1:12" ht="30" customHeight="1" x14ac:dyDescent="0.2">
      <c r="A316" s="7654">
        <v>224</v>
      </c>
      <c r="B316" s="7652" t="s">
        <v>2623</v>
      </c>
      <c r="C316" s="7723"/>
      <c r="D316" s="7563">
        <v>10000000</v>
      </c>
      <c r="E316" s="7659">
        <v>0.05</v>
      </c>
      <c r="F316" s="7563">
        <f t="shared" si="29"/>
        <v>500000</v>
      </c>
      <c r="G316" s="2211">
        <v>500000</v>
      </c>
      <c r="H316" s="2211" t="s">
        <v>3929</v>
      </c>
      <c r="I316" s="21" t="s">
        <v>3934</v>
      </c>
      <c r="J316" s="2211">
        <f t="shared" si="34"/>
        <v>500000</v>
      </c>
      <c r="K316" s="2211">
        <f t="shared" si="35"/>
        <v>0</v>
      </c>
      <c r="L316" s="2265"/>
    </row>
    <row r="317" spans="1:12" ht="30" customHeight="1" x14ac:dyDescent="0.2">
      <c r="A317" s="7655"/>
      <c r="B317" s="7653"/>
      <c r="C317" s="7724"/>
      <c r="D317" s="7564"/>
      <c r="E317" s="7660"/>
      <c r="F317" s="7564"/>
      <c r="G317" s="2224">
        <v>1000000</v>
      </c>
      <c r="H317" s="2224" t="s">
        <v>4043</v>
      </c>
      <c r="I317" s="56" t="s">
        <v>3934</v>
      </c>
      <c r="J317" s="2224">
        <f t="shared" si="34"/>
        <v>1000000</v>
      </c>
      <c r="K317" s="2224"/>
      <c r="L317" s="2204"/>
    </row>
    <row r="318" spans="1:12" ht="30" customHeight="1" x14ac:dyDescent="0.2">
      <c r="A318" s="2202">
        <v>226</v>
      </c>
      <c r="B318" s="2262" t="s">
        <v>86</v>
      </c>
      <c r="C318" s="2236" t="s">
        <v>889</v>
      </c>
      <c r="D318" s="2199">
        <v>410000000</v>
      </c>
      <c r="E318" s="2263">
        <v>0.06</v>
      </c>
      <c r="F318" s="2199">
        <f>D318*E318</f>
        <v>24600000</v>
      </c>
      <c r="G318" s="2199">
        <v>24600000</v>
      </c>
      <c r="H318" s="2199" t="s">
        <v>1846</v>
      </c>
      <c r="I318" s="2199" t="s">
        <v>2391</v>
      </c>
      <c r="J318" s="2199">
        <f t="shared" si="34"/>
        <v>24600000</v>
      </c>
      <c r="K318" s="2211">
        <f t="shared" si="35"/>
        <v>0</v>
      </c>
      <c r="L318" s="2219"/>
    </row>
    <row r="319" spans="1:12" ht="30" customHeight="1" x14ac:dyDescent="0.2">
      <c r="A319" s="2267">
        <v>227</v>
      </c>
      <c r="B319" s="2265" t="s">
        <v>87</v>
      </c>
      <c r="C319" s="2236" t="s">
        <v>889</v>
      </c>
      <c r="D319" s="2211">
        <v>20000000</v>
      </c>
      <c r="E319" s="2263">
        <v>0.05</v>
      </c>
      <c r="F319" s="2211">
        <f>D319*E319</f>
        <v>1000000</v>
      </c>
      <c r="G319" s="2211">
        <v>1000000</v>
      </c>
      <c r="H319" s="2211" t="s">
        <v>3965</v>
      </c>
      <c r="I319" s="18" t="s">
        <v>361</v>
      </c>
      <c r="J319" s="2211">
        <f t="shared" si="34"/>
        <v>1000000</v>
      </c>
      <c r="K319" s="2211">
        <f t="shared" si="35"/>
        <v>0</v>
      </c>
      <c r="L319" s="2265"/>
    </row>
    <row r="320" spans="1:12" ht="30" customHeight="1" x14ac:dyDescent="0.2">
      <c r="A320" s="2267">
        <v>228</v>
      </c>
      <c r="B320" s="2265" t="s">
        <v>88</v>
      </c>
      <c r="C320" s="2236" t="s">
        <v>1176</v>
      </c>
      <c r="D320" s="2211">
        <v>10000000</v>
      </c>
      <c r="E320" s="2263">
        <v>0.04</v>
      </c>
      <c r="F320" s="2211">
        <f t="shared" si="29"/>
        <v>400000</v>
      </c>
      <c r="G320" s="2211">
        <v>400000</v>
      </c>
      <c r="H320" s="2211" t="s">
        <v>4043</v>
      </c>
      <c r="I320" s="26" t="s">
        <v>417</v>
      </c>
      <c r="J320" s="2211">
        <f t="shared" si="34"/>
        <v>400000</v>
      </c>
      <c r="K320" s="2211">
        <f t="shared" si="35"/>
        <v>0</v>
      </c>
      <c r="L320" s="2265"/>
    </row>
    <row r="321" spans="1:12" ht="30" customHeight="1" x14ac:dyDescent="0.2">
      <c r="A321" s="2200">
        <v>229</v>
      </c>
      <c r="B321" s="2203" t="s">
        <v>89</v>
      </c>
      <c r="C321" s="2236" t="s">
        <v>889</v>
      </c>
      <c r="D321" s="2211">
        <v>52000000</v>
      </c>
      <c r="E321" s="2263">
        <v>0.05</v>
      </c>
      <c r="F321" s="2211">
        <f t="shared" si="29"/>
        <v>2600000</v>
      </c>
      <c r="G321" s="2211">
        <v>2600000</v>
      </c>
      <c r="H321" s="2211" t="s">
        <v>3923</v>
      </c>
      <c r="I321" s="21" t="s">
        <v>3969</v>
      </c>
      <c r="J321" s="2211">
        <f t="shared" si="34"/>
        <v>2600000</v>
      </c>
      <c r="K321" s="2211">
        <f t="shared" si="35"/>
        <v>0</v>
      </c>
      <c r="L321" s="2265"/>
    </row>
    <row r="322" spans="1:12" ht="30" customHeight="1" x14ac:dyDescent="0.2">
      <c r="A322" s="7654"/>
      <c r="B322" s="7652" t="s">
        <v>90</v>
      </c>
      <c r="C322" s="7723" t="s">
        <v>1718</v>
      </c>
      <c r="D322" s="2199">
        <v>20000000</v>
      </c>
      <c r="E322" s="2263">
        <v>0.05</v>
      </c>
      <c r="F322" s="2199">
        <f t="shared" si="29"/>
        <v>1000000</v>
      </c>
      <c r="G322" s="2199">
        <v>750000</v>
      </c>
      <c r="H322" s="2199" t="s">
        <v>3993</v>
      </c>
      <c r="I322" s="2199" t="s">
        <v>449</v>
      </c>
      <c r="J322" s="2199">
        <f>G322</f>
        <v>750000</v>
      </c>
      <c r="K322" s="7563">
        <v>0</v>
      </c>
      <c r="L322" s="1661" t="s">
        <v>3488</v>
      </c>
    </row>
    <row r="323" spans="1:12" ht="30" customHeight="1" x14ac:dyDescent="0.2">
      <c r="A323" s="7656"/>
      <c r="B323" s="7665"/>
      <c r="C323" s="7747"/>
      <c r="D323" s="2199">
        <v>5000000</v>
      </c>
      <c r="E323" s="2263">
        <v>0.05</v>
      </c>
      <c r="F323" s="2199">
        <f t="shared" si="29"/>
        <v>250000</v>
      </c>
      <c r="G323" s="7563">
        <v>1538000</v>
      </c>
      <c r="H323" s="7563" t="s">
        <v>3993</v>
      </c>
      <c r="I323" s="7563" t="s">
        <v>449</v>
      </c>
      <c r="J323" s="7563">
        <f>G323</f>
        <v>1538000</v>
      </c>
      <c r="K323" s="7586"/>
      <c r="L323" s="1336" t="s">
        <v>4006</v>
      </c>
    </row>
    <row r="324" spans="1:12" ht="30" customHeight="1" x14ac:dyDescent="0.2">
      <c r="A324" s="7656"/>
      <c r="B324" s="7665"/>
      <c r="C324" s="7747"/>
      <c r="D324" s="2211">
        <v>5000000</v>
      </c>
      <c r="E324" s="2263">
        <v>0.05</v>
      </c>
      <c r="F324" s="2199">
        <f t="shared" si="29"/>
        <v>250000</v>
      </c>
      <c r="G324" s="7586"/>
      <c r="H324" s="7586"/>
      <c r="I324" s="7586"/>
      <c r="J324" s="7586"/>
      <c r="K324" s="7586"/>
      <c r="L324" s="1336" t="s">
        <v>4005</v>
      </c>
    </row>
    <row r="325" spans="1:12" ht="30" customHeight="1" x14ac:dyDescent="0.2">
      <c r="A325" s="7655"/>
      <c r="B325" s="7653"/>
      <c r="C325" s="7724"/>
      <c r="D325" s="2211">
        <v>5000000</v>
      </c>
      <c r="E325" s="2263">
        <v>0.05</v>
      </c>
      <c r="F325" s="2199">
        <f t="shared" si="29"/>
        <v>250000</v>
      </c>
      <c r="G325" s="7564"/>
      <c r="H325" s="7564"/>
      <c r="I325" s="7564"/>
      <c r="J325" s="7564"/>
      <c r="K325" s="7564"/>
      <c r="L325" s="1336" t="s">
        <v>4007</v>
      </c>
    </row>
    <row r="326" spans="1:12" ht="30" customHeight="1" x14ac:dyDescent="0.2">
      <c r="A326" s="7654">
        <v>231</v>
      </c>
      <c r="B326" s="7652" t="s">
        <v>91</v>
      </c>
      <c r="C326" s="7723" t="s">
        <v>1080</v>
      </c>
      <c r="D326" s="2211">
        <v>30000000</v>
      </c>
      <c r="E326" s="2208">
        <v>4.4999999999999998E-2</v>
      </c>
      <c r="F326" s="2211">
        <f t="shared" si="29"/>
        <v>1350000</v>
      </c>
      <c r="G326" s="2211">
        <v>1350000</v>
      </c>
      <c r="H326" s="2211" t="s">
        <v>2015</v>
      </c>
      <c r="I326" s="2293" t="s">
        <v>298</v>
      </c>
      <c r="J326" s="2211">
        <f t="shared" ref="J326:J343" si="36">G326</f>
        <v>1350000</v>
      </c>
      <c r="K326" s="2211">
        <f t="shared" ref="K326:K342" si="37">F326-J326</f>
        <v>0</v>
      </c>
      <c r="L326" s="2265"/>
    </row>
    <row r="327" spans="1:12" ht="30" customHeight="1" x14ac:dyDescent="0.2">
      <c r="A327" s="7655"/>
      <c r="B327" s="7653"/>
      <c r="C327" s="7724"/>
      <c r="D327" s="895">
        <v>20000000</v>
      </c>
      <c r="E327" s="2208">
        <v>4.4999999999999998E-2</v>
      </c>
      <c r="F327" s="2211">
        <f t="shared" si="29"/>
        <v>900000</v>
      </c>
      <c r="G327" s="2211"/>
      <c r="H327" s="2211"/>
      <c r="I327" s="52"/>
      <c r="J327" s="2211"/>
      <c r="K327" s="2211"/>
      <c r="L327" s="2013" t="s">
        <v>4217</v>
      </c>
    </row>
    <row r="328" spans="1:12" ht="30" customHeight="1" x14ac:dyDescent="0.2">
      <c r="A328" s="2267">
        <v>232</v>
      </c>
      <c r="B328" s="2265" t="s">
        <v>1602</v>
      </c>
      <c r="C328" s="2236" t="s">
        <v>1172</v>
      </c>
      <c r="D328" s="2211">
        <v>55000000</v>
      </c>
      <c r="E328" s="2263">
        <v>0.04</v>
      </c>
      <c r="F328" s="2211">
        <f t="shared" si="29"/>
        <v>2200000</v>
      </c>
      <c r="G328" s="2211">
        <v>2200000</v>
      </c>
      <c r="H328" s="2211" t="s">
        <v>3923</v>
      </c>
      <c r="I328" s="21" t="s">
        <v>1604</v>
      </c>
      <c r="J328" s="2211">
        <f t="shared" si="36"/>
        <v>2200000</v>
      </c>
      <c r="K328" s="2211">
        <f t="shared" si="37"/>
        <v>0</v>
      </c>
      <c r="L328" s="2265"/>
    </row>
    <row r="329" spans="1:12" ht="30" customHeight="1" x14ac:dyDescent="0.2">
      <c r="A329" s="2267">
        <v>233</v>
      </c>
      <c r="B329" s="2265" t="s">
        <v>275</v>
      </c>
      <c r="C329" s="2236" t="s">
        <v>372</v>
      </c>
      <c r="D329" s="2211">
        <v>50000000</v>
      </c>
      <c r="E329" s="2263">
        <v>0.05</v>
      </c>
      <c r="F329" s="2211">
        <f t="shared" si="29"/>
        <v>2500000</v>
      </c>
      <c r="G329" s="7732" t="s">
        <v>5097</v>
      </c>
      <c r="H329" s="7733"/>
      <c r="I329" s="7733"/>
      <c r="J329" s="7734"/>
      <c r="K329" s="2211"/>
      <c r="L329" s="2013"/>
    </row>
    <row r="330" spans="1:12" ht="30" customHeight="1" x14ac:dyDescent="0.2">
      <c r="A330" s="2267">
        <v>234</v>
      </c>
      <c r="B330" s="2261" t="s">
        <v>93</v>
      </c>
      <c r="C330" s="2264" t="s">
        <v>1293</v>
      </c>
      <c r="D330" s="2199">
        <v>400000000</v>
      </c>
      <c r="E330" s="2263">
        <f>F330/D330</f>
        <v>5.2499999999999998E-2</v>
      </c>
      <c r="F330" s="2199">
        <v>21000000</v>
      </c>
      <c r="G330" s="2199">
        <v>21000000</v>
      </c>
      <c r="H330" s="2199" t="s">
        <v>3965</v>
      </c>
      <c r="I330" s="2260" t="s">
        <v>506</v>
      </c>
      <c r="J330" s="2199">
        <f t="shared" si="36"/>
        <v>21000000</v>
      </c>
      <c r="K330" s="2211">
        <f t="shared" si="37"/>
        <v>0</v>
      </c>
      <c r="L330" s="2254"/>
    </row>
    <row r="331" spans="1:12" ht="30" customHeight="1" x14ac:dyDescent="0.2">
      <c r="A331" s="7654">
        <v>235</v>
      </c>
      <c r="B331" s="7652" t="s">
        <v>94</v>
      </c>
      <c r="C331" s="7873" t="s">
        <v>1172</v>
      </c>
      <c r="D331" s="7563">
        <v>60000000</v>
      </c>
      <c r="E331" s="7659">
        <v>0.05</v>
      </c>
      <c r="F331" s="7563">
        <f t="shared" si="29"/>
        <v>3000000</v>
      </c>
      <c r="G331" s="7482">
        <v>3000000</v>
      </c>
      <c r="H331" s="7482" t="s">
        <v>3965</v>
      </c>
      <c r="I331" s="8073" t="s">
        <v>1857</v>
      </c>
      <c r="J331" s="7563">
        <f t="shared" si="36"/>
        <v>3000000</v>
      </c>
      <c r="K331" s="7563">
        <f t="shared" si="37"/>
        <v>0</v>
      </c>
      <c r="L331" s="637" t="s">
        <v>3572</v>
      </c>
    </row>
    <row r="332" spans="1:12" ht="30" customHeight="1" x14ac:dyDescent="0.2">
      <c r="A332" s="7656"/>
      <c r="B332" s="7653"/>
      <c r="C332" s="7873"/>
      <c r="D332" s="7564"/>
      <c r="E332" s="7660"/>
      <c r="F332" s="7564"/>
      <c r="G332" s="7482"/>
      <c r="H332" s="7482"/>
      <c r="I332" s="8074"/>
      <c r="J332" s="7564"/>
      <c r="K332" s="7564"/>
      <c r="L332" s="2255" t="s">
        <v>3383</v>
      </c>
    </row>
    <row r="333" spans="1:12" ht="30" customHeight="1" x14ac:dyDescent="0.2">
      <c r="A333" s="2267">
        <v>236</v>
      </c>
      <c r="B333" s="2265" t="s">
        <v>95</v>
      </c>
      <c r="C333" s="2236"/>
      <c r="D333" s="2211">
        <v>20000000</v>
      </c>
      <c r="E333" s="2263">
        <v>0.05</v>
      </c>
      <c r="F333" s="2211">
        <f>D333*E333</f>
        <v>1000000</v>
      </c>
      <c r="G333" s="2211">
        <v>1000000</v>
      </c>
      <c r="H333" s="2211" t="s">
        <v>4074</v>
      </c>
      <c r="I333" s="2240" t="s">
        <v>334</v>
      </c>
      <c r="J333" s="2211">
        <f t="shared" si="36"/>
        <v>1000000</v>
      </c>
      <c r="K333" s="2211">
        <f t="shared" si="37"/>
        <v>0</v>
      </c>
      <c r="L333" s="2013" t="s">
        <v>2685</v>
      </c>
    </row>
    <row r="334" spans="1:12" ht="30" customHeight="1" x14ac:dyDescent="0.2">
      <c r="A334" s="7654">
        <v>237</v>
      </c>
      <c r="B334" s="7652" t="s">
        <v>96</v>
      </c>
      <c r="C334" s="7723" t="s">
        <v>1718</v>
      </c>
      <c r="D334" s="2211">
        <v>62500000</v>
      </c>
      <c r="E334" s="2263">
        <v>4.8000000000000001E-2</v>
      </c>
      <c r="F334" s="2211">
        <f t="shared" si="29"/>
        <v>3000000</v>
      </c>
      <c r="G334" s="2211">
        <v>3000000</v>
      </c>
      <c r="H334" s="2211" t="s">
        <v>3965</v>
      </c>
      <c r="I334" s="21" t="s">
        <v>3473</v>
      </c>
      <c r="J334" s="2211">
        <f t="shared" si="36"/>
        <v>3000000</v>
      </c>
      <c r="K334" s="2211">
        <f t="shared" si="37"/>
        <v>0</v>
      </c>
      <c r="L334" s="2255"/>
    </row>
    <row r="335" spans="1:12" ht="30" customHeight="1" x14ac:dyDescent="0.2">
      <c r="A335" s="7656"/>
      <c r="B335" s="7665"/>
      <c r="C335" s="7747"/>
      <c r="D335" s="2211">
        <v>5000000</v>
      </c>
      <c r="E335" s="2263">
        <v>0.05</v>
      </c>
      <c r="F335" s="2211">
        <f>D335*E335</f>
        <v>250000</v>
      </c>
      <c r="G335" s="7732" t="s">
        <v>4342</v>
      </c>
      <c r="H335" s="7733"/>
      <c r="I335" s="7733"/>
      <c r="J335" s="7734"/>
      <c r="K335" s="2211"/>
      <c r="L335" s="2255" t="s">
        <v>4009</v>
      </c>
    </row>
    <row r="336" spans="1:12" ht="30" customHeight="1" x14ac:dyDescent="0.2">
      <c r="A336" s="7655"/>
      <c r="B336" s="7653"/>
      <c r="C336" s="7724"/>
      <c r="D336" s="2211">
        <v>10500000</v>
      </c>
      <c r="E336" s="2263">
        <v>0.05</v>
      </c>
      <c r="F336" s="2211">
        <f>D336*E336</f>
        <v>525000</v>
      </c>
      <c r="G336" s="7732" t="s">
        <v>4343</v>
      </c>
      <c r="H336" s="7733"/>
      <c r="I336" s="7733"/>
      <c r="J336" s="7734"/>
      <c r="K336" s="2211"/>
      <c r="L336" s="2220" t="s">
        <v>4011</v>
      </c>
    </row>
    <row r="337" spans="1:14" ht="30" customHeight="1" x14ac:dyDescent="0.2">
      <c r="A337" s="7654"/>
      <c r="B337" s="2204" t="s">
        <v>96</v>
      </c>
      <c r="C337" s="7723" t="s">
        <v>1718</v>
      </c>
      <c r="D337" s="2211">
        <v>55000000</v>
      </c>
      <c r="E337" s="2263">
        <v>0.05</v>
      </c>
      <c r="F337" s="2211">
        <f>D337*E337</f>
        <v>2750000</v>
      </c>
      <c r="G337" s="2281"/>
      <c r="H337" s="2281"/>
      <c r="I337" s="2281"/>
      <c r="J337" s="2281"/>
      <c r="K337" s="2211"/>
      <c r="L337" s="2219" t="s">
        <v>3882</v>
      </c>
    </row>
    <row r="338" spans="1:14" ht="30" customHeight="1" x14ac:dyDescent="0.2">
      <c r="A338" s="7655"/>
      <c r="B338" s="2204" t="s">
        <v>2011</v>
      </c>
      <c r="C338" s="7724"/>
      <c r="D338" s="2211">
        <v>50000000</v>
      </c>
      <c r="E338" s="2263">
        <v>0.05</v>
      </c>
      <c r="F338" s="2211">
        <f>D338*E338</f>
        <v>2500000</v>
      </c>
      <c r="G338" s="2281"/>
      <c r="H338" s="2281"/>
      <c r="I338" s="2281"/>
      <c r="J338" s="2281"/>
      <c r="K338" s="2211"/>
      <c r="L338" s="2219" t="s">
        <v>3882</v>
      </c>
    </row>
    <row r="339" spans="1:14" ht="30" customHeight="1" x14ac:dyDescent="0.2">
      <c r="A339" s="2202"/>
      <c r="B339" s="2204" t="s">
        <v>4008</v>
      </c>
      <c r="C339" s="2236" t="s">
        <v>262</v>
      </c>
      <c r="D339" s="2211">
        <v>10000000</v>
      </c>
      <c r="E339" s="2263">
        <v>0.05</v>
      </c>
      <c r="F339" s="2211">
        <f>D339*E339</f>
        <v>500000</v>
      </c>
      <c r="G339" s="7732" t="s">
        <v>4344</v>
      </c>
      <c r="H339" s="7733"/>
      <c r="I339" s="7733"/>
      <c r="J339" s="7734"/>
      <c r="K339" s="2211"/>
      <c r="L339" s="2219" t="s">
        <v>4010</v>
      </c>
    </row>
    <row r="340" spans="1:14" ht="30" customHeight="1" x14ac:dyDescent="0.2">
      <c r="A340" s="2267">
        <v>238</v>
      </c>
      <c r="B340" s="2265" t="s">
        <v>97</v>
      </c>
      <c r="C340" s="2236" t="s">
        <v>1176</v>
      </c>
      <c r="D340" s="2211">
        <v>100000000</v>
      </c>
      <c r="E340" s="2263">
        <v>0.05</v>
      </c>
      <c r="F340" s="2211">
        <f t="shared" si="29"/>
        <v>5000000</v>
      </c>
      <c r="G340" s="2211">
        <v>5000000</v>
      </c>
      <c r="H340" s="2211" t="s">
        <v>3965</v>
      </c>
      <c r="I340" s="18" t="s">
        <v>3492</v>
      </c>
      <c r="J340" s="2211">
        <f t="shared" si="36"/>
        <v>5000000</v>
      </c>
      <c r="K340" s="2211">
        <f t="shared" si="37"/>
        <v>0</v>
      </c>
      <c r="L340" s="2265"/>
    </row>
    <row r="341" spans="1:14" ht="30" customHeight="1" x14ac:dyDescent="0.2">
      <c r="A341" s="2267">
        <v>239</v>
      </c>
      <c r="B341" s="2265" t="s">
        <v>98</v>
      </c>
      <c r="C341" s="2236" t="s">
        <v>372</v>
      </c>
      <c r="D341" s="2211">
        <v>50000000</v>
      </c>
      <c r="E341" s="2263">
        <v>0.05</v>
      </c>
      <c r="F341" s="2211">
        <f t="shared" si="29"/>
        <v>2500000</v>
      </c>
      <c r="G341" s="2211">
        <v>2500000</v>
      </c>
      <c r="H341" s="2211" t="s">
        <v>4043</v>
      </c>
      <c r="I341" s="21" t="s">
        <v>1876</v>
      </c>
      <c r="J341" s="2211">
        <f t="shared" si="36"/>
        <v>2500000</v>
      </c>
      <c r="K341" s="2211">
        <f t="shared" si="37"/>
        <v>0</v>
      </c>
      <c r="L341" s="2265"/>
    </row>
    <row r="342" spans="1:14" ht="30" customHeight="1" x14ac:dyDescent="0.2">
      <c r="A342" s="2200">
        <v>240</v>
      </c>
      <c r="B342" s="2261" t="s">
        <v>2274</v>
      </c>
      <c r="C342" s="345" t="s">
        <v>990</v>
      </c>
      <c r="D342" s="2209">
        <v>100000000</v>
      </c>
      <c r="E342" s="2206">
        <v>0.04</v>
      </c>
      <c r="F342" s="2209">
        <f t="shared" si="29"/>
        <v>4000000</v>
      </c>
      <c r="G342" s="2211">
        <v>4000000</v>
      </c>
      <c r="H342" s="2211" t="s">
        <v>4134</v>
      </c>
      <c r="I342" s="21" t="s">
        <v>3776</v>
      </c>
      <c r="J342" s="2211">
        <f t="shared" si="36"/>
        <v>4000000</v>
      </c>
      <c r="K342" s="2211">
        <f t="shared" si="37"/>
        <v>0</v>
      </c>
      <c r="L342" s="2290"/>
    </row>
    <row r="343" spans="1:14" ht="30" customHeight="1" x14ac:dyDescent="0.2">
      <c r="A343" s="7879">
        <v>241</v>
      </c>
      <c r="B343" s="7717" t="s">
        <v>559</v>
      </c>
      <c r="C343" s="7873" t="s">
        <v>1796</v>
      </c>
      <c r="D343" s="2199">
        <v>20000000</v>
      </c>
      <c r="E343" s="2263">
        <v>7.0000000000000007E-2</v>
      </c>
      <c r="F343" s="2199">
        <f>D343*E343</f>
        <v>1400000.0000000002</v>
      </c>
      <c r="G343" s="7563"/>
      <c r="H343" s="7563"/>
      <c r="I343" s="7772" t="s">
        <v>557</v>
      </c>
      <c r="J343" s="7563">
        <f t="shared" si="36"/>
        <v>0</v>
      </c>
      <c r="K343" s="7563">
        <f>(F343+F344)-J343</f>
        <v>2300000</v>
      </c>
      <c r="L343" s="7672"/>
    </row>
    <row r="344" spans="1:14" ht="30" customHeight="1" x14ac:dyDescent="0.2">
      <c r="A344" s="7879"/>
      <c r="B344" s="7717"/>
      <c r="C344" s="7873"/>
      <c r="D344" s="2199">
        <v>10000000</v>
      </c>
      <c r="E344" s="2263">
        <v>0.09</v>
      </c>
      <c r="F344" s="2199">
        <f>D344*E344</f>
        <v>900000</v>
      </c>
      <c r="G344" s="7564"/>
      <c r="H344" s="7564"/>
      <c r="I344" s="7773"/>
      <c r="J344" s="7564"/>
      <c r="K344" s="7564"/>
      <c r="L344" s="7562"/>
    </row>
    <row r="345" spans="1:14" ht="30" customHeight="1" x14ac:dyDescent="0.2">
      <c r="A345" s="2267">
        <v>242</v>
      </c>
      <c r="B345" s="2265" t="s">
        <v>100</v>
      </c>
      <c r="C345" s="2236" t="s">
        <v>1652</v>
      </c>
      <c r="D345" s="2211">
        <v>140000000</v>
      </c>
      <c r="E345" s="2208">
        <v>4.4999999999999998E-2</v>
      </c>
      <c r="F345" s="2211">
        <f t="shared" si="29"/>
        <v>6300000</v>
      </c>
      <c r="G345" s="2211">
        <v>6300000</v>
      </c>
      <c r="H345" s="2211" t="s">
        <v>3965</v>
      </c>
      <c r="I345" s="21" t="s">
        <v>3493</v>
      </c>
      <c r="J345" s="2211">
        <f>G345</f>
        <v>6300000</v>
      </c>
      <c r="K345" s="2211">
        <f t="shared" ref="K345:K357" si="38">F345-J345</f>
        <v>0</v>
      </c>
      <c r="L345" s="2290"/>
    </row>
    <row r="346" spans="1:14" ht="30" customHeight="1" x14ac:dyDescent="0.2">
      <c r="A346" s="2267">
        <v>243</v>
      </c>
      <c r="B346" s="19" t="s">
        <v>507</v>
      </c>
      <c r="C346" s="2264" t="s">
        <v>262</v>
      </c>
      <c r="D346" s="2199">
        <v>20000000</v>
      </c>
      <c r="E346" s="2263">
        <v>0.04</v>
      </c>
      <c r="F346" s="2199">
        <f>D346*E346</f>
        <v>800000</v>
      </c>
      <c r="G346" s="2199">
        <v>800000</v>
      </c>
      <c r="H346" s="2199" t="s">
        <v>3993</v>
      </c>
      <c r="I346" s="2199" t="s">
        <v>3564</v>
      </c>
      <c r="J346" s="2199">
        <f>G346</f>
        <v>800000</v>
      </c>
      <c r="K346" s="2199">
        <f t="shared" si="38"/>
        <v>0</v>
      </c>
      <c r="L346" s="2290"/>
      <c r="M346" s="248"/>
      <c r="N346" s="248"/>
    </row>
    <row r="347" spans="1:14" ht="30" customHeight="1" x14ac:dyDescent="0.2">
      <c r="A347" s="2267">
        <v>244</v>
      </c>
      <c r="B347" s="2204" t="s">
        <v>101</v>
      </c>
      <c r="C347" s="2236" t="s">
        <v>372</v>
      </c>
      <c r="D347" s="2211">
        <v>50000000</v>
      </c>
      <c r="E347" s="2263">
        <v>0.05</v>
      </c>
      <c r="F347" s="2211">
        <f t="shared" si="29"/>
        <v>2500000</v>
      </c>
      <c r="G347" s="2211">
        <v>2500000</v>
      </c>
      <c r="H347" s="2211" t="s">
        <v>3993</v>
      </c>
      <c r="I347" s="21" t="s">
        <v>3530</v>
      </c>
      <c r="J347" s="2211">
        <f>G347</f>
        <v>2500000</v>
      </c>
      <c r="K347" s="2211">
        <f t="shared" si="38"/>
        <v>0</v>
      </c>
      <c r="L347" s="2265"/>
    </row>
    <row r="348" spans="1:14" ht="30" customHeight="1" x14ac:dyDescent="0.2">
      <c r="A348" s="2267">
        <v>245</v>
      </c>
      <c r="B348" s="2265" t="s">
        <v>4058</v>
      </c>
      <c r="C348" s="2236" t="s">
        <v>262</v>
      </c>
      <c r="D348" s="2211">
        <v>70000000</v>
      </c>
      <c r="E348" s="2263">
        <v>0.05</v>
      </c>
      <c r="F348" s="2211">
        <f t="shared" si="29"/>
        <v>3500000</v>
      </c>
      <c r="G348" s="2211">
        <v>3500000</v>
      </c>
      <c r="H348" s="2211" t="s">
        <v>4060</v>
      </c>
      <c r="I348" s="2239" t="s">
        <v>4064</v>
      </c>
      <c r="J348" s="2211">
        <f>G348</f>
        <v>3500000</v>
      </c>
      <c r="K348" s="2211">
        <f t="shared" si="38"/>
        <v>0</v>
      </c>
      <c r="L348" s="2269" t="s">
        <v>4056</v>
      </c>
    </row>
    <row r="349" spans="1:14" ht="30" customHeight="1" x14ac:dyDescent="0.2">
      <c r="A349" s="2267">
        <v>246</v>
      </c>
      <c r="B349" s="2265" t="s">
        <v>103</v>
      </c>
      <c r="C349" s="2236" t="s">
        <v>262</v>
      </c>
      <c r="D349" s="2211">
        <v>85000000</v>
      </c>
      <c r="E349" s="2263">
        <v>5.0999999999999997E-2</v>
      </c>
      <c r="F349" s="2211">
        <v>4300000</v>
      </c>
      <c r="G349" s="2211">
        <v>4300000</v>
      </c>
      <c r="H349" s="2211" t="s">
        <v>4043</v>
      </c>
      <c r="I349" s="27" t="s">
        <v>2864</v>
      </c>
      <c r="J349" s="2211">
        <f t="shared" ref="J349:J358" si="39">G349</f>
        <v>4300000</v>
      </c>
      <c r="K349" s="2211">
        <f t="shared" si="38"/>
        <v>0</v>
      </c>
      <c r="L349" s="2265"/>
    </row>
    <row r="350" spans="1:14" ht="30" customHeight="1" x14ac:dyDescent="0.2">
      <c r="A350" s="2267">
        <v>247</v>
      </c>
      <c r="B350" s="2265" t="s">
        <v>104</v>
      </c>
      <c r="C350" s="2236" t="s">
        <v>262</v>
      </c>
      <c r="D350" s="2211">
        <v>220000000</v>
      </c>
      <c r="E350" s="2263">
        <v>7.0000000000000007E-2</v>
      </c>
      <c r="F350" s="2211">
        <f t="shared" si="29"/>
        <v>15400000.000000002</v>
      </c>
      <c r="G350" s="2211">
        <v>15400000</v>
      </c>
      <c r="H350" s="2211" t="s">
        <v>4043</v>
      </c>
      <c r="I350" s="21" t="s">
        <v>4090</v>
      </c>
      <c r="J350" s="2211">
        <f t="shared" si="39"/>
        <v>15400000</v>
      </c>
      <c r="K350" s="2211">
        <f t="shared" si="38"/>
        <v>0</v>
      </c>
      <c r="L350" s="2290" t="s">
        <v>340</v>
      </c>
      <c r="M350" s="858"/>
      <c r="N350" s="859"/>
    </row>
    <row r="351" spans="1:14" ht="30" customHeight="1" x14ac:dyDescent="0.2">
      <c r="A351" s="7654">
        <v>250</v>
      </c>
      <c r="B351" s="7652" t="s">
        <v>107</v>
      </c>
      <c r="C351" s="7723"/>
      <c r="D351" s="2211">
        <v>200000000</v>
      </c>
      <c r="E351" s="2263">
        <v>0.04</v>
      </c>
      <c r="F351" s="2211">
        <f t="shared" si="29"/>
        <v>8000000</v>
      </c>
      <c r="G351" s="8088" t="s">
        <v>2889</v>
      </c>
      <c r="H351" s="8089"/>
      <c r="I351" s="8089"/>
      <c r="J351" s="8090"/>
      <c r="K351" s="2211">
        <f t="shared" si="38"/>
        <v>8000000</v>
      </c>
      <c r="L351" s="2265"/>
    </row>
    <row r="352" spans="1:14" ht="30" customHeight="1" x14ac:dyDescent="0.2">
      <c r="A352" s="7656"/>
      <c r="B352" s="7665"/>
      <c r="C352" s="7747"/>
      <c r="D352" s="2211">
        <v>110000000</v>
      </c>
      <c r="E352" s="2263">
        <v>0.05</v>
      </c>
      <c r="F352" s="2211">
        <f t="shared" si="29"/>
        <v>5500000</v>
      </c>
      <c r="G352" s="7732" t="s">
        <v>3687</v>
      </c>
      <c r="H352" s="7733"/>
      <c r="I352" s="7733"/>
      <c r="J352" s="7734"/>
      <c r="K352" s="2211">
        <f t="shared" si="38"/>
        <v>5500000</v>
      </c>
      <c r="L352" s="2281"/>
    </row>
    <row r="353" spans="1:15" ht="30" customHeight="1" x14ac:dyDescent="0.2">
      <c r="A353" s="7656"/>
      <c r="B353" s="7665"/>
      <c r="C353" s="7747"/>
      <c r="D353" s="2211">
        <v>26500000</v>
      </c>
      <c r="E353" s="2263"/>
      <c r="F353" s="2211"/>
      <c r="G353" s="7732" t="s">
        <v>4359</v>
      </c>
      <c r="H353" s="7733"/>
      <c r="I353" s="7733"/>
      <c r="J353" s="7734"/>
      <c r="K353" s="2211"/>
      <c r="L353" s="2281"/>
    </row>
    <row r="354" spans="1:15" ht="30" customHeight="1" x14ac:dyDescent="0.2">
      <c r="A354" s="7655"/>
      <c r="B354" s="7653"/>
      <c r="C354" s="7724"/>
      <c r="D354" s="2211">
        <v>100000000</v>
      </c>
      <c r="E354" s="2263"/>
      <c r="F354" s="2211"/>
      <c r="G354" s="7732" t="s">
        <v>4360</v>
      </c>
      <c r="H354" s="7733"/>
      <c r="I354" s="7733"/>
      <c r="J354" s="7734"/>
      <c r="K354" s="2211"/>
      <c r="L354" s="2281"/>
    </row>
    <row r="355" spans="1:15" ht="30" customHeight="1" x14ac:dyDescent="0.2">
      <c r="A355" s="7654">
        <v>251</v>
      </c>
      <c r="B355" s="7703" t="s">
        <v>1830</v>
      </c>
      <c r="C355" s="7723" t="s">
        <v>371</v>
      </c>
      <c r="D355" s="2595">
        <v>90000000</v>
      </c>
      <c r="E355" s="2606">
        <v>0.06</v>
      </c>
      <c r="F355" s="2595">
        <f t="shared" si="29"/>
        <v>5400000</v>
      </c>
      <c r="G355" s="2595">
        <v>5400000</v>
      </c>
      <c r="H355" s="2595" t="s">
        <v>4036</v>
      </c>
      <c r="I355" s="21" t="s">
        <v>2838</v>
      </c>
      <c r="J355" s="2597">
        <f t="shared" si="39"/>
        <v>5400000</v>
      </c>
      <c r="K355" s="2597">
        <f t="shared" si="38"/>
        <v>0</v>
      </c>
      <c r="L355" s="2281"/>
    </row>
    <row r="356" spans="1:15" ht="30" customHeight="1" x14ac:dyDescent="0.2">
      <c r="A356" s="7655"/>
      <c r="B356" s="7705"/>
      <c r="C356" s="7724"/>
      <c r="D356" s="2597">
        <v>100000000</v>
      </c>
      <c r="E356" s="2598">
        <v>7.0000000000000007E-2</v>
      </c>
      <c r="F356" s="2597">
        <f>D356*E356</f>
        <v>7000000.0000000009</v>
      </c>
      <c r="G356" s="7732" t="s">
        <v>4644</v>
      </c>
      <c r="H356" s="7733"/>
      <c r="I356" s="7733"/>
      <c r="J356" s="7734"/>
      <c r="K356" s="2597"/>
      <c r="L356" s="2602"/>
    </row>
    <row r="357" spans="1:15" ht="30" customHeight="1" x14ac:dyDescent="0.2">
      <c r="A357" s="2267">
        <v>252</v>
      </c>
      <c r="B357" s="2204" t="s">
        <v>109</v>
      </c>
      <c r="C357" s="2236" t="s">
        <v>262</v>
      </c>
      <c r="D357" s="2211">
        <v>270000000</v>
      </c>
      <c r="E357" s="2208">
        <v>0.05</v>
      </c>
      <c r="F357" s="2211">
        <f>D357*E357</f>
        <v>13500000</v>
      </c>
      <c r="G357" s="2211">
        <v>13500000</v>
      </c>
      <c r="H357" s="2211" t="s">
        <v>4016</v>
      </c>
      <c r="I357" s="21" t="s">
        <v>1810</v>
      </c>
      <c r="J357" s="2211">
        <f t="shared" si="39"/>
        <v>13500000</v>
      </c>
      <c r="K357" s="2211">
        <f t="shared" si="38"/>
        <v>0</v>
      </c>
      <c r="L357" s="2203"/>
    </row>
    <row r="358" spans="1:15" ht="30" customHeight="1" x14ac:dyDescent="0.2">
      <c r="A358" s="7654">
        <v>253</v>
      </c>
      <c r="B358" s="7652" t="s">
        <v>110</v>
      </c>
      <c r="C358" s="7723" t="s">
        <v>262</v>
      </c>
      <c r="D358" s="2211">
        <v>20000000</v>
      </c>
      <c r="E358" s="2263">
        <v>0.05</v>
      </c>
      <c r="F358" s="2211">
        <f t="shared" si="29"/>
        <v>1000000</v>
      </c>
      <c r="G358" s="7563">
        <v>2000000</v>
      </c>
      <c r="H358" s="7563" t="s">
        <v>4016</v>
      </c>
      <c r="I358" s="7775" t="s">
        <v>3538</v>
      </c>
      <c r="J358" s="7563">
        <f t="shared" si="39"/>
        <v>2000000</v>
      </c>
      <c r="K358" s="7563">
        <f>(F358+F359)-J358</f>
        <v>0</v>
      </c>
      <c r="L358" s="2281" t="s">
        <v>1855</v>
      </c>
      <c r="M358" s="1175"/>
      <c r="N358" s="1175"/>
      <c r="O358" s="1175"/>
    </row>
    <row r="359" spans="1:15" ht="30" customHeight="1" x14ac:dyDescent="0.2">
      <c r="A359" s="7655"/>
      <c r="B359" s="7653"/>
      <c r="C359" s="7724"/>
      <c r="D359" s="2211">
        <v>20000000</v>
      </c>
      <c r="E359" s="2263">
        <v>0.05</v>
      </c>
      <c r="F359" s="2211">
        <f t="shared" si="29"/>
        <v>1000000</v>
      </c>
      <c r="G359" s="7564"/>
      <c r="H359" s="7564"/>
      <c r="I359" s="7777"/>
      <c r="J359" s="7564"/>
      <c r="K359" s="7564"/>
      <c r="L359" s="2281" t="s">
        <v>1869</v>
      </c>
      <c r="M359" s="248"/>
      <c r="N359" s="248"/>
      <c r="O359" s="248"/>
    </row>
    <row r="360" spans="1:15" ht="30" customHeight="1" x14ac:dyDescent="0.2">
      <c r="A360" s="2200">
        <v>254</v>
      </c>
      <c r="B360" s="2261" t="s">
        <v>1893</v>
      </c>
      <c r="C360" s="2264" t="s">
        <v>371</v>
      </c>
      <c r="D360" s="2211">
        <v>175000000</v>
      </c>
      <c r="E360" s="2263">
        <v>0.05</v>
      </c>
      <c r="F360" s="2211">
        <f t="shared" si="29"/>
        <v>8750000</v>
      </c>
      <c r="G360" s="2199">
        <v>8960000</v>
      </c>
      <c r="H360" s="2199" t="s">
        <v>4074</v>
      </c>
      <c r="I360" s="2199" t="s">
        <v>2946</v>
      </c>
      <c r="J360" s="2211">
        <f>G360</f>
        <v>8960000</v>
      </c>
      <c r="K360" s="2211">
        <f>F360-J360</f>
        <v>-210000</v>
      </c>
      <c r="L360" s="2281" t="s">
        <v>3952</v>
      </c>
      <c r="M360" s="1662"/>
      <c r="N360" s="1662"/>
      <c r="O360" s="1662"/>
    </row>
    <row r="361" spans="1:15" ht="30" customHeight="1" x14ac:dyDescent="0.2">
      <c r="A361" s="2267">
        <v>255</v>
      </c>
      <c r="B361" s="2265" t="s">
        <v>112</v>
      </c>
      <c r="C361" s="2236" t="s">
        <v>262</v>
      </c>
      <c r="D361" s="2211">
        <v>40000000</v>
      </c>
      <c r="E361" s="2263">
        <v>0.05</v>
      </c>
      <c r="F361" s="2211">
        <f t="shared" si="29"/>
        <v>2000000</v>
      </c>
      <c r="G361" s="2211">
        <v>2000000</v>
      </c>
      <c r="H361" s="2211" t="s">
        <v>4074</v>
      </c>
      <c r="I361" s="18" t="s">
        <v>3539</v>
      </c>
      <c r="J361" s="2211">
        <f>G361</f>
        <v>2000000</v>
      </c>
      <c r="K361" s="2211">
        <f>F361-J361</f>
        <v>0</v>
      </c>
      <c r="L361" s="2265"/>
    </row>
    <row r="362" spans="1:15" ht="30" customHeight="1" x14ac:dyDescent="0.2">
      <c r="A362" s="2267">
        <v>256</v>
      </c>
      <c r="B362" s="2265" t="s">
        <v>113</v>
      </c>
      <c r="C362" s="2236" t="s">
        <v>371</v>
      </c>
      <c r="D362" s="2211">
        <v>100000000</v>
      </c>
      <c r="E362" s="2263">
        <v>0.05</v>
      </c>
      <c r="F362" s="2211">
        <f t="shared" si="29"/>
        <v>5000000</v>
      </c>
      <c r="G362" s="2211">
        <v>5000000</v>
      </c>
      <c r="H362" s="2211" t="s">
        <v>4016</v>
      </c>
      <c r="I362" s="18" t="s">
        <v>331</v>
      </c>
      <c r="J362" s="2211">
        <f>G362</f>
        <v>5000000</v>
      </c>
      <c r="K362" s="2211">
        <f>F362-J362</f>
        <v>0</v>
      </c>
      <c r="L362" s="2265"/>
    </row>
    <row r="363" spans="1:15" ht="30" customHeight="1" x14ac:dyDescent="0.2">
      <c r="A363" s="2267">
        <v>257</v>
      </c>
      <c r="B363" s="2265" t="s">
        <v>114</v>
      </c>
      <c r="C363" s="2236" t="s">
        <v>1292</v>
      </c>
      <c r="D363" s="2211">
        <v>30000000</v>
      </c>
      <c r="E363" s="2263">
        <v>0.05</v>
      </c>
      <c r="F363" s="2211">
        <f t="shared" si="29"/>
        <v>1500000</v>
      </c>
      <c r="G363" s="2211">
        <v>1500000</v>
      </c>
      <c r="H363" s="2211" t="s">
        <v>4060</v>
      </c>
      <c r="I363" s="21" t="s">
        <v>482</v>
      </c>
      <c r="J363" s="2211">
        <f>G363</f>
        <v>1500000</v>
      </c>
      <c r="K363" s="2211">
        <f>F363-J363</f>
        <v>0</v>
      </c>
      <c r="L363" s="2265"/>
    </row>
    <row r="364" spans="1:15" ht="30" customHeight="1" x14ac:dyDescent="0.2">
      <c r="A364" s="2267">
        <v>258</v>
      </c>
      <c r="B364" s="2265" t="s">
        <v>849</v>
      </c>
      <c r="C364" s="2236" t="s">
        <v>262</v>
      </c>
      <c r="D364" s="2211">
        <v>12000000</v>
      </c>
      <c r="E364" s="2263">
        <v>0.05</v>
      </c>
      <c r="F364" s="2211">
        <f t="shared" si="29"/>
        <v>600000</v>
      </c>
      <c r="G364" s="7563">
        <v>1600000</v>
      </c>
      <c r="H364" s="7563" t="s">
        <v>4074</v>
      </c>
      <c r="I364" s="7772" t="s">
        <v>475</v>
      </c>
      <c r="J364" s="7563">
        <f>G364</f>
        <v>1600000</v>
      </c>
      <c r="K364" s="7563">
        <f>(F364+F365)-J364</f>
        <v>0</v>
      </c>
      <c r="L364" s="7703"/>
    </row>
    <row r="365" spans="1:15" ht="30" customHeight="1" x14ac:dyDescent="0.2">
      <c r="A365" s="2267">
        <v>259</v>
      </c>
      <c r="B365" s="2265" t="s">
        <v>156</v>
      </c>
      <c r="C365" s="2236" t="s">
        <v>262</v>
      </c>
      <c r="D365" s="2211">
        <v>20000000</v>
      </c>
      <c r="E365" s="2263">
        <v>0.05</v>
      </c>
      <c r="F365" s="2211">
        <f>D365*E365</f>
        <v>1000000</v>
      </c>
      <c r="G365" s="7564"/>
      <c r="H365" s="7564"/>
      <c r="I365" s="7773"/>
      <c r="J365" s="7564"/>
      <c r="K365" s="7564"/>
      <c r="L365" s="7705"/>
    </row>
    <row r="366" spans="1:15" ht="30" customHeight="1" x14ac:dyDescent="0.2">
      <c r="A366" s="7654">
        <v>261</v>
      </c>
      <c r="B366" s="7652" t="s">
        <v>117</v>
      </c>
      <c r="C366" s="2236" t="s">
        <v>1300</v>
      </c>
      <c r="D366" s="2211">
        <v>10500000</v>
      </c>
      <c r="E366" s="2263">
        <v>0.05</v>
      </c>
      <c r="F366" s="2211">
        <f t="shared" si="29"/>
        <v>525000</v>
      </c>
      <c r="G366" s="2199"/>
      <c r="H366" s="2199"/>
      <c r="I366" s="18" t="s">
        <v>3671</v>
      </c>
      <c r="J366" s="2199">
        <f t="shared" ref="J366:J371" si="40">G366</f>
        <v>0</v>
      </c>
      <c r="K366" s="2211">
        <f>F366-J366</f>
        <v>525000</v>
      </c>
      <c r="L366" s="2281"/>
    </row>
    <row r="367" spans="1:15" ht="30" customHeight="1" x14ac:dyDescent="0.2">
      <c r="A367" s="7656"/>
      <c r="B367" s="7665"/>
      <c r="C367" s="2236" t="s">
        <v>3323</v>
      </c>
      <c r="D367" s="2211">
        <v>10000000</v>
      </c>
      <c r="E367" s="2263">
        <v>7.0000000000000007E-2</v>
      </c>
      <c r="F367" s="2211">
        <f>D367*E367</f>
        <v>700000.00000000012</v>
      </c>
      <c r="G367" s="2199"/>
      <c r="H367" s="2199"/>
      <c r="I367" s="18" t="s">
        <v>414</v>
      </c>
      <c r="J367" s="2199">
        <f t="shared" si="40"/>
        <v>0</v>
      </c>
      <c r="K367" s="2211"/>
      <c r="L367" s="2248"/>
    </row>
    <row r="368" spans="1:15" ht="30" customHeight="1" x14ac:dyDescent="0.2">
      <c r="A368" s="7656"/>
      <c r="B368" s="7665"/>
      <c r="C368" s="2236" t="s">
        <v>262</v>
      </c>
      <c r="D368" s="2211">
        <v>5000000</v>
      </c>
      <c r="E368" s="2263">
        <v>7.0000000000000007E-2</v>
      </c>
      <c r="F368" s="2211">
        <f>D368*E368</f>
        <v>350000.00000000006</v>
      </c>
      <c r="G368" s="2199"/>
      <c r="H368" s="2199"/>
      <c r="I368" s="18" t="s">
        <v>414</v>
      </c>
      <c r="J368" s="2199">
        <f t="shared" si="40"/>
        <v>0</v>
      </c>
      <c r="K368" s="2211">
        <f>F368-J368</f>
        <v>350000.00000000006</v>
      </c>
      <c r="L368" s="2248"/>
    </row>
    <row r="369" spans="1:15" ht="30" customHeight="1" x14ac:dyDescent="0.2">
      <c r="A369" s="7655"/>
      <c r="B369" s="7653"/>
      <c r="C369" s="2236"/>
      <c r="D369" s="2211"/>
      <c r="E369" s="2263"/>
      <c r="F369" s="2211"/>
      <c r="G369" s="2199"/>
      <c r="H369" s="2199"/>
      <c r="I369" s="18" t="s">
        <v>3671</v>
      </c>
      <c r="J369" s="2199">
        <f t="shared" si="40"/>
        <v>0</v>
      </c>
      <c r="K369" s="2211"/>
      <c r="L369" s="2248"/>
    </row>
    <row r="370" spans="1:15" ht="30" customHeight="1" x14ac:dyDescent="0.2">
      <c r="A370" s="2267">
        <v>263</v>
      </c>
      <c r="B370" s="19" t="s">
        <v>572</v>
      </c>
      <c r="C370" s="2264"/>
      <c r="D370" s="2199">
        <v>105000000</v>
      </c>
      <c r="E370" s="2263">
        <v>5.8000000000000003E-2</v>
      </c>
      <c r="F370" s="2199">
        <v>6000000</v>
      </c>
      <c r="G370" s="2199">
        <v>6000000</v>
      </c>
      <c r="H370" s="2199" t="s">
        <v>4043</v>
      </c>
      <c r="I370" s="2199" t="s">
        <v>451</v>
      </c>
      <c r="J370" s="2199">
        <f t="shared" si="40"/>
        <v>6000000</v>
      </c>
      <c r="K370" s="2199">
        <f>F370-J370</f>
        <v>0</v>
      </c>
      <c r="L370" s="2245" t="s">
        <v>3478</v>
      </c>
    </row>
    <row r="371" spans="1:15" ht="30" customHeight="1" x14ac:dyDescent="0.2">
      <c r="A371" s="2202">
        <v>264</v>
      </c>
      <c r="B371" s="2204" t="s">
        <v>119</v>
      </c>
      <c r="C371" s="2236" t="s">
        <v>262</v>
      </c>
      <c r="D371" s="2211">
        <v>50000000</v>
      </c>
      <c r="E371" s="2208">
        <f>F371/D371</f>
        <v>0.06</v>
      </c>
      <c r="F371" s="2211">
        <v>3000000</v>
      </c>
      <c r="G371" s="2211">
        <v>3000000</v>
      </c>
      <c r="H371" s="2227" t="s">
        <v>4016</v>
      </c>
      <c r="I371" s="24" t="s">
        <v>3563</v>
      </c>
      <c r="J371" s="2211">
        <f t="shared" si="40"/>
        <v>3000000</v>
      </c>
      <c r="K371" s="2211">
        <f>F371-J371</f>
        <v>0</v>
      </c>
      <c r="L371" s="2281" t="s">
        <v>3860</v>
      </c>
    </row>
    <row r="372" spans="1:15" ht="30" customHeight="1" x14ac:dyDescent="0.2">
      <c r="A372" s="7654">
        <v>265</v>
      </c>
      <c r="B372" s="7717" t="s">
        <v>121</v>
      </c>
      <c r="C372" s="7873" t="s">
        <v>262</v>
      </c>
      <c r="D372" s="7563">
        <v>1000000000</v>
      </c>
      <c r="E372" s="7659">
        <v>7.0000000000000007E-2</v>
      </c>
      <c r="F372" s="7563">
        <f>D372*E372</f>
        <v>70000000</v>
      </c>
      <c r="G372" s="2199">
        <v>30000000</v>
      </c>
      <c r="H372" s="2199" t="s">
        <v>3965</v>
      </c>
      <c r="I372" s="2199" t="s">
        <v>3290</v>
      </c>
      <c r="J372" s="7563">
        <f>G372+G373</f>
        <v>70000000</v>
      </c>
      <c r="K372" s="7563">
        <f>F372-J372</f>
        <v>0</v>
      </c>
      <c r="L372" s="2245" t="s">
        <v>3283</v>
      </c>
    </row>
    <row r="373" spans="1:15" ht="30" customHeight="1" x14ac:dyDescent="0.2">
      <c r="A373" s="7656"/>
      <c r="B373" s="7717"/>
      <c r="C373" s="7873"/>
      <c r="D373" s="7564"/>
      <c r="E373" s="7660"/>
      <c r="F373" s="7564"/>
      <c r="G373" s="2199">
        <v>40000000</v>
      </c>
      <c r="H373" s="2199" t="s">
        <v>4016</v>
      </c>
      <c r="I373" s="2199" t="s">
        <v>3290</v>
      </c>
      <c r="J373" s="7564"/>
      <c r="K373" s="7564"/>
      <c r="L373" s="1540"/>
    </row>
    <row r="374" spans="1:15" ht="30" customHeight="1" x14ac:dyDescent="0.2">
      <c r="A374" s="2267">
        <v>266</v>
      </c>
      <c r="B374" s="2204" t="s">
        <v>1918</v>
      </c>
      <c r="C374" s="2236"/>
      <c r="D374" s="2211">
        <v>80000000</v>
      </c>
      <c r="E374" s="2208">
        <v>4.4999999999999998E-2</v>
      </c>
      <c r="F374" s="2211">
        <f t="shared" ref="F374:F440" si="41">D374*E374</f>
        <v>3600000</v>
      </c>
      <c r="G374" s="2211">
        <v>3600000</v>
      </c>
      <c r="H374" s="2211" t="s">
        <v>4060</v>
      </c>
      <c r="I374" s="18" t="s">
        <v>4065</v>
      </c>
      <c r="J374" s="2211">
        <f>G374</f>
        <v>3600000</v>
      </c>
      <c r="K374" s="2211">
        <f>F374-J374</f>
        <v>0</v>
      </c>
      <c r="L374" s="2265"/>
    </row>
    <row r="375" spans="1:15" ht="30" customHeight="1" x14ac:dyDescent="0.2">
      <c r="A375" s="7654">
        <v>267</v>
      </c>
      <c r="B375" s="7652" t="s">
        <v>497</v>
      </c>
      <c r="C375" s="7723" t="s">
        <v>371</v>
      </c>
      <c r="D375" s="7563">
        <v>300000000</v>
      </c>
      <c r="E375" s="7659">
        <v>0.04</v>
      </c>
      <c r="F375" s="7563">
        <f>D375*E375</f>
        <v>12000000</v>
      </c>
      <c r="G375" s="7563">
        <v>12000000</v>
      </c>
      <c r="H375" s="7563" t="s">
        <v>4043</v>
      </c>
      <c r="I375" s="7563" t="s">
        <v>3579</v>
      </c>
      <c r="J375" s="7563">
        <f>G375</f>
        <v>12000000</v>
      </c>
      <c r="K375" s="7563">
        <f>F375-J375</f>
        <v>0</v>
      </c>
      <c r="L375" s="2245" t="s">
        <v>2891</v>
      </c>
    </row>
    <row r="376" spans="1:15" ht="30" customHeight="1" x14ac:dyDescent="0.2">
      <c r="A376" s="7655"/>
      <c r="B376" s="7653"/>
      <c r="C376" s="7724"/>
      <c r="D376" s="7564"/>
      <c r="E376" s="7660"/>
      <c r="F376" s="7564"/>
      <c r="G376" s="7564"/>
      <c r="H376" s="7564"/>
      <c r="I376" s="7564"/>
      <c r="J376" s="7564"/>
      <c r="K376" s="7564"/>
      <c r="L376" s="2245" t="s">
        <v>3380</v>
      </c>
    </row>
    <row r="377" spans="1:15" ht="30" customHeight="1" x14ac:dyDescent="0.2">
      <c r="A377" s="2267">
        <v>268</v>
      </c>
      <c r="B377" s="2265" t="s">
        <v>391</v>
      </c>
      <c r="C377" s="2236" t="s">
        <v>392</v>
      </c>
      <c r="D377" s="2211">
        <v>130000000</v>
      </c>
      <c r="E377" s="2263">
        <v>4.4999999999999998E-2</v>
      </c>
      <c r="F377" s="2211">
        <f t="shared" si="41"/>
        <v>5850000</v>
      </c>
      <c r="G377" s="2211">
        <v>5850000</v>
      </c>
      <c r="H377" s="2211" t="s">
        <v>4043</v>
      </c>
      <c r="I377" s="18" t="s">
        <v>3518</v>
      </c>
      <c r="J377" s="2211">
        <f>G377</f>
        <v>5850000</v>
      </c>
      <c r="K377" s="2211">
        <f>F377-J377</f>
        <v>0</v>
      </c>
      <c r="L377" s="2265"/>
    </row>
    <row r="378" spans="1:15" ht="30" customHeight="1" x14ac:dyDescent="0.2">
      <c r="A378" s="2267">
        <v>269</v>
      </c>
      <c r="B378" s="2265" t="s">
        <v>123</v>
      </c>
      <c r="C378" s="2236" t="s">
        <v>262</v>
      </c>
      <c r="D378" s="2211">
        <v>300000000</v>
      </c>
      <c r="E378" s="2263">
        <v>0.05</v>
      </c>
      <c r="F378" s="2211">
        <f t="shared" si="41"/>
        <v>15000000</v>
      </c>
      <c r="G378" s="2211">
        <v>15000000</v>
      </c>
      <c r="H378" s="2211" t="s">
        <v>4016</v>
      </c>
      <c r="I378" s="21" t="s">
        <v>3546</v>
      </c>
      <c r="J378" s="2211">
        <f>G378</f>
        <v>15000000</v>
      </c>
      <c r="K378" s="2211">
        <f>F378-J378</f>
        <v>0</v>
      </c>
      <c r="L378" s="2265"/>
    </row>
    <row r="379" spans="1:15" ht="30" customHeight="1" x14ac:dyDescent="0.2">
      <c r="A379" s="2267">
        <v>270</v>
      </c>
      <c r="B379" s="2265" t="s">
        <v>124</v>
      </c>
      <c r="C379" s="2236"/>
      <c r="D379" s="2211">
        <v>20000000</v>
      </c>
      <c r="E379" s="2263">
        <v>5.5E-2</v>
      </c>
      <c r="F379" s="2211">
        <f t="shared" si="41"/>
        <v>1100000</v>
      </c>
      <c r="G379" s="2211">
        <v>1000000</v>
      </c>
      <c r="H379" s="2211" t="s">
        <v>4074</v>
      </c>
      <c r="I379" s="21" t="s">
        <v>492</v>
      </c>
      <c r="J379" s="2211">
        <f>G379</f>
        <v>1000000</v>
      </c>
      <c r="K379" s="2211">
        <f>F379-J379</f>
        <v>100000</v>
      </c>
      <c r="L379" s="2290" t="s">
        <v>4081</v>
      </c>
    </row>
    <row r="380" spans="1:15" ht="30" customHeight="1" x14ac:dyDescent="0.2">
      <c r="A380" s="7654">
        <v>271</v>
      </c>
      <c r="B380" s="7652" t="s">
        <v>125</v>
      </c>
      <c r="C380" s="2264" t="s">
        <v>359</v>
      </c>
      <c r="D380" s="2199">
        <v>40000000</v>
      </c>
      <c r="E380" s="2263">
        <v>5.5E-2</v>
      </c>
      <c r="F380" s="2199">
        <f t="shared" si="41"/>
        <v>2200000</v>
      </c>
      <c r="G380" s="2199">
        <v>2200000</v>
      </c>
      <c r="H380" s="2199" t="s">
        <v>4060</v>
      </c>
      <c r="I380" s="18" t="s">
        <v>3573</v>
      </c>
      <c r="J380" s="2199">
        <f>G380</f>
        <v>2200000</v>
      </c>
      <c r="K380" s="2199">
        <f>F380-J380</f>
        <v>0</v>
      </c>
      <c r="L380" s="2265"/>
    </row>
    <row r="381" spans="1:15" ht="30" customHeight="1" x14ac:dyDescent="0.2">
      <c r="A381" s="7656"/>
      <c r="B381" s="7665"/>
      <c r="C381" s="7723" t="s">
        <v>1796</v>
      </c>
      <c r="D381" s="2211">
        <v>10000000</v>
      </c>
      <c r="E381" s="2208">
        <v>0.04</v>
      </c>
      <c r="F381" s="2211">
        <f t="shared" si="41"/>
        <v>400000</v>
      </c>
      <c r="G381" s="7563">
        <v>900000</v>
      </c>
      <c r="H381" s="7563" t="s">
        <v>4188</v>
      </c>
      <c r="I381" s="7563" t="s">
        <v>503</v>
      </c>
      <c r="J381" s="7563">
        <f>G381</f>
        <v>900000</v>
      </c>
      <c r="K381" s="7563">
        <f>(F381+F382)-J381</f>
        <v>0</v>
      </c>
      <c r="L381" s="8000" t="s">
        <v>4261</v>
      </c>
      <c r="M381" s="2058"/>
      <c r="N381" s="2058"/>
      <c r="O381" s="2058"/>
    </row>
    <row r="382" spans="1:15" ht="30" customHeight="1" x14ac:dyDescent="0.2">
      <c r="A382" s="7655"/>
      <c r="B382" s="7653"/>
      <c r="C382" s="7724"/>
      <c r="D382" s="2211">
        <v>10000000</v>
      </c>
      <c r="E382" s="2208">
        <v>0.05</v>
      </c>
      <c r="F382" s="2211">
        <f t="shared" si="41"/>
        <v>500000</v>
      </c>
      <c r="G382" s="7564"/>
      <c r="H382" s="7564"/>
      <c r="I382" s="7564"/>
      <c r="J382" s="7564"/>
      <c r="K382" s="7564"/>
      <c r="L382" s="8000"/>
      <c r="M382" s="248"/>
      <c r="N382" s="248"/>
      <c r="O382" s="248"/>
    </row>
    <row r="383" spans="1:15" ht="30" customHeight="1" x14ac:dyDescent="0.2">
      <c r="A383" s="7654"/>
      <c r="B383" s="7717" t="s">
        <v>2524</v>
      </c>
      <c r="C383" s="7723" t="s">
        <v>1287</v>
      </c>
      <c r="D383" s="2282">
        <v>495000000</v>
      </c>
      <c r="E383" s="2292">
        <v>5.5E-2</v>
      </c>
      <c r="F383" s="2282">
        <f>D383*E383</f>
        <v>27225000</v>
      </c>
      <c r="G383" s="8040" t="s">
        <v>3673</v>
      </c>
      <c r="H383" s="8040"/>
      <c r="I383" s="8040"/>
      <c r="J383" s="8040"/>
      <c r="K383" s="7563">
        <f>F387-J387</f>
        <v>-15000</v>
      </c>
      <c r="L383" s="7818" t="s">
        <v>3952</v>
      </c>
    </row>
    <row r="384" spans="1:15" ht="30" customHeight="1" x14ac:dyDescent="0.2">
      <c r="A384" s="7656"/>
      <c r="B384" s="7717"/>
      <c r="C384" s="7747"/>
      <c r="D384" s="2282">
        <v>65000000</v>
      </c>
      <c r="E384" s="2292">
        <v>0.06</v>
      </c>
      <c r="F384" s="2282">
        <f>D384*E384</f>
        <v>3900000</v>
      </c>
      <c r="G384" s="8040"/>
      <c r="H384" s="8040"/>
      <c r="I384" s="8040"/>
      <c r="J384" s="8040"/>
      <c r="K384" s="7586"/>
      <c r="L384" s="7855"/>
    </row>
    <row r="385" spans="1:12" ht="30" customHeight="1" x14ac:dyDescent="0.2">
      <c r="A385" s="7656"/>
      <c r="B385" s="7717"/>
      <c r="C385" s="7747"/>
      <c r="D385" s="2282">
        <v>246000000</v>
      </c>
      <c r="E385" s="2292">
        <v>0.06</v>
      </c>
      <c r="F385" s="2282">
        <f>D385*E385</f>
        <v>14760000</v>
      </c>
      <c r="G385" s="8040"/>
      <c r="H385" s="8040"/>
      <c r="I385" s="8040"/>
      <c r="J385" s="8040"/>
      <c r="K385" s="7586"/>
      <c r="L385" s="7855"/>
    </row>
    <row r="386" spans="1:12" ht="30" customHeight="1" x14ac:dyDescent="0.2">
      <c r="A386" s="7656"/>
      <c r="B386" s="7717"/>
      <c r="C386" s="7747"/>
      <c r="D386" s="8004" t="s">
        <v>1787</v>
      </c>
      <c r="E386" s="8005"/>
      <c r="F386" s="2282">
        <v>1300000</v>
      </c>
      <c r="G386" s="8040"/>
      <c r="H386" s="8040"/>
      <c r="I386" s="8040"/>
      <c r="J386" s="8040"/>
      <c r="K386" s="7586"/>
      <c r="L386" s="7855"/>
    </row>
    <row r="387" spans="1:12" ht="30" customHeight="1" x14ac:dyDescent="0.2">
      <c r="A387" s="7656"/>
      <c r="B387" s="7717"/>
      <c r="C387" s="7747"/>
      <c r="D387" s="8063">
        <f>D383+D384+D385</f>
        <v>806000000</v>
      </c>
      <c r="E387" s="8065"/>
      <c r="F387" s="7559">
        <f>F383+F384+F385+F386</f>
        <v>47185000</v>
      </c>
      <c r="G387" s="18">
        <v>20000000</v>
      </c>
      <c r="H387" s="18" t="s">
        <v>4043</v>
      </c>
      <c r="I387" s="18" t="s">
        <v>4049</v>
      </c>
      <c r="J387" s="7772">
        <f>G387+G388</f>
        <v>47200000</v>
      </c>
      <c r="K387" s="7586"/>
      <c r="L387" s="7855"/>
    </row>
    <row r="388" spans="1:12" ht="30" customHeight="1" x14ac:dyDescent="0.2">
      <c r="A388" s="7656"/>
      <c r="B388" s="7717"/>
      <c r="C388" s="7747"/>
      <c r="D388" s="8066"/>
      <c r="E388" s="8068"/>
      <c r="F388" s="7560"/>
      <c r="G388" s="18">
        <v>27200000</v>
      </c>
      <c r="H388" s="18" t="s">
        <v>4074</v>
      </c>
      <c r="I388" s="18" t="s">
        <v>815</v>
      </c>
      <c r="J388" s="7773"/>
      <c r="K388" s="7564"/>
      <c r="L388" s="7819"/>
    </row>
    <row r="389" spans="1:12" ht="30" customHeight="1" x14ac:dyDescent="0.2">
      <c r="A389" s="2267">
        <v>273</v>
      </c>
      <c r="B389" s="2265" t="s">
        <v>127</v>
      </c>
      <c r="C389" s="2264" t="s">
        <v>1291</v>
      </c>
      <c r="D389" s="2211">
        <v>20000000</v>
      </c>
      <c r="E389" s="2263">
        <v>0.05</v>
      </c>
      <c r="F389" s="2211">
        <f t="shared" si="41"/>
        <v>1000000</v>
      </c>
      <c r="G389" s="2211">
        <v>1000000</v>
      </c>
      <c r="H389" s="2211" t="s">
        <v>4060</v>
      </c>
      <c r="I389" s="21" t="s">
        <v>3663</v>
      </c>
      <c r="J389" s="2211">
        <f>G389</f>
        <v>1000000</v>
      </c>
      <c r="K389" s="2211">
        <f>F389-J389</f>
        <v>0</v>
      </c>
      <c r="L389" s="2265"/>
    </row>
    <row r="390" spans="1:12" ht="30" customHeight="1" x14ac:dyDescent="0.2">
      <c r="A390" s="7654">
        <v>274</v>
      </c>
      <c r="B390" s="2261" t="s">
        <v>128</v>
      </c>
      <c r="C390" s="345"/>
      <c r="D390" s="2211">
        <v>50000000</v>
      </c>
      <c r="E390" s="2263">
        <v>0.05</v>
      </c>
      <c r="F390" s="2211">
        <f>D390*E390</f>
        <v>2500000</v>
      </c>
      <c r="G390" s="7954" t="s">
        <v>5039</v>
      </c>
      <c r="H390" s="7955"/>
      <c r="I390" s="7955"/>
      <c r="J390" s="7956"/>
      <c r="K390" s="2211">
        <f>F390-J390</f>
        <v>2500000</v>
      </c>
      <c r="L390" s="162"/>
    </row>
    <row r="391" spans="1:12" ht="30" customHeight="1" x14ac:dyDescent="0.2">
      <c r="A391" s="7655"/>
      <c r="B391" s="2262"/>
      <c r="C391" s="710"/>
      <c r="D391" s="2211">
        <v>50000000</v>
      </c>
      <c r="E391" s="2263">
        <v>0.05</v>
      </c>
      <c r="F391" s="2211">
        <f>D391*E391</f>
        <v>2500000</v>
      </c>
      <c r="G391" s="233"/>
      <c r="H391" s="233"/>
      <c r="I391" s="233"/>
      <c r="J391" s="233"/>
      <c r="K391" s="2211"/>
      <c r="L391" s="2290" t="s">
        <v>3385</v>
      </c>
    </row>
    <row r="392" spans="1:12" ht="30" customHeight="1" x14ac:dyDescent="0.2">
      <c r="A392" s="2267">
        <v>275</v>
      </c>
      <c r="B392" s="2265" t="s">
        <v>129</v>
      </c>
      <c r="C392" s="2236" t="s">
        <v>1291</v>
      </c>
      <c r="D392" s="2211">
        <v>130000000</v>
      </c>
      <c r="E392" s="2263">
        <v>0.05</v>
      </c>
      <c r="F392" s="2211">
        <f t="shared" si="41"/>
        <v>6500000</v>
      </c>
      <c r="G392" s="2211">
        <v>6500000</v>
      </c>
      <c r="H392" s="2211" t="s">
        <v>4074</v>
      </c>
      <c r="I392" s="21" t="s">
        <v>2184</v>
      </c>
      <c r="J392" s="2211">
        <f>G392</f>
        <v>6500000</v>
      </c>
      <c r="K392" s="2211">
        <f>F392-J392</f>
        <v>0</v>
      </c>
      <c r="L392" s="2265"/>
    </row>
    <row r="393" spans="1:12" ht="30" customHeight="1" x14ac:dyDescent="0.2">
      <c r="A393" s="7654">
        <v>276</v>
      </c>
      <c r="B393" s="7652" t="s">
        <v>130</v>
      </c>
      <c r="C393" s="7723"/>
      <c r="D393" s="7563">
        <v>95000000</v>
      </c>
      <c r="E393" s="7659">
        <v>5.2999999999999999E-2</v>
      </c>
      <c r="F393" s="7563">
        <v>5000000</v>
      </c>
      <c r="G393" s="2211">
        <v>500000</v>
      </c>
      <c r="H393" s="2211" t="s">
        <v>4144</v>
      </c>
      <c r="I393" s="21" t="s">
        <v>3503</v>
      </c>
      <c r="J393" s="7563">
        <f>G393+G394</f>
        <v>5000000</v>
      </c>
      <c r="K393" s="7563">
        <f>F393-J393</f>
        <v>0</v>
      </c>
      <c r="L393" s="7703"/>
    </row>
    <row r="394" spans="1:12" ht="30" customHeight="1" x14ac:dyDescent="0.2">
      <c r="A394" s="7655"/>
      <c r="B394" s="7653"/>
      <c r="C394" s="7724"/>
      <c r="D394" s="7564"/>
      <c r="E394" s="7660"/>
      <c r="F394" s="7564"/>
      <c r="G394" s="2211">
        <v>4500000</v>
      </c>
      <c r="H394" s="2211" t="s">
        <v>4159</v>
      </c>
      <c r="I394" s="21" t="s">
        <v>3503</v>
      </c>
      <c r="J394" s="7564"/>
      <c r="K394" s="7564"/>
      <c r="L394" s="7705"/>
    </row>
    <row r="395" spans="1:12" ht="30" customHeight="1" x14ac:dyDescent="0.2">
      <c r="A395" s="2267">
        <v>277</v>
      </c>
      <c r="B395" s="2265" t="s">
        <v>131</v>
      </c>
      <c r="C395" s="2236" t="s">
        <v>2849</v>
      </c>
      <c r="D395" s="2211">
        <v>200000000</v>
      </c>
      <c r="E395" s="2263">
        <v>0.05</v>
      </c>
      <c r="F395" s="2211">
        <f t="shared" si="41"/>
        <v>10000000</v>
      </c>
      <c r="G395" s="2211">
        <v>10000000</v>
      </c>
      <c r="H395" s="2211" t="s">
        <v>4060</v>
      </c>
      <c r="I395" s="21" t="s">
        <v>4070</v>
      </c>
      <c r="J395" s="2211">
        <f>G395</f>
        <v>10000000</v>
      </c>
      <c r="K395" s="2211">
        <f>F395-J395</f>
        <v>0</v>
      </c>
      <c r="L395" s="2265"/>
    </row>
    <row r="396" spans="1:12" ht="30" customHeight="1" x14ac:dyDescent="0.2">
      <c r="A396" s="7654">
        <v>278</v>
      </c>
      <c r="B396" s="7652" t="s">
        <v>620</v>
      </c>
      <c r="C396" s="7723" t="s">
        <v>3007</v>
      </c>
      <c r="D396" s="7563">
        <v>10000000</v>
      </c>
      <c r="E396" s="7659">
        <v>0.04</v>
      </c>
      <c r="F396" s="7563">
        <f>D396*E396</f>
        <v>400000</v>
      </c>
      <c r="G396" s="2199">
        <v>5000000</v>
      </c>
      <c r="H396" s="2199" t="s">
        <v>3920</v>
      </c>
      <c r="I396" s="2260" t="s">
        <v>2066</v>
      </c>
      <c r="J396" s="7563">
        <f>G396+G397</f>
        <v>10000000</v>
      </c>
      <c r="K396" s="7563">
        <f>D397-J396</f>
        <v>-10000000</v>
      </c>
      <c r="L396" s="7818" t="s">
        <v>4032</v>
      </c>
    </row>
    <row r="397" spans="1:12" ht="30" customHeight="1" x14ac:dyDescent="0.2">
      <c r="A397" s="7656"/>
      <c r="B397" s="7665"/>
      <c r="C397" s="7747"/>
      <c r="D397" s="7564"/>
      <c r="E397" s="7660"/>
      <c r="F397" s="7564"/>
      <c r="G397" s="2199">
        <v>5000000</v>
      </c>
      <c r="H397" s="2199" t="s">
        <v>3993</v>
      </c>
      <c r="I397" s="2260" t="s">
        <v>2066</v>
      </c>
      <c r="J397" s="7564"/>
      <c r="K397" s="7564"/>
      <c r="L397" s="7819"/>
    </row>
    <row r="398" spans="1:12" ht="30" customHeight="1" x14ac:dyDescent="0.2">
      <c r="A398" s="7656"/>
      <c r="B398" s="7665"/>
      <c r="C398" s="7747"/>
      <c r="D398" s="2211">
        <v>10000000</v>
      </c>
      <c r="E398" s="7880" t="s">
        <v>4345</v>
      </c>
      <c r="F398" s="7881"/>
      <c r="G398" s="7563">
        <v>1585000</v>
      </c>
      <c r="H398" s="7563" t="s">
        <v>4074</v>
      </c>
      <c r="I398" s="7561" t="s">
        <v>2066</v>
      </c>
      <c r="J398" s="7563">
        <f>G398</f>
        <v>1585000</v>
      </c>
      <c r="K398" s="7563">
        <v>0</v>
      </c>
      <c r="L398" s="7818" t="s">
        <v>4077</v>
      </c>
    </row>
    <row r="399" spans="1:12" ht="30" customHeight="1" x14ac:dyDescent="0.2">
      <c r="A399" s="7655"/>
      <c r="B399" s="7653"/>
      <c r="C399" s="7724"/>
      <c r="D399" s="2211">
        <v>30000000</v>
      </c>
      <c r="E399" s="2263">
        <v>4.4999999999999998E-2</v>
      </c>
      <c r="F399" s="2211">
        <f>D399*E399</f>
        <v>1350000</v>
      </c>
      <c r="G399" s="7564"/>
      <c r="H399" s="7564"/>
      <c r="I399" s="7562"/>
      <c r="J399" s="7564"/>
      <c r="K399" s="7564"/>
      <c r="L399" s="7819"/>
    </row>
    <row r="400" spans="1:12" ht="30" customHeight="1" x14ac:dyDescent="0.2">
      <c r="A400" s="2267">
        <v>279</v>
      </c>
      <c r="B400" s="2265" t="s">
        <v>132</v>
      </c>
      <c r="C400" s="2236" t="s">
        <v>402</v>
      </c>
      <c r="D400" s="2211">
        <v>11000000</v>
      </c>
      <c r="E400" s="2263">
        <v>4.4999999999999998E-2</v>
      </c>
      <c r="F400" s="2211">
        <v>500000</v>
      </c>
      <c r="G400" s="2211">
        <v>500000</v>
      </c>
      <c r="H400" s="2211" t="s">
        <v>4016</v>
      </c>
      <c r="I400" s="21" t="s">
        <v>3670</v>
      </c>
      <c r="J400" s="2211">
        <f>G400</f>
        <v>500000</v>
      </c>
      <c r="K400" s="2211">
        <f>F400-J400</f>
        <v>0</v>
      </c>
      <c r="L400" s="2265"/>
    </row>
    <row r="401" spans="1:12" ht="30" customHeight="1" x14ac:dyDescent="0.2">
      <c r="A401" s="2267">
        <v>280</v>
      </c>
      <c r="B401" s="1949" t="s">
        <v>458</v>
      </c>
      <c r="C401" s="378"/>
      <c r="D401" s="2199">
        <v>20000000</v>
      </c>
      <c r="E401" s="2263">
        <v>0.05</v>
      </c>
      <c r="F401" s="2199">
        <f t="shared" si="41"/>
        <v>1000000</v>
      </c>
      <c r="G401" s="2199">
        <v>1000000</v>
      </c>
      <c r="H401" s="2199" t="s">
        <v>4107</v>
      </c>
      <c r="I401" s="2199" t="s">
        <v>3756</v>
      </c>
      <c r="J401" s="2199">
        <f>G401</f>
        <v>1000000</v>
      </c>
      <c r="K401" s="2199">
        <f>F401-J401</f>
        <v>0</v>
      </c>
      <c r="L401" s="1024" t="s">
        <v>3097</v>
      </c>
    </row>
    <row r="402" spans="1:12" ht="30" customHeight="1" x14ac:dyDescent="0.2">
      <c r="A402" s="2202">
        <v>281</v>
      </c>
      <c r="B402" s="2261" t="s">
        <v>133</v>
      </c>
      <c r="C402" s="2236" t="s">
        <v>1290</v>
      </c>
      <c r="D402" s="2211">
        <v>40000000</v>
      </c>
      <c r="E402" s="2208">
        <v>0.05</v>
      </c>
      <c r="F402" s="2211">
        <f t="shared" si="41"/>
        <v>2000000</v>
      </c>
      <c r="G402" s="2211">
        <v>2000000</v>
      </c>
      <c r="H402" s="2211" t="s">
        <v>4060</v>
      </c>
      <c r="I402" s="2211" t="s">
        <v>3679</v>
      </c>
      <c r="J402" s="2211">
        <f>G402</f>
        <v>2000000</v>
      </c>
      <c r="K402" s="2211">
        <f>F402-J402</f>
        <v>0</v>
      </c>
      <c r="L402" s="2265"/>
    </row>
    <row r="403" spans="1:12" ht="30" customHeight="1" x14ac:dyDescent="0.2">
      <c r="A403" s="2267">
        <v>282</v>
      </c>
      <c r="B403" s="2265" t="s">
        <v>1024</v>
      </c>
      <c r="C403" s="2236"/>
      <c r="D403" s="2211">
        <v>20000000</v>
      </c>
      <c r="E403" s="2263">
        <v>0.04</v>
      </c>
      <c r="F403" s="2211">
        <f t="shared" si="41"/>
        <v>800000</v>
      </c>
      <c r="G403" s="2211">
        <v>800000</v>
      </c>
      <c r="H403" s="2211" t="s">
        <v>4043</v>
      </c>
      <c r="I403" s="2257" t="s">
        <v>2453</v>
      </c>
      <c r="J403" s="2211">
        <f>G403</f>
        <v>800000</v>
      </c>
      <c r="K403" s="2211">
        <f>F403-J403</f>
        <v>0</v>
      </c>
      <c r="L403" s="2265"/>
    </row>
    <row r="404" spans="1:12" ht="30" customHeight="1" x14ac:dyDescent="0.2">
      <c r="A404" s="7654"/>
      <c r="B404" s="7652" t="s">
        <v>134</v>
      </c>
      <c r="C404" s="2264" t="s">
        <v>1294</v>
      </c>
      <c r="D404" s="2211">
        <f>40823000+3800000</f>
        <v>44623000</v>
      </c>
      <c r="E404" s="2208">
        <v>0.05</v>
      </c>
      <c r="F404" s="2211">
        <f>D404*E404</f>
        <v>2231150</v>
      </c>
      <c r="G404" s="2199">
        <v>2231150</v>
      </c>
      <c r="H404" s="2199" t="s">
        <v>4074</v>
      </c>
      <c r="I404" s="2199" t="s">
        <v>630</v>
      </c>
      <c r="J404" s="2209">
        <f>G404</f>
        <v>2231150</v>
      </c>
      <c r="K404" s="2209">
        <f>F404-J404</f>
        <v>0</v>
      </c>
      <c r="L404" s="763" t="s">
        <v>3667</v>
      </c>
    </row>
    <row r="405" spans="1:12" ht="30" customHeight="1" x14ac:dyDescent="0.2">
      <c r="A405" s="7655"/>
      <c r="B405" s="7653"/>
      <c r="C405" s="2235"/>
      <c r="D405" s="2211">
        <f>D404+5488000</f>
        <v>50111000</v>
      </c>
      <c r="E405" s="2208">
        <v>0.05</v>
      </c>
      <c r="F405" s="2211">
        <f>D405*E405</f>
        <v>2505550</v>
      </c>
      <c r="G405" s="2228"/>
      <c r="H405" s="2246"/>
      <c r="I405" s="2246"/>
      <c r="J405" s="2229"/>
      <c r="K405" s="2209"/>
      <c r="L405" s="763" t="s">
        <v>4245</v>
      </c>
    </row>
    <row r="406" spans="1:12" ht="30" customHeight="1" x14ac:dyDescent="0.2">
      <c r="A406" s="2201"/>
      <c r="B406" s="2205" t="s">
        <v>4246</v>
      </c>
      <c r="C406" s="2235"/>
      <c r="D406" s="2211">
        <v>67000000</v>
      </c>
      <c r="E406" s="2208">
        <v>0.05</v>
      </c>
      <c r="F406" s="2211">
        <f>D406*E406</f>
        <v>3350000</v>
      </c>
      <c r="G406" s="2228"/>
      <c r="H406" s="2246"/>
      <c r="I406" s="2246"/>
      <c r="J406" s="2229"/>
      <c r="K406" s="2209"/>
      <c r="L406" s="763" t="s">
        <v>4247</v>
      </c>
    </row>
    <row r="407" spans="1:12" ht="30" customHeight="1" x14ac:dyDescent="0.2">
      <c r="A407" s="7654"/>
      <c r="B407" s="7703" t="s">
        <v>1158</v>
      </c>
      <c r="C407" s="7723"/>
      <c r="D407" s="2273">
        <v>100000000</v>
      </c>
      <c r="E407" s="1929">
        <v>4.4999999999999998E-2</v>
      </c>
      <c r="F407" s="1542">
        <f t="shared" si="41"/>
        <v>4500000</v>
      </c>
      <c r="G407" s="7991" t="s">
        <v>3778</v>
      </c>
      <c r="H407" s="7992"/>
      <c r="I407" s="7992"/>
      <c r="J407" s="7993"/>
      <c r="K407" s="7563"/>
      <c r="L407" s="763" t="s">
        <v>3782</v>
      </c>
    </row>
    <row r="408" spans="1:12" ht="30" customHeight="1" x14ac:dyDescent="0.2">
      <c r="A408" s="7656"/>
      <c r="B408" s="7704"/>
      <c r="C408" s="7747"/>
      <c r="D408" s="2273">
        <v>60000000</v>
      </c>
      <c r="E408" s="1929">
        <v>0.05</v>
      </c>
      <c r="F408" s="1542">
        <f t="shared" si="41"/>
        <v>3000000</v>
      </c>
      <c r="G408" s="7994"/>
      <c r="H408" s="7995"/>
      <c r="I408" s="7995"/>
      <c r="J408" s="7996"/>
      <c r="K408" s="7586"/>
      <c r="L408" s="1336"/>
    </row>
    <row r="409" spans="1:12" ht="30" customHeight="1" x14ac:dyDescent="0.2">
      <c r="A409" s="7656"/>
      <c r="B409" s="7704"/>
      <c r="C409" s="7747"/>
      <c r="D409" s="2273">
        <v>30000000</v>
      </c>
      <c r="E409" s="1929">
        <v>0.05</v>
      </c>
      <c r="F409" s="1542">
        <f t="shared" si="41"/>
        <v>1500000</v>
      </c>
      <c r="G409" s="7994"/>
      <c r="H409" s="7995"/>
      <c r="I409" s="7995"/>
      <c r="J409" s="7996"/>
      <c r="K409" s="7586"/>
      <c r="L409" s="763" t="s">
        <v>3780</v>
      </c>
    </row>
    <row r="410" spans="1:12" ht="30" customHeight="1" x14ac:dyDescent="0.2">
      <c r="A410" s="7656"/>
      <c r="B410" s="7704"/>
      <c r="C410" s="7747"/>
      <c r="D410" s="2273">
        <v>40000000</v>
      </c>
      <c r="E410" s="1929">
        <v>0.05</v>
      </c>
      <c r="F410" s="1542">
        <f t="shared" si="41"/>
        <v>2000000</v>
      </c>
      <c r="G410" s="7997"/>
      <c r="H410" s="7998"/>
      <c r="I410" s="7998"/>
      <c r="J410" s="7999"/>
      <c r="K410" s="7564"/>
      <c r="L410" s="522" t="s">
        <v>3779</v>
      </c>
    </row>
    <row r="411" spans="1:12" ht="30" customHeight="1" x14ac:dyDescent="0.2">
      <c r="A411" s="7655"/>
      <c r="B411" s="7705"/>
      <c r="C411" s="7724"/>
      <c r="D411" s="2273"/>
      <c r="E411" s="1929"/>
      <c r="F411" s="1542">
        <f>SUM(F407:F410)</f>
        <v>11000000</v>
      </c>
      <c r="G411" s="2211">
        <v>11000000</v>
      </c>
      <c r="H411" s="2199" t="s">
        <v>4060</v>
      </c>
      <c r="I411" s="2199" t="s">
        <v>2219</v>
      </c>
      <c r="J411" s="2199">
        <f>G411</f>
        <v>11000000</v>
      </c>
      <c r="K411" s="2211">
        <f>F411-J411</f>
        <v>0</v>
      </c>
      <c r="L411" s="522"/>
    </row>
    <row r="412" spans="1:12" ht="30" customHeight="1" x14ac:dyDescent="0.2">
      <c r="A412" s="2267">
        <v>285</v>
      </c>
      <c r="B412" s="2265" t="s">
        <v>135</v>
      </c>
      <c r="C412" s="2236" t="s">
        <v>2278</v>
      </c>
      <c r="D412" s="2211">
        <v>100000000</v>
      </c>
      <c r="E412" s="2263">
        <v>7.0000000000000007E-2</v>
      </c>
      <c r="F412" s="2211">
        <f t="shared" si="41"/>
        <v>7000000.0000000009</v>
      </c>
      <c r="G412" s="2211">
        <v>7000000</v>
      </c>
      <c r="H412" s="2211" t="s">
        <v>4074</v>
      </c>
      <c r="I412" s="21" t="s">
        <v>3023</v>
      </c>
      <c r="J412" s="2211">
        <f>G412</f>
        <v>7000000</v>
      </c>
      <c r="K412" s="2211">
        <f>F412-J412</f>
        <v>0</v>
      </c>
      <c r="L412" s="2265"/>
    </row>
    <row r="413" spans="1:12" ht="30" customHeight="1" x14ac:dyDescent="0.2">
      <c r="A413" s="2200">
        <v>286</v>
      </c>
      <c r="B413" s="2261" t="s">
        <v>1622</v>
      </c>
      <c r="C413" s="2264"/>
      <c r="D413" s="2199">
        <v>35000000</v>
      </c>
      <c r="E413" s="1027">
        <v>0.05</v>
      </c>
      <c r="F413" s="2199">
        <v>1700000</v>
      </c>
      <c r="G413" s="2199">
        <v>1700000</v>
      </c>
      <c r="H413" s="2199" t="s">
        <v>3965</v>
      </c>
      <c r="I413" s="18" t="s">
        <v>307</v>
      </c>
      <c r="J413" s="2199">
        <f>G413</f>
        <v>1700000</v>
      </c>
      <c r="K413" s="2199">
        <f>F413-J413</f>
        <v>0</v>
      </c>
      <c r="L413" s="2220"/>
    </row>
    <row r="414" spans="1:12" ht="30" customHeight="1" x14ac:dyDescent="0.2">
      <c r="A414" s="7654">
        <v>287</v>
      </c>
      <c r="B414" s="7652" t="s">
        <v>137</v>
      </c>
      <c r="C414" s="7723"/>
      <c r="D414" s="2211">
        <v>15000000</v>
      </c>
      <c r="E414" s="2208">
        <v>0.05</v>
      </c>
      <c r="F414" s="2211">
        <f t="shared" si="41"/>
        <v>750000</v>
      </c>
      <c r="G414" s="7563">
        <v>3000000</v>
      </c>
      <c r="H414" s="7563" t="s">
        <v>4074</v>
      </c>
      <c r="I414" s="7561" t="s">
        <v>2979</v>
      </c>
      <c r="J414" s="7563">
        <f>G414+G415</f>
        <v>3000000</v>
      </c>
      <c r="K414" s="7563">
        <f>(F414+F415)-J414</f>
        <v>0</v>
      </c>
      <c r="L414" s="7657"/>
    </row>
    <row r="415" spans="1:12" ht="30" customHeight="1" x14ac:dyDescent="0.2">
      <c r="A415" s="7655"/>
      <c r="B415" s="7653"/>
      <c r="C415" s="7724"/>
      <c r="D415" s="2211">
        <v>45000000</v>
      </c>
      <c r="E415" s="2208">
        <v>0.05</v>
      </c>
      <c r="F415" s="2211">
        <f t="shared" si="41"/>
        <v>2250000</v>
      </c>
      <c r="G415" s="7564"/>
      <c r="H415" s="7564"/>
      <c r="I415" s="7562"/>
      <c r="J415" s="7564"/>
      <c r="K415" s="7564"/>
      <c r="L415" s="7658"/>
    </row>
    <row r="416" spans="1:12" ht="30" customHeight="1" x14ac:dyDescent="0.2">
      <c r="A416" s="2267">
        <v>288</v>
      </c>
      <c r="B416" s="2265" t="s">
        <v>138</v>
      </c>
      <c r="C416" s="2236" t="s">
        <v>1289</v>
      </c>
      <c r="D416" s="2211">
        <v>50000000</v>
      </c>
      <c r="E416" s="2263">
        <v>4.4999999999999998E-2</v>
      </c>
      <c r="F416" s="2211">
        <f t="shared" si="41"/>
        <v>2250000</v>
      </c>
      <c r="G416" s="2211">
        <v>2250000</v>
      </c>
      <c r="H416" s="2211" t="s">
        <v>4074</v>
      </c>
      <c r="I416" s="21" t="s">
        <v>2083</v>
      </c>
      <c r="J416" s="2211">
        <f t="shared" ref="J416:J421" si="42">G416</f>
        <v>2250000</v>
      </c>
      <c r="K416" s="2211">
        <f>F416-J416</f>
        <v>0</v>
      </c>
      <c r="L416" s="2265"/>
    </row>
    <row r="417" spans="1:12" ht="30" customHeight="1" x14ac:dyDescent="0.2">
      <c r="A417" s="2267">
        <v>289</v>
      </c>
      <c r="B417" s="2265" t="s">
        <v>637</v>
      </c>
      <c r="C417" s="2236" t="s">
        <v>1299</v>
      </c>
      <c r="D417" s="2211">
        <v>25000000</v>
      </c>
      <c r="E417" s="2263">
        <v>5.3999999999999999E-2</v>
      </c>
      <c r="F417" s="2211">
        <f t="shared" si="41"/>
        <v>1350000</v>
      </c>
      <c r="G417" s="2211">
        <v>1350000</v>
      </c>
      <c r="H417" s="2211" t="s">
        <v>4107</v>
      </c>
      <c r="I417" s="18" t="s">
        <v>638</v>
      </c>
      <c r="J417" s="2211">
        <f t="shared" si="42"/>
        <v>1350000</v>
      </c>
      <c r="K417" s="2211">
        <f>F417-J417</f>
        <v>0</v>
      </c>
      <c r="L417" s="2265"/>
    </row>
    <row r="418" spans="1:12" ht="30" customHeight="1" x14ac:dyDescent="0.2">
      <c r="A418" s="2200">
        <v>290</v>
      </c>
      <c r="B418" s="2261" t="s">
        <v>3848</v>
      </c>
      <c r="C418" s="2236" t="s">
        <v>1288</v>
      </c>
      <c r="D418" s="2211">
        <v>1150000000</v>
      </c>
      <c r="E418" s="2263">
        <v>7.0000000000000007E-2</v>
      </c>
      <c r="F418" s="2211">
        <f>D418*E418</f>
        <v>80500000.000000015</v>
      </c>
      <c r="G418" s="2199">
        <v>80500000</v>
      </c>
      <c r="H418" s="2199" t="s">
        <v>3025</v>
      </c>
      <c r="I418" s="2199" t="s">
        <v>4095</v>
      </c>
      <c r="J418" s="2199">
        <f>G418</f>
        <v>80500000</v>
      </c>
      <c r="K418" s="2211">
        <f>F418-J418</f>
        <v>0</v>
      </c>
      <c r="L418" s="2254" t="s">
        <v>3859</v>
      </c>
    </row>
    <row r="419" spans="1:12" ht="30" customHeight="1" x14ac:dyDescent="0.2">
      <c r="A419" s="2267">
        <v>292</v>
      </c>
      <c r="B419" s="2265" t="s">
        <v>140</v>
      </c>
      <c r="C419" s="2264" t="s">
        <v>1299</v>
      </c>
      <c r="D419" s="2211">
        <v>100000000</v>
      </c>
      <c r="E419" s="2263">
        <v>0.05</v>
      </c>
      <c r="F419" s="2211">
        <f t="shared" si="41"/>
        <v>5000000</v>
      </c>
      <c r="G419" s="2211"/>
      <c r="H419" s="2211"/>
      <c r="I419" s="65" t="s">
        <v>2567</v>
      </c>
      <c r="J419" s="2211">
        <f t="shared" si="42"/>
        <v>0</v>
      </c>
      <c r="K419" s="2211">
        <f>F419-J419</f>
        <v>5000000</v>
      </c>
      <c r="L419" s="2265"/>
    </row>
    <row r="420" spans="1:12" ht="30" customHeight="1" x14ac:dyDescent="0.2">
      <c r="A420" s="2267">
        <v>293</v>
      </c>
      <c r="B420" s="2265" t="s">
        <v>141</v>
      </c>
      <c r="C420" s="2236" t="s">
        <v>1299</v>
      </c>
      <c r="D420" s="2211">
        <v>75000000</v>
      </c>
      <c r="E420" s="2263">
        <v>0.04</v>
      </c>
      <c r="F420" s="2211">
        <f>D420*E420</f>
        <v>3000000</v>
      </c>
      <c r="G420" s="2211">
        <v>3000000</v>
      </c>
      <c r="H420" s="2211" t="s">
        <v>4107</v>
      </c>
      <c r="I420" s="18" t="s">
        <v>725</v>
      </c>
      <c r="J420" s="2211">
        <f t="shared" si="42"/>
        <v>3000000</v>
      </c>
      <c r="K420" s="2211">
        <f>F420-J420</f>
        <v>0</v>
      </c>
      <c r="L420" s="2265"/>
    </row>
    <row r="421" spans="1:12" ht="30" customHeight="1" x14ac:dyDescent="0.2">
      <c r="A421" s="7654">
        <v>295</v>
      </c>
      <c r="B421" s="2261" t="s">
        <v>142</v>
      </c>
      <c r="C421" s="7723" t="s">
        <v>1299</v>
      </c>
      <c r="D421" s="2211">
        <v>100000000</v>
      </c>
      <c r="E421" s="2263">
        <v>0.05</v>
      </c>
      <c r="F421" s="2211">
        <f t="shared" si="41"/>
        <v>5000000</v>
      </c>
      <c r="G421" s="7563">
        <v>5000000</v>
      </c>
      <c r="H421" s="7563" t="s">
        <v>3025</v>
      </c>
      <c r="I421" s="7563" t="s">
        <v>4084</v>
      </c>
      <c r="J421" s="7563">
        <f t="shared" si="42"/>
        <v>5000000</v>
      </c>
      <c r="K421" s="7563">
        <f>(F421+F422)-G421</f>
        <v>500000</v>
      </c>
      <c r="L421" s="7757"/>
    </row>
    <row r="422" spans="1:12" ht="30" customHeight="1" x14ac:dyDescent="0.2">
      <c r="A422" s="7655"/>
      <c r="B422" s="2265" t="s">
        <v>707</v>
      </c>
      <c r="C422" s="7724"/>
      <c r="D422" s="2211">
        <v>10000000</v>
      </c>
      <c r="E422" s="2263">
        <v>0.05</v>
      </c>
      <c r="F422" s="2211">
        <f>D422*E422</f>
        <v>500000</v>
      </c>
      <c r="G422" s="7564"/>
      <c r="H422" s="7564"/>
      <c r="I422" s="7564"/>
      <c r="J422" s="7564"/>
      <c r="K422" s="7564"/>
      <c r="L422" s="7758"/>
    </row>
    <row r="423" spans="1:12" ht="30" customHeight="1" x14ac:dyDescent="0.2">
      <c r="A423" s="2267">
        <v>296</v>
      </c>
      <c r="B423" s="2265" t="s">
        <v>143</v>
      </c>
      <c r="C423" s="2236" t="s">
        <v>1306</v>
      </c>
      <c r="D423" s="2211">
        <v>35000000</v>
      </c>
      <c r="E423" s="2263">
        <v>0.04</v>
      </c>
      <c r="F423" s="2211">
        <f t="shared" si="41"/>
        <v>1400000</v>
      </c>
      <c r="G423" s="2211">
        <v>1400000</v>
      </c>
      <c r="H423" s="2211" t="s">
        <v>4107</v>
      </c>
      <c r="I423" s="21" t="s">
        <v>1109</v>
      </c>
      <c r="J423" s="2211">
        <f>G423</f>
        <v>1400000</v>
      </c>
      <c r="K423" s="2211">
        <f>F423-J423</f>
        <v>0</v>
      </c>
      <c r="L423" s="2265"/>
    </row>
    <row r="424" spans="1:12" ht="30" customHeight="1" x14ac:dyDescent="0.2">
      <c r="A424" s="2267">
        <v>298</v>
      </c>
      <c r="B424" s="2265" t="s">
        <v>145</v>
      </c>
      <c r="C424" s="2236" t="s">
        <v>1134</v>
      </c>
      <c r="D424" s="2211">
        <v>38000000</v>
      </c>
      <c r="E424" s="2263">
        <v>5.1999999999999998E-2</v>
      </c>
      <c r="F424" s="2211">
        <v>2000000</v>
      </c>
      <c r="G424" s="2211">
        <v>2000000</v>
      </c>
      <c r="H424" s="2211" t="s">
        <v>4144</v>
      </c>
      <c r="I424" s="21" t="s">
        <v>4150</v>
      </c>
      <c r="J424" s="2211">
        <f>G424</f>
        <v>2000000</v>
      </c>
      <c r="K424" s="2211">
        <f>F424-J424</f>
        <v>0</v>
      </c>
      <c r="L424" s="2265"/>
    </row>
    <row r="425" spans="1:12" ht="30" customHeight="1" x14ac:dyDescent="0.2">
      <c r="A425" s="2267">
        <v>300</v>
      </c>
      <c r="B425" s="2261" t="s">
        <v>147</v>
      </c>
      <c r="C425" s="2264" t="s">
        <v>890</v>
      </c>
      <c r="D425" s="2199">
        <v>178000000</v>
      </c>
      <c r="E425" s="2263">
        <v>5.8999999999999997E-2</v>
      </c>
      <c r="F425" s="2199">
        <v>10500000</v>
      </c>
      <c r="G425" s="2211">
        <v>10500000</v>
      </c>
      <c r="H425" s="2211" t="s">
        <v>4128</v>
      </c>
      <c r="I425" s="21" t="s">
        <v>3469</v>
      </c>
      <c r="J425" s="2211">
        <f>G425</f>
        <v>10500000</v>
      </c>
      <c r="K425" s="2199">
        <f>F425-J425</f>
        <v>0</v>
      </c>
      <c r="L425" s="2265"/>
    </row>
    <row r="426" spans="1:12" ht="30" customHeight="1" x14ac:dyDescent="0.2">
      <c r="A426" s="2267">
        <v>301</v>
      </c>
      <c r="B426" s="2265" t="s">
        <v>2347</v>
      </c>
      <c r="C426" s="2236"/>
      <c r="D426" s="2211">
        <v>10000000</v>
      </c>
      <c r="E426" s="2208">
        <v>0.04</v>
      </c>
      <c r="F426" s="2211">
        <f>D426*E426</f>
        <v>400000</v>
      </c>
      <c r="G426" s="2211">
        <v>400000</v>
      </c>
      <c r="H426" s="2211" t="s">
        <v>4128</v>
      </c>
      <c r="I426" s="2238" t="s">
        <v>723</v>
      </c>
      <c r="J426" s="2211">
        <f>G426</f>
        <v>400000</v>
      </c>
      <c r="K426" s="2211">
        <f>F426-J426</f>
        <v>0</v>
      </c>
      <c r="L426" s="2290"/>
    </row>
    <row r="427" spans="1:12" ht="30" customHeight="1" x14ac:dyDescent="0.2">
      <c r="A427" s="2267">
        <v>302</v>
      </c>
      <c r="B427" s="2265" t="s">
        <v>149</v>
      </c>
      <c r="C427" s="2236" t="s">
        <v>1296</v>
      </c>
      <c r="D427" s="2211">
        <v>60000000</v>
      </c>
      <c r="E427" s="2263">
        <v>4.4999999999999998E-2</v>
      </c>
      <c r="F427" s="2211">
        <f t="shared" si="41"/>
        <v>2700000</v>
      </c>
      <c r="G427" s="2211">
        <v>2700000</v>
      </c>
      <c r="H427" s="2211" t="s">
        <v>4128</v>
      </c>
      <c r="I427" s="21" t="s">
        <v>3179</v>
      </c>
      <c r="J427" s="2211">
        <f>G427</f>
        <v>2700000</v>
      </c>
      <c r="K427" s="2211">
        <f>F427-J427</f>
        <v>0</v>
      </c>
      <c r="L427" s="2265"/>
    </row>
    <row r="428" spans="1:12" ht="30" customHeight="1" x14ac:dyDescent="0.2">
      <c r="A428" s="7654"/>
      <c r="B428" s="7703" t="s">
        <v>150</v>
      </c>
      <c r="C428" s="7723" t="s">
        <v>1796</v>
      </c>
      <c r="D428" s="7482">
        <v>1916000000</v>
      </c>
      <c r="E428" s="7870"/>
      <c r="F428" s="7482"/>
      <c r="G428" s="7991" t="s">
        <v>4346</v>
      </c>
      <c r="H428" s="7992"/>
      <c r="I428" s="7992"/>
      <c r="J428" s="7993"/>
      <c r="K428" s="2199"/>
      <c r="L428" s="2254" t="s">
        <v>3454</v>
      </c>
    </row>
    <row r="429" spans="1:12" ht="30" customHeight="1" x14ac:dyDescent="0.2">
      <c r="A429" s="7656"/>
      <c r="B429" s="7704"/>
      <c r="C429" s="7747"/>
      <c r="D429" s="7482"/>
      <c r="E429" s="7870"/>
      <c r="F429" s="7482"/>
      <c r="G429" s="7997"/>
      <c r="H429" s="7998"/>
      <c r="I429" s="7998"/>
      <c r="J429" s="7999"/>
      <c r="K429" s="2199"/>
      <c r="L429" s="2254"/>
    </row>
    <row r="430" spans="1:12" ht="30" customHeight="1" x14ac:dyDescent="0.2">
      <c r="A430" s="7656"/>
      <c r="B430" s="7704"/>
      <c r="C430" s="7747"/>
      <c r="D430" s="2704">
        <f>D428-228000000</f>
        <v>1688000000</v>
      </c>
      <c r="E430" s="2706"/>
      <c r="F430" s="2704"/>
      <c r="G430" s="8000" t="s">
        <v>4712</v>
      </c>
      <c r="H430" s="8000"/>
      <c r="I430" s="8000"/>
      <c r="J430" s="8000"/>
      <c r="K430" s="2704"/>
      <c r="L430" s="2718"/>
    </row>
    <row r="431" spans="1:12" ht="30" customHeight="1" x14ac:dyDescent="0.2">
      <c r="A431" s="7656"/>
      <c r="B431" s="7704"/>
      <c r="C431" s="7747"/>
      <c r="D431" s="2704">
        <f>D430+300000000</f>
        <v>1988000000</v>
      </c>
      <c r="E431" s="2706"/>
      <c r="F431" s="2704"/>
      <c r="G431" s="8000" t="s">
        <v>4704</v>
      </c>
      <c r="H431" s="8000"/>
      <c r="I431" s="8000"/>
      <c r="J431" s="8000"/>
      <c r="K431" s="2704"/>
      <c r="L431" s="2718"/>
    </row>
    <row r="432" spans="1:12" ht="30" customHeight="1" x14ac:dyDescent="0.2">
      <c r="A432" s="7656"/>
      <c r="B432" s="7704"/>
      <c r="C432" s="7747"/>
      <c r="D432" s="2704">
        <f>D431+27000000</f>
        <v>2015000000</v>
      </c>
      <c r="E432" s="2706"/>
      <c r="F432" s="2704"/>
      <c r="G432" s="8000" t="s">
        <v>4705</v>
      </c>
      <c r="H432" s="8000"/>
      <c r="I432" s="8000"/>
      <c r="J432" s="8000"/>
      <c r="K432" s="2704"/>
      <c r="L432" s="2718"/>
    </row>
    <row r="433" spans="1:12" ht="30" customHeight="1" x14ac:dyDescent="0.2">
      <c r="A433" s="7655"/>
      <c r="B433" s="7705"/>
      <c r="C433" s="7724"/>
      <c r="D433" s="2722">
        <f>D432+385000000</f>
        <v>2400000000</v>
      </c>
      <c r="E433" s="2706"/>
      <c r="F433" s="2704"/>
      <c r="G433" s="8000" t="s">
        <v>4706</v>
      </c>
      <c r="H433" s="8000"/>
      <c r="I433" s="8000"/>
      <c r="J433" s="8000"/>
      <c r="K433" s="2704"/>
      <c r="L433" s="2718"/>
    </row>
    <row r="434" spans="1:12" ht="30" customHeight="1" x14ac:dyDescent="0.2">
      <c r="A434" s="7654">
        <v>305</v>
      </c>
      <c r="B434" s="7652" t="s">
        <v>152</v>
      </c>
      <c r="C434" s="7723"/>
      <c r="D434" s="7563">
        <v>750000000</v>
      </c>
      <c r="E434" s="7659">
        <v>6.5000000000000002E-2</v>
      </c>
      <c r="F434" s="7563">
        <v>48000000</v>
      </c>
      <c r="G434" s="2211">
        <v>10000000</v>
      </c>
      <c r="H434" s="2211" t="s">
        <v>4016</v>
      </c>
      <c r="I434" s="21" t="s">
        <v>2394</v>
      </c>
      <c r="J434" s="7563">
        <f>G434+G435</f>
        <v>38000000</v>
      </c>
      <c r="K434" s="7563">
        <f>38000000-J434</f>
        <v>0</v>
      </c>
      <c r="L434" s="345"/>
    </row>
    <row r="435" spans="1:12" ht="30" customHeight="1" x14ac:dyDescent="0.2">
      <c r="A435" s="7656"/>
      <c r="B435" s="7665"/>
      <c r="C435" s="7747"/>
      <c r="D435" s="7586"/>
      <c r="E435" s="7676"/>
      <c r="F435" s="7586"/>
      <c r="G435" s="2211">
        <v>28000000</v>
      </c>
      <c r="H435" s="2211" t="s">
        <v>4144</v>
      </c>
      <c r="I435" s="21" t="s">
        <v>2394</v>
      </c>
      <c r="J435" s="7586"/>
      <c r="K435" s="7586"/>
      <c r="L435" s="345" t="s">
        <v>3350</v>
      </c>
    </row>
    <row r="436" spans="1:12" ht="30" customHeight="1" x14ac:dyDescent="0.2">
      <c r="A436" s="7656"/>
      <c r="B436" s="7665"/>
      <c r="C436" s="7747"/>
      <c r="D436" s="7586"/>
      <c r="E436" s="7676"/>
      <c r="F436" s="7586"/>
      <c r="G436" s="2211"/>
      <c r="H436" s="2211"/>
      <c r="I436" s="21" t="s">
        <v>2394</v>
      </c>
      <c r="J436" s="7586"/>
      <c r="K436" s="7586"/>
      <c r="L436" s="345"/>
    </row>
    <row r="437" spans="1:12" ht="30" customHeight="1" x14ac:dyDescent="0.2">
      <c r="A437" s="7655"/>
      <c r="B437" s="7653"/>
      <c r="C437" s="7724"/>
      <c r="D437" s="7564"/>
      <c r="E437" s="7660"/>
      <c r="F437" s="7564"/>
      <c r="G437" s="2211"/>
      <c r="H437" s="2211"/>
      <c r="I437" s="21" t="s">
        <v>2394</v>
      </c>
      <c r="J437" s="7564"/>
      <c r="K437" s="7564"/>
      <c r="L437" s="345"/>
    </row>
    <row r="438" spans="1:12" ht="30" customHeight="1" x14ac:dyDescent="0.2">
      <c r="A438" s="7654">
        <v>307</v>
      </c>
      <c r="B438" s="7703" t="s">
        <v>154</v>
      </c>
      <c r="C438" s="7723" t="s">
        <v>1306</v>
      </c>
      <c r="D438" s="2211">
        <v>260000000</v>
      </c>
      <c r="E438" s="2263">
        <v>0.05</v>
      </c>
      <c r="F438" s="2211">
        <f t="shared" si="41"/>
        <v>13000000</v>
      </c>
      <c r="G438" s="2211">
        <v>13000000</v>
      </c>
      <c r="H438" s="2211" t="s">
        <v>4134</v>
      </c>
      <c r="I438" s="21" t="s">
        <v>2409</v>
      </c>
      <c r="J438" s="2211">
        <f>G438</f>
        <v>13000000</v>
      </c>
      <c r="K438" s="2211">
        <f>F438-J438</f>
        <v>0</v>
      </c>
      <c r="L438" s="2265"/>
    </row>
    <row r="439" spans="1:12" ht="30" customHeight="1" x14ac:dyDescent="0.2">
      <c r="A439" s="7655"/>
      <c r="B439" s="7705"/>
      <c r="C439" s="7724"/>
      <c r="D439" s="2496">
        <v>240000000</v>
      </c>
      <c r="E439" s="2506">
        <v>0.05</v>
      </c>
      <c r="F439" s="2496">
        <f>D439*E439</f>
        <v>12000000</v>
      </c>
      <c r="G439" s="7732" t="s">
        <v>4598</v>
      </c>
      <c r="H439" s="7733"/>
      <c r="I439" s="7733"/>
      <c r="J439" s="7734"/>
      <c r="K439" s="2499"/>
      <c r="L439" s="2497"/>
    </row>
    <row r="440" spans="1:12" ht="30" customHeight="1" x14ac:dyDescent="0.2">
      <c r="A440" s="2200">
        <v>308</v>
      </c>
      <c r="B440" s="2261" t="s">
        <v>155</v>
      </c>
      <c r="C440" s="2264" t="s">
        <v>1294</v>
      </c>
      <c r="D440" s="2199">
        <v>300000000</v>
      </c>
      <c r="E440" s="2263">
        <v>0.05</v>
      </c>
      <c r="F440" s="2199">
        <f t="shared" si="41"/>
        <v>15000000</v>
      </c>
      <c r="G440" s="7563">
        <v>18000000</v>
      </c>
      <c r="H440" s="7563" t="s">
        <v>4074</v>
      </c>
      <c r="I440" s="7772" t="s">
        <v>1873</v>
      </c>
      <c r="J440" s="7563">
        <f>G440</f>
        <v>18000000</v>
      </c>
      <c r="K440" s="7563">
        <f>(F440+F441)-J440</f>
        <v>6000000</v>
      </c>
      <c r="L440" s="7818" t="s">
        <v>4082</v>
      </c>
    </row>
    <row r="441" spans="1:12" ht="30" customHeight="1" x14ac:dyDescent="0.2">
      <c r="A441" s="2267">
        <v>309</v>
      </c>
      <c r="B441" s="2261" t="s">
        <v>1874</v>
      </c>
      <c r="C441" s="2264" t="s">
        <v>372</v>
      </c>
      <c r="D441" s="2211">
        <v>180000000</v>
      </c>
      <c r="E441" s="2208">
        <v>0.05</v>
      </c>
      <c r="F441" s="2211">
        <f>D441*E441</f>
        <v>9000000</v>
      </c>
      <c r="G441" s="7564"/>
      <c r="H441" s="7564"/>
      <c r="I441" s="7773"/>
      <c r="J441" s="7564"/>
      <c r="K441" s="7564"/>
      <c r="L441" s="7819"/>
    </row>
    <row r="442" spans="1:12" ht="30" customHeight="1" x14ac:dyDescent="0.2">
      <c r="A442" s="7654">
        <v>311</v>
      </c>
      <c r="B442" s="7652" t="s">
        <v>158</v>
      </c>
      <c r="C442" s="7723" t="s">
        <v>889</v>
      </c>
      <c r="D442" s="2211">
        <v>85000000</v>
      </c>
      <c r="E442" s="2263">
        <v>0.05</v>
      </c>
      <c r="F442" s="2211">
        <f t="shared" ref="F442:F457" si="43">D442*E442</f>
        <v>4250000</v>
      </c>
      <c r="G442" s="2211">
        <v>4250000</v>
      </c>
      <c r="H442" s="2211" t="s">
        <v>3923</v>
      </c>
      <c r="I442" s="2239" t="s">
        <v>3970</v>
      </c>
      <c r="J442" s="2211">
        <f>G442</f>
        <v>4250000</v>
      </c>
      <c r="K442" s="2211">
        <f t="shared" ref="K442:K448" si="44">F442-J442</f>
        <v>0</v>
      </c>
      <c r="L442" s="2290" t="s">
        <v>3452</v>
      </c>
    </row>
    <row r="443" spans="1:12" ht="30" customHeight="1" x14ac:dyDescent="0.2">
      <c r="A443" s="7655"/>
      <c r="B443" s="7653"/>
      <c r="C443" s="7724"/>
      <c r="D443" s="2211">
        <v>100000000</v>
      </c>
      <c r="E443" s="2263">
        <v>0.05</v>
      </c>
      <c r="F443" s="2211">
        <f t="shared" si="43"/>
        <v>5000000</v>
      </c>
      <c r="G443" s="2211"/>
      <c r="H443" s="2211"/>
      <c r="I443" s="64"/>
      <c r="J443" s="2211"/>
      <c r="K443" s="2211"/>
      <c r="L443" s="2290" t="s">
        <v>4127</v>
      </c>
    </row>
    <row r="444" spans="1:12" ht="30" customHeight="1" x14ac:dyDescent="0.2">
      <c r="A444" s="2200">
        <v>312</v>
      </c>
      <c r="B444" s="2265" t="s">
        <v>159</v>
      </c>
      <c r="C444" s="2236"/>
      <c r="D444" s="2224"/>
      <c r="E444" s="2295"/>
      <c r="F444" s="2224">
        <f t="shared" si="43"/>
        <v>0</v>
      </c>
      <c r="G444" s="2211"/>
      <c r="H444" s="2211"/>
      <c r="I444" s="21"/>
      <c r="J444" s="2211">
        <f>G444</f>
        <v>0</v>
      </c>
      <c r="K444" s="2224">
        <f t="shared" si="44"/>
        <v>0</v>
      </c>
      <c r="L444" s="2265"/>
    </row>
    <row r="445" spans="1:12" ht="30" customHeight="1" x14ac:dyDescent="0.2">
      <c r="A445" s="2279">
        <v>313</v>
      </c>
      <c r="B445" s="2265" t="s">
        <v>161</v>
      </c>
      <c r="C445" s="2264" t="s">
        <v>1652</v>
      </c>
      <c r="D445" s="2199">
        <v>152000000</v>
      </c>
      <c r="E445" s="2263">
        <v>0.05</v>
      </c>
      <c r="F445" s="2199">
        <f>D445*E445</f>
        <v>7600000</v>
      </c>
      <c r="G445" s="2199">
        <v>7600000</v>
      </c>
      <c r="H445" s="2199" t="s">
        <v>4016</v>
      </c>
      <c r="I445" s="2260" t="s">
        <v>322</v>
      </c>
      <c r="J445" s="2199">
        <f>G445</f>
        <v>7600000</v>
      </c>
      <c r="K445" s="2199">
        <f t="shared" si="44"/>
        <v>0</v>
      </c>
      <c r="L445" s="2276"/>
    </row>
    <row r="446" spans="1:12" ht="30" customHeight="1" x14ac:dyDescent="0.2">
      <c r="A446" s="2200">
        <v>315</v>
      </c>
      <c r="B446" s="19" t="s">
        <v>163</v>
      </c>
      <c r="C446" s="2264" t="s">
        <v>1176</v>
      </c>
      <c r="D446" s="2199">
        <v>400000000</v>
      </c>
      <c r="E446" s="2263">
        <v>6.3E-2</v>
      </c>
      <c r="F446" s="2199">
        <v>25000000</v>
      </c>
      <c r="G446" s="2199">
        <v>25000000</v>
      </c>
      <c r="H446" s="2199" t="s">
        <v>4016</v>
      </c>
      <c r="I446" s="2260" t="s">
        <v>1806</v>
      </c>
      <c r="J446" s="2199">
        <f t="shared" ref="J446:J456" si="45">G446</f>
        <v>25000000</v>
      </c>
      <c r="K446" s="2199">
        <f t="shared" si="44"/>
        <v>0</v>
      </c>
      <c r="L446" s="2232"/>
    </row>
    <row r="447" spans="1:12" ht="30" customHeight="1" x14ac:dyDescent="0.2">
      <c r="A447" s="2267">
        <v>316</v>
      </c>
      <c r="B447" s="2204" t="s">
        <v>164</v>
      </c>
      <c r="C447" s="2236"/>
      <c r="D447" s="2211">
        <v>35000000</v>
      </c>
      <c r="E447" s="2208">
        <v>0.04</v>
      </c>
      <c r="F447" s="2211">
        <f>D447*E447</f>
        <v>1400000</v>
      </c>
      <c r="G447" s="2211">
        <v>1400000</v>
      </c>
      <c r="H447" s="2211" t="s">
        <v>3993</v>
      </c>
      <c r="I447" s="2240" t="s">
        <v>288</v>
      </c>
      <c r="J447" s="2211">
        <f t="shared" si="45"/>
        <v>1400000</v>
      </c>
      <c r="K447" s="2211">
        <f t="shared" si="44"/>
        <v>0</v>
      </c>
      <c r="L447" s="2265"/>
    </row>
    <row r="448" spans="1:12" ht="30" customHeight="1" x14ac:dyDescent="0.2">
      <c r="A448" s="7654">
        <v>317</v>
      </c>
      <c r="B448" s="7652" t="s">
        <v>165</v>
      </c>
      <c r="C448" s="2236" t="s">
        <v>359</v>
      </c>
      <c r="D448" s="2211">
        <v>100000000</v>
      </c>
      <c r="E448" s="2263">
        <v>0.05</v>
      </c>
      <c r="F448" s="2211">
        <f>D448*E448</f>
        <v>5000000</v>
      </c>
      <c r="G448" s="2211">
        <v>5000000</v>
      </c>
      <c r="H448" s="2211" t="s">
        <v>1015</v>
      </c>
      <c r="I448" s="21" t="s">
        <v>3584</v>
      </c>
      <c r="J448" s="2211">
        <f t="shared" si="45"/>
        <v>5000000</v>
      </c>
      <c r="K448" s="2211">
        <f t="shared" si="44"/>
        <v>0</v>
      </c>
      <c r="L448" s="2290" t="s">
        <v>2708</v>
      </c>
    </row>
    <row r="449" spans="1:12" ht="30" customHeight="1" x14ac:dyDescent="0.2">
      <c r="A449" s="7656"/>
      <c r="B449" s="7665"/>
      <c r="C449" s="2236" t="s">
        <v>1287</v>
      </c>
      <c r="D449" s="2211">
        <v>210000000</v>
      </c>
      <c r="E449" s="2263">
        <v>0.05</v>
      </c>
      <c r="F449" s="2211">
        <f>D449*E449</f>
        <v>10500000</v>
      </c>
      <c r="G449" s="2211">
        <v>17000000</v>
      </c>
      <c r="H449" s="2211" t="s">
        <v>4060</v>
      </c>
      <c r="I449" s="21" t="s">
        <v>3584</v>
      </c>
      <c r="J449" s="2199">
        <f>G449</f>
        <v>17000000</v>
      </c>
      <c r="K449" s="2199">
        <f>17000000-J449</f>
        <v>0</v>
      </c>
      <c r="L449" s="2290" t="s">
        <v>2709</v>
      </c>
    </row>
    <row r="450" spans="1:12" ht="30" customHeight="1" x14ac:dyDescent="0.2">
      <c r="A450" s="2267">
        <v>318</v>
      </c>
      <c r="B450" s="2265" t="s">
        <v>167</v>
      </c>
      <c r="C450" s="2236"/>
      <c r="D450" s="2211">
        <v>80000000</v>
      </c>
      <c r="E450" s="2263">
        <v>0.05</v>
      </c>
      <c r="F450" s="2211">
        <f t="shared" si="43"/>
        <v>4000000</v>
      </c>
      <c r="G450" s="2211">
        <v>4000000</v>
      </c>
      <c r="H450" s="2211" t="s">
        <v>4043</v>
      </c>
      <c r="I450" s="18" t="s">
        <v>1814</v>
      </c>
      <c r="J450" s="2211">
        <f t="shared" si="45"/>
        <v>4000000</v>
      </c>
      <c r="K450" s="2211">
        <f>F450-J450</f>
        <v>0</v>
      </c>
      <c r="L450" s="2265"/>
    </row>
    <row r="451" spans="1:12" ht="30" customHeight="1" x14ac:dyDescent="0.2">
      <c r="A451" s="2267">
        <v>319</v>
      </c>
      <c r="B451" s="2265" t="s">
        <v>168</v>
      </c>
      <c r="C451" s="2236" t="s">
        <v>1287</v>
      </c>
      <c r="D451" s="2211">
        <v>200000000</v>
      </c>
      <c r="E451" s="2263">
        <v>5.5E-2</v>
      </c>
      <c r="F451" s="2211">
        <f t="shared" si="43"/>
        <v>11000000</v>
      </c>
      <c r="G451" s="2211"/>
      <c r="H451" s="2211"/>
      <c r="I451" s="21" t="s">
        <v>3723</v>
      </c>
      <c r="J451" s="2211">
        <f t="shared" si="45"/>
        <v>0</v>
      </c>
      <c r="K451" s="2211">
        <f>F451-J451</f>
        <v>11000000</v>
      </c>
      <c r="L451" s="2290"/>
    </row>
    <row r="452" spans="1:12" ht="30" customHeight="1" x14ac:dyDescent="0.2">
      <c r="A452" s="7654">
        <v>320</v>
      </c>
      <c r="B452" s="7652" t="s">
        <v>169</v>
      </c>
      <c r="C452" s="7723" t="s">
        <v>2278</v>
      </c>
      <c r="D452" s="2211">
        <v>135000000</v>
      </c>
      <c r="E452" s="2263">
        <v>0.06</v>
      </c>
      <c r="F452" s="2211">
        <v>8000000</v>
      </c>
      <c r="G452" s="7563">
        <v>9750000</v>
      </c>
      <c r="H452" s="7563" t="s">
        <v>4043</v>
      </c>
      <c r="I452" s="7561" t="s">
        <v>3678</v>
      </c>
      <c r="J452" s="7563">
        <f t="shared" si="45"/>
        <v>9750000</v>
      </c>
      <c r="K452" s="7563">
        <f>(F452+F453)-J452</f>
        <v>0</v>
      </c>
      <c r="L452" s="2290"/>
    </row>
    <row r="453" spans="1:12" ht="30" customHeight="1" x14ac:dyDescent="0.2">
      <c r="A453" s="7655"/>
      <c r="B453" s="7653"/>
      <c r="C453" s="7724"/>
      <c r="D453" s="2211">
        <v>35000000</v>
      </c>
      <c r="E453" s="2263">
        <v>0.05</v>
      </c>
      <c r="F453" s="2211">
        <f>D453*E453</f>
        <v>1750000</v>
      </c>
      <c r="G453" s="7564"/>
      <c r="H453" s="7564"/>
      <c r="I453" s="7562"/>
      <c r="J453" s="7564"/>
      <c r="K453" s="7564"/>
      <c r="L453" s="2290" t="s">
        <v>3458</v>
      </c>
    </row>
    <row r="454" spans="1:12" ht="30" customHeight="1" x14ac:dyDescent="0.2">
      <c r="A454" s="2267">
        <v>321</v>
      </c>
      <c r="B454" s="2265" t="s">
        <v>171</v>
      </c>
      <c r="C454" s="2236"/>
      <c r="D454" s="2211">
        <v>5000000</v>
      </c>
      <c r="E454" s="2263">
        <v>0.04</v>
      </c>
      <c r="F454" s="2211">
        <f t="shared" si="43"/>
        <v>200000</v>
      </c>
      <c r="G454" s="2211"/>
      <c r="H454" s="2211"/>
      <c r="I454" s="21" t="s">
        <v>2330</v>
      </c>
      <c r="J454" s="2211">
        <f t="shared" si="45"/>
        <v>0</v>
      </c>
      <c r="K454" s="2211">
        <f>F454-J454</f>
        <v>200000</v>
      </c>
      <c r="L454" s="2265"/>
    </row>
    <row r="455" spans="1:12" ht="30" customHeight="1" x14ac:dyDescent="0.2">
      <c r="A455" s="7654">
        <v>322</v>
      </c>
      <c r="B455" s="7652" t="s">
        <v>1378</v>
      </c>
      <c r="C455" s="7723" t="s">
        <v>1081</v>
      </c>
      <c r="D455" s="2211">
        <v>10000000</v>
      </c>
      <c r="E455" s="2263">
        <v>0.05</v>
      </c>
      <c r="F455" s="2211">
        <f t="shared" si="43"/>
        <v>500000</v>
      </c>
      <c r="G455" s="2211"/>
      <c r="H455" s="2211"/>
      <c r="I455" s="2257" t="s">
        <v>1376</v>
      </c>
      <c r="J455" s="2211">
        <f t="shared" si="45"/>
        <v>0</v>
      </c>
      <c r="K455" s="2211">
        <f>F455-J455</f>
        <v>500000</v>
      </c>
      <c r="L455" s="1024" t="s">
        <v>3439</v>
      </c>
    </row>
    <row r="456" spans="1:12" ht="30" customHeight="1" x14ac:dyDescent="0.2">
      <c r="A456" s="7655"/>
      <c r="B456" s="7653"/>
      <c r="C456" s="7724"/>
      <c r="D456" s="2211">
        <v>10000000</v>
      </c>
      <c r="E456" s="2263">
        <v>0.05</v>
      </c>
      <c r="F456" s="2211">
        <f t="shared" si="43"/>
        <v>500000</v>
      </c>
      <c r="G456" s="2211"/>
      <c r="H456" s="2211"/>
      <c r="I456" s="2257" t="s">
        <v>3904</v>
      </c>
      <c r="J456" s="2211">
        <f t="shared" si="45"/>
        <v>0</v>
      </c>
      <c r="K456" s="2211">
        <f>F456-J456</f>
        <v>500000</v>
      </c>
      <c r="L456" s="2265"/>
    </row>
    <row r="457" spans="1:12" ht="30" customHeight="1" x14ac:dyDescent="0.2">
      <c r="A457" s="2267">
        <v>323</v>
      </c>
      <c r="B457" s="2265" t="s">
        <v>172</v>
      </c>
      <c r="C457" s="2236"/>
      <c r="D457" s="2211">
        <v>60000000</v>
      </c>
      <c r="E457" s="2263">
        <v>4.4999999999999998E-2</v>
      </c>
      <c r="F457" s="2211">
        <f t="shared" si="43"/>
        <v>2700000</v>
      </c>
      <c r="G457" s="2211"/>
      <c r="H457" s="2211"/>
      <c r="I457" s="2238"/>
      <c r="J457" s="2211">
        <f>G457</f>
        <v>0</v>
      </c>
      <c r="K457" s="2211">
        <f>F457-J457</f>
        <v>2700000</v>
      </c>
      <c r="L457" s="2265"/>
    </row>
    <row r="458" spans="1:12" ht="30" customHeight="1" x14ac:dyDescent="0.2">
      <c r="A458" s="2267">
        <v>324</v>
      </c>
      <c r="B458" s="2265" t="s">
        <v>173</v>
      </c>
      <c r="C458" s="2236" t="s">
        <v>889</v>
      </c>
      <c r="D458" s="2211">
        <v>20000000</v>
      </c>
      <c r="E458" s="2263">
        <v>0.05</v>
      </c>
      <c r="F458" s="2211">
        <f>D458*E458</f>
        <v>1000000</v>
      </c>
      <c r="G458" s="7954" t="s">
        <v>5062</v>
      </c>
      <c r="H458" s="7955"/>
      <c r="I458" s="7955"/>
      <c r="J458" s="7956"/>
      <c r="K458" s="2211">
        <f>F458-J458</f>
        <v>1000000</v>
      </c>
      <c r="L458" s="2265"/>
    </row>
    <row r="459" spans="1:12" ht="30" customHeight="1" x14ac:dyDescent="0.2">
      <c r="A459" s="7654">
        <v>325</v>
      </c>
      <c r="B459" s="7652" t="s">
        <v>270</v>
      </c>
      <c r="C459" s="7723"/>
      <c r="D459" s="2211">
        <v>300000000</v>
      </c>
      <c r="E459" s="2263">
        <v>0.1</v>
      </c>
      <c r="F459" s="2211">
        <v>30750000</v>
      </c>
      <c r="G459" s="7563">
        <v>40550000</v>
      </c>
      <c r="H459" s="7563" t="s">
        <v>1015</v>
      </c>
      <c r="I459" s="7561" t="s">
        <v>2927</v>
      </c>
      <c r="J459" s="7563">
        <f>G459</f>
        <v>40550000</v>
      </c>
      <c r="K459" s="7563">
        <f>(F459+F460)-J459</f>
        <v>0</v>
      </c>
      <c r="L459" s="7723"/>
    </row>
    <row r="460" spans="1:12" ht="30" customHeight="1" x14ac:dyDescent="0.2">
      <c r="A460" s="7655"/>
      <c r="B460" s="7653"/>
      <c r="C460" s="7724"/>
      <c r="D460" s="2211">
        <v>140000000</v>
      </c>
      <c r="E460" s="2263">
        <v>7.0000000000000007E-2</v>
      </c>
      <c r="F460" s="2211">
        <v>9800000</v>
      </c>
      <c r="G460" s="7564"/>
      <c r="H460" s="7564"/>
      <c r="I460" s="7562"/>
      <c r="J460" s="7564"/>
      <c r="K460" s="7564"/>
      <c r="L460" s="7724"/>
    </row>
    <row r="461" spans="1:12" ht="30" customHeight="1" x14ac:dyDescent="0.2">
      <c r="A461" s="3076">
        <v>326</v>
      </c>
      <c r="B461" s="19" t="s">
        <v>176</v>
      </c>
      <c r="C461" s="3079" t="s">
        <v>1300</v>
      </c>
      <c r="D461" s="3083">
        <v>500000000</v>
      </c>
      <c r="E461" s="3084">
        <v>0.05</v>
      </c>
      <c r="F461" s="3083">
        <f>D461*E461</f>
        <v>25000000</v>
      </c>
      <c r="G461" s="233"/>
      <c r="H461" s="233"/>
      <c r="I461" s="233"/>
      <c r="J461" s="233"/>
      <c r="K461" s="2199">
        <f>F461-J461</f>
        <v>25000000</v>
      </c>
      <c r="L461" s="3082" t="s">
        <v>3387</v>
      </c>
    </row>
    <row r="462" spans="1:12" ht="30" customHeight="1" x14ac:dyDescent="0.2">
      <c r="A462" s="2267">
        <v>327</v>
      </c>
      <c r="B462" s="2204" t="s">
        <v>1232</v>
      </c>
      <c r="C462" s="2236"/>
      <c r="D462" s="2211">
        <v>60000000</v>
      </c>
      <c r="E462" s="2208">
        <v>0.05</v>
      </c>
      <c r="F462" s="2211">
        <f t="shared" ref="F462:F464" si="46">D462*E462</f>
        <v>3000000</v>
      </c>
      <c r="G462" s="2211"/>
      <c r="H462" s="2211"/>
      <c r="I462" s="21" t="s">
        <v>1231</v>
      </c>
      <c r="J462" s="2211">
        <f>G462</f>
        <v>0</v>
      </c>
      <c r="K462" s="2211">
        <f t="shared" ref="K462:K467" si="47">F462-J462</f>
        <v>3000000</v>
      </c>
      <c r="L462" s="2290"/>
    </row>
    <row r="463" spans="1:12" ht="30" customHeight="1" x14ac:dyDescent="0.2">
      <c r="A463" s="2648">
        <v>328</v>
      </c>
      <c r="B463" s="19" t="s">
        <v>2675</v>
      </c>
      <c r="C463" s="378" t="s">
        <v>942</v>
      </c>
      <c r="D463" s="2624">
        <v>695000000</v>
      </c>
      <c r="E463" s="2642">
        <v>0.06</v>
      </c>
      <c r="F463" s="2624">
        <f>D463*E463</f>
        <v>41700000</v>
      </c>
      <c r="G463" s="7954" t="s">
        <v>4663</v>
      </c>
      <c r="H463" s="7955"/>
      <c r="I463" s="7955"/>
      <c r="J463" s="7956"/>
      <c r="K463" s="2624">
        <f t="shared" si="47"/>
        <v>41700000</v>
      </c>
      <c r="L463" s="2290"/>
    </row>
    <row r="464" spans="1:12" ht="30" customHeight="1" x14ac:dyDescent="0.2">
      <c r="A464" s="2200">
        <v>329</v>
      </c>
      <c r="B464" s="2261" t="s">
        <v>181</v>
      </c>
      <c r="C464" s="378"/>
      <c r="D464" s="2227"/>
      <c r="E464" s="2295"/>
      <c r="F464" s="2227">
        <f t="shared" si="46"/>
        <v>0</v>
      </c>
      <c r="G464" s="2199"/>
      <c r="H464" s="2199"/>
      <c r="I464" s="2260"/>
      <c r="J464" s="2199"/>
      <c r="K464" s="2227">
        <f t="shared" si="47"/>
        <v>0</v>
      </c>
      <c r="L464" s="2232"/>
    </row>
    <row r="465" spans="1:12" ht="30" customHeight="1" x14ac:dyDescent="0.2">
      <c r="A465" s="2267">
        <v>330</v>
      </c>
      <c r="B465" s="2265" t="s">
        <v>1170</v>
      </c>
      <c r="C465" s="2236" t="s">
        <v>1138</v>
      </c>
      <c r="D465" s="2211">
        <v>30000000</v>
      </c>
      <c r="E465" s="2208">
        <f>F465/D465</f>
        <v>0.05</v>
      </c>
      <c r="F465" s="2211">
        <v>1500000</v>
      </c>
      <c r="G465" s="2211">
        <v>1500000</v>
      </c>
      <c r="H465" s="2211" t="s">
        <v>4188</v>
      </c>
      <c r="I465" s="21" t="s">
        <v>4263</v>
      </c>
      <c r="J465" s="2211">
        <f>G465</f>
        <v>1500000</v>
      </c>
      <c r="K465" s="2211">
        <f t="shared" si="47"/>
        <v>0</v>
      </c>
      <c r="L465" s="2265"/>
    </row>
    <row r="466" spans="1:12" ht="30" customHeight="1" x14ac:dyDescent="0.2">
      <c r="A466" s="2279">
        <v>331</v>
      </c>
      <c r="B466" s="2265" t="s">
        <v>339</v>
      </c>
      <c r="C466" s="2264" t="s">
        <v>371</v>
      </c>
      <c r="D466" s="2199">
        <v>290000000</v>
      </c>
      <c r="E466" s="2263">
        <v>0.06</v>
      </c>
      <c r="F466" s="2199">
        <f t="shared" ref="F466:F470" si="48">D466*E466</f>
        <v>17400000</v>
      </c>
      <c r="G466" s="2199">
        <v>17400000</v>
      </c>
      <c r="H466" s="2199" t="s">
        <v>4043</v>
      </c>
      <c r="I466" s="2199" t="s">
        <v>3955</v>
      </c>
      <c r="J466" s="2199">
        <f>G466</f>
        <v>17400000</v>
      </c>
      <c r="K466" s="2199">
        <f t="shared" si="47"/>
        <v>0</v>
      </c>
      <c r="L466" s="2290"/>
    </row>
    <row r="467" spans="1:12" ht="30" customHeight="1" x14ac:dyDescent="0.2">
      <c r="A467" s="2267">
        <v>332</v>
      </c>
      <c r="B467" s="2204" t="s">
        <v>370</v>
      </c>
      <c r="C467" s="2236" t="s">
        <v>371</v>
      </c>
      <c r="D467" s="2211">
        <v>30000000</v>
      </c>
      <c r="E467" s="2208">
        <v>0.05</v>
      </c>
      <c r="F467" s="2211">
        <f t="shared" si="48"/>
        <v>1500000</v>
      </c>
      <c r="G467" s="2211">
        <v>1500000</v>
      </c>
      <c r="H467" s="2211" t="s">
        <v>4074</v>
      </c>
      <c r="I467" s="21" t="s">
        <v>3575</v>
      </c>
      <c r="J467" s="2210">
        <f>G467</f>
        <v>1500000</v>
      </c>
      <c r="K467" s="2210">
        <f t="shared" si="47"/>
        <v>0</v>
      </c>
      <c r="L467" s="2265"/>
    </row>
    <row r="468" spans="1:12" ht="30" customHeight="1" x14ac:dyDescent="0.2">
      <c r="A468" s="7654">
        <v>333</v>
      </c>
      <c r="B468" s="7652" t="s">
        <v>888</v>
      </c>
      <c r="C468" s="7723" t="s">
        <v>889</v>
      </c>
      <c r="D468" s="2211">
        <v>320000000</v>
      </c>
      <c r="E468" s="2263">
        <v>0.05</v>
      </c>
      <c r="F468" s="2211">
        <f t="shared" si="48"/>
        <v>16000000</v>
      </c>
      <c r="G468" s="7563">
        <v>21000000</v>
      </c>
      <c r="H468" s="7563" t="s">
        <v>1215</v>
      </c>
      <c r="I468" s="7561" t="s">
        <v>1323</v>
      </c>
      <c r="J468" s="7482">
        <f>G468</f>
        <v>21000000</v>
      </c>
      <c r="K468" s="7482">
        <f>(F468+F469)-J468</f>
        <v>0</v>
      </c>
      <c r="L468" s="7818"/>
    </row>
    <row r="469" spans="1:12" ht="30" customHeight="1" x14ac:dyDescent="0.2">
      <c r="A469" s="7655"/>
      <c r="B469" s="7653"/>
      <c r="C469" s="7724"/>
      <c r="D469" s="2211">
        <v>100000000</v>
      </c>
      <c r="E469" s="2263">
        <v>0.05</v>
      </c>
      <c r="F469" s="2211">
        <f t="shared" si="48"/>
        <v>5000000</v>
      </c>
      <c r="G469" s="7564"/>
      <c r="H469" s="7564"/>
      <c r="I469" s="7562"/>
      <c r="J469" s="7482"/>
      <c r="K469" s="7482"/>
      <c r="L469" s="7819"/>
    </row>
    <row r="470" spans="1:12" ht="30" customHeight="1" x14ac:dyDescent="0.2">
      <c r="A470" s="2200">
        <v>335</v>
      </c>
      <c r="B470" s="19" t="s">
        <v>1276</v>
      </c>
      <c r="C470" s="2264" t="s">
        <v>889</v>
      </c>
      <c r="D470" s="2211">
        <v>15000000</v>
      </c>
      <c r="E470" s="2263">
        <v>0.05</v>
      </c>
      <c r="F470" s="2211">
        <f t="shared" si="48"/>
        <v>750000</v>
      </c>
      <c r="G470" s="2211">
        <v>750000</v>
      </c>
      <c r="H470" s="2211" t="s">
        <v>3920</v>
      </c>
      <c r="I470" s="21" t="s">
        <v>3410</v>
      </c>
      <c r="J470" s="2211">
        <f>G470</f>
        <v>750000</v>
      </c>
      <c r="K470" s="2211">
        <f>F470-J470</f>
        <v>0</v>
      </c>
      <c r="L470" s="2290" t="s">
        <v>3388</v>
      </c>
    </row>
    <row r="471" spans="1:12" ht="30" customHeight="1" x14ac:dyDescent="0.2">
      <c r="A471" s="2267">
        <v>336</v>
      </c>
      <c r="B471" s="2204" t="s">
        <v>2576</v>
      </c>
      <c r="C471" s="2236" t="s">
        <v>889</v>
      </c>
      <c r="D471" s="2211">
        <v>210000000</v>
      </c>
      <c r="E471" s="2263">
        <v>0.05</v>
      </c>
      <c r="F471" s="2211">
        <f>D471*E471</f>
        <v>10500000</v>
      </c>
      <c r="G471" s="2211">
        <v>10500000</v>
      </c>
      <c r="H471" s="2211" t="s">
        <v>1215</v>
      </c>
      <c r="I471" s="21" t="s">
        <v>3408</v>
      </c>
      <c r="J471" s="2211">
        <f>G471</f>
        <v>10500000</v>
      </c>
      <c r="K471" s="2211">
        <f>F471-J471</f>
        <v>0</v>
      </c>
      <c r="L471" s="2265"/>
    </row>
    <row r="472" spans="1:12" ht="30" customHeight="1" x14ac:dyDescent="0.2">
      <c r="A472" s="2267">
        <v>337</v>
      </c>
      <c r="B472" s="2204" t="s">
        <v>1304</v>
      </c>
      <c r="C472" s="2236" t="s">
        <v>889</v>
      </c>
      <c r="D472" s="2211">
        <v>80000000</v>
      </c>
      <c r="E472" s="2263">
        <v>7.0000000000000007E-2</v>
      </c>
      <c r="F472" s="2211">
        <f t="shared" ref="F472:F489" si="49">D472*E472</f>
        <v>5600000.0000000009</v>
      </c>
      <c r="G472" s="2211">
        <v>5600000</v>
      </c>
      <c r="H472" s="2211" t="s">
        <v>3965</v>
      </c>
      <c r="I472" s="21" t="s">
        <v>3991</v>
      </c>
      <c r="J472" s="2211">
        <f>G472</f>
        <v>5600000</v>
      </c>
      <c r="K472" s="2211">
        <f>G472-J472</f>
        <v>0</v>
      </c>
      <c r="L472" s="2265"/>
    </row>
    <row r="473" spans="1:12" ht="30" customHeight="1" x14ac:dyDescent="0.2">
      <c r="A473" s="7654"/>
      <c r="B473" s="7703" t="s">
        <v>1677</v>
      </c>
      <c r="C473" s="7723" t="s">
        <v>889</v>
      </c>
      <c r="D473" s="3251">
        <v>235500000</v>
      </c>
      <c r="E473" s="2263">
        <v>0.05</v>
      </c>
      <c r="F473" s="2211">
        <f t="shared" si="49"/>
        <v>11775000</v>
      </c>
      <c r="G473" s="2195"/>
      <c r="H473" s="2197"/>
      <c r="I473" s="2197"/>
      <c r="J473" s="2197"/>
      <c r="K473" s="1604"/>
      <c r="L473" s="2245"/>
    </row>
    <row r="474" spans="1:12" ht="30" customHeight="1" x14ac:dyDescent="0.2">
      <c r="A474" s="7656"/>
      <c r="B474" s="7704"/>
      <c r="C474" s="7747"/>
      <c r="D474" s="3247">
        <v>300000000</v>
      </c>
      <c r="E474" s="3249">
        <v>7.0000000000000007E-2</v>
      </c>
      <c r="F474" s="3247">
        <f t="shared" si="49"/>
        <v>21000000.000000004</v>
      </c>
      <c r="G474" s="2195"/>
      <c r="H474" s="2197"/>
      <c r="I474" s="2197"/>
      <c r="J474" s="2197"/>
      <c r="K474" s="1604"/>
      <c r="L474" s="2245"/>
    </row>
    <row r="475" spans="1:12" ht="30" customHeight="1" x14ac:dyDescent="0.2">
      <c r="A475" s="7656"/>
      <c r="B475" s="7704"/>
      <c r="C475" s="7747"/>
      <c r="D475" s="3247">
        <v>30000000</v>
      </c>
      <c r="E475" s="3249">
        <v>7.0000000000000007E-2</v>
      </c>
      <c r="F475" s="3247">
        <f t="shared" si="49"/>
        <v>2100000</v>
      </c>
      <c r="G475" s="2195"/>
      <c r="H475" s="2197"/>
      <c r="I475" s="2197"/>
      <c r="J475" s="2197"/>
      <c r="K475" s="1604"/>
      <c r="L475" s="2245"/>
    </row>
    <row r="476" spans="1:12" ht="30" customHeight="1" x14ac:dyDescent="0.2">
      <c r="A476" s="7656"/>
      <c r="B476" s="7704"/>
      <c r="C476" s="7747"/>
      <c r="D476" s="3248">
        <v>20000000</v>
      </c>
      <c r="E476" s="3250">
        <v>7.0000000000000007E-2</v>
      </c>
      <c r="F476" s="3248">
        <f>D476*E476</f>
        <v>1400000.0000000002</v>
      </c>
      <c r="G476" s="2195"/>
      <c r="H476" s="2197"/>
      <c r="I476" s="2197"/>
      <c r="J476" s="2197"/>
      <c r="K476" s="1604"/>
      <c r="L476" s="2245"/>
    </row>
    <row r="477" spans="1:12" ht="30" customHeight="1" x14ac:dyDescent="0.2">
      <c r="A477" s="7656"/>
      <c r="B477" s="7704"/>
      <c r="C477" s="7747"/>
      <c r="D477" s="3248">
        <v>12000000</v>
      </c>
      <c r="E477" s="3250">
        <v>7.0000000000000007E-2</v>
      </c>
      <c r="F477" s="3248">
        <f>D477*E477</f>
        <v>840000.00000000012</v>
      </c>
      <c r="G477" s="2195"/>
      <c r="H477" s="2197"/>
      <c r="I477" s="2197"/>
      <c r="J477" s="2197"/>
      <c r="K477" s="1604"/>
      <c r="L477" s="2245"/>
    </row>
    <row r="478" spans="1:12" ht="30" customHeight="1" x14ac:dyDescent="0.2">
      <c r="A478" s="7656"/>
      <c r="B478" s="7704"/>
      <c r="C478" s="7747"/>
      <c r="D478" s="3248">
        <f>SUM(D474:D477)</f>
        <v>362000000</v>
      </c>
      <c r="E478" s="3250">
        <v>7.0000000000000007E-2</v>
      </c>
      <c r="F478" s="3248">
        <f>D478*E478</f>
        <v>25340000.000000004</v>
      </c>
      <c r="G478" s="2195"/>
      <c r="H478" s="2197"/>
      <c r="I478" s="2197"/>
      <c r="J478" s="2197"/>
      <c r="K478" s="1604"/>
      <c r="L478" s="2245"/>
    </row>
    <row r="479" spans="1:12" ht="30" customHeight="1" x14ac:dyDescent="0.2">
      <c r="A479" s="7656"/>
      <c r="B479" s="7704"/>
      <c r="C479" s="7747"/>
      <c r="D479" s="8015">
        <f>D473+D478</f>
        <v>597500000</v>
      </c>
      <c r="E479" s="8016"/>
      <c r="F479" s="3248">
        <f>F473+F478</f>
        <v>37115000</v>
      </c>
      <c r="G479" s="2195"/>
      <c r="H479" s="2197"/>
      <c r="I479" s="2197"/>
      <c r="J479" s="2197"/>
      <c r="K479" s="1604"/>
      <c r="L479" s="2245"/>
    </row>
    <row r="480" spans="1:12" ht="30" customHeight="1" x14ac:dyDescent="0.2">
      <c r="A480" s="7656"/>
      <c r="B480" s="7704"/>
      <c r="C480" s="7747"/>
      <c r="D480" s="3235">
        <v>45000000</v>
      </c>
      <c r="E480" s="3224">
        <v>7.0000000000000007E-2</v>
      </c>
      <c r="F480" s="3235">
        <f>D480*E480</f>
        <v>3150000.0000000005</v>
      </c>
      <c r="G480" s="3209"/>
      <c r="H480" s="3211"/>
      <c r="I480" s="3211"/>
      <c r="J480" s="3211"/>
      <c r="K480" s="1604"/>
      <c r="L480" s="2245"/>
    </row>
    <row r="481" spans="1:17" ht="30" customHeight="1" x14ac:dyDescent="0.2">
      <c r="A481" s="7656"/>
      <c r="B481" s="7704"/>
      <c r="C481" s="7747"/>
      <c r="D481" s="3235">
        <v>100000000</v>
      </c>
      <c r="E481" s="3224">
        <v>7.0000000000000007E-2</v>
      </c>
      <c r="F481" s="3235">
        <f>D481*E481</f>
        <v>7000000.0000000009</v>
      </c>
      <c r="G481" s="7732" t="s">
        <v>3791</v>
      </c>
      <c r="H481" s="7733"/>
      <c r="I481" s="7733"/>
      <c r="J481" s="7733"/>
      <c r="K481" s="7734"/>
      <c r="L481" s="2245"/>
    </row>
    <row r="482" spans="1:17" ht="30" customHeight="1" x14ac:dyDescent="0.2">
      <c r="A482" s="7656"/>
      <c r="B482" s="7704"/>
      <c r="C482" s="7747"/>
      <c r="D482" s="3235">
        <v>80000000</v>
      </c>
      <c r="E482" s="3224">
        <v>7.0000000000000007E-2</v>
      </c>
      <c r="F482" s="3235">
        <f t="shared" ref="F482:F483" si="50">D482*E482</f>
        <v>5600000.0000000009</v>
      </c>
      <c r="G482" s="7732" t="s">
        <v>3792</v>
      </c>
      <c r="H482" s="7733"/>
      <c r="I482" s="7733"/>
      <c r="J482" s="7733"/>
      <c r="K482" s="7734"/>
      <c r="L482" s="2245"/>
    </row>
    <row r="483" spans="1:17" ht="30" customHeight="1" x14ac:dyDescent="0.2">
      <c r="A483" s="7656"/>
      <c r="B483" s="7704"/>
      <c r="C483" s="7747"/>
      <c r="D483" s="3235">
        <v>55000000</v>
      </c>
      <c r="E483" s="3224">
        <v>7.0000000000000007E-2</v>
      </c>
      <c r="F483" s="3235">
        <f t="shared" si="50"/>
        <v>3850000.0000000005</v>
      </c>
      <c r="G483" s="7732" t="s">
        <v>3793</v>
      </c>
      <c r="H483" s="7733"/>
      <c r="I483" s="7733"/>
      <c r="J483" s="7733"/>
      <c r="K483" s="7734"/>
      <c r="L483" s="2245"/>
    </row>
    <row r="484" spans="1:17" ht="30" customHeight="1" x14ac:dyDescent="0.2">
      <c r="A484" s="7656"/>
      <c r="B484" s="7704"/>
      <c r="C484" s="7747"/>
      <c r="D484" s="7858">
        <f>D479+D480+D481+D482+D483</f>
        <v>877500000</v>
      </c>
      <c r="E484" s="7860"/>
      <c r="F484" s="3235">
        <f>F479+F480+F481+F482+F483</f>
        <v>56715000</v>
      </c>
      <c r="G484" s="7806" t="s">
        <v>3673</v>
      </c>
      <c r="H484" s="7807"/>
      <c r="I484" s="7807"/>
      <c r="J484" s="7807"/>
      <c r="K484" s="7808"/>
      <c r="L484" s="2245"/>
    </row>
    <row r="485" spans="1:17" ht="30" customHeight="1" x14ac:dyDescent="0.2">
      <c r="A485" s="7656"/>
      <c r="B485" s="7704"/>
      <c r="C485" s="7747"/>
      <c r="D485" s="1855">
        <v>150000000</v>
      </c>
      <c r="E485" s="2291">
        <v>7.0000000000000007E-2</v>
      </c>
      <c r="F485" s="1855">
        <f>D485*E485</f>
        <v>10500000.000000002</v>
      </c>
      <c r="G485" s="7732" t="s">
        <v>4200</v>
      </c>
      <c r="H485" s="7733"/>
      <c r="I485" s="7733"/>
      <c r="J485" s="7733"/>
      <c r="K485" s="7734"/>
      <c r="L485" s="2245"/>
    </row>
    <row r="486" spans="1:17" ht="30" customHeight="1" x14ac:dyDescent="0.2">
      <c r="A486" s="7656"/>
      <c r="B486" s="7704"/>
      <c r="C486" s="7747"/>
      <c r="D486" s="1855">
        <v>100000000</v>
      </c>
      <c r="E486" s="2291">
        <v>7.0000000000000007E-2</v>
      </c>
      <c r="F486" s="1855">
        <f>D486*E486</f>
        <v>7000000.0000000009</v>
      </c>
      <c r="G486" s="7732" t="s">
        <v>4201</v>
      </c>
      <c r="H486" s="7733"/>
      <c r="I486" s="7733"/>
      <c r="J486" s="7733"/>
      <c r="K486" s="7734"/>
      <c r="L486" s="2245"/>
    </row>
    <row r="487" spans="1:17" ht="30" customHeight="1" x14ac:dyDescent="0.2">
      <c r="A487" s="7656"/>
      <c r="B487" s="7704"/>
      <c r="C487" s="7747"/>
      <c r="D487" s="8004">
        <f>D484+D485+D486</f>
        <v>1127500000</v>
      </c>
      <c r="E487" s="8005"/>
      <c r="F487" s="1855">
        <f>F484+F485+F486</f>
        <v>74215000</v>
      </c>
      <c r="G487" s="8085" t="s">
        <v>3882</v>
      </c>
      <c r="H487" s="8086"/>
      <c r="I487" s="8086"/>
      <c r="J487" s="8086"/>
      <c r="K487" s="8087"/>
      <c r="L487" s="2245"/>
    </row>
    <row r="488" spans="1:17" ht="30" customHeight="1" x14ac:dyDescent="0.2">
      <c r="A488" s="7655"/>
      <c r="B488" s="7705"/>
      <c r="C488" s="7724"/>
      <c r="D488" s="3218"/>
      <c r="E488" s="3214"/>
      <c r="F488" s="3218"/>
      <c r="G488" s="2199">
        <v>56715000</v>
      </c>
      <c r="H488" s="2199" t="s">
        <v>2015</v>
      </c>
      <c r="I488" s="2199" t="s">
        <v>1720</v>
      </c>
      <c r="J488" s="2199">
        <f>G488</f>
        <v>56715000</v>
      </c>
      <c r="K488" s="2199">
        <f>F484-J488</f>
        <v>0</v>
      </c>
      <c r="L488" s="2245" t="s">
        <v>3952</v>
      </c>
    </row>
    <row r="489" spans="1:17" ht="30" customHeight="1" x14ac:dyDescent="0.2">
      <c r="A489" s="2280">
        <v>339</v>
      </c>
      <c r="B489" s="2262" t="s">
        <v>170</v>
      </c>
      <c r="C489" s="2236" t="s">
        <v>1306</v>
      </c>
      <c r="D489" s="2199">
        <v>200000000</v>
      </c>
      <c r="E489" s="2263">
        <v>7.0000000000000007E-2</v>
      </c>
      <c r="F489" s="2199">
        <f t="shared" si="49"/>
        <v>14000000.000000002</v>
      </c>
      <c r="G489" s="233"/>
      <c r="H489" s="233"/>
      <c r="I489" s="1388"/>
      <c r="J489" s="233"/>
      <c r="K489" s="387"/>
      <c r="L489" s="2269"/>
      <c r="M489" s="386"/>
      <c r="N489" s="386"/>
      <c r="O489" s="386"/>
      <c r="P489" s="386"/>
      <c r="Q489" s="386"/>
    </row>
    <row r="490" spans="1:17" ht="30" customHeight="1" x14ac:dyDescent="0.2">
      <c r="A490" s="2280">
        <v>340</v>
      </c>
      <c r="B490" s="19" t="s">
        <v>67</v>
      </c>
      <c r="C490" s="378" t="s">
        <v>1138</v>
      </c>
      <c r="D490" s="2211">
        <v>85000000</v>
      </c>
      <c r="E490" s="2263">
        <v>0.05</v>
      </c>
      <c r="F490" s="2211">
        <f>D490*E490</f>
        <v>4250000</v>
      </c>
      <c r="G490" s="2199"/>
      <c r="H490" s="2199"/>
      <c r="I490" s="2260"/>
      <c r="J490" s="2199">
        <f t="shared" ref="J490:J500" si="51">G490</f>
        <v>0</v>
      </c>
      <c r="K490" s="2196">
        <f>F490-J490</f>
        <v>4250000</v>
      </c>
      <c r="L490" s="2250"/>
      <c r="M490" s="386"/>
      <c r="N490" s="386"/>
      <c r="O490" s="386"/>
      <c r="P490" s="386"/>
      <c r="Q490" s="386"/>
    </row>
    <row r="491" spans="1:17" ht="30" customHeight="1" x14ac:dyDescent="0.2">
      <c r="A491" s="7654">
        <v>341</v>
      </c>
      <c r="B491" s="7652" t="s">
        <v>1357</v>
      </c>
      <c r="C491" s="7723" t="s">
        <v>889</v>
      </c>
      <c r="D491" s="2649">
        <v>75000000</v>
      </c>
      <c r="E491" s="896">
        <v>4.4999999999999998E-2</v>
      </c>
      <c r="F491" s="2649">
        <v>3500000</v>
      </c>
      <c r="G491" s="7732" t="s">
        <v>4656</v>
      </c>
      <c r="H491" s="7733"/>
      <c r="I491" s="7733"/>
      <c r="J491" s="7734"/>
      <c r="K491" s="2253"/>
      <c r="L491" s="2645" t="s">
        <v>4655</v>
      </c>
      <c r="M491" s="386"/>
      <c r="N491" s="386"/>
      <c r="O491" s="386"/>
      <c r="P491" s="386"/>
      <c r="Q491" s="386"/>
    </row>
    <row r="492" spans="1:17" ht="30" customHeight="1" x14ac:dyDescent="0.2">
      <c r="A492" s="7655"/>
      <c r="B492" s="7653"/>
      <c r="C492" s="7724"/>
      <c r="D492" s="2649">
        <v>75000000</v>
      </c>
      <c r="E492" s="896">
        <v>4.4999999999999998E-2</v>
      </c>
      <c r="F492" s="2649">
        <v>3500000</v>
      </c>
      <c r="G492" s="2625"/>
      <c r="H492" s="2625"/>
      <c r="I492" s="2634"/>
      <c r="J492" s="2625"/>
      <c r="K492" s="2640"/>
      <c r="L492" s="2645"/>
      <c r="M492" s="386"/>
      <c r="N492" s="386"/>
      <c r="O492" s="386"/>
      <c r="P492" s="386"/>
      <c r="Q492" s="386"/>
    </row>
    <row r="493" spans="1:17" ht="30" customHeight="1" x14ac:dyDescent="0.2">
      <c r="A493" s="7654">
        <v>342</v>
      </c>
      <c r="B493" s="7652" t="s">
        <v>71</v>
      </c>
      <c r="C493" s="7723" t="s">
        <v>2363</v>
      </c>
      <c r="D493" s="2211">
        <v>110000000</v>
      </c>
      <c r="E493" s="2263">
        <v>0.05</v>
      </c>
      <c r="F493" s="2211">
        <f>D493*E493</f>
        <v>5500000</v>
      </c>
      <c r="G493" s="2211">
        <v>5500000</v>
      </c>
      <c r="H493" s="2211" t="s">
        <v>3929</v>
      </c>
      <c r="I493" s="2230" t="s">
        <v>3413</v>
      </c>
      <c r="J493" s="2211">
        <f t="shared" si="51"/>
        <v>5500000</v>
      </c>
      <c r="K493" s="2253">
        <f>F493-J493</f>
        <v>0</v>
      </c>
      <c r="L493" s="2269"/>
      <c r="M493" s="386"/>
      <c r="N493" s="386"/>
      <c r="O493" s="386"/>
      <c r="P493" s="386"/>
      <c r="Q493" s="386"/>
    </row>
    <row r="494" spans="1:17" ht="30" customHeight="1" x14ac:dyDescent="0.2">
      <c r="A494" s="7655"/>
      <c r="B494" s="7653"/>
      <c r="C494" s="7724"/>
      <c r="D494" s="2211">
        <v>70000000</v>
      </c>
      <c r="E494" s="2263">
        <v>0.05</v>
      </c>
      <c r="F494" s="2211">
        <f>D494*E494</f>
        <v>3500000</v>
      </c>
      <c r="G494" s="2211">
        <v>40000000</v>
      </c>
      <c r="H494" s="2211" t="s">
        <v>4107</v>
      </c>
      <c r="I494" s="2230" t="s">
        <v>4108</v>
      </c>
      <c r="J494" s="2211">
        <f>G494</f>
        <v>40000000</v>
      </c>
      <c r="K494" s="2253"/>
      <c r="L494" s="2249" t="s">
        <v>1236</v>
      </c>
      <c r="M494" s="386"/>
      <c r="N494" s="386"/>
      <c r="O494" s="386"/>
      <c r="P494" s="386"/>
      <c r="Q494" s="386"/>
    </row>
    <row r="495" spans="1:17" ht="30" customHeight="1" x14ac:dyDescent="0.2">
      <c r="A495" s="1028">
        <v>343</v>
      </c>
      <c r="B495" s="19" t="s">
        <v>1365</v>
      </c>
      <c r="C495" s="2264" t="s">
        <v>1796</v>
      </c>
      <c r="D495" s="2199">
        <v>8000000</v>
      </c>
      <c r="E495" s="2263">
        <v>0.04</v>
      </c>
      <c r="F495" s="2199">
        <f>D495*E495</f>
        <v>320000</v>
      </c>
      <c r="G495" s="2199">
        <v>320000</v>
      </c>
      <c r="H495" s="2199" t="s">
        <v>4144</v>
      </c>
      <c r="I495" s="2199" t="s">
        <v>1366</v>
      </c>
      <c r="J495" s="2199">
        <f t="shared" si="51"/>
        <v>320000</v>
      </c>
      <c r="K495" s="2196">
        <f>F495-J495</f>
        <v>0</v>
      </c>
      <c r="L495" s="2252"/>
      <c r="M495" s="386"/>
      <c r="N495" s="386"/>
      <c r="O495" s="386"/>
      <c r="P495" s="386"/>
      <c r="Q495" s="386"/>
    </row>
    <row r="496" spans="1:17" ht="30" customHeight="1" x14ac:dyDescent="0.2">
      <c r="A496" s="2202">
        <v>344</v>
      </c>
      <c r="B496" s="2204" t="s">
        <v>1373</v>
      </c>
      <c r="C496" s="2236"/>
      <c r="D496" s="2224"/>
      <c r="E496" s="2226"/>
      <c r="F496" s="2224"/>
      <c r="G496" s="2211">
        <v>6500000</v>
      </c>
      <c r="H496" s="2211" t="s">
        <v>3923</v>
      </c>
      <c r="I496" s="2230" t="s">
        <v>3429</v>
      </c>
      <c r="J496" s="2211">
        <f t="shared" si="51"/>
        <v>6500000</v>
      </c>
      <c r="K496" s="2258">
        <f>F496-J496</f>
        <v>-6500000</v>
      </c>
      <c r="L496" s="2269"/>
      <c r="M496" s="386"/>
      <c r="N496" s="386"/>
      <c r="O496" s="386"/>
      <c r="P496" s="386"/>
      <c r="Q496" s="386"/>
    </row>
    <row r="497" spans="1:17" ht="30" customHeight="1" x14ac:dyDescent="0.2">
      <c r="A497" s="2202">
        <v>345</v>
      </c>
      <c r="B497" s="2204" t="s">
        <v>2080</v>
      </c>
      <c r="C497" s="2236" t="s">
        <v>1299</v>
      </c>
      <c r="D497" s="2211">
        <v>60000000</v>
      </c>
      <c r="E497" s="2263">
        <v>7.0000000000000007E-2</v>
      </c>
      <c r="F497" s="2211">
        <f>D497*E497</f>
        <v>4200000</v>
      </c>
      <c r="G497" s="2211">
        <v>4200000</v>
      </c>
      <c r="H497" s="2211" t="s">
        <v>4107</v>
      </c>
      <c r="I497" s="2230" t="s">
        <v>4126</v>
      </c>
      <c r="J497" s="2211">
        <f t="shared" si="51"/>
        <v>4200000</v>
      </c>
      <c r="K497" s="2253">
        <f>G497-J497</f>
        <v>0</v>
      </c>
      <c r="L497" s="2269"/>
      <c r="M497" s="386"/>
      <c r="N497" s="386"/>
      <c r="O497" s="386"/>
      <c r="P497" s="386"/>
      <c r="Q497" s="386"/>
    </row>
    <row r="498" spans="1:17" ht="30" customHeight="1" x14ac:dyDescent="0.2">
      <c r="A498" s="2202">
        <v>346</v>
      </c>
      <c r="B498" s="2204" t="s">
        <v>1380</v>
      </c>
      <c r="C498" s="2236" t="s">
        <v>1172</v>
      </c>
      <c r="D498" s="2211">
        <v>5000000</v>
      </c>
      <c r="E498" s="2263">
        <v>0.05</v>
      </c>
      <c r="F498" s="2211">
        <f>D498*E498</f>
        <v>250000</v>
      </c>
      <c r="G498" s="2211">
        <v>500000</v>
      </c>
      <c r="H498" s="2211" t="s">
        <v>3965</v>
      </c>
      <c r="I498" s="2230" t="s">
        <v>3984</v>
      </c>
      <c r="J498" s="2211">
        <f t="shared" si="51"/>
        <v>500000</v>
      </c>
      <c r="K498" s="2253">
        <f t="shared" ref="K498:K509" si="52">F498-J498</f>
        <v>-250000</v>
      </c>
      <c r="L498" s="2269" t="s">
        <v>3985</v>
      </c>
      <c r="M498" s="386"/>
      <c r="N498" s="386"/>
      <c r="O498" s="386"/>
      <c r="P498" s="386"/>
      <c r="Q498" s="386"/>
    </row>
    <row r="499" spans="1:17" ht="30" customHeight="1" x14ac:dyDescent="0.2">
      <c r="A499" s="2202">
        <v>347</v>
      </c>
      <c r="B499" s="2204" t="s">
        <v>178</v>
      </c>
      <c r="C499" s="2236" t="s">
        <v>1796</v>
      </c>
      <c r="D499" s="2211">
        <v>130000000</v>
      </c>
      <c r="E499" s="2263">
        <v>0.05</v>
      </c>
      <c r="F499" s="2211">
        <f>D499*E499</f>
        <v>6500000</v>
      </c>
      <c r="G499" s="2211">
        <v>6500000</v>
      </c>
      <c r="H499" s="2211" t="s">
        <v>4144</v>
      </c>
      <c r="I499" s="2230" t="s">
        <v>3951</v>
      </c>
      <c r="J499" s="2211">
        <f t="shared" si="51"/>
        <v>6500000</v>
      </c>
      <c r="K499" s="2253">
        <f t="shared" si="52"/>
        <v>0</v>
      </c>
      <c r="L499" s="2269"/>
      <c r="M499" s="386"/>
      <c r="N499" s="386"/>
      <c r="O499" s="386"/>
      <c r="P499" s="386"/>
      <c r="Q499" s="386"/>
    </row>
    <row r="500" spans="1:17" ht="30" customHeight="1" x14ac:dyDescent="0.2">
      <c r="A500" s="2267">
        <v>348</v>
      </c>
      <c r="B500" s="19" t="s">
        <v>1408</v>
      </c>
      <c r="C500" s="2264" t="s">
        <v>1306</v>
      </c>
      <c r="D500" s="2199">
        <v>50000000</v>
      </c>
      <c r="E500" s="2263">
        <v>0.04</v>
      </c>
      <c r="F500" s="2199">
        <f>D500*E500</f>
        <v>2000000</v>
      </c>
      <c r="G500" s="2199"/>
      <c r="H500" s="2199"/>
      <c r="I500" s="2230" t="s">
        <v>3906</v>
      </c>
      <c r="J500" s="2211">
        <f t="shared" si="51"/>
        <v>0</v>
      </c>
      <c r="K500" s="2253">
        <f t="shared" si="52"/>
        <v>2000000</v>
      </c>
      <c r="L500" s="2269"/>
      <c r="M500" s="386"/>
      <c r="N500" s="386"/>
      <c r="O500" s="386"/>
      <c r="P500" s="386"/>
      <c r="Q500" s="386"/>
    </row>
    <row r="501" spans="1:17" ht="30" customHeight="1" x14ac:dyDescent="0.2">
      <c r="A501" s="7654">
        <v>349</v>
      </c>
      <c r="B501" s="7652" t="s">
        <v>1526</v>
      </c>
      <c r="C501" s="7723"/>
      <c r="D501" s="2211">
        <v>80000000</v>
      </c>
      <c r="E501" s="2208">
        <v>0.04</v>
      </c>
      <c r="F501" s="2211">
        <f>D501*E501</f>
        <v>3200000</v>
      </c>
      <c r="G501" s="2211">
        <v>50000000</v>
      </c>
      <c r="H501" s="2211" t="s">
        <v>4119</v>
      </c>
      <c r="I501" s="2230" t="s">
        <v>4120</v>
      </c>
      <c r="J501" s="7563">
        <f>G501+G502</f>
        <v>105000000</v>
      </c>
      <c r="K501" s="7816">
        <f t="shared" si="52"/>
        <v>-101800000</v>
      </c>
      <c r="L501" s="2269"/>
      <c r="M501" s="386"/>
      <c r="N501" s="386"/>
      <c r="O501" s="386"/>
      <c r="P501" s="386"/>
      <c r="Q501" s="386"/>
    </row>
    <row r="502" spans="1:17" ht="30" customHeight="1" x14ac:dyDescent="0.2">
      <c r="A502" s="7656"/>
      <c r="B502" s="7665"/>
      <c r="C502" s="7747"/>
      <c r="D502" s="7494" t="s">
        <v>4347</v>
      </c>
      <c r="E502" s="7495"/>
      <c r="F502" s="7768"/>
      <c r="G502" s="2211">
        <v>55000000</v>
      </c>
      <c r="H502" s="2211" t="s">
        <v>4107</v>
      </c>
      <c r="I502" s="2230" t="s">
        <v>4111</v>
      </c>
      <c r="J502" s="7564"/>
      <c r="K502" s="7817"/>
      <c r="L502" s="2269"/>
      <c r="M502" s="386"/>
      <c r="N502" s="386"/>
      <c r="O502" s="386"/>
      <c r="P502" s="386"/>
      <c r="Q502" s="386"/>
    </row>
    <row r="503" spans="1:17" ht="30" customHeight="1" x14ac:dyDescent="0.2">
      <c r="A503" s="7656"/>
      <c r="B503" s="7665"/>
      <c r="C503" s="7747"/>
      <c r="D503" s="7877"/>
      <c r="E503" s="7524"/>
      <c r="F503" s="7878"/>
      <c r="G503" s="7470" t="s">
        <v>4348</v>
      </c>
      <c r="H503" s="7493"/>
      <c r="I503" s="7493"/>
      <c r="J503" s="7510"/>
      <c r="K503" s="2253"/>
      <c r="L503" s="2269" t="s">
        <v>4191</v>
      </c>
      <c r="M503" s="386"/>
      <c r="N503" s="386"/>
      <c r="O503" s="386"/>
      <c r="P503" s="386"/>
      <c r="Q503" s="386"/>
    </row>
    <row r="504" spans="1:17" ht="30" customHeight="1" x14ac:dyDescent="0.2">
      <c r="A504" s="7655"/>
      <c r="B504" s="7653"/>
      <c r="C504" s="7724"/>
      <c r="D504" s="7769"/>
      <c r="E504" s="7805"/>
      <c r="F504" s="7770"/>
      <c r="G504" s="2199"/>
      <c r="H504" s="2199"/>
      <c r="I504" s="2199"/>
      <c r="J504" s="2199"/>
      <c r="K504" s="2253"/>
      <c r="L504" s="2269"/>
      <c r="M504" s="386"/>
      <c r="N504" s="386"/>
      <c r="O504" s="386"/>
      <c r="P504" s="386"/>
      <c r="Q504" s="386"/>
    </row>
    <row r="505" spans="1:17" ht="30" customHeight="1" x14ac:dyDescent="0.2">
      <c r="A505" s="2202">
        <v>350</v>
      </c>
      <c r="B505" s="2204" t="s">
        <v>1554</v>
      </c>
      <c r="C505" s="2236"/>
      <c r="D505" s="2211">
        <v>110000000</v>
      </c>
      <c r="E505" s="7898" t="s">
        <v>1556</v>
      </c>
      <c r="F505" s="7899"/>
      <c r="G505" s="2211"/>
      <c r="H505" s="2211"/>
      <c r="I505" s="2230" t="s">
        <v>3469</v>
      </c>
      <c r="J505" s="2211">
        <f t="shared" ref="J505:J511" si="53">G505</f>
        <v>0</v>
      </c>
      <c r="K505" s="2258">
        <f t="shared" si="52"/>
        <v>0</v>
      </c>
      <c r="L505" s="2269"/>
      <c r="M505" s="386"/>
      <c r="N505" s="386"/>
      <c r="O505" s="386"/>
      <c r="P505" s="386"/>
      <c r="Q505" s="386"/>
    </row>
    <row r="506" spans="1:17" ht="30" customHeight="1" x14ac:dyDescent="0.2">
      <c r="A506" s="2267"/>
      <c r="B506" s="19" t="s">
        <v>1558</v>
      </c>
      <c r="C506" s="2264" t="s">
        <v>1172</v>
      </c>
      <c r="D506" s="2199">
        <v>680000000</v>
      </c>
      <c r="E506" s="2263">
        <v>7.0000000000000007E-2</v>
      </c>
      <c r="F506" s="2199">
        <f t="shared" ref="F506:F512" si="54">D506*E506</f>
        <v>47600000.000000007</v>
      </c>
      <c r="G506" s="2199">
        <v>47600000</v>
      </c>
      <c r="H506" s="2199" t="s">
        <v>4016</v>
      </c>
      <c r="I506" s="2199" t="s">
        <v>2460</v>
      </c>
      <c r="J506" s="2199">
        <f t="shared" si="53"/>
        <v>47600000</v>
      </c>
      <c r="K506" s="2253">
        <f t="shared" si="52"/>
        <v>0</v>
      </c>
      <c r="L506" s="2250" t="s">
        <v>4019</v>
      </c>
      <c r="M506" s="386"/>
      <c r="N506" s="386"/>
      <c r="O506" s="386"/>
      <c r="P506" s="386"/>
      <c r="Q506" s="386"/>
    </row>
    <row r="507" spans="1:17" ht="30" customHeight="1" x14ac:dyDescent="0.2">
      <c r="A507" s="2202">
        <v>352</v>
      </c>
      <c r="B507" s="2204" t="s">
        <v>1561</v>
      </c>
      <c r="C507" s="2236" t="s">
        <v>1081</v>
      </c>
      <c r="D507" s="2211">
        <v>50000000</v>
      </c>
      <c r="E507" s="2208">
        <v>7.0000000000000007E-2</v>
      </c>
      <c r="F507" s="2211">
        <f t="shared" si="54"/>
        <v>3500000.0000000005</v>
      </c>
      <c r="G507" s="2211">
        <v>3500000</v>
      </c>
      <c r="H507" s="2211" t="s">
        <v>3993</v>
      </c>
      <c r="I507" s="21" t="s">
        <v>3517</v>
      </c>
      <c r="J507" s="2211">
        <f t="shared" si="53"/>
        <v>3500000</v>
      </c>
      <c r="K507" s="2253">
        <f t="shared" si="52"/>
        <v>0</v>
      </c>
      <c r="L507" s="2269"/>
      <c r="M507" s="386"/>
      <c r="N507" s="386"/>
      <c r="O507" s="386"/>
      <c r="P507" s="386"/>
      <c r="Q507" s="386"/>
    </row>
    <row r="508" spans="1:17" ht="30" customHeight="1" x14ac:dyDescent="0.2">
      <c r="A508" s="7879">
        <v>353</v>
      </c>
      <c r="B508" s="7717" t="s">
        <v>1565</v>
      </c>
      <c r="C508" s="2264" t="s">
        <v>1172</v>
      </c>
      <c r="D508" s="2211">
        <v>50000000</v>
      </c>
      <c r="E508" s="2263">
        <v>0.05</v>
      </c>
      <c r="F508" s="2211">
        <f t="shared" si="54"/>
        <v>2500000</v>
      </c>
      <c r="G508" s="2211">
        <v>2500000</v>
      </c>
      <c r="H508" s="2211" t="s">
        <v>1846</v>
      </c>
      <c r="I508" s="2230" t="s">
        <v>3718</v>
      </c>
      <c r="J508" s="2211">
        <f t="shared" si="53"/>
        <v>2500000</v>
      </c>
      <c r="K508" s="2253">
        <f t="shared" si="52"/>
        <v>0</v>
      </c>
      <c r="L508" s="2269"/>
      <c r="M508" s="386"/>
      <c r="N508" s="386"/>
      <c r="O508" s="386"/>
      <c r="P508" s="386"/>
      <c r="Q508" s="386"/>
    </row>
    <row r="509" spans="1:17" ht="30" customHeight="1" x14ac:dyDescent="0.2">
      <c r="A509" s="7879"/>
      <c r="B509" s="7717"/>
      <c r="C509" s="2264" t="s">
        <v>1299</v>
      </c>
      <c r="D509" s="2211">
        <v>20000000</v>
      </c>
      <c r="E509" s="2263">
        <v>0.05</v>
      </c>
      <c r="F509" s="2211">
        <f t="shared" si="54"/>
        <v>1000000</v>
      </c>
      <c r="G509" s="1455">
        <v>1000000</v>
      </c>
      <c r="H509" s="1455" t="s">
        <v>4107</v>
      </c>
      <c r="I509" s="1455" t="s">
        <v>3718</v>
      </c>
      <c r="J509" s="1455">
        <f t="shared" si="53"/>
        <v>1000000</v>
      </c>
      <c r="K509" s="2253">
        <f t="shared" si="52"/>
        <v>0</v>
      </c>
      <c r="L509" s="2269" t="s">
        <v>2909</v>
      </c>
      <c r="M509" s="386"/>
      <c r="N509" s="386"/>
      <c r="O509" s="386"/>
      <c r="P509" s="386"/>
      <c r="Q509" s="386"/>
    </row>
    <row r="510" spans="1:17" ht="30" customHeight="1" x14ac:dyDescent="0.2">
      <c r="A510" s="2202">
        <v>355</v>
      </c>
      <c r="B510" s="2204" t="s">
        <v>1582</v>
      </c>
      <c r="C510" s="2236" t="s">
        <v>2644</v>
      </c>
      <c r="D510" s="2211">
        <v>115000000</v>
      </c>
      <c r="E510" s="2263">
        <v>0.05</v>
      </c>
      <c r="F510" s="2211">
        <f t="shared" si="54"/>
        <v>5750000</v>
      </c>
      <c r="G510" s="2211">
        <v>5750000</v>
      </c>
      <c r="H510" s="2211" t="s">
        <v>2015</v>
      </c>
      <c r="I510" s="472" t="s">
        <v>3411</v>
      </c>
      <c r="J510" s="2211">
        <f t="shared" si="53"/>
        <v>5750000</v>
      </c>
      <c r="K510" s="2253">
        <f>F510-J510</f>
        <v>0</v>
      </c>
      <c r="L510" s="2269"/>
      <c r="M510" s="386"/>
      <c r="N510" s="386"/>
      <c r="O510" s="386"/>
      <c r="P510" s="386"/>
      <c r="Q510" s="386"/>
    </row>
    <row r="511" spans="1:17" ht="30" customHeight="1" x14ac:dyDescent="0.2">
      <c r="A511" s="7654">
        <v>356</v>
      </c>
      <c r="B511" s="7652" t="s">
        <v>1590</v>
      </c>
      <c r="C511" s="7723"/>
      <c r="D511" s="2211">
        <v>60000000</v>
      </c>
      <c r="E511" s="2263">
        <v>0.04</v>
      </c>
      <c r="F511" s="2211">
        <f t="shared" si="54"/>
        <v>2400000</v>
      </c>
      <c r="G511" s="7563">
        <v>2800000</v>
      </c>
      <c r="H511" s="7563" t="s">
        <v>3923</v>
      </c>
      <c r="I511" s="7889" t="s">
        <v>3924</v>
      </c>
      <c r="J511" s="7563">
        <f t="shared" si="53"/>
        <v>2800000</v>
      </c>
      <c r="K511" s="7816">
        <f>(F511+F512)-J511</f>
        <v>0</v>
      </c>
      <c r="L511" s="7816"/>
      <c r="M511" s="386"/>
      <c r="N511" s="386"/>
      <c r="O511" s="386"/>
      <c r="P511" s="386"/>
      <c r="Q511" s="386"/>
    </row>
    <row r="512" spans="1:17" ht="30" customHeight="1" x14ac:dyDescent="0.2">
      <c r="A512" s="7655"/>
      <c r="B512" s="7653"/>
      <c r="C512" s="7724"/>
      <c r="D512" s="2211">
        <v>10000000</v>
      </c>
      <c r="E512" s="2263">
        <v>0.04</v>
      </c>
      <c r="F512" s="2211">
        <f t="shared" si="54"/>
        <v>400000</v>
      </c>
      <c r="G512" s="7564"/>
      <c r="H512" s="7564"/>
      <c r="I512" s="7890"/>
      <c r="J512" s="7564"/>
      <c r="K512" s="7817"/>
      <c r="L512" s="7817"/>
      <c r="M512" s="386"/>
      <c r="N512" s="386"/>
      <c r="O512" s="386"/>
      <c r="P512" s="386"/>
      <c r="Q512" s="386"/>
    </row>
    <row r="513" spans="1:17" ht="30" customHeight="1" x14ac:dyDescent="0.2">
      <c r="A513" s="2202">
        <v>357</v>
      </c>
      <c r="B513" s="2204" t="s">
        <v>1592</v>
      </c>
      <c r="C513" s="2236"/>
      <c r="D513" s="2211">
        <v>70000000</v>
      </c>
      <c r="E513" s="2295"/>
      <c r="F513" s="2224"/>
      <c r="G513" s="2211"/>
      <c r="H513" s="2211"/>
      <c r="I513" s="472"/>
      <c r="J513" s="2211"/>
      <c r="K513" s="2258"/>
      <c r="L513" s="2269" t="s">
        <v>1593</v>
      </c>
      <c r="M513" s="386"/>
      <c r="N513" s="386"/>
      <c r="O513" s="386"/>
      <c r="P513" s="386"/>
      <c r="Q513" s="386"/>
    </row>
    <row r="514" spans="1:17" ht="30" customHeight="1" x14ac:dyDescent="0.2">
      <c r="A514" s="1028">
        <v>358</v>
      </c>
      <c r="B514" s="2265" t="s">
        <v>1597</v>
      </c>
      <c r="C514" s="2264"/>
      <c r="D514" s="2227"/>
      <c r="E514" s="2295"/>
      <c r="F514" s="2227"/>
      <c r="G514" s="2199">
        <v>20000000</v>
      </c>
      <c r="H514" s="2199" t="s">
        <v>3993</v>
      </c>
      <c r="I514" s="1029" t="s">
        <v>1598</v>
      </c>
      <c r="J514" s="2199">
        <f>G514</f>
        <v>20000000</v>
      </c>
      <c r="K514" s="1030">
        <f>F514-J514</f>
        <v>-20000000</v>
      </c>
      <c r="L514" s="2269" t="s">
        <v>4130</v>
      </c>
      <c r="M514" s="386"/>
      <c r="N514" s="386"/>
      <c r="O514" s="386"/>
      <c r="P514" s="386"/>
      <c r="Q514" s="386"/>
    </row>
    <row r="515" spans="1:17" ht="30" customHeight="1" x14ac:dyDescent="0.2">
      <c r="A515" s="7654">
        <v>359</v>
      </c>
      <c r="B515" s="7652" t="s">
        <v>1599</v>
      </c>
      <c r="C515" s="7723"/>
      <c r="D515" s="7677"/>
      <c r="E515" s="7691"/>
      <c r="F515" s="7677"/>
      <c r="G515" s="2211"/>
      <c r="H515" s="2211"/>
      <c r="I515" s="472"/>
      <c r="J515" s="7563">
        <f>G515+G516</f>
        <v>0</v>
      </c>
      <c r="K515" s="7841">
        <f>F515-J515</f>
        <v>0</v>
      </c>
      <c r="L515" s="7816"/>
      <c r="M515" s="386"/>
      <c r="N515" s="386"/>
      <c r="O515" s="386"/>
      <c r="P515" s="386"/>
      <c r="Q515" s="386"/>
    </row>
    <row r="516" spans="1:17" ht="30" customHeight="1" x14ac:dyDescent="0.2">
      <c r="A516" s="7655"/>
      <c r="B516" s="7653"/>
      <c r="C516" s="7724"/>
      <c r="D516" s="7678"/>
      <c r="E516" s="7693"/>
      <c r="F516" s="7678"/>
      <c r="G516" s="2211"/>
      <c r="H516" s="2211"/>
      <c r="I516" s="472"/>
      <c r="J516" s="7564"/>
      <c r="K516" s="7842"/>
      <c r="L516" s="7817"/>
      <c r="M516" s="386"/>
      <c r="N516" s="386"/>
      <c r="O516" s="386"/>
      <c r="P516" s="386"/>
      <c r="Q516" s="386"/>
    </row>
    <row r="517" spans="1:17" ht="30" customHeight="1" x14ac:dyDescent="0.2">
      <c r="A517" s="7654">
        <v>360</v>
      </c>
      <c r="B517" s="7652" t="s">
        <v>1614</v>
      </c>
      <c r="C517" s="7723" t="s">
        <v>889</v>
      </c>
      <c r="D517" s="2199">
        <v>290000000</v>
      </c>
      <c r="E517" s="2263">
        <v>0.05</v>
      </c>
      <c r="F517" s="2199">
        <f>D517*E517</f>
        <v>14500000</v>
      </c>
      <c r="G517" s="7563">
        <v>27100000</v>
      </c>
      <c r="H517" s="7563" t="s">
        <v>1846</v>
      </c>
      <c r="I517" s="7889" t="s">
        <v>1611</v>
      </c>
      <c r="J517" s="7563">
        <f>G517+G518</f>
        <v>27100000</v>
      </c>
      <c r="K517" s="7816">
        <f>(F517+F518)-G517</f>
        <v>0</v>
      </c>
      <c r="L517" s="7816"/>
      <c r="M517" s="386"/>
      <c r="N517" s="386"/>
      <c r="O517" s="386"/>
      <c r="P517" s="386"/>
      <c r="Q517" s="386"/>
    </row>
    <row r="518" spans="1:17" ht="30" customHeight="1" x14ac:dyDescent="0.2">
      <c r="A518" s="7655"/>
      <c r="B518" s="7653"/>
      <c r="C518" s="7724"/>
      <c r="D518" s="2199">
        <v>210000000</v>
      </c>
      <c r="E518" s="2263">
        <v>0.06</v>
      </c>
      <c r="F518" s="2199">
        <f>D518*E518</f>
        <v>12600000</v>
      </c>
      <c r="G518" s="7564"/>
      <c r="H518" s="7564"/>
      <c r="I518" s="7890"/>
      <c r="J518" s="7564"/>
      <c r="K518" s="7817"/>
      <c r="L518" s="7817"/>
      <c r="M518" s="386"/>
      <c r="N518" s="386"/>
      <c r="O518" s="386"/>
      <c r="P518" s="386"/>
      <c r="Q518" s="386"/>
    </row>
    <row r="519" spans="1:17" ht="30" customHeight="1" x14ac:dyDescent="0.2">
      <c r="A519" s="7654">
        <v>361</v>
      </c>
      <c r="B519" s="7652" t="s">
        <v>1612</v>
      </c>
      <c r="C519" s="7723"/>
      <c r="D519" s="7563">
        <v>3045000000</v>
      </c>
      <c r="E519" s="7659"/>
      <c r="F519" s="7563">
        <v>95800000</v>
      </c>
      <c r="G519" s="2211">
        <v>15000000</v>
      </c>
      <c r="H519" s="2211"/>
      <c r="I519" s="472" t="s">
        <v>1613</v>
      </c>
      <c r="J519" s="7563">
        <f>G519+G520++G521+G522+G523</f>
        <v>95800000</v>
      </c>
      <c r="K519" s="7816">
        <f>F519-J519</f>
        <v>0</v>
      </c>
      <c r="L519" s="2249"/>
      <c r="M519" s="386"/>
      <c r="N519" s="386"/>
      <c r="O519" s="386"/>
      <c r="P519" s="386"/>
      <c r="Q519" s="386"/>
    </row>
    <row r="520" spans="1:17" ht="30" customHeight="1" x14ac:dyDescent="0.2">
      <c r="A520" s="7656"/>
      <c r="B520" s="7665"/>
      <c r="C520" s="7747"/>
      <c r="D520" s="7586"/>
      <c r="E520" s="7676"/>
      <c r="F520" s="7586"/>
      <c r="G520" s="2211">
        <v>39000000</v>
      </c>
      <c r="H520" s="7470" t="s">
        <v>4178</v>
      </c>
      <c r="I520" s="7510"/>
      <c r="J520" s="7586"/>
      <c r="K520" s="7882"/>
      <c r="L520" s="2270"/>
      <c r="M520" s="386"/>
      <c r="N520" s="386"/>
      <c r="O520" s="386"/>
      <c r="P520" s="386"/>
      <c r="Q520" s="386"/>
    </row>
    <row r="521" spans="1:17" ht="30" customHeight="1" x14ac:dyDescent="0.2">
      <c r="A521" s="7656"/>
      <c r="B521" s="7665"/>
      <c r="C521" s="7747"/>
      <c r="D521" s="7586"/>
      <c r="E521" s="7676"/>
      <c r="F521" s="7586"/>
      <c r="G521" s="2211">
        <v>1000000</v>
      </c>
      <c r="H521" s="2211" t="s">
        <v>4016</v>
      </c>
      <c r="I521" s="472" t="s">
        <v>3152</v>
      </c>
      <c r="J521" s="7586"/>
      <c r="K521" s="7882"/>
      <c r="L521" s="848"/>
      <c r="M521" s="386"/>
      <c r="N521" s="386"/>
      <c r="O521" s="386"/>
      <c r="P521" s="386"/>
      <c r="Q521" s="386"/>
    </row>
    <row r="522" spans="1:17" ht="30" customHeight="1" x14ac:dyDescent="0.2">
      <c r="A522" s="7656"/>
      <c r="B522" s="7665"/>
      <c r="C522" s="7747"/>
      <c r="D522" s="7586"/>
      <c r="E522" s="7676"/>
      <c r="F522" s="7586"/>
      <c r="G522" s="2211">
        <v>30000000</v>
      </c>
      <c r="H522" s="2211" t="s">
        <v>4043</v>
      </c>
      <c r="I522" s="472" t="s">
        <v>1613</v>
      </c>
      <c r="J522" s="7586"/>
      <c r="K522" s="7882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7656"/>
      <c r="B523" s="7665"/>
      <c r="C523" s="7747"/>
      <c r="D523" s="7586"/>
      <c r="E523" s="7676"/>
      <c r="F523" s="7586"/>
      <c r="G523" s="2211">
        <v>10800000</v>
      </c>
      <c r="H523" s="7732" t="s">
        <v>4051</v>
      </c>
      <c r="I523" s="7734"/>
      <c r="J523" s="7586"/>
      <c r="K523" s="7882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7656"/>
      <c r="B524" s="7665"/>
      <c r="C524" s="7747"/>
      <c r="D524" s="7586"/>
      <c r="E524" s="7676"/>
      <c r="F524" s="7586"/>
      <c r="G524" s="2211"/>
      <c r="H524" s="2211"/>
      <c r="I524" s="472"/>
      <c r="J524" s="7586"/>
      <c r="K524" s="7882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7656"/>
      <c r="B525" s="7665"/>
      <c r="C525" s="7747"/>
      <c r="D525" s="7586"/>
      <c r="E525" s="7676"/>
      <c r="F525" s="7586"/>
      <c r="G525" s="2211"/>
      <c r="H525" s="2211"/>
      <c r="I525" s="472"/>
      <c r="J525" s="7586"/>
      <c r="K525" s="7882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7656"/>
      <c r="B526" s="7665"/>
      <c r="C526" s="7747"/>
      <c r="D526" s="7586"/>
      <c r="E526" s="7676"/>
      <c r="F526" s="7586"/>
      <c r="G526" s="2211"/>
      <c r="H526" s="2211"/>
      <c r="I526" s="472"/>
      <c r="J526" s="7586"/>
      <c r="K526" s="7882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7656"/>
      <c r="B527" s="7665"/>
      <c r="C527" s="7747"/>
      <c r="D527" s="7586"/>
      <c r="E527" s="7676"/>
      <c r="F527" s="7586"/>
      <c r="G527" s="2211"/>
      <c r="H527" s="2211"/>
      <c r="I527" s="472"/>
      <c r="J527" s="7586"/>
      <c r="K527" s="7882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7655"/>
      <c r="B528" s="7653"/>
      <c r="C528" s="7724"/>
      <c r="D528" s="7564"/>
      <c r="E528" s="7660"/>
      <c r="F528" s="7564"/>
      <c r="G528" s="2211"/>
      <c r="H528" s="2211"/>
      <c r="I528" s="472"/>
      <c r="J528" s="7564"/>
      <c r="K528" s="7817"/>
      <c r="L528" s="898"/>
      <c r="M528" s="386"/>
      <c r="N528" s="386"/>
      <c r="O528" s="386"/>
      <c r="P528" s="386"/>
      <c r="Q528" s="386"/>
    </row>
    <row r="529" spans="1:17" ht="30" customHeight="1" x14ac:dyDescent="0.2">
      <c r="A529" s="7654"/>
      <c r="B529" s="7652" t="s">
        <v>4179</v>
      </c>
      <c r="C529" s="7723"/>
      <c r="D529" s="7563">
        <f>9000000+5000000+10800000</f>
        <v>24800000</v>
      </c>
      <c r="E529" s="7659"/>
      <c r="F529" s="7563"/>
      <c r="G529" s="2211"/>
      <c r="H529" s="2211"/>
      <c r="I529" s="472"/>
      <c r="J529" s="2211"/>
      <c r="K529" s="2253"/>
      <c r="L529" s="2020" t="s">
        <v>4180</v>
      </c>
      <c r="M529" s="386"/>
      <c r="N529" s="386"/>
      <c r="O529" s="386"/>
      <c r="P529" s="386"/>
      <c r="Q529" s="386"/>
    </row>
    <row r="530" spans="1:17" ht="30" customHeight="1" x14ac:dyDescent="0.2">
      <c r="A530" s="7656"/>
      <c r="B530" s="7665"/>
      <c r="C530" s="7747"/>
      <c r="D530" s="7586"/>
      <c r="E530" s="7676"/>
      <c r="F530" s="7586"/>
      <c r="G530" s="2211"/>
      <c r="H530" s="2211"/>
      <c r="I530" s="472"/>
      <c r="J530" s="2211"/>
      <c r="K530" s="2253"/>
      <c r="L530" s="2020" t="s">
        <v>4181</v>
      </c>
      <c r="M530" s="386"/>
      <c r="N530" s="386"/>
      <c r="O530" s="386"/>
      <c r="P530" s="386"/>
      <c r="Q530" s="386"/>
    </row>
    <row r="531" spans="1:17" ht="30" customHeight="1" x14ac:dyDescent="0.2">
      <c r="A531" s="7655"/>
      <c r="B531" s="7653"/>
      <c r="C531" s="7724"/>
      <c r="D531" s="7564"/>
      <c r="E531" s="7660"/>
      <c r="F531" s="7564"/>
      <c r="G531" s="2211"/>
      <c r="H531" s="2211"/>
      <c r="I531" s="472"/>
      <c r="J531" s="2211"/>
      <c r="K531" s="2253"/>
      <c r="L531" s="2020" t="s">
        <v>4182</v>
      </c>
      <c r="M531" s="386"/>
      <c r="N531" s="386"/>
      <c r="O531" s="386"/>
      <c r="P531" s="386"/>
      <c r="Q531" s="386"/>
    </row>
    <row r="532" spans="1:17" ht="30" customHeight="1" x14ac:dyDescent="0.2">
      <c r="A532" s="2267">
        <v>362</v>
      </c>
      <c r="B532" s="19" t="s">
        <v>1619</v>
      </c>
      <c r="C532" s="2264" t="s">
        <v>1652</v>
      </c>
      <c r="D532" s="2211">
        <v>360000000</v>
      </c>
      <c r="E532" s="2263">
        <v>4.4999999999999998E-2</v>
      </c>
      <c r="F532" s="2211">
        <v>16500000</v>
      </c>
      <c r="G532" s="2211">
        <v>16500000</v>
      </c>
      <c r="H532" s="2211" t="s">
        <v>3965</v>
      </c>
      <c r="I532" s="472" t="s">
        <v>1620</v>
      </c>
      <c r="J532" s="2211">
        <f t="shared" ref="J532:J537" si="55">G532</f>
        <v>16500000</v>
      </c>
      <c r="K532" s="2253">
        <f t="shared" ref="K532:K537" si="56">F532-J532</f>
        <v>0</v>
      </c>
      <c r="L532" s="7732" t="s">
        <v>3451</v>
      </c>
      <c r="M532" s="7733"/>
      <c r="N532" s="7733"/>
      <c r="O532" s="7734"/>
      <c r="P532" s="386"/>
      <c r="Q532" s="386"/>
    </row>
    <row r="533" spans="1:17" ht="30" customHeight="1" x14ac:dyDescent="0.2">
      <c r="A533" s="2202">
        <v>363</v>
      </c>
      <c r="B533" s="2204" t="s">
        <v>1641</v>
      </c>
      <c r="C533" s="2236"/>
      <c r="D533" s="2224"/>
      <c r="E533" s="2295"/>
      <c r="F533" s="2224"/>
      <c r="G533" s="2211">
        <v>1175000</v>
      </c>
      <c r="H533" s="2211" t="s">
        <v>4060</v>
      </c>
      <c r="I533" s="472" t="s">
        <v>1621</v>
      </c>
      <c r="J533" s="2211">
        <f t="shared" si="55"/>
        <v>1175000</v>
      </c>
      <c r="K533" s="2253">
        <f t="shared" si="56"/>
        <v>-1175000</v>
      </c>
      <c r="L533" s="2269"/>
      <c r="M533" s="386"/>
      <c r="N533" s="386"/>
      <c r="O533" s="386"/>
      <c r="P533" s="386"/>
      <c r="Q533" s="386"/>
    </row>
    <row r="534" spans="1:17" ht="30" customHeight="1" x14ac:dyDescent="0.2">
      <c r="A534" s="2202">
        <v>364</v>
      </c>
      <c r="B534" s="2204" t="s">
        <v>1637</v>
      </c>
      <c r="C534" s="2236"/>
      <c r="D534" s="2224"/>
      <c r="E534" s="2295"/>
      <c r="F534" s="2224"/>
      <c r="G534" s="2211">
        <v>6600000</v>
      </c>
      <c r="H534" s="2211" t="s">
        <v>4036</v>
      </c>
      <c r="I534" s="472" t="s">
        <v>4039</v>
      </c>
      <c r="J534" s="2211">
        <f t="shared" si="55"/>
        <v>6600000</v>
      </c>
      <c r="K534" s="2258">
        <f t="shared" si="56"/>
        <v>-6600000</v>
      </c>
      <c r="L534" s="2269"/>
      <c r="M534" s="386"/>
      <c r="N534" s="386"/>
      <c r="O534" s="386"/>
      <c r="P534" s="386"/>
      <c r="Q534" s="386"/>
    </row>
    <row r="535" spans="1:17" ht="30" customHeight="1" x14ac:dyDescent="0.2">
      <c r="A535" s="2267">
        <v>365</v>
      </c>
      <c r="B535" s="2265" t="s">
        <v>1639</v>
      </c>
      <c r="C535" s="2264" t="s">
        <v>1718</v>
      </c>
      <c r="D535" s="2211">
        <v>250000000</v>
      </c>
      <c r="E535" s="2263">
        <v>0.05</v>
      </c>
      <c r="F535" s="2211">
        <f>D535*E535</f>
        <v>12500000</v>
      </c>
      <c r="G535" s="2199">
        <v>12500000</v>
      </c>
      <c r="H535" s="2199" t="s">
        <v>3993</v>
      </c>
      <c r="I535" s="2199" t="s">
        <v>2808</v>
      </c>
      <c r="J535" s="2199">
        <f t="shared" si="55"/>
        <v>12500000</v>
      </c>
      <c r="K535" s="2253">
        <f t="shared" si="56"/>
        <v>0</v>
      </c>
      <c r="L535" s="2250"/>
      <c r="M535" s="386"/>
      <c r="N535" s="386"/>
      <c r="O535" s="386"/>
      <c r="P535" s="386"/>
      <c r="Q535" s="386"/>
    </row>
    <row r="536" spans="1:17" ht="30" customHeight="1" x14ac:dyDescent="0.2">
      <c r="A536" s="2202">
        <v>366</v>
      </c>
      <c r="B536" s="2204" t="s">
        <v>1719</v>
      </c>
      <c r="C536" s="2236" t="s">
        <v>1107</v>
      </c>
      <c r="D536" s="2211">
        <v>70000000</v>
      </c>
      <c r="E536" s="2263">
        <v>6.3E-2</v>
      </c>
      <c r="F536" s="2211">
        <v>4400000</v>
      </c>
      <c r="G536" s="2211"/>
      <c r="H536" s="2211"/>
      <c r="I536" s="472" t="s">
        <v>3773</v>
      </c>
      <c r="J536" s="2211">
        <f t="shared" si="55"/>
        <v>0</v>
      </c>
      <c r="K536" s="2253">
        <f t="shared" si="56"/>
        <v>4400000</v>
      </c>
      <c r="L536" s="2269"/>
      <c r="M536" s="386"/>
      <c r="N536" s="386"/>
      <c r="O536" s="386"/>
      <c r="P536" s="386"/>
      <c r="Q536" s="386"/>
    </row>
    <row r="537" spans="1:17" ht="30" customHeight="1" x14ac:dyDescent="0.2">
      <c r="A537" s="2202">
        <v>367</v>
      </c>
      <c r="B537" s="2204" t="s">
        <v>1666</v>
      </c>
      <c r="C537" s="2236"/>
      <c r="D537" s="2211">
        <v>25000000</v>
      </c>
      <c r="E537" s="2263">
        <v>0.05</v>
      </c>
      <c r="F537" s="2211">
        <f>D537*E537</f>
        <v>1250000</v>
      </c>
      <c r="G537" s="2211">
        <v>1250000</v>
      </c>
      <c r="H537" s="2211" t="s">
        <v>4043</v>
      </c>
      <c r="I537" s="472" t="s">
        <v>4050</v>
      </c>
      <c r="J537" s="2211">
        <f t="shared" si="55"/>
        <v>1250000</v>
      </c>
      <c r="K537" s="2253">
        <f t="shared" si="56"/>
        <v>0</v>
      </c>
      <c r="L537" s="2269"/>
      <c r="M537" s="386"/>
      <c r="N537" s="386"/>
      <c r="O537" s="386"/>
      <c r="P537" s="386"/>
      <c r="Q537" s="386"/>
    </row>
    <row r="538" spans="1:17" ht="30" customHeight="1" x14ac:dyDescent="0.2">
      <c r="A538" s="7879">
        <v>368</v>
      </c>
      <c r="B538" s="7717" t="s">
        <v>1793</v>
      </c>
      <c r="C538" s="7873"/>
      <c r="D538" s="7482">
        <v>800000000</v>
      </c>
      <c r="E538" s="7870">
        <v>7.0000000000000007E-2</v>
      </c>
      <c r="F538" s="7482">
        <f>D538*E538</f>
        <v>56000000.000000007</v>
      </c>
      <c r="G538" s="7563">
        <v>56000000</v>
      </c>
      <c r="H538" s="7752" t="s">
        <v>3923</v>
      </c>
      <c r="I538" s="7889" t="s">
        <v>2579</v>
      </c>
      <c r="J538" s="7482">
        <f>G538</f>
        <v>56000000</v>
      </c>
      <c r="K538" s="7499">
        <f>F538-J538</f>
        <v>0</v>
      </c>
      <c r="L538" s="7811"/>
      <c r="M538" s="386"/>
      <c r="N538" s="386"/>
      <c r="O538" s="386"/>
      <c r="P538" s="386"/>
      <c r="Q538" s="386"/>
    </row>
    <row r="539" spans="1:17" ht="30" customHeight="1" x14ac:dyDescent="0.2">
      <c r="A539" s="7879"/>
      <c r="B539" s="7717"/>
      <c r="C539" s="7873"/>
      <c r="D539" s="7482"/>
      <c r="E539" s="7870"/>
      <c r="F539" s="7482"/>
      <c r="G539" s="7564"/>
      <c r="H539" s="7753"/>
      <c r="I539" s="7890"/>
      <c r="J539" s="7482"/>
      <c r="K539" s="7499"/>
      <c r="L539" s="7812"/>
      <c r="M539" s="386"/>
      <c r="N539" s="386"/>
      <c r="O539" s="386"/>
      <c r="P539" s="386"/>
      <c r="Q539" s="386"/>
    </row>
    <row r="540" spans="1:17" ht="30" customHeight="1" x14ac:dyDescent="0.2">
      <c r="A540" s="7654">
        <v>369</v>
      </c>
      <c r="B540" s="7652" t="s">
        <v>1676</v>
      </c>
      <c r="C540" s="7723" t="s">
        <v>1652</v>
      </c>
      <c r="D540" s="2211">
        <v>250000000</v>
      </c>
      <c r="E540" s="2208">
        <v>0.05</v>
      </c>
      <c r="F540" s="2211">
        <f t="shared" ref="F540:F545" si="57">D540*E540</f>
        <v>12500000</v>
      </c>
      <c r="G540" s="2211"/>
      <c r="H540" s="2211"/>
      <c r="I540" s="233"/>
      <c r="J540" s="233"/>
      <c r="K540" s="233"/>
      <c r="L540" s="2269"/>
      <c r="M540" s="386"/>
      <c r="N540" s="386"/>
      <c r="O540" s="386"/>
      <c r="P540" s="386"/>
      <c r="Q540" s="386"/>
    </row>
    <row r="541" spans="1:17" ht="30" customHeight="1" x14ac:dyDescent="0.2">
      <c r="A541" s="7656"/>
      <c r="B541" s="7665"/>
      <c r="C541" s="7747"/>
      <c r="D541" s="2211">
        <v>150000000</v>
      </c>
      <c r="E541" s="2208">
        <v>0.06</v>
      </c>
      <c r="F541" s="2211">
        <f t="shared" si="57"/>
        <v>9000000</v>
      </c>
      <c r="G541" s="233"/>
      <c r="H541" s="233"/>
      <c r="I541" s="233"/>
      <c r="J541" s="233"/>
      <c r="K541" s="2278"/>
      <c r="L541" s="2249" t="s">
        <v>3884</v>
      </c>
      <c r="M541" s="386"/>
      <c r="N541" s="386"/>
      <c r="O541" s="386"/>
      <c r="P541" s="386"/>
      <c r="Q541" s="386"/>
    </row>
    <row r="542" spans="1:17" ht="30" customHeight="1" x14ac:dyDescent="0.2">
      <c r="A542" s="7656"/>
      <c r="B542" s="7665"/>
      <c r="C542" s="7747"/>
      <c r="D542" s="2211">
        <v>50000000</v>
      </c>
      <c r="E542" s="2208">
        <v>0.06</v>
      </c>
      <c r="F542" s="2211">
        <f t="shared" si="57"/>
        <v>3000000</v>
      </c>
      <c r="G542" s="233">
        <f>SUM(F540:F542)</f>
        <v>24500000</v>
      </c>
      <c r="H542" s="233"/>
      <c r="I542" s="233"/>
      <c r="J542" s="233"/>
      <c r="K542" s="2278"/>
      <c r="L542" s="2249" t="s">
        <v>3885</v>
      </c>
      <c r="M542" s="386"/>
      <c r="N542" s="386"/>
      <c r="O542" s="386"/>
      <c r="P542" s="386"/>
      <c r="Q542" s="386"/>
    </row>
    <row r="543" spans="1:17" ht="30" customHeight="1" x14ac:dyDescent="0.2">
      <c r="A543" s="7655"/>
      <c r="B543" s="7653"/>
      <c r="C543" s="7724"/>
      <c r="D543" s="2211">
        <v>105000000</v>
      </c>
      <c r="E543" s="2208">
        <v>0.06</v>
      </c>
      <c r="F543" s="2211">
        <f t="shared" si="57"/>
        <v>6300000</v>
      </c>
      <c r="G543" s="7">
        <f>SUM(F540:F543)</f>
        <v>30800000</v>
      </c>
      <c r="H543" s="7"/>
      <c r="I543" s="1965"/>
      <c r="J543" s="7"/>
      <c r="K543" s="2278"/>
      <c r="L543" s="2249" t="s">
        <v>3978</v>
      </c>
      <c r="M543" s="386"/>
      <c r="N543" s="386"/>
      <c r="O543" s="386"/>
      <c r="P543" s="386"/>
      <c r="Q543" s="386"/>
    </row>
    <row r="544" spans="1:17" ht="30" customHeight="1" x14ac:dyDescent="0.2">
      <c r="A544" s="2200">
        <v>370</v>
      </c>
      <c r="B544" s="2261" t="s">
        <v>1696</v>
      </c>
      <c r="C544" s="2236" t="s">
        <v>3323</v>
      </c>
      <c r="D544" s="2211">
        <v>200000000</v>
      </c>
      <c r="E544" s="2263">
        <v>0.05</v>
      </c>
      <c r="F544" s="2211">
        <f t="shared" si="57"/>
        <v>10000000</v>
      </c>
      <c r="G544" s="2211">
        <v>10000000</v>
      </c>
      <c r="H544" s="2211" t="s">
        <v>3993</v>
      </c>
      <c r="I544" s="472" t="s">
        <v>3400</v>
      </c>
      <c r="J544" s="2211">
        <f t="shared" ref="J544:J553" si="58">G544</f>
        <v>10000000</v>
      </c>
      <c r="K544" s="2253">
        <f>F544-J544</f>
        <v>0</v>
      </c>
      <c r="L544" s="2252"/>
      <c r="M544" s="386"/>
      <c r="N544" s="386"/>
      <c r="O544" s="386"/>
      <c r="P544" s="386"/>
      <c r="Q544" s="386"/>
    </row>
    <row r="545" spans="1:17" ht="30" customHeight="1" x14ac:dyDescent="0.2">
      <c r="A545" s="7654">
        <v>371</v>
      </c>
      <c r="B545" s="7652" t="s">
        <v>1698</v>
      </c>
      <c r="C545" s="7723" t="s">
        <v>942</v>
      </c>
      <c r="D545" s="7563">
        <v>50000000</v>
      </c>
      <c r="E545" s="7659">
        <v>0.04</v>
      </c>
      <c r="F545" s="7563">
        <f t="shared" si="57"/>
        <v>2000000</v>
      </c>
      <c r="G545" s="2211"/>
      <c r="H545" s="2211"/>
      <c r="I545" s="472" t="s">
        <v>1699</v>
      </c>
      <c r="J545" s="2211">
        <f t="shared" si="58"/>
        <v>0</v>
      </c>
      <c r="K545" s="2253">
        <f>F545-J545</f>
        <v>2000000</v>
      </c>
      <c r="L545" s="2269"/>
      <c r="M545" s="386"/>
      <c r="N545" s="386"/>
      <c r="O545" s="386"/>
      <c r="P545" s="386"/>
      <c r="Q545" s="386"/>
    </row>
    <row r="546" spans="1:17" ht="30" customHeight="1" x14ac:dyDescent="0.2">
      <c r="A546" s="7655"/>
      <c r="B546" s="7653"/>
      <c r="C546" s="7724"/>
      <c r="D546" s="7564"/>
      <c r="E546" s="7660"/>
      <c r="F546" s="7564"/>
      <c r="G546" s="2211"/>
      <c r="H546" s="2211"/>
      <c r="I546" s="472" t="s">
        <v>1699</v>
      </c>
      <c r="J546" s="2211">
        <f t="shared" si="58"/>
        <v>0</v>
      </c>
      <c r="K546" s="2253">
        <f>F545-J546</f>
        <v>2000000</v>
      </c>
      <c r="L546" s="2269"/>
      <c r="M546" s="386"/>
      <c r="N546" s="386"/>
      <c r="O546" s="386"/>
      <c r="P546" s="386"/>
      <c r="Q546" s="386"/>
    </row>
    <row r="547" spans="1:17" ht="30" customHeight="1" x14ac:dyDescent="0.2">
      <c r="A547" s="2202">
        <v>372</v>
      </c>
      <c r="B547" s="2204" t="s">
        <v>1706</v>
      </c>
      <c r="C547" s="2236"/>
      <c r="D547" s="2224"/>
      <c r="E547" s="2295"/>
      <c r="F547" s="2224"/>
      <c r="G547" s="2211"/>
      <c r="H547" s="2211"/>
      <c r="I547" s="472"/>
      <c r="J547" s="2211">
        <f t="shared" si="58"/>
        <v>0</v>
      </c>
      <c r="K547" s="2258"/>
      <c r="L547" s="2269"/>
      <c r="M547" s="386"/>
      <c r="N547" s="386"/>
      <c r="O547" s="386"/>
      <c r="P547" s="386"/>
      <c r="Q547" s="386"/>
    </row>
    <row r="548" spans="1:17" ht="30" customHeight="1" x14ac:dyDescent="0.2">
      <c r="A548" s="1028"/>
      <c r="B548" s="2265" t="s">
        <v>1725</v>
      </c>
      <c r="C548" s="2264"/>
      <c r="D548" s="2199">
        <v>20000000</v>
      </c>
      <c r="E548" s="2263">
        <v>0.05</v>
      </c>
      <c r="F548" s="2199">
        <f>D548*E548</f>
        <v>1000000</v>
      </c>
      <c r="G548" s="2199">
        <v>1000000</v>
      </c>
      <c r="H548" s="2199" t="s">
        <v>3993</v>
      </c>
      <c r="I548" s="2199" t="s">
        <v>3486</v>
      </c>
      <c r="J548" s="2199">
        <f t="shared" si="58"/>
        <v>1000000</v>
      </c>
      <c r="K548" s="2196">
        <f>F548-J548</f>
        <v>0</v>
      </c>
      <c r="L548" s="2269"/>
      <c r="M548" s="386"/>
      <c r="N548" s="386"/>
      <c r="O548" s="386"/>
      <c r="P548" s="386"/>
      <c r="Q548" s="386"/>
    </row>
    <row r="549" spans="1:17" ht="30" customHeight="1" x14ac:dyDescent="0.2">
      <c r="A549" s="2202">
        <v>374</v>
      </c>
      <c r="B549" s="2204" t="s">
        <v>1727</v>
      </c>
      <c r="C549" s="2236"/>
      <c r="D549" s="2224"/>
      <c r="E549" s="2226"/>
      <c r="F549" s="2224"/>
      <c r="G549" s="2211"/>
      <c r="H549" s="2211"/>
      <c r="I549" s="472"/>
      <c r="J549" s="2211">
        <f t="shared" si="58"/>
        <v>0</v>
      </c>
      <c r="K549" s="2258">
        <f t="shared" ref="K549:K554" si="59">F549-J549</f>
        <v>0</v>
      </c>
      <c r="L549" s="2269"/>
      <c r="M549" s="386"/>
      <c r="N549" s="386"/>
      <c r="O549" s="386"/>
      <c r="P549" s="386"/>
      <c r="Q549" s="386"/>
    </row>
    <row r="550" spans="1:17" ht="30" customHeight="1" x14ac:dyDescent="0.2">
      <c r="A550" s="2202">
        <v>375</v>
      </c>
      <c r="B550" s="2204" t="s">
        <v>1735</v>
      </c>
      <c r="C550" s="2236"/>
      <c r="D550" s="2211">
        <v>100000000</v>
      </c>
      <c r="E550" s="2263">
        <v>0.05</v>
      </c>
      <c r="F550" s="2211">
        <f>D550*E550</f>
        <v>5000000</v>
      </c>
      <c r="G550" s="2211"/>
      <c r="H550" s="2211"/>
      <c r="I550" s="472" t="s">
        <v>3426</v>
      </c>
      <c r="J550" s="2211">
        <f t="shared" si="58"/>
        <v>0</v>
      </c>
      <c r="K550" s="2253">
        <f t="shared" si="59"/>
        <v>5000000</v>
      </c>
      <c r="L550" s="2269"/>
      <c r="M550" s="386"/>
      <c r="N550" s="386"/>
      <c r="O550" s="386"/>
      <c r="P550" s="386"/>
      <c r="Q550" s="386"/>
    </row>
    <row r="551" spans="1:17" ht="30" customHeight="1" x14ac:dyDescent="0.2">
      <c r="A551" s="2202">
        <v>376</v>
      </c>
      <c r="B551" s="2204" t="s">
        <v>3580</v>
      </c>
      <c r="C551" s="2236" t="s">
        <v>262</v>
      </c>
      <c r="D551" s="2211">
        <v>50000000</v>
      </c>
      <c r="E551" s="2263">
        <v>0.06</v>
      </c>
      <c r="F551" s="2211">
        <f>D551*E551</f>
        <v>3000000</v>
      </c>
      <c r="G551" s="2211">
        <v>3000000</v>
      </c>
      <c r="H551" s="2211" t="s">
        <v>4043</v>
      </c>
      <c r="I551" s="472" t="s">
        <v>4093</v>
      </c>
      <c r="J551" s="2211">
        <f t="shared" si="58"/>
        <v>3000000</v>
      </c>
      <c r="K551" s="2253">
        <f t="shared" si="59"/>
        <v>0</v>
      </c>
      <c r="L551" s="2269"/>
      <c r="M551" s="386"/>
      <c r="N551" s="386"/>
      <c r="O551" s="386"/>
      <c r="P551" s="386"/>
      <c r="Q551" s="386"/>
    </row>
    <row r="552" spans="1:17" ht="30" customHeight="1" x14ac:dyDescent="0.2">
      <c r="A552" s="2202">
        <v>377</v>
      </c>
      <c r="B552" s="2204" t="s">
        <v>1752</v>
      </c>
      <c r="C552" s="2236" t="s">
        <v>1652</v>
      </c>
      <c r="D552" s="2211">
        <v>153000000</v>
      </c>
      <c r="E552" s="2263">
        <v>7.0000000000000007E-2</v>
      </c>
      <c r="F552" s="2211">
        <f>D552*E552</f>
        <v>10710000.000000002</v>
      </c>
      <c r="G552" s="2211">
        <v>10710000</v>
      </c>
      <c r="H552" s="2211" t="s">
        <v>3965</v>
      </c>
      <c r="I552" s="472" t="s">
        <v>1952</v>
      </c>
      <c r="J552" s="2211">
        <f t="shared" si="58"/>
        <v>10710000</v>
      </c>
      <c r="K552" s="2253">
        <f t="shared" si="59"/>
        <v>0</v>
      </c>
      <c r="L552" s="2269"/>
      <c r="M552" s="386"/>
      <c r="N552" s="386"/>
      <c r="O552" s="386"/>
      <c r="P552" s="386"/>
      <c r="Q552" s="386"/>
    </row>
    <row r="553" spans="1:17" ht="30" customHeight="1" x14ac:dyDescent="0.2">
      <c r="A553" s="2202">
        <v>378</v>
      </c>
      <c r="B553" s="2204" t="s">
        <v>1790</v>
      </c>
      <c r="C553" s="2236" t="s">
        <v>889</v>
      </c>
      <c r="D553" s="2211">
        <v>300000000</v>
      </c>
      <c r="E553" s="2263">
        <v>5.0999999999999997E-2</v>
      </c>
      <c r="F553" s="2211">
        <v>15500000</v>
      </c>
      <c r="G553" s="2211">
        <v>15500000</v>
      </c>
      <c r="H553" s="2211" t="s">
        <v>2015</v>
      </c>
      <c r="I553" s="472" t="s">
        <v>3062</v>
      </c>
      <c r="J553" s="2211">
        <f t="shared" si="58"/>
        <v>15500000</v>
      </c>
      <c r="K553" s="2253">
        <f t="shared" si="59"/>
        <v>0</v>
      </c>
      <c r="L553" s="2269"/>
      <c r="M553" s="386"/>
      <c r="N553" s="386"/>
      <c r="O553" s="386"/>
      <c r="P553" s="386"/>
      <c r="Q553" s="386"/>
    </row>
    <row r="554" spans="1:17" ht="30" customHeight="1" x14ac:dyDescent="0.2">
      <c r="A554" s="7654">
        <v>379</v>
      </c>
      <c r="B554" s="7652" t="s">
        <v>1753</v>
      </c>
      <c r="C554" s="7723" t="s">
        <v>372</v>
      </c>
      <c r="D554" s="7563">
        <v>50000000</v>
      </c>
      <c r="E554" s="7659">
        <v>0.04</v>
      </c>
      <c r="F554" s="7563">
        <f>D554*E554</f>
        <v>2000000</v>
      </c>
      <c r="G554" s="7563">
        <v>2000000</v>
      </c>
      <c r="H554" s="7563" t="s">
        <v>3993</v>
      </c>
      <c r="I554" s="7889" t="s">
        <v>3537</v>
      </c>
      <c r="J554" s="7563">
        <f>G554+G555</f>
        <v>2000000</v>
      </c>
      <c r="K554" s="7816">
        <f t="shared" si="59"/>
        <v>0</v>
      </c>
      <c r="L554" s="7816"/>
      <c r="M554" s="386"/>
      <c r="N554" s="386"/>
      <c r="O554" s="386"/>
      <c r="P554" s="386"/>
      <c r="Q554" s="386"/>
    </row>
    <row r="555" spans="1:17" ht="30" customHeight="1" x14ac:dyDescent="0.2">
      <c r="A555" s="7655"/>
      <c r="B555" s="7653"/>
      <c r="C555" s="7724"/>
      <c r="D555" s="7564"/>
      <c r="E555" s="7660"/>
      <c r="F555" s="7564"/>
      <c r="G555" s="7564"/>
      <c r="H555" s="7564"/>
      <c r="I555" s="7890"/>
      <c r="J555" s="7564"/>
      <c r="K555" s="7817"/>
      <c r="L555" s="7817"/>
      <c r="M555" s="386"/>
      <c r="N555" s="386"/>
      <c r="O555" s="386"/>
      <c r="P555" s="386"/>
      <c r="Q555" s="386"/>
    </row>
    <row r="556" spans="1:17" ht="30" customHeight="1" x14ac:dyDescent="0.2">
      <c r="A556" s="7654">
        <v>380</v>
      </c>
      <c r="B556" s="7652" t="s">
        <v>1795</v>
      </c>
      <c r="C556" s="7723" t="s">
        <v>1100</v>
      </c>
      <c r="D556" s="7563">
        <v>10000000</v>
      </c>
      <c r="E556" s="7659">
        <v>0.05</v>
      </c>
      <c r="F556" s="7563">
        <f>D556*E556</f>
        <v>500000</v>
      </c>
      <c r="G556" s="2211">
        <v>500000</v>
      </c>
      <c r="H556" s="2211" t="s">
        <v>4016</v>
      </c>
      <c r="I556" s="472" t="s">
        <v>4018</v>
      </c>
      <c r="J556" s="2211">
        <f>G556</f>
        <v>500000</v>
      </c>
      <c r="K556" s="2253">
        <f>F556-J556</f>
        <v>0</v>
      </c>
      <c r="L556" s="2269" t="s">
        <v>3337</v>
      </c>
      <c r="M556" s="386"/>
      <c r="N556" s="386"/>
      <c r="O556" s="386"/>
      <c r="P556" s="386"/>
      <c r="Q556" s="386"/>
    </row>
    <row r="557" spans="1:17" ht="30" customHeight="1" x14ac:dyDescent="0.2">
      <c r="A557" s="7655"/>
      <c r="B557" s="7653"/>
      <c r="C557" s="7724"/>
      <c r="D557" s="7564"/>
      <c r="E557" s="7660"/>
      <c r="F557" s="7564"/>
      <c r="G557" s="2211">
        <v>500000</v>
      </c>
      <c r="H557" s="2211" t="s">
        <v>4144</v>
      </c>
      <c r="I557" s="472" t="s">
        <v>4018</v>
      </c>
      <c r="J557" s="2211">
        <f>G557</f>
        <v>500000</v>
      </c>
      <c r="K557" s="2253">
        <f>F556-J557</f>
        <v>0</v>
      </c>
      <c r="L557" s="2269" t="s">
        <v>3952</v>
      </c>
      <c r="M557" s="386"/>
      <c r="N557" s="386"/>
      <c r="O557" s="386"/>
      <c r="P557" s="386"/>
      <c r="Q557" s="386"/>
    </row>
    <row r="558" spans="1:17" ht="30" customHeight="1" x14ac:dyDescent="0.2">
      <c r="A558" s="2202">
        <v>381</v>
      </c>
      <c r="B558" s="2204" t="s">
        <v>1797</v>
      </c>
      <c r="C558" s="2236" t="s">
        <v>889</v>
      </c>
      <c r="D558" s="2211">
        <v>50000000</v>
      </c>
      <c r="E558" s="2263">
        <v>0.05</v>
      </c>
      <c r="F558" s="2211">
        <f>D558*E558</f>
        <v>2500000</v>
      </c>
      <c r="G558" s="2211">
        <v>2500000</v>
      </c>
      <c r="H558" s="2211" t="s">
        <v>2015</v>
      </c>
      <c r="I558" s="472" t="s">
        <v>3516</v>
      </c>
      <c r="J558" s="2211">
        <f>G558</f>
        <v>2500000</v>
      </c>
      <c r="K558" s="2253">
        <f>F558-J558</f>
        <v>0</v>
      </c>
      <c r="L558" s="2269"/>
      <c r="M558" s="386"/>
      <c r="N558" s="386"/>
      <c r="O558" s="386"/>
      <c r="P558" s="386"/>
      <c r="Q558" s="386"/>
    </row>
    <row r="559" spans="1:17" ht="30" customHeight="1" x14ac:dyDescent="0.2">
      <c r="A559" s="2202">
        <v>382</v>
      </c>
      <c r="B559" s="2204" t="s">
        <v>1812</v>
      </c>
      <c r="C559" s="2236" t="s">
        <v>262</v>
      </c>
      <c r="D559" s="2211">
        <v>150000000</v>
      </c>
      <c r="E559" s="2263"/>
      <c r="F559" s="2211"/>
      <c r="G559" s="2211"/>
      <c r="H559" s="2211"/>
      <c r="I559" s="472"/>
      <c r="J559" s="2211"/>
      <c r="K559" s="2253"/>
      <c r="L559" s="2269"/>
      <c r="M559" s="386"/>
      <c r="N559" s="386"/>
      <c r="O559" s="386"/>
      <c r="P559" s="386"/>
      <c r="Q559" s="386"/>
    </row>
    <row r="560" spans="1:17" ht="30" customHeight="1" x14ac:dyDescent="0.2">
      <c r="A560" s="2202">
        <v>383</v>
      </c>
      <c r="B560" s="2204" t="s">
        <v>1823</v>
      </c>
      <c r="C560" s="2236" t="s">
        <v>262</v>
      </c>
      <c r="D560" s="2211">
        <v>10000000</v>
      </c>
      <c r="E560" s="2263">
        <v>7.0000000000000007E-2</v>
      </c>
      <c r="F560" s="2211">
        <f t="shared" ref="F560:F565" si="60">D560*E560</f>
        <v>700000.00000000012</v>
      </c>
      <c r="G560" s="2211">
        <v>700000</v>
      </c>
      <c r="H560" s="2211" t="s">
        <v>4060</v>
      </c>
      <c r="I560" s="472" t="s">
        <v>2928</v>
      </c>
      <c r="J560" s="2211">
        <f t="shared" ref="J560:J565" si="61">G560</f>
        <v>700000</v>
      </c>
      <c r="K560" s="2253">
        <f t="shared" ref="K560:K565" si="62">F560-J560</f>
        <v>0</v>
      </c>
      <c r="L560" s="2269"/>
      <c r="M560" s="386"/>
      <c r="N560" s="386"/>
      <c r="O560" s="386"/>
      <c r="P560" s="386"/>
      <c r="Q560" s="386"/>
    </row>
    <row r="561" spans="1:17" ht="30" customHeight="1" x14ac:dyDescent="0.2">
      <c r="A561" s="624">
        <v>384</v>
      </c>
      <c r="B561" s="2204" t="s">
        <v>1861</v>
      </c>
      <c r="C561" s="2236" t="s">
        <v>262</v>
      </c>
      <c r="D561" s="2211">
        <v>150000000</v>
      </c>
      <c r="E561" s="2263">
        <v>7.0000000000000007E-2</v>
      </c>
      <c r="F561" s="2211">
        <f t="shared" si="60"/>
        <v>10500000.000000002</v>
      </c>
      <c r="G561" s="2211">
        <v>10500000</v>
      </c>
      <c r="H561" s="2211" t="s">
        <v>4074</v>
      </c>
      <c r="I561" s="472" t="s">
        <v>1960</v>
      </c>
      <c r="J561" s="2211">
        <f t="shared" si="61"/>
        <v>10500000</v>
      </c>
      <c r="K561" s="2253">
        <f t="shared" si="62"/>
        <v>0</v>
      </c>
      <c r="L561" s="2269"/>
      <c r="M561" s="386"/>
      <c r="N561" s="386"/>
      <c r="O561" s="386"/>
      <c r="P561" s="386"/>
      <c r="Q561" s="386"/>
    </row>
    <row r="562" spans="1:17" ht="30" customHeight="1" x14ac:dyDescent="0.2">
      <c r="A562" s="2202">
        <v>385</v>
      </c>
      <c r="B562" s="2204" t="s">
        <v>1877</v>
      </c>
      <c r="C562" s="2236" t="s">
        <v>371</v>
      </c>
      <c r="D562" s="2211">
        <v>12000000</v>
      </c>
      <c r="E562" s="2263">
        <v>0.05</v>
      </c>
      <c r="F562" s="2211">
        <f t="shared" si="60"/>
        <v>600000</v>
      </c>
      <c r="G562" s="2211">
        <v>600000</v>
      </c>
      <c r="H562" s="2211" t="s">
        <v>4060</v>
      </c>
      <c r="I562" s="472" t="s">
        <v>2855</v>
      </c>
      <c r="J562" s="2211">
        <f t="shared" si="61"/>
        <v>600000</v>
      </c>
      <c r="K562" s="2253">
        <f t="shared" si="62"/>
        <v>0</v>
      </c>
      <c r="L562" s="2269" t="s">
        <v>1878</v>
      </c>
      <c r="M562" s="386"/>
      <c r="N562" s="386"/>
      <c r="O562" s="386"/>
      <c r="P562" s="386"/>
      <c r="Q562" s="386"/>
    </row>
    <row r="563" spans="1:17" ht="30" customHeight="1" x14ac:dyDescent="0.2">
      <c r="A563" s="2279">
        <v>386</v>
      </c>
      <c r="B563" s="2261" t="s">
        <v>3092</v>
      </c>
      <c r="C563" s="2235" t="s">
        <v>1306</v>
      </c>
      <c r="D563" s="2209">
        <v>200000000</v>
      </c>
      <c r="E563" s="2206">
        <v>0.06</v>
      </c>
      <c r="F563" s="2209">
        <f t="shared" si="60"/>
        <v>12000000</v>
      </c>
      <c r="G563" s="2211">
        <v>12000000</v>
      </c>
      <c r="H563" s="2211" t="s">
        <v>4119</v>
      </c>
      <c r="I563" s="472" t="s">
        <v>1943</v>
      </c>
      <c r="J563" s="2209">
        <f t="shared" si="61"/>
        <v>12000000</v>
      </c>
      <c r="K563" s="2252">
        <f t="shared" si="62"/>
        <v>0</v>
      </c>
      <c r="L563" s="2252"/>
      <c r="M563" s="386"/>
      <c r="N563" s="386"/>
      <c r="O563" s="386"/>
      <c r="P563" s="386"/>
      <c r="Q563" s="386"/>
    </row>
    <row r="564" spans="1:17" ht="30" customHeight="1" x14ac:dyDescent="0.2">
      <c r="A564" s="2200">
        <v>387</v>
      </c>
      <c r="B564" s="2265" t="s">
        <v>1923</v>
      </c>
      <c r="C564" s="2264"/>
      <c r="D564" s="2199">
        <v>60000000</v>
      </c>
      <c r="E564" s="2263">
        <v>0.04</v>
      </c>
      <c r="F564" s="2199">
        <f t="shared" si="60"/>
        <v>2400000</v>
      </c>
      <c r="G564" s="2199">
        <v>2400000</v>
      </c>
      <c r="H564" s="2199" t="s">
        <v>4144</v>
      </c>
      <c r="I564" s="1029" t="s">
        <v>4145</v>
      </c>
      <c r="J564" s="2199">
        <f t="shared" si="61"/>
        <v>2400000</v>
      </c>
      <c r="K564" s="2196">
        <f t="shared" si="62"/>
        <v>0</v>
      </c>
      <c r="L564" s="2252"/>
      <c r="M564" s="386"/>
      <c r="N564" s="386"/>
      <c r="O564" s="386"/>
      <c r="P564" s="386"/>
      <c r="Q564" s="386"/>
    </row>
    <row r="565" spans="1:17" ht="30" customHeight="1" x14ac:dyDescent="0.2">
      <c r="A565" s="7879"/>
      <c r="B565" s="7717" t="s">
        <v>1953</v>
      </c>
      <c r="C565" s="7873" t="s">
        <v>3302</v>
      </c>
      <c r="D565" s="7482">
        <v>150000000</v>
      </c>
      <c r="E565" s="7870">
        <v>0.05</v>
      </c>
      <c r="F565" s="7482">
        <f t="shared" si="60"/>
        <v>7500000</v>
      </c>
      <c r="G565" s="7772">
        <v>4000000</v>
      </c>
      <c r="H565" s="7772" t="s">
        <v>4128</v>
      </c>
      <c r="I565" s="7772" t="s">
        <v>4585</v>
      </c>
      <c r="J565" s="7772">
        <f t="shared" si="61"/>
        <v>4000000</v>
      </c>
      <c r="K565" s="7816">
        <f t="shared" si="62"/>
        <v>3500000</v>
      </c>
      <c r="L565" s="2281" t="s">
        <v>3300</v>
      </c>
      <c r="M565" s="386"/>
      <c r="N565" s="386"/>
      <c r="O565" s="386"/>
      <c r="P565" s="386"/>
      <c r="Q565" s="386"/>
    </row>
    <row r="566" spans="1:17" ht="30" customHeight="1" x14ac:dyDescent="0.2">
      <c r="A566" s="7879"/>
      <c r="B566" s="7717"/>
      <c r="C566" s="7873"/>
      <c r="D566" s="7482"/>
      <c r="E566" s="7870"/>
      <c r="F566" s="7482"/>
      <c r="G566" s="7773"/>
      <c r="H566" s="7773"/>
      <c r="I566" s="7773"/>
      <c r="J566" s="7773"/>
      <c r="K566" s="7817"/>
      <c r="L566" s="2269" t="s">
        <v>3301</v>
      </c>
      <c r="M566" s="386"/>
      <c r="N566" s="386"/>
      <c r="O566" s="386"/>
      <c r="P566" s="386"/>
      <c r="Q566" s="386"/>
    </row>
    <row r="567" spans="1:17" ht="30" customHeight="1" x14ac:dyDescent="0.2">
      <c r="A567" s="2202">
        <v>390</v>
      </c>
      <c r="B567" s="2204" t="s">
        <v>1996</v>
      </c>
      <c r="C567" s="2236" t="s">
        <v>889</v>
      </c>
      <c r="D567" s="2211">
        <v>5000000</v>
      </c>
      <c r="E567" s="2208">
        <v>0.05</v>
      </c>
      <c r="F567" s="2211">
        <f>D567*E567</f>
        <v>250000</v>
      </c>
      <c r="G567" s="2211">
        <v>250000</v>
      </c>
      <c r="H567" s="2211" t="s">
        <v>1215</v>
      </c>
      <c r="I567" s="472" t="s">
        <v>2533</v>
      </c>
      <c r="J567" s="2211">
        <f>G567</f>
        <v>250000</v>
      </c>
      <c r="K567" s="2253">
        <f>F567-J567</f>
        <v>0</v>
      </c>
      <c r="L567" s="2269"/>
      <c r="M567" s="386"/>
      <c r="N567" s="386"/>
      <c r="O567" s="386"/>
      <c r="P567" s="386"/>
      <c r="Q567" s="386"/>
    </row>
    <row r="568" spans="1:17" ht="30" customHeight="1" x14ac:dyDescent="0.2">
      <c r="A568" s="7879">
        <v>391</v>
      </c>
      <c r="B568" s="7717" t="s">
        <v>2003</v>
      </c>
      <c r="C568" s="7873" t="s">
        <v>3390</v>
      </c>
      <c r="D568" s="7482">
        <v>1000000000</v>
      </c>
      <c r="E568" s="7870">
        <v>0.05</v>
      </c>
      <c r="F568" s="7482">
        <f>D568*E568</f>
        <v>50000000</v>
      </c>
      <c r="G568" s="7563">
        <v>50000000</v>
      </c>
      <c r="H568" s="7563" t="s">
        <v>3025</v>
      </c>
      <c r="I568" s="7563" t="s">
        <v>4094</v>
      </c>
      <c r="J568" s="7563">
        <f>G568</f>
        <v>50000000</v>
      </c>
      <c r="K568" s="7563">
        <f>F568-J568</f>
        <v>0</v>
      </c>
      <c r="L568" s="7811" t="s">
        <v>3202</v>
      </c>
      <c r="M568" s="386"/>
      <c r="N568" s="386"/>
      <c r="O568" s="386"/>
      <c r="P568" s="386"/>
      <c r="Q568" s="386"/>
    </row>
    <row r="569" spans="1:17" ht="30" customHeight="1" x14ac:dyDescent="0.2">
      <c r="A569" s="7879"/>
      <c r="B569" s="7717"/>
      <c r="C569" s="7873"/>
      <c r="D569" s="7482"/>
      <c r="E569" s="7870"/>
      <c r="F569" s="7482"/>
      <c r="G569" s="7564"/>
      <c r="H569" s="7564"/>
      <c r="I569" s="7564"/>
      <c r="J569" s="7564"/>
      <c r="K569" s="7564"/>
      <c r="L569" s="7812"/>
      <c r="M569" s="386"/>
      <c r="N569" s="386"/>
      <c r="O569" s="386"/>
      <c r="P569" s="386"/>
      <c r="Q569" s="386"/>
    </row>
    <row r="570" spans="1:17" ht="30" customHeight="1" x14ac:dyDescent="0.2">
      <c r="A570" s="2202">
        <v>392</v>
      </c>
      <c r="B570" s="2204" t="s">
        <v>2048</v>
      </c>
      <c r="C570" s="2236" t="s">
        <v>1294</v>
      </c>
      <c r="D570" s="2211">
        <v>50000000</v>
      </c>
      <c r="E570" s="2263">
        <v>0.05</v>
      </c>
      <c r="F570" s="2211">
        <f>D570*E570</f>
        <v>2500000</v>
      </c>
      <c r="G570" s="2211">
        <v>2500000</v>
      </c>
      <c r="H570" s="2211" t="s">
        <v>4107</v>
      </c>
      <c r="I570" s="472" t="s">
        <v>3047</v>
      </c>
      <c r="J570" s="2211">
        <f>G570</f>
        <v>2500000</v>
      </c>
      <c r="K570" s="2253">
        <f>F570-J570</f>
        <v>0</v>
      </c>
      <c r="L570" s="2269" t="s">
        <v>2036</v>
      </c>
      <c r="M570" s="386"/>
      <c r="N570" s="386"/>
      <c r="O570" s="386"/>
      <c r="P570" s="386"/>
      <c r="Q570" s="386"/>
    </row>
    <row r="571" spans="1:17" ht="30" customHeight="1" x14ac:dyDescent="0.2">
      <c r="A571" s="7654">
        <v>393</v>
      </c>
      <c r="B571" s="7652" t="s">
        <v>2040</v>
      </c>
      <c r="C571" s="2236"/>
      <c r="D571" s="2211">
        <v>30000000</v>
      </c>
      <c r="E571" s="2263">
        <f>F571/D571</f>
        <v>0.05</v>
      </c>
      <c r="F571" s="2211">
        <v>1500000</v>
      </c>
      <c r="G571" s="2211"/>
      <c r="H571" s="2211"/>
      <c r="I571" s="472" t="s">
        <v>3701</v>
      </c>
      <c r="J571" s="2211">
        <f>G571</f>
        <v>0</v>
      </c>
      <c r="K571" s="2253">
        <f>F571-J571</f>
        <v>1500000</v>
      </c>
      <c r="L571" s="2269"/>
      <c r="M571" s="386"/>
      <c r="N571" s="386"/>
      <c r="O571" s="386"/>
      <c r="P571" s="386"/>
      <c r="Q571" s="386"/>
    </row>
    <row r="572" spans="1:17" ht="30" customHeight="1" x14ac:dyDescent="0.2">
      <c r="A572" s="7656"/>
      <c r="B572" s="7665"/>
      <c r="C572" s="7723"/>
      <c r="D572" s="7482">
        <v>40000000</v>
      </c>
      <c r="E572" s="7482"/>
      <c r="F572" s="1926"/>
      <c r="G572" s="233"/>
      <c r="H572" s="233"/>
      <c r="I572" s="233"/>
      <c r="J572" s="233"/>
      <c r="K572" s="7816"/>
      <c r="L572" s="2269" t="s">
        <v>3585</v>
      </c>
      <c r="M572" s="386"/>
      <c r="N572" s="386"/>
      <c r="O572" s="386"/>
      <c r="P572" s="386"/>
      <c r="Q572" s="386"/>
    </row>
    <row r="573" spans="1:17" ht="30" customHeight="1" x14ac:dyDescent="0.2">
      <c r="A573" s="7656"/>
      <c r="B573" s="7665"/>
      <c r="C573" s="7747"/>
      <c r="D573" s="7482"/>
      <c r="E573" s="7482"/>
      <c r="F573" s="1927"/>
      <c r="G573" s="233"/>
      <c r="H573" s="233"/>
      <c r="I573" s="233"/>
      <c r="J573" s="233"/>
      <c r="K573" s="7882"/>
      <c r="L573" s="2269" t="s">
        <v>3586</v>
      </c>
      <c r="M573" s="386"/>
      <c r="N573" s="386"/>
      <c r="O573" s="386"/>
      <c r="P573" s="386"/>
      <c r="Q573" s="386"/>
    </row>
    <row r="574" spans="1:17" ht="30" customHeight="1" x14ac:dyDescent="0.2">
      <c r="A574" s="7656"/>
      <c r="B574" s="7665"/>
      <c r="C574" s="7747"/>
      <c r="D574" s="7482"/>
      <c r="E574" s="7482"/>
      <c r="F574" s="1927"/>
      <c r="G574" s="233"/>
      <c r="H574" s="233"/>
      <c r="I574" s="233"/>
      <c r="J574" s="233"/>
      <c r="K574" s="7882"/>
      <c r="L574" s="2269" t="s">
        <v>3587</v>
      </c>
      <c r="M574" s="386"/>
      <c r="N574" s="386"/>
      <c r="O574" s="386"/>
      <c r="P574" s="386"/>
      <c r="Q574" s="386"/>
    </row>
    <row r="575" spans="1:17" ht="30" customHeight="1" x14ac:dyDescent="0.2">
      <c r="A575" s="7656"/>
      <c r="B575" s="7665"/>
      <c r="C575" s="7747"/>
      <c r="D575" s="7482"/>
      <c r="E575" s="7482"/>
      <c r="F575" s="1928"/>
      <c r="G575" s="233"/>
      <c r="H575" s="233"/>
      <c r="I575" s="233"/>
      <c r="J575" s="233"/>
      <c r="K575" s="7817"/>
      <c r="L575" s="2269" t="s">
        <v>3588</v>
      </c>
      <c r="M575" s="386"/>
      <c r="N575" s="386"/>
      <c r="O575" s="386"/>
      <c r="P575" s="386"/>
      <c r="Q575" s="386"/>
    </row>
    <row r="576" spans="1:17" ht="30" customHeight="1" x14ac:dyDescent="0.2">
      <c r="A576" s="7655"/>
      <c r="B576" s="7653"/>
      <c r="C576" s="7724"/>
      <c r="D576" s="2217">
        <v>70000000</v>
      </c>
      <c r="E576" s="2263">
        <v>0.05</v>
      </c>
      <c r="F576" s="2211">
        <f>D576*E576</f>
        <v>3500000</v>
      </c>
      <c r="G576" s="2199">
        <v>3500000</v>
      </c>
      <c r="H576" s="2199" t="s">
        <v>4074</v>
      </c>
      <c r="I576" s="2199" t="s">
        <v>3701</v>
      </c>
      <c r="J576" s="2199">
        <f>G576</f>
        <v>3500000</v>
      </c>
      <c r="K576" s="2253">
        <f>F576-J576</f>
        <v>0</v>
      </c>
      <c r="L576" s="2269"/>
      <c r="M576" s="386"/>
      <c r="N576" s="386"/>
      <c r="O576" s="386"/>
      <c r="P576" s="386"/>
      <c r="Q576" s="386"/>
    </row>
    <row r="577" spans="1:17" ht="30" customHeight="1" x14ac:dyDescent="0.2">
      <c r="A577" s="7654"/>
      <c r="B577" s="2284" t="s">
        <v>2052</v>
      </c>
      <c r="C577" s="8023" t="s">
        <v>1306</v>
      </c>
      <c r="D577" s="2282">
        <v>600000000</v>
      </c>
      <c r="E577" s="679">
        <v>0.06</v>
      </c>
      <c r="F577" s="2282">
        <f>D577*E577</f>
        <v>36000000</v>
      </c>
      <c r="G577" s="7563"/>
      <c r="H577" s="7563"/>
      <c r="I577" s="7889"/>
      <c r="J577" s="7563"/>
      <c r="K577" s="2253"/>
      <c r="L577" s="2269"/>
      <c r="M577" s="386"/>
      <c r="N577" s="386"/>
      <c r="O577" s="386"/>
      <c r="P577" s="386"/>
      <c r="Q577" s="386"/>
    </row>
    <row r="578" spans="1:17" ht="30" customHeight="1" x14ac:dyDescent="0.2">
      <c r="A578" s="7656"/>
      <c r="B578" s="2284" t="s">
        <v>2049</v>
      </c>
      <c r="C578" s="8024"/>
      <c r="D578" s="2282">
        <v>310000000</v>
      </c>
      <c r="E578" s="679">
        <v>0.06</v>
      </c>
      <c r="F578" s="2282">
        <f t="shared" ref="F578:F581" si="63">D578*E578</f>
        <v>18600000</v>
      </c>
      <c r="G578" s="7586"/>
      <c r="H578" s="7586"/>
      <c r="I578" s="8036"/>
      <c r="J578" s="7586"/>
      <c r="K578" s="2253"/>
      <c r="L578" s="2269"/>
      <c r="M578" s="386"/>
      <c r="N578" s="386"/>
      <c r="O578" s="386"/>
      <c r="P578" s="386"/>
      <c r="Q578" s="386"/>
    </row>
    <row r="579" spans="1:17" ht="30" customHeight="1" x14ac:dyDescent="0.2">
      <c r="A579" s="7656"/>
      <c r="B579" s="2284" t="s">
        <v>2053</v>
      </c>
      <c r="C579" s="8024"/>
      <c r="D579" s="2282">
        <v>50000000</v>
      </c>
      <c r="E579" s="679">
        <v>0.06</v>
      </c>
      <c r="F579" s="2282">
        <f t="shared" si="63"/>
        <v>3000000</v>
      </c>
      <c r="G579" s="7586"/>
      <c r="H579" s="7586"/>
      <c r="I579" s="8036"/>
      <c r="J579" s="7586"/>
      <c r="K579" s="2253"/>
      <c r="L579" s="2269"/>
      <c r="M579" s="386"/>
      <c r="N579" s="386"/>
      <c r="O579" s="386"/>
      <c r="P579" s="386"/>
      <c r="Q579" s="386"/>
    </row>
    <row r="580" spans="1:17" ht="30" customHeight="1" x14ac:dyDescent="0.2">
      <c r="A580" s="7656"/>
      <c r="B580" s="2284" t="s">
        <v>2050</v>
      </c>
      <c r="C580" s="8024"/>
      <c r="D580" s="2282">
        <v>110000000</v>
      </c>
      <c r="E580" s="679">
        <v>0.06</v>
      </c>
      <c r="F580" s="2282">
        <f t="shared" si="63"/>
        <v>6600000</v>
      </c>
      <c r="G580" s="7586"/>
      <c r="H580" s="7586"/>
      <c r="I580" s="8036"/>
      <c r="J580" s="7586"/>
      <c r="K580" s="2253"/>
      <c r="L580" s="2269"/>
      <c r="M580" s="386"/>
      <c r="N580" s="386"/>
      <c r="O580" s="386"/>
      <c r="P580" s="386"/>
      <c r="Q580" s="386"/>
    </row>
    <row r="581" spans="1:17" ht="30" customHeight="1" x14ac:dyDescent="0.2">
      <c r="A581" s="7656"/>
      <c r="B581" s="2284" t="s">
        <v>2051</v>
      </c>
      <c r="C581" s="8025"/>
      <c r="D581" s="2282">
        <v>100000000</v>
      </c>
      <c r="E581" s="679">
        <v>0.06</v>
      </c>
      <c r="F581" s="2282">
        <f t="shared" si="63"/>
        <v>6000000</v>
      </c>
      <c r="G581" s="7564"/>
      <c r="H581" s="7564"/>
      <c r="I581" s="7890"/>
      <c r="J581" s="7564"/>
      <c r="K581" s="2253"/>
      <c r="L581" s="2269"/>
      <c r="M581" s="386"/>
      <c r="N581" s="386"/>
      <c r="O581" s="386"/>
      <c r="P581" s="386"/>
      <c r="Q581" s="386"/>
    </row>
    <row r="582" spans="1:17" ht="30" customHeight="1" x14ac:dyDescent="0.2">
      <c r="A582" s="7656"/>
      <c r="B582" s="8021" t="s">
        <v>3423</v>
      </c>
      <c r="C582" s="8023" t="s">
        <v>1306</v>
      </c>
      <c r="D582" s="8001">
        <f>SUM(D577:D581)</f>
        <v>1170000000</v>
      </c>
      <c r="E582" s="8083"/>
      <c r="F582" s="8001">
        <f>SUM(F577:F581)</f>
        <v>70200000</v>
      </c>
      <c r="G582" s="2211"/>
      <c r="H582" s="2211"/>
      <c r="I582" s="472" t="s">
        <v>3422</v>
      </c>
      <c r="J582" s="7563">
        <f>G582+G583</f>
        <v>0</v>
      </c>
      <c r="K582" s="7816">
        <f>F582-J582</f>
        <v>70200000</v>
      </c>
      <c r="L582" s="7816"/>
      <c r="M582" s="386"/>
      <c r="N582" s="386"/>
      <c r="O582" s="386"/>
      <c r="P582" s="386"/>
      <c r="Q582" s="386"/>
    </row>
    <row r="583" spans="1:17" ht="30" customHeight="1" x14ac:dyDescent="0.2">
      <c r="A583" s="7655"/>
      <c r="B583" s="8022"/>
      <c r="C583" s="8025"/>
      <c r="D583" s="8002"/>
      <c r="E583" s="8084"/>
      <c r="F583" s="8002"/>
      <c r="G583" s="2211"/>
      <c r="H583" s="2211"/>
      <c r="I583" s="472">
        <v>8792421809</v>
      </c>
      <c r="J583" s="7564"/>
      <c r="K583" s="7817"/>
      <c r="L583" s="7817"/>
      <c r="M583" s="386"/>
      <c r="N583" s="386"/>
      <c r="O583" s="386"/>
      <c r="P583" s="386"/>
      <c r="Q583" s="386"/>
    </row>
    <row r="584" spans="1:17" ht="30" customHeight="1" x14ac:dyDescent="0.2">
      <c r="A584" s="2267"/>
      <c r="B584" s="2265" t="s">
        <v>2069</v>
      </c>
      <c r="C584" s="2264"/>
      <c r="D584" s="2199">
        <v>200000000</v>
      </c>
      <c r="E584" s="2263">
        <v>7.0000000000000007E-2</v>
      </c>
      <c r="F584" s="2199">
        <f t="shared" ref="F584:F588" si="64">D584*E584</f>
        <v>14000000.000000002</v>
      </c>
      <c r="G584" s="2211">
        <v>14000000</v>
      </c>
      <c r="H584" s="2211" t="s">
        <v>4188</v>
      </c>
      <c r="I584" s="472" t="s">
        <v>1076</v>
      </c>
      <c r="J584" s="2199">
        <f>G584</f>
        <v>14000000</v>
      </c>
      <c r="K584" s="2196">
        <f>F584-J584</f>
        <v>0</v>
      </c>
      <c r="L584" s="2252"/>
      <c r="M584" s="386"/>
      <c r="N584" s="386"/>
      <c r="O584" s="386"/>
      <c r="P584" s="386"/>
      <c r="Q584" s="386"/>
    </row>
    <row r="585" spans="1:17" ht="30" customHeight="1" x14ac:dyDescent="0.2">
      <c r="A585" s="2202"/>
      <c r="B585" s="2204" t="s">
        <v>2089</v>
      </c>
      <c r="C585" s="2236"/>
      <c r="D585" s="2211">
        <v>13000000</v>
      </c>
      <c r="E585" s="2263">
        <v>0.05</v>
      </c>
      <c r="F585" s="2211">
        <f t="shared" si="64"/>
        <v>650000</v>
      </c>
      <c r="G585" s="2211">
        <v>650000</v>
      </c>
      <c r="H585" s="2211" t="s">
        <v>4060</v>
      </c>
      <c r="I585" s="472" t="s">
        <v>2984</v>
      </c>
      <c r="J585" s="2211">
        <f>G585</f>
        <v>650000</v>
      </c>
      <c r="K585" s="2253">
        <f>F585-J585</f>
        <v>0</v>
      </c>
      <c r="L585" s="2269"/>
      <c r="M585" s="386"/>
      <c r="N585" s="386"/>
      <c r="O585" s="386"/>
      <c r="P585" s="386"/>
      <c r="Q585" s="386"/>
    </row>
    <row r="586" spans="1:17" ht="30" customHeight="1" x14ac:dyDescent="0.2">
      <c r="A586" s="2202"/>
      <c r="B586" s="2204" t="s">
        <v>2128</v>
      </c>
      <c r="C586" s="2236" t="s">
        <v>1287</v>
      </c>
      <c r="D586" s="2211">
        <v>50000000</v>
      </c>
      <c r="E586" s="2263">
        <v>0.04</v>
      </c>
      <c r="F586" s="2211">
        <f t="shared" si="64"/>
        <v>2000000</v>
      </c>
      <c r="G586" s="2211">
        <v>2000000</v>
      </c>
      <c r="H586" s="2211" t="s">
        <v>4060</v>
      </c>
      <c r="I586" s="472" t="s">
        <v>2169</v>
      </c>
      <c r="J586" s="2211">
        <f>G586</f>
        <v>2000000</v>
      </c>
      <c r="K586" s="2253">
        <f>F586-G586</f>
        <v>0</v>
      </c>
      <c r="L586" s="2269"/>
      <c r="M586" s="386"/>
      <c r="N586" s="386"/>
      <c r="O586" s="386"/>
      <c r="P586" s="386"/>
      <c r="Q586" s="386"/>
    </row>
    <row r="587" spans="1:17" ht="30" customHeight="1" x14ac:dyDescent="0.2">
      <c r="A587" s="2200"/>
      <c r="B587" s="2261" t="s">
        <v>2129</v>
      </c>
      <c r="C587" s="2236" t="s">
        <v>372</v>
      </c>
      <c r="D587" s="2209">
        <v>100000000</v>
      </c>
      <c r="E587" s="2206">
        <v>0.05</v>
      </c>
      <c r="F587" s="2209">
        <f t="shared" si="64"/>
        <v>5000000</v>
      </c>
      <c r="G587" s="2210">
        <v>5000000</v>
      </c>
      <c r="H587" s="2210" t="s">
        <v>4043</v>
      </c>
      <c r="I587" s="1663" t="s">
        <v>3581</v>
      </c>
      <c r="J587" s="2209">
        <f>G587</f>
        <v>5000000</v>
      </c>
      <c r="K587" s="2252">
        <f>F587-J587</f>
        <v>0</v>
      </c>
      <c r="L587" s="2252"/>
      <c r="M587" s="386"/>
      <c r="N587" s="386"/>
      <c r="O587" s="386"/>
      <c r="P587" s="386"/>
      <c r="Q587" s="386"/>
    </row>
    <row r="588" spans="1:17" s="1539" customFormat="1" ht="30" customHeight="1" x14ac:dyDescent="0.2">
      <c r="A588" s="2267"/>
      <c r="B588" s="2265" t="s">
        <v>2208</v>
      </c>
      <c r="C588" s="2264" t="s">
        <v>1306</v>
      </c>
      <c r="D588" s="2199">
        <v>30000000</v>
      </c>
      <c r="E588" s="2263">
        <v>0.05</v>
      </c>
      <c r="F588" s="2199">
        <f t="shared" si="64"/>
        <v>1500000</v>
      </c>
      <c r="G588" s="2199">
        <v>1500000</v>
      </c>
      <c r="H588" s="2199" t="s">
        <v>4107</v>
      </c>
      <c r="I588" s="2199" t="s">
        <v>3204</v>
      </c>
      <c r="J588" s="2199">
        <f>G588</f>
        <v>1500000</v>
      </c>
      <c r="K588" s="2199">
        <f>F588-J588</f>
        <v>0</v>
      </c>
      <c r="L588" s="2269"/>
      <c r="M588" s="387"/>
      <c r="N588" s="387"/>
      <c r="O588" s="387"/>
      <c r="P588" s="387"/>
      <c r="Q588" s="387"/>
    </row>
    <row r="589" spans="1:17" ht="30" customHeight="1" x14ac:dyDescent="0.2">
      <c r="A589" s="2202"/>
      <c r="B589" s="2204" t="s">
        <v>2292</v>
      </c>
      <c r="C589" s="2236"/>
      <c r="D589" s="2224"/>
      <c r="E589" s="2295"/>
      <c r="F589" s="2224"/>
      <c r="G589" s="2211"/>
      <c r="H589" s="2211"/>
      <c r="I589" s="472"/>
      <c r="J589" s="2211">
        <f t="shared" ref="J589:J595" si="65">G589</f>
        <v>0</v>
      </c>
      <c r="K589" s="2258"/>
      <c r="L589" s="2269" t="s">
        <v>2079</v>
      </c>
      <c r="M589" s="386"/>
      <c r="N589" s="386"/>
      <c r="O589" s="386"/>
      <c r="P589" s="386"/>
      <c r="Q589" s="386"/>
    </row>
    <row r="590" spans="1:17" ht="30" customHeight="1" x14ac:dyDescent="0.2">
      <c r="A590" s="2202"/>
      <c r="B590" s="2571" t="s">
        <v>2303</v>
      </c>
      <c r="C590" s="2572"/>
      <c r="D590" s="2569">
        <v>100000000</v>
      </c>
      <c r="E590" s="2574">
        <v>4.4999999999999998E-2</v>
      </c>
      <c r="F590" s="2569">
        <f>D590*E590</f>
        <v>4500000</v>
      </c>
      <c r="G590" s="2569"/>
      <c r="H590" s="2569"/>
      <c r="I590" s="472" t="s">
        <v>2304</v>
      </c>
      <c r="J590" s="2569">
        <f t="shared" si="65"/>
        <v>0</v>
      </c>
      <c r="K590" s="2573">
        <f>F590-J590</f>
        <v>4500000</v>
      </c>
      <c r="L590" s="2575"/>
      <c r="M590" s="386"/>
      <c r="N590" s="386"/>
      <c r="O590" s="386"/>
      <c r="P590" s="386"/>
      <c r="Q590" s="386"/>
    </row>
    <row r="591" spans="1:17" ht="30" customHeight="1" x14ac:dyDescent="0.2">
      <c r="A591" s="2202"/>
      <c r="B591" s="2204" t="s">
        <v>2344</v>
      </c>
      <c r="C591" s="2236" t="s">
        <v>1306</v>
      </c>
      <c r="D591" s="2211">
        <v>25000000</v>
      </c>
      <c r="E591" s="2263">
        <v>0.04</v>
      </c>
      <c r="F591" s="2211">
        <f>D591*E591</f>
        <v>1000000</v>
      </c>
      <c r="G591" s="2211">
        <v>2000000</v>
      </c>
      <c r="H591" s="2211" t="s">
        <v>4074</v>
      </c>
      <c r="I591" s="472" t="s">
        <v>2346</v>
      </c>
      <c r="J591" s="2211">
        <f t="shared" si="65"/>
        <v>2000000</v>
      </c>
      <c r="K591" s="2253">
        <f>F591-J591</f>
        <v>-1000000</v>
      </c>
      <c r="L591" s="2269"/>
      <c r="M591" s="386"/>
      <c r="N591" s="386"/>
      <c r="O591" s="386"/>
      <c r="P591" s="386"/>
      <c r="Q591" s="386"/>
    </row>
    <row r="592" spans="1:17" ht="30" customHeight="1" x14ac:dyDescent="0.2">
      <c r="A592" s="2202"/>
      <c r="B592" s="2204" t="s">
        <v>2385</v>
      </c>
      <c r="C592" s="2236"/>
      <c r="D592" s="2224"/>
      <c r="E592" s="2295"/>
      <c r="F592" s="2224"/>
      <c r="G592" s="2211"/>
      <c r="H592" s="2211"/>
      <c r="I592" s="472"/>
      <c r="J592" s="2211">
        <f t="shared" si="65"/>
        <v>0</v>
      </c>
      <c r="K592" s="2258">
        <f>F592-J592</f>
        <v>0</v>
      </c>
      <c r="L592" s="2269"/>
      <c r="M592" s="386"/>
      <c r="N592" s="386"/>
      <c r="O592" s="386"/>
      <c r="P592" s="386"/>
      <c r="Q592" s="386"/>
    </row>
    <row r="593" spans="1:17" ht="30" customHeight="1" x14ac:dyDescent="0.2">
      <c r="A593" s="7654"/>
      <c r="B593" s="7652" t="s">
        <v>2388</v>
      </c>
      <c r="C593" s="7723" t="s">
        <v>4278</v>
      </c>
      <c r="D593" s="2728">
        <v>25000000</v>
      </c>
      <c r="E593" s="435">
        <v>0.05</v>
      </c>
      <c r="F593" s="2728">
        <f>D593*E593</f>
        <v>1250000</v>
      </c>
      <c r="G593" s="2729">
        <v>1250000</v>
      </c>
      <c r="H593" s="2729" t="s">
        <v>4251</v>
      </c>
      <c r="I593" s="2694" t="s">
        <v>4252</v>
      </c>
      <c r="J593" s="2729">
        <f>G593</f>
        <v>1250000</v>
      </c>
      <c r="K593" s="2727">
        <f>F593-J593</f>
        <v>0</v>
      </c>
      <c r="L593" s="2269" t="s">
        <v>4277</v>
      </c>
      <c r="M593" s="386"/>
      <c r="N593" s="386"/>
      <c r="O593" s="386"/>
      <c r="P593" s="386"/>
      <c r="Q593" s="386"/>
    </row>
    <row r="594" spans="1:17" ht="30" customHeight="1" x14ac:dyDescent="0.2">
      <c r="A594" s="7655"/>
      <c r="B594" s="7653"/>
      <c r="C594" s="7724"/>
      <c r="D594" s="2736">
        <v>40000000</v>
      </c>
      <c r="E594" s="435">
        <v>0.05</v>
      </c>
      <c r="F594" s="2728">
        <f t="shared" ref="F594" si="66">D594*E594</f>
        <v>2000000</v>
      </c>
      <c r="G594" s="7732" t="s">
        <v>4747</v>
      </c>
      <c r="H594" s="7733"/>
      <c r="I594" s="7733"/>
      <c r="J594" s="7734"/>
      <c r="K594" s="2738"/>
      <c r="L594" s="2741"/>
      <c r="M594" s="386"/>
      <c r="N594" s="386"/>
      <c r="O594" s="386"/>
      <c r="P594" s="386"/>
      <c r="Q594" s="386"/>
    </row>
    <row r="595" spans="1:17" ht="30" customHeight="1" x14ac:dyDescent="0.2">
      <c r="A595" s="7654"/>
      <c r="B595" s="7652" t="s">
        <v>2647</v>
      </c>
      <c r="C595" s="7873" t="s">
        <v>1652</v>
      </c>
      <c r="D595" s="2211">
        <v>100000000</v>
      </c>
      <c r="E595" s="2263">
        <v>0.05</v>
      </c>
      <c r="F595" s="2211">
        <f t="shared" ref="F595:F603" si="67">D595*E595</f>
        <v>5000000</v>
      </c>
      <c r="G595" s="7563">
        <v>16000000</v>
      </c>
      <c r="H595" s="7563" t="s">
        <v>3920</v>
      </c>
      <c r="I595" s="7563" t="s">
        <v>3921</v>
      </c>
      <c r="J595" s="7563">
        <f t="shared" si="65"/>
        <v>16000000</v>
      </c>
      <c r="K595" s="7816">
        <f>(F595+F596)-J595</f>
        <v>0</v>
      </c>
      <c r="L595" s="7811" t="s">
        <v>3213</v>
      </c>
      <c r="M595" s="386"/>
      <c r="N595" s="386"/>
      <c r="O595" s="386"/>
      <c r="P595" s="386"/>
      <c r="Q595" s="386"/>
    </row>
    <row r="596" spans="1:17" ht="30" customHeight="1" x14ac:dyDescent="0.2">
      <c r="A596" s="7656"/>
      <c r="B596" s="7665"/>
      <c r="C596" s="7873"/>
      <c r="D596" s="2211">
        <v>220000000</v>
      </c>
      <c r="E596" s="2263">
        <v>0.05</v>
      </c>
      <c r="F596" s="2211">
        <f t="shared" si="67"/>
        <v>11000000</v>
      </c>
      <c r="G596" s="7564"/>
      <c r="H596" s="7564"/>
      <c r="I596" s="7564"/>
      <c r="J596" s="7564"/>
      <c r="K596" s="7817"/>
      <c r="L596" s="7812"/>
      <c r="M596" s="386"/>
      <c r="N596" s="386"/>
      <c r="O596" s="386"/>
      <c r="P596" s="386"/>
      <c r="Q596" s="386"/>
    </row>
    <row r="597" spans="1:17" ht="30" customHeight="1" x14ac:dyDescent="0.2">
      <c r="A597" s="7656"/>
      <c r="B597" s="7665"/>
      <c r="C597" s="7723" t="s">
        <v>3390</v>
      </c>
      <c r="D597" s="7563">
        <v>1000000000</v>
      </c>
      <c r="E597" s="7659">
        <v>6.5000000000000002E-2</v>
      </c>
      <c r="F597" s="7563">
        <f>D597*E597</f>
        <v>65000000</v>
      </c>
      <c r="G597" s="2211">
        <v>50000000</v>
      </c>
      <c r="H597" s="2211" t="s">
        <v>4117</v>
      </c>
      <c r="I597" s="2211" t="s">
        <v>4118</v>
      </c>
      <c r="J597" s="7563">
        <f>G597+G598</f>
        <v>65000000</v>
      </c>
      <c r="K597" s="7816">
        <f>F597-J597</f>
        <v>0</v>
      </c>
      <c r="L597" s="2250"/>
      <c r="M597" s="386"/>
      <c r="N597" s="386"/>
      <c r="O597" s="386"/>
      <c r="P597" s="386"/>
      <c r="Q597" s="386"/>
    </row>
    <row r="598" spans="1:17" ht="30" customHeight="1" x14ac:dyDescent="0.2">
      <c r="A598" s="7655"/>
      <c r="B598" s="7653"/>
      <c r="C598" s="7724"/>
      <c r="D598" s="7564"/>
      <c r="E598" s="7660"/>
      <c r="F598" s="7564"/>
      <c r="G598" s="2199">
        <v>15000000</v>
      </c>
      <c r="H598" s="2199" t="s">
        <v>4119</v>
      </c>
      <c r="I598" s="2199" t="s">
        <v>4118</v>
      </c>
      <c r="J598" s="7564"/>
      <c r="K598" s="7817"/>
      <c r="L598" s="2269" t="s">
        <v>3690</v>
      </c>
      <c r="M598" s="386"/>
      <c r="N598" s="386"/>
      <c r="O598" s="386"/>
      <c r="P598" s="386"/>
      <c r="Q598" s="386"/>
    </row>
    <row r="599" spans="1:17" ht="30" customHeight="1" x14ac:dyDescent="0.2">
      <c r="A599" s="2202"/>
      <c r="B599" s="2204" t="s">
        <v>2407</v>
      </c>
      <c r="C599" s="2236"/>
      <c r="D599" s="2211">
        <v>20000000</v>
      </c>
      <c r="E599" s="2263">
        <v>0.05</v>
      </c>
      <c r="F599" s="2211">
        <f t="shared" si="67"/>
        <v>1000000</v>
      </c>
      <c r="G599" s="2211">
        <v>1000000</v>
      </c>
      <c r="H599" s="2211" t="s">
        <v>4107</v>
      </c>
      <c r="I599" s="472" t="s">
        <v>4124</v>
      </c>
      <c r="J599" s="2211">
        <f>G599</f>
        <v>1000000</v>
      </c>
      <c r="K599" s="2253">
        <f>F599-J599</f>
        <v>0</v>
      </c>
      <c r="L599" s="2269"/>
      <c r="M599" s="386"/>
      <c r="N599" s="386"/>
      <c r="O599" s="386"/>
      <c r="P599" s="386"/>
      <c r="Q599" s="386"/>
    </row>
    <row r="600" spans="1:17" ht="30" customHeight="1" x14ac:dyDescent="0.2">
      <c r="A600" s="2267"/>
      <c r="B600" s="19" t="s">
        <v>2471</v>
      </c>
      <c r="C600" s="2264" t="s">
        <v>889</v>
      </c>
      <c r="D600" s="2211">
        <v>57120000</v>
      </c>
      <c r="E600" s="2263">
        <v>0.06</v>
      </c>
      <c r="F600" s="2211">
        <f t="shared" si="67"/>
        <v>3427200</v>
      </c>
      <c r="G600" s="2199">
        <f>F600*2</f>
        <v>6854400</v>
      </c>
      <c r="H600" s="2199" t="s">
        <v>4036</v>
      </c>
      <c r="I600" s="233" t="s">
        <v>4041</v>
      </c>
      <c r="J600" s="2199" t="e">
        <f>#REF!</f>
        <v>#REF!</v>
      </c>
      <c r="K600" s="1604"/>
      <c r="L600" s="2269" t="s">
        <v>4042</v>
      </c>
      <c r="M600" s="386"/>
      <c r="N600" s="386"/>
      <c r="O600" s="386"/>
      <c r="P600" s="386"/>
      <c r="Q600" s="386"/>
    </row>
    <row r="601" spans="1:17" ht="30" customHeight="1" x14ac:dyDescent="0.2">
      <c r="A601" s="7654"/>
      <c r="B601" s="7652" t="s">
        <v>2517</v>
      </c>
      <c r="C601" s="7723" t="s">
        <v>1080</v>
      </c>
      <c r="D601" s="2731">
        <v>114000000</v>
      </c>
      <c r="E601" s="2263">
        <v>0.05</v>
      </c>
      <c r="F601" s="2211">
        <f t="shared" si="67"/>
        <v>5700000</v>
      </c>
      <c r="G601" s="7732" t="s">
        <v>4734</v>
      </c>
      <c r="H601" s="7733"/>
      <c r="I601" s="7733"/>
      <c r="J601" s="7734"/>
      <c r="K601" s="2199">
        <f>F601-J601</f>
        <v>5700000</v>
      </c>
      <c r="L601" s="2269"/>
      <c r="M601" s="386"/>
      <c r="N601" s="386"/>
      <c r="O601" s="386"/>
      <c r="P601" s="386"/>
      <c r="Q601" s="386"/>
    </row>
    <row r="602" spans="1:17" ht="30" customHeight="1" x14ac:dyDescent="0.2">
      <c r="A602" s="7656"/>
      <c r="B602" s="7665"/>
      <c r="C602" s="7747"/>
      <c r="D602" s="2731">
        <v>5700000</v>
      </c>
      <c r="E602" s="2740">
        <v>0.05</v>
      </c>
      <c r="F602" s="2731">
        <f t="shared" si="67"/>
        <v>285000</v>
      </c>
      <c r="G602" s="7732"/>
      <c r="H602" s="7733"/>
      <c r="I602" s="7733"/>
      <c r="J602" s="7734"/>
      <c r="K602" s="2730"/>
      <c r="L602" s="2741"/>
      <c r="M602" s="386"/>
      <c r="N602" s="386"/>
      <c r="O602" s="386"/>
      <c r="P602" s="386"/>
      <c r="Q602" s="386"/>
    </row>
    <row r="603" spans="1:17" ht="30" customHeight="1" x14ac:dyDescent="0.2">
      <c r="A603" s="7656"/>
      <c r="B603" s="7665"/>
      <c r="C603" s="7747"/>
      <c r="D603" s="2731">
        <v>14950000</v>
      </c>
      <c r="E603" s="2740">
        <v>0.05</v>
      </c>
      <c r="F603" s="2731">
        <f t="shared" si="67"/>
        <v>747500</v>
      </c>
      <c r="G603" s="7732" t="s">
        <v>4731</v>
      </c>
      <c r="H603" s="7733"/>
      <c r="I603" s="7733"/>
      <c r="J603" s="7734"/>
      <c r="K603" s="2730"/>
      <c r="L603" s="2741"/>
      <c r="M603" s="386"/>
      <c r="N603" s="386"/>
      <c r="O603" s="386"/>
      <c r="P603" s="386"/>
      <c r="Q603" s="386"/>
    </row>
    <row r="604" spans="1:17" ht="30" customHeight="1" x14ac:dyDescent="0.2">
      <c r="A604" s="7656"/>
      <c r="B604" s="7665"/>
      <c r="C604" s="7747"/>
      <c r="D604" s="2731">
        <v>50000</v>
      </c>
      <c r="E604" s="7880" t="s">
        <v>4260</v>
      </c>
      <c r="F604" s="7881"/>
      <c r="G604" s="7732"/>
      <c r="H604" s="7733"/>
      <c r="I604" s="7733"/>
      <c r="J604" s="7734"/>
      <c r="K604" s="2730"/>
      <c r="L604" s="2741"/>
      <c r="M604" s="386"/>
      <c r="N604" s="386"/>
      <c r="O604" s="386"/>
      <c r="P604" s="386"/>
      <c r="Q604" s="386"/>
    </row>
    <row r="605" spans="1:17" ht="30" customHeight="1" x14ac:dyDescent="0.2">
      <c r="A605" s="7656"/>
      <c r="B605" s="7665"/>
      <c r="C605" s="7724"/>
      <c r="D605" s="2744">
        <f>D601+D602+D603+D604</f>
        <v>134700000</v>
      </c>
      <c r="E605" s="896">
        <v>0.05</v>
      </c>
      <c r="F605" s="2744">
        <f>D605*E605</f>
        <v>6735000</v>
      </c>
      <c r="G605" s="7732" t="s">
        <v>4735</v>
      </c>
      <c r="H605" s="7733"/>
      <c r="I605" s="7733"/>
      <c r="J605" s="7734"/>
      <c r="K605" s="2730"/>
      <c r="L605" s="2741"/>
      <c r="M605" s="386"/>
      <c r="N605" s="386"/>
      <c r="O605" s="386"/>
      <c r="P605" s="386"/>
      <c r="Q605" s="386"/>
    </row>
    <row r="606" spans="1:17" ht="30" customHeight="1" x14ac:dyDescent="0.2">
      <c r="A606" s="7654"/>
      <c r="B606" s="7652" t="s">
        <v>2551</v>
      </c>
      <c r="C606" s="7723"/>
      <c r="D606" s="2211">
        <v>10000000</v>
      </c>
      <c r="E606" s="2263"/>
      <c r="F606" s="2211"/>
      <c r="G606" s="2211"/>
      <c r="H606" s="2211"/>
      <c r="I606" s="472"/>
      <c r="J606" s="2211"/>
      <c r="K606" s="2253"/>
      <c r="L606" s="2269" t="s">
        <v>2552</v>
      </c>
      <c r="M606" s="386"/>
      <c r="N606" s="386"/>
      <c r="O606" s="386"/>
      <c r="P606" s="386"/>
      <c r="Q606" s="386"/>
    </row>
    <row r="607" spans="1:17" ht="30" customHeight="1" x14ac:dyDescent="0.2">
      <c r="A607" s="7655"/>
      <c r="B607" s="7653"/>
      <c r="C607" s="7724"/>
      <c r="D607" s="2211">
        <v>5000000</v>
      </c>
      <c r="E607" s="2263"/>
      <c r="F607" s="2211"/>
      <c r="G607" s="2211"/>
      <c r="H607" s="2211"/>
      <c r="I607" s="472"/>
      <c r="J607" s="2211"/>
      <c r="K607" s="2253"/>
      <c r="L607" s="2249" t="s">
        <v>3870</v>
      </c>
      <c r="M607" s="386"/>
      <c r="N607" s="386"/>
      <c r="O607" s="386"/>
      <c r="P607" s="386"/>
      <c r="Q607" s="386"/>
    </row>
    <row r="608" spans="1:17" ht="30" customHeight="1" x14ac:dyDescent="0.2">
      <c r="A608" s="7654"/>
      <c r="B608" s="7652" t="s">
        <v>2714</v>
      </c>
      <c r="C608" s="7723" t="s">
        <v>262</v>
      </c>
      <c r="D608" s="7563">
        <v>186000000</v>
      </c>
      <c r="E608" s="7659">
        <v>5.5E-2</v>
      </c>
      <c r="F608" s="7563">
        <f>D608*E608</f>
        <v>10230000</v>
      </c>
      <c r="G608" s="2199">
        <v>1000000</v>
      </c>
      <c r="H608" s="2199" t="s">
        <v>3929</v>
      </c>
      <c r="I608" s="1029" t="s">
        <v>2574</v>
      </c>
      <c r="J608" s="2199">
        <f>G608</f>
        <v>1000000</v>
      </c>
      <c r="K608" s="2196"/>
      <c r="L608" s="2249" t="s">
        <v>4260</v>
      </c>
      <c r="M608" s="386"/>
      <c r="N608" s="386"/>
      <c r="O608" s="386"/>
      <c r="P608" s="386"/>
      <c r="Q608" s="386"/>
    </row>
    <row r="609" spans="1:17" ht="30" customHeight="1" x14ac:dyDescent="0.2">
      <c r="A609" s="7656"/>
      <c r="B609" s="7665"/>
      <c r="C609" s="7747"/>
      <c r="D609" s="7586"/>
      <c r="E609" s="7676"/>
      <c r="F609" s="7586"/>
      <c r="G609" s="2211">
        <v>13530000</v>
      </c>
      <c r="H609" s="2211" t="s">
        <v>3965</v>
      </c>
      <c r="I609" s="2230" t="s">
        <v>3986</v>
      </c>
      <c r="J609" s="2211">
        <f>G609</f>
        <v>13530000</v>
      </c>
      <c r="K609" s="2253">
        <f>(F608+F614)-G609</f>
        <v>0</v>
      </c>
      <c r="L609" s="2249" t="s">
        <v>3952</v>
      </c>
      <c r="M609" s="386"/>
      <c r="N609" s="386"/>
      <c r="O609" s="386"/>
      <c r="P609" s="386"/>
      <c r="Q609" s="386"/>
    </row>
    <row r="610" spans="1:17" ht="30" customHeight="1" x14ac:dyDescent="0.2">
      <c r="A610" s="7656"/>
      <c r="B610" s="7665"/>
      <c r="C610" s="7747"/>
      <c r="D610" s="7564"/>
      <c r="E610" s="7660"/>
      <c r="F610" s="7564"/>
      <c r="G610" s="2211">
        <v>1000000</v>
      </c>
      <c r="H610" s="2211" t="s">
        <v>4188</v>
      </c>
      <c r="I610" s="1029" t="s">
        <v>2574</v>
      </c>
      <c r="J610" s="2211">
        <f>G610</f>
        <v>1000000</v>
      </c>
      <c r="K610" s="2253"/>
      <c r="L610" s="2249" t="s">
        <v>4260</v>
      </c>
      <c r="M610" s="386"/>
      <c r="N610" s="386"/>
      <c r="O610" s="386"/>
      <c r="P610" s="386"/>
      <c r="Q610" s="386"/>
    </row>
    <row r="611" spans="1:17" ht="30" customHeight="1" x14ac:dyDescent="0.2">
      <c r="A611" s="7656"/>
      <c r="B611" s="7665"/>
      <c r="C611" s="7747"/>
      <c r="D611" s="2211">
        <v>10000000</v>
      </c>
      <c r="E611" s="2208"/>
      <c r="F611" s="2211"/>
      <c r="G611" s="2211"/>
      <c r="H611" s="2211"/>
      <c r="I611" s="472"/>
      <c r="J611" s="2211"/>
      <c r="K611" s="2253"/>
      <c r="L611" s="2249" t="s">
        <v>4194</v>
      </c>
      <c r="M611" s="386"/>
      <c r="N611" s="386"/>
      <c r="O611" s="386"/>
      <c r="P611" s="386"/>
      <c r="Q611" s="386"/>
    </row>
    <row r="612" spans="1:17" ht="30" customHeight="1" x14ac:dyDescent="0.2">
      <c r="A612" s="7656"/>
      <c r="B612" s="7665"/>
      <c r="C612" s="7747"/>
      <c r="D612" s="2211">
        <v>4000000</v>
      </c>
      <c r="E612" s="2208"/>
      <c r="F612" s="2211"/>
      <c r="G612" s="2211"/>
      <c r="H612" s="2211"/>
      <c r="I612" s="472"/>
      <c r="J612" s="2211"/>
      <c r="K612" s="2253"/>
      <c r="L612" s="2249" t="s">
        <v>4112</v>
      </c>
      <c r="M612" s="386"/>
      <c r="N612" s="386"/>
      <c r="O612" s="386"/>
      <c r="P612" s="386"/>
      <c r="Q612" s="386"/>
    </row>
    <row r="613" spans="1:17" ht="30" customHeight="1" x14ac:dyDescent="0.2">
      <c r="A613" s="7655"/>
      <c r="B613" s="7653"/>
      <c r="C613" s="7724"/>
      <c r="D613" s="2217">
        <v>200000000</v>
      </c>
      <c r="E613" s="2215"/>
      <c r="F613" s="2217"/>
      <c r="G613" s="2286"/>
      <c r="H613" s="2287"/>
      <c r="I613" s="2057"/>
      <c r="J613" s="2288"/>
      <c r="K613" s="2056"/>
      <c r="L613" s="2249" t="s">
        <v>2685</v>
      </c>
      <c r="M613" s="386"/>
      <c r="N613" s="386"/>
      <c r="O613" s="386"/>
      <c r="P613" s="386"/>
      <c r="Q613" s="386"/>
    </row>
    <row r="614" spans="1:17" ht="30" customHeight="1" x14ac:dyDescent="0.2">
      <c r="A614" s="2267"/>
      <c r="B614" s="2204" t="s">
        <v>2573</v>
      </c>
      <c r="C614" s="2236" t="s">
        <v>1172</v>
      </c>
      <c r="D614" s="2211">
        <v>60000000</v>
      </c>
      <c r="E614" s="2208">
        <v>5.5E-2</v>
      </c>
      <c r="F614" s="2211">
        <f>D614*E614</f>
        <v>3300000</v>
      </c>
      <c r="G614" s="8092" t="s">
        <v>4259</v>
      </c>
      <c r="H614" s="8093"/>
      <c r="I614" s="8093"/>
      <c r="J614" s="8094"/>
      <c r="K614" s="2253">
        <v>0</v>
      </c>
      <c r="L614" s="2269" t="s">
        <v>3522</v>
      </c>
      <c r="M614" s="386"/>
      <c r="N614" s="386"/>
      <c r="O614" s="386"/>
      <c r="P614" s="386"/>
      <c r="Q614" s="386"/>
    </row>
    <row r="615" spans="1:17" ht="30" customHeight="1" x14ac:dyDescent="0.2">
      <c r="A615" s="2202"/>
      <c r="B615" s="2204" t="s">
        <v>2609</v>
      </c>
      <c r="C615" s="2236"/>
      <c r="D615" s="2224"/>
      <c r="E615" s="2295"/>
      <c r="F615" s="2224"/>
      <c r="G615" s="2211"/>
      <c r="H615" s="2211"/>
      <c r="I615" s="472"/>
      <c r="J615" s="2211">
        <f>G615</f>
        <v>0</v>
      </c>
      <c r="K615" s="2258">
        <f>F615-J615</f>
        <v>0</v>
      </c>
      <c r="L615" s="2269"/>
      <c r="M615" s="386"/>
      <c r="N615" s="386"/>
      <c r="O615" s="386"/>
      <c r="P615" s="386"/>
      <c r="Q615" s="386"/>
    </row>
    <row r="616" spans="1:17" ht="30" customHeight="1" x14ac:dyDescent="0.2">
      <c r="A616" s="7654"/>
      <c r="B616" s="7652" t="s">
        <v>2611</v>
      </c>
      <c r="C616" s="7723" t="s">
        <v>5081</v>
      </c>
      <c r="D616" s="3235">
        <v>4215000000</v>
      </c>
      <c r="E616" s="1298">
        <v>0.05</v>
      </c>
      <c r="F616" s="3235">
        <f>D616*E616</f>
        <v>210750000</v>
      </c>
      <c r="G616" s="2211">
        <v>75000000</v>
      </c>
      <c r="H616" s="2211" t="s">
        <v>4188</v>
      </c>
      <c r="I616" s="472" t="s">
        <v>4253</v>
      </c>
      <c r="J616" s="7563">
        <f>G616</f>
        <v>75000000</v>
      </c>
      <c r="K616" s="7816">
        <f>F621-J616</f>
        <v>791250000</v>
      </c>
      <c r="L616" s="7816"/>
      <c r="M616" s="386"/>
      <c r="N616" s="386"/>
      <c r="O616" s="386"/>
      <c r="P616" s="386"/>
      <c r="Q616" s="386"/>
    </row>
    <row r="617" spans="1:17" ht="30" customHeight="1" x14ac:dyDescent="0.2">
      <c r="A617" s="7656"/>
      <c r="B617" s="7665"/>
      <c r="C617" s="7747"/>
      <c r="D617" s="3235">
        <v>2000000000</v>
      </c>
      <c r="E617" s="1298">
        <v>7.0000000000000007E-2</v>
      </c>
      <c r="F617" s="3235">
        <f t="shared" ref="F617:F620" si="68">D617*E617</f>
        <v>140000000</v>
      </c>
      <c r="G617" s="2271">
        <v>80000000</v>
      </c>
      <c r="H617" s="2271" t="s">
        <v>4188</v>
      </c>
      <c r="I617" s="2047" t="s">
        <v>4256</v>
      </c>
      <c r="J617" s="7586"/>
      <c r="K617" s="7882"/>
      <c r="L617" s="7817"/>
      <c r="M617" s="386"/>
      <c r="N617" s="386"/>
      <c r="O617" s="386"/>
      <c r="P617" s="386"/>
      <c r="Q617" s="386"/>
    </row>
    <row r="618" spans="1:17" ht="30" customHeight="1" x14ac:dyDescent="0.2">
      <c r="A618" s="7656"/>
      <c r="B618" s="7665"/>
      <c r="C618" s="7747"/>
      <c r="D618" s="3235">
        <v>3785000000</v>
      </c>
      <c r="E618" s="1298">
        <v>0.06</v>
      </c>
      <c r="F618" s="3235">
        <f t="shared" si="68"/>
        <v>227100000</v>
      </c>
      <c r="G618" s="2271">
        <v>63750000</v>
      </c>
      <c r="H618" s="2271" t="s">
        <v>3878</v>
      </c>
      <c r="I618" s="2047" t="s">
        <v>4256</v>
      </c>
      <c r="J618" s="7586"/>
      <c r="K618" s="7882"/>
      <c r="L618" s="2250"/>
      <c r="M618" s="386"/>
      <c r="N618" s="386"/>
      <c r="O618" s="386"/>
      <c r="P618" s="386"/>
      <c r="Q618" s="386"/>
    </row>
    <row r="619" spans="1:17" ht="30" customHeight="1" x14ac:dyDescent="0.2">
      <c r="A619" s="7656"/>
      <c r="B619" s="7665"/>
      <c r="C619" s="7747"/>
      <c r="D619" s="3237">
        <v>2915000000</v>
      </c>
      <c r="E619" s="3243">
        <v>0.08</v>
      </c>
      <c r="F619" s="3237">
        <f t="shared" si="68"/>
        <v>233200000</v>
      </c>
      <c r="G619" s="7494" t="s">
        <v>5139</v>
      </c>
      <c r="H619" s="7495"/>
      <c r="I619" s="7768"/>
      <c r="J619" s="7586"/>
      <c r="K619" s="7882"/>
      <c r="L619" s="2250"/>
      <c r="M619" s="386"/>
      <c r="N619" s="386"/>
      <c r="O619" s="386"/>
      <c r="P619" s="386"/>
      <c r="Q619" s="386"/>
    </row>
    <row r="620" spans="1:17" ht="30" customHeight="1" x14ac:dyDescent="0.2">
      <c r="A620" s="7656"/>
      <c r="B620" s="7665"/>
      <c r="C620" s="7747"/>
      <c r="D620" s="3237">
        <v>690000000</v>
      </c>
      <c r="E620" s="3243">
        <v>0.08</v>
      </c>
      <c r="F620" s="3237">
        <f t="shared" si="68"/>
        <v>55200000</v>
      </c>
      <c r="G620" s="7877"/>
      <c r="H620" s="7524"/>
      <c r="I620" s="7878"/>
      <c r="J620" s="7586"/>
      <c r="K620" s="7882"/>
      <c r="L620" s="2250"/>
      <c r="M620" s="386"/>
      <c r="N620" s="386"/>
      <c r="O620" s="386"/>
      <c r="P620" s="386"/>
      <c r="Q620" s="386"/>
    </row>
    <row r="621" spans="1:17" ht="30" customHeight="1" x14ac:dyDescent="0.2">
      <c r="A621" s="7656"/>
      <c r="B621" s="7665"/>
      <c r="C621" s="7747"/>
      <c r="D621" s="8095">
        <f>SUM(D616:D620)</f>
        <v>13605000000</v>
      </c>
      <c r="E621" s="8096"/>
      <c r="F621" s="8001">
        <f>SUM(F616:F620)</f>
        <v>866250000</v>
      </c>
      <c r="G621" s="7769"/>
      <c r="H621" s="7805"/>
      <c r="I621" s="7770"/>
      <c r="J621" s="7564"/>
      <c r="K621" s="7817"/>
      <c r="L621" s="2253"/>
      <c r="M621" s="386"/>
      <c r="N621" s="386"/>
      <c r="O621" s="386"/>
      <c r="P621" s="386"/>
      <c r="Q621" s="386"/>
    </row>
    <row r="622" spans="1:17" ht="30" customHeight="1" x14ac:dyDescent="0.2">
      <c r="A622" s="7656"/>
      <c r="B622" s="7665"/>
      <c r="C622" s="7747"/>
      <c r="D622" s="8097"/>
      <c r="E622" s="8098"/>
      <c r="F622" s="8002"/>
      <c r="G622" s="7470" t="s">
        <v>5138</v>
      </c>
      <c r="H622" s="7493"/>
      <c r="I622" s="7510"/>
      <c r="J622" s="3213">
        <f>G616+10000000</f>
        <v>85000000</v>
      </c>
      <c r="K622" s="3219">
        <f>F621-G616-10000000-781250000</f>
        <v>0</v>
      </c>
      <c r="L622" s="3219"/>
      <c r="M622" s="386"/>
      <c r="N622" s="386"/>
      <c r="O622" s="386"/>
      <c r="P622" s="386"/>
      <c r="Q622" s="386"/>
    </row>
    <row r="623" spans="1:17" ht="30" customHeight="1" x14ac:dyDescent="0.2">
      <c r="A623" s="7655"/>
      <c r="B623" s="7665"/>
      <c r="C623" s="7747"/>
      <c r="D623" s="3213">
        <v>925000000</v>
      </c>
      <c r="E623" s="3220">
        <v>0.08</v>
      </c>
      <c r="F623" s="3213">
        <f>D623*E623</f>
        <v>74000000</v>
      </c>
      <c r="G623" s="7732" t="s">
        <v>5082</v>
      </c>
      <c r="H623" s="7733"/>
      <c r="I623" s="7734"/>
      <c r="J623" s="2211">
        <f>F616+F617+F618</f>
        <v>577850000</v>
      </c>
      <c r="K623" s="2253"/>
      <c r="L623" s="2253"/>
      <c r="M623" s="386"/>
      <c r="N623" s="386"/>
      <c r="O623" s="386"/>
      <c r="P623" s="386"/>
      <c r="Q623" s="386"/>
    </row>
    <row r="624" spans="1:17" ht="30" customHeight="1" x14ac:dyDescent="0.2">
      <c r="A624" s="3123"/>
      <c r="B624" s="7653"/>
      <c r="C624" s="7724"/>
      <c r="D624" s="8061">
        <f>D621+D623</f>
        <v>14530000000</v>
      </c>
      <c r="E624" s="8091"/>
      <c r="F624" s="3152">
        <f>F621+F623</f>
        <v>940250000</v>
      </c>
      <c r="G624" s="3150"/>
      <c r="H624" s="3151"/>
      <c r="I624" s="3151"/>
      <c r="J624" s="3127">
        <f>F619+F620+F623</f>
        <v>362400000</v>
      </c>
      <c r="K624" s="3138">
        <f>K616+G617+G618</f>
        <v>935000000</v>
      </c>
      <c r="L624" s="3138"/>
      <c r="M624" s="386"/>
      <c r="N624" s="386"/>
      <c r="O624" s="386"/>
      <c r="P624" s="386"/>
      <c r="Q624" s="386"/>
    </row>
    <row r="625" spans="1:17" ht="30" customHeight="1" x14ac:dyDescent="0.2">
      <c r="A625" s="7654"/>
      <c r="B625" s="7652" t="s">
        <v>2622</v>
      </c>
      <c r="C625" s="7723"/>
      <c r="D625" s="2211">
        <v>100000000</v>
      </c>
      <c r="E625" s="2263">
        <v>4.4999999999999998E-2</v>
      </c>
      <c r="F625" s="2211">
        <f>D625*E625</f>
        <v>4500000</v>
      </c>
      <c r="G625" s="2211">
        <v>4500000</v>
      </c>
      <c r="H625" s="2211" t="s">
        <v>3965</v>
      </c>
      <c r="I625" s="472" t="s">
        <v>1728</v>
      </c>
      <c r="J625" s="2211">
        <f t="shared" ref="J625:J637" si="69">G625</f>
        <v>4500000</v>
      </c>
      <c r="K625" s="2253">
        <f t="shared" ref="K625:K638" si="70">F625-J625</f>
        <v>0</v>
      </c>
      <c r="L625" s="2269"/>
      <c r="M625" s="386"/>
      <c r="N625" s="386"/>
      <c r="O625" s="386"/>
      <c r="P625" s="386"/>
      <c r="Q625" s="386"/>
    </row>
    <row r="626" spans="1:17" ht="30" customHeight="1" x14ac:dyDescent="0.2">
      <c r="A626" s="7656"/>
      <c r="B626" s="7665"/>
      <c r="C626" s="7747"/>
      <c r="D626" s="2211">
        <v>50000000</v>
      </c>
      <c r="E626" s="2263">
        <v>4.4999999999999998E-2</v>
      </c>
      <c r="F626" s="2211">
        <f t="shared" ref="F626:F627" si="71">D626*E626</f>
        <v>2250000</v>
      </c>
      <c r="G626" s="7732" t="s">
        <v>4004</v>
      </c>
      <c r="H626" s="7733"/>
      <c r="I626" s="7733"/>
      <c r="J626" s="7734"/>
      <c r="K626" s="2253">
        <f>F625+F626+F627</f>
        <v>7200000</v>
      </c>
      <c r="L626" s="2269"/>
      <c r="M626" s="386"/>
      <c r="N626" s="386"/>
      <c r="O626" s="386"/>
      <c r="P626" s="386"/>
      <c r="Q626" s="386"/>
    </row>
    <row r="627" spans="1:17" ht="30" customHeight="1" x14ac:dyDescent="0.2">
      <c r="A627" s="7655"/>
      <c r="B627" s="7653"/>
      <c r="C627" s="7724"/>
      <c r="D627" s="2211">
        <v>10000000</v>
      </c>
      <c r="E627" s="2263">
        <v>4.4999999999999998E-2</v>
      </c>
      <c r="F627" s="2211">
        <f t="shared" si="71"/>
        <v>450000</v>
      </c>
      <c r="G627" s="7732" t="s">
        <v>4216</v>
      </c>
      <c r="H627" s="7733"/>
      <c r="I627" s="7733"/>
      <c r="J627" s="7734"/>
      <c r="K627" s="2253"/>
      <c r="L627" s="2269"/>
      <c r="M627" s="386"/>
      <c r="N627" s="386"/>
      <c r="O627" s="386"/>
      <c r="P627" s="386"/>
      <c r="Q627" s="386"/>
    </row>
    <row r="628" spans="1:17" ht="30" customHeight="1" x14ac:dyDescent="0.2">
      <c r="A628" s="2267"/>
      <c r="B628" s="2265" t="s">
        <v>2639</v>
      </c>
      <c r="C628" s="2236" t="s">
        <v>1172</v>
      </c>
      <c r="D628" s="2211">
        <v>80000000</v>
      </c>
      <c r="E628" s="2263">
        <v>0.05</v>
      </c>
      <c r="F628" s="2211">
        <f>D628*E628</f>
        <v>4000000</v>
      </c>
      <c r="G628" s="2211">
        <v>4000000</v>
      </c>
      <c r="H628" s="2211" t="s">
        <v>4016</v>
      </c>
      <c r="I628" s="472" t="s">
        <v>4020</v>
      </c>
      <c r="J628" s="2211">
        <f t="shared" si="69"/>
        <v>4000000</v>
      </c>
      <c r="K628" s="2253">
        <f t="shared" si="70"/>
        <v>0</v>
      </c>
      <c r="L628" s="2269" t="s">
        <v>3688</v>
      </c>
      <c r="M628" s="386"/>
      <c r="N628" s="386"/>
      <c r="O628" s="386"/>
      <c r="P628" s="386"/>
      <c r="Q628" s="386"/>
    </row>
    <row r="629" spans="1:17" ht="30" customHeight="1" x14ac:dyDescent="0.2">
      <c r="A629" s="2267"/>
      <c r="B629" s="2265" t="s">
        <v>4021</v>
      </c>
      <c r="C629" s="2236" t="s">
        <v>1172</v>
      </c>
      <c r="D629" s="2211">
        <v>100000000</v>
      </c>
      <c r="E629" s="2263">
        <v>0.05</v>
      </c>
      <c r="F629" s="2211">
        <f>D629*E629</f>
        <v>5000000</v>
      </c>
      <c r="G629" s="2211">
        <v>5000000</v>
      </c>
      <c r="H629" s="2211" t="s">
        <v>4060</v>
      </c>
      <c r="I629" s="472" t="s">
        <v>4063</v>
      </c>
      <c r="J629" s="2211">
        <f>G629</f>
        <v>5000000</v>
      </c>
      <c r="K629" s="2253">
        <f>F629-J629</f>
        <v>0</v>
      </c>
      <c r="L629" s="2269"/>
      <c r="M629" s="386"/>
      <c r="N629" s="386"/>
      <c r="O629" s="386"/>
      <c r="P629" s="386"/>
      <c r="Q629" s="386"/>
    </row>
    <row r="630" spans="1:17" ht="30" customHeight="1" x14ac:dyDescent="0.2">
      <c r="A630" s="2267"/>
      <c r="B630" s="2265" t="s">
        <v>3997</v>
      </c>
      <c r="C630" s="2264" t="s">
        <v>1652</v>
      </c>
      <c r="D630" s="2199">
        <v>25000000</v>
      </c>
      <c r="E630" s="2263">
        <v>0.04</v>
      </c>
      <c r="F630" s="2199">
        <f>D630*E630</f>
        <v>1000000</v>
      </c>
      <c r="G630" s="2199">
        <v>2000000</v>
      </c>
      <c r="H630" s="2199" t="s">
        <v>3993</v>
      </c>
      <c r="I630" s="1029" t="s">
        <v>3998</v>
      </c>
      <c r="J630" s="2199">
        <f t="shared" si="69"/>
        <v>2000000</v>
      </c>
      <c r="K630" s="2196">
        <f t="shared" si="70"/>
        <v>-1000000</v>
      </c>
      <c r="L630" s="2269" t="s">
        <v>3999</v>
      </c>
      <c r="M630" s="386"/>
      <c r="N630" s="386"/>
      <c r="O630" s="386"/>
      <c r="P630" s="386"/>
      <c r="Q630" s="386"/>
    </row>
    <row r="631" spans="1:17" ht="30" customHeight="1" x14ac:dyDescent="0.2">
      <c r="A631" s="7654"/>
      <c r="B631" s="7661" t="s">
        <v>2692</v>
      </c>
      <c r="C631" s="7703"/>
      <c r="D631" s="7563">
        <v>200000000</v>
      </c>
      <c r="E631" s="7659">
        <v>7.0000000000000007E-2</v>
      </c>
      <c r="F631" s="7563">
        <f>D631*E631</f>
        <v>14000000.000000002</v>
      </c>
      <c r="G631" s="2211">
        <v>1000000</v>
      </c>
      <c r="H631" s="2211" t="s">
        <v>3923</v>
      </c>
      <c r="I631" s="472" t="s">
        <v>3973</v>
      </c>
      <c r="J631" s="2211">
        <f t="shared" si="69"/>
        <v>1000000</v>
      </c>
      <c r="K631" s="2253"/>
      <c r="L631" s="2269" t="s">
        <v>4040</v>
      </c>
      <c r="M631" s="386"/>
      <c r="N631" s="386"/>
      <c r="O631" s="386"/>
      <c r="P631" s="386"/>
      <c r="Q631" s="386"/>
    </row>
    <row r="632" spans="1:17" ht="30" customHeight="1" x14ac:dyDescent="0.2">
      <c r="A632" s="7655"/>
      <c r="B632" s="7663"/>
      <c r="C632" s="7705"/>
      <c r="D632" s="7564"/>
      <c r="E632" s="7660"/>
      <c r="F632" s="7564"/>
      <c r="G632" s="2211">
        <v>14000000</v>
      </c>
      <c r="H632" s="2211" t="s">
        <v>4036</v>
      </c>
      <c r="I632" s="472" t="s">
        <v>2693</v>
      </c>
      <c r="J632" s="2211">
        <f>G632</f>
        <v>14000000</v>
      </c>
      <c r="K632" s="2253">
        <f>F631-J632</f>
        <v>0</v>
      </c>
      <c r="L632" s="2269"/>
      <c r="M632" s="386"/>
      <c r="N632" s="386"/>
      <c r="O632" s="386"/>
      <c r="P632" s="386"/>
      <c r="Q632" s="386"/>
    </row>
    <row r="633" spans="1:17" ht="30" customHeight="1" x14ac:dyDescent="0.2">
      <c r="A633" s="2267"/>
      <c r="B633" s="2265" t="s">
        <v>2702</v>
      </c>
      <c r="C633" s="2236" t="s">
        <v>262</v>
      </c>
      <c r="D633" s="2211">
        <v>30000000</v>
      </c>
      <c r="E633" s="2263">
        <v>0.05</v>
      </c>
      <c r="F633" s="2211">
        <f t="shared" ref="F633:F638" si="72">D633*E633</f>
        <v>1500000</v>
      </c>
      <c r="G633" s="2199">
        <v>1500000</v>
      </c>
      <c r="H633" s="2199" t="s">
        <v>3965</v>
      </c>
      <c r="I633" s="2199" t="s">
        <v>3536</v>
      </c>
      <c r="J633" s="2199">
        <f t="shared" si="69"/>
        <v>1500000</v>
      </c>
      <c r="K633" s="2253">
        <f t="shared" si="70"/>
        <v>0</v>
      </c>
      <c r="L633" s="2269"/>
      <c r="M633" s="386"/>
      <c r="N633" s="386"/>
      <c r="O633" s="386"/>
      <c r="P633" s="386"/>
      <c r="Q633" s="386"/>
    </row>
    <row r="634" spans="1:17" ht="30" customHeight="1" x14ac:dyDescent="0.2">
      <c r="A634" s="2267"/>
      <c r="B634" s="2265" t="s">
        <v>2727</v>
      </c>
      <c r="C634" s="2236" t="s">
        <v>392</v>
      </c>
      <c r="D634" s="2211">
        <v>140000000</v>
      </c>
      <c r="E634" s="2263">
        <v>7.0000000000000007E-2</v>
      </c>
      <c r="F634" s="2211">
        <f t="shared" si="72"/>
        <v>9800000.0000000019</v>
      </c>
      <c r="G634" s="2199"/>
      <c r="H634" s="2199"/>
      <c r="I634" s="2199" t="s">
        <v>3526</v>
      </c>
      <c r="J634" s="2199">
        <f t="shared" si="69"/>
        <v>0</v>
      </c>
      <c r="K634" s="2253">
        <f t="shared" si="70"/>
        <v>9800000.0000000019</v>
      </c>
      <c r="L634" s="2269" t="s">
        <v>3392</v>
      </c>
      <c r="M634" s="386"/>
      <c r="N634" s="386"/>
      <c r="O634" s="386"/>
      <c r="P634" s="386"/>
      <c r="Q634" s="386"/>
    </row>
    <row r="635" spans="1:17" ht="30" customHeight="1" x14ac:dyDescent="0.2">
      <c r="A635" s="2267"/>
      <c r="B635" s="2265" t="s">
        <v>2735</v>
      </c>
      <c r="C635" s="2236" t="s">
        <v>889</v>
      </c>
      <c r="D635" s="2211">
        <v>85000000</v>
      </c>
      <c r="E635" s="2263">
        <v>0.05</v>
      </c>
      <c r="F635" s="2211">
        <f t="shared" si="72"/>
        <v>4250000</v>
      </c>
      <c r="G635" s="2199">
        <v>4250000</v>
      </c>
      <c r="H635" s="2199" t="s">
        <v>4060</v>
      </c>
      <c r="I635" s="1029" t="s">
        <v>3529</v>
      </c>
      <c r="J635" s="2199">
        <f t="shared" si="69"/>
        <v>4250000</v>
      </c>
      <c r="K635" s="2253">
        <f t="shared" si="70"/>
        <v>0</v>
      </c>
      <c r="L635" s="2269"/>
      <c r="M635" s="386"/>
      <c r="N635" s="386"/>
      <c r="O635" s="386"/>
      <c r="P635" s="386"/>
      <c r="Q635" s="386"/>
    </row>
    <row r="636" spans="1:17" ht="30" customHeight="1" x14ac:dyDescent="0.2">
      <c r="A636" s="2267"/>
      <c r="B636" s="2265" t="s">
        <v>3534</v>
      </c>
      <c r="C636" s="2236" t="s">
        <v>372</v>
      </c>
      <c r="D636" s="2211">
        <v>50000000</v>
      </c>
      <c r="E636" s="2263">
        <v>0.05</v>
      </c>
      <c r="F636" s="2211">
        <f t="shared" si="72"/>
        <v>2500000</v>
      </c>
      <c r="G636" s="2199">
        <v>2500000</v>
      </c>
      <c r="H636" s="2199" t="s">
        <v>4043</v>
      </c>
      <c r="I636" s="2199" t="s">
        <v>4091</v>
      </c>
      <c r="J636" s="2199">
        <f t="shared" si="69"/>
        <v>2500000</v>
      </c>
      <c r="K636" s="2253">
        <f t="shared" si="70"/>
        <v>0</v>
      </c>
      <c r="L636" s="2269"/>
      <c r="M636" s="386"/>
      <c r="N636" s="386"/>
      <c r="O636" s="386"/>
      <c r="P636" s="386"/>
      <c r="Q636" s="386"/>
    </row>
    <row r="637" spans="1:17" ht="30" customHeight="1" x14ac:dyDescent="0.2">
      <c r="A637" s="2267"/>
      <c r="B637" s="2265" t="s">
        <v>2738</v>
      </c>
      <c r="C637" s="2236" t="s">
        <v>372</v>
      </c>
      <c r="D637" s="2211">
        <v>25000000</v>
      </c>
      <c r="E637" s="2263">
        <v>0.05</v>
      </c>
      <c r="F637" s="2211">
        <f t="shared" si="72"/>
        <v>1250000</v>
      </c>
      <c r="G637" s="2199">
        <v>1250000</v>
      </c>
      <c r="H637" s="2199" t="s">
        <v>4016</v>
      </c>
      <c r="I637" s="2199" t="s">
        <v>4017</v>
      </c>
      <c r="J637" s="2199">
        <f t="shared" si="69"/>
        <v>1250000</v>
      </c>
      <c r="K637" s="2253">
        <f t="shared" si="70"/>
        <v>0</v>
      </c>
      <c r="L637" s="2269"/>
      <c r="M637" s="386"/>
      <c r="N637" s="386"/>
      <c r="O637" s="386"/>
      <c r="P637" s="386"/>
      <c r="Q637" s="386"/>
    </row>
    <row r="638" spans="1:17" ht="30" customHeight="1" x14ac:dyDescent="0.2">
      <c r="A638" s="7654"/>
      <c r="B638" s="7652" t="s">
        <v>2767</v>
      </c>
      <c r="C638" s="7723"/>
      <c r="D638" s="7563">
        <v>300000000</v>
      </c>
      <c r="E638" s="7659">
        <v>5.5E-2</v>
      </c>
      <c r="F638" s="7563">
        <f t="shared" si="72"/>
        <v>16500000</v>
      </c>
      <c r="G638" s="7563">
        <v>16500000</v>
      </c>
      <c r="H638" s="7563" t="s">
        <v>3806</v>
      </c>
      <c r="I638" s="7563" t="s">
        <v>3477</v>
      </c>
      <c r="J638" s="7563">
        <f>G638+G639</f>
        <v>16500000</v>
      </c>
      <c r="K638" s="7816">
        <f t="shared" si="70"/>
        <v>0</v>
      </c>
      <c r="L638" s="7811" t="s">
        <v>2768</v>
      </c>
      <c r="M638" s="386"/>
      <c r="N638" s="386"/>
      <c r="O638" s="386"/>
      <c r="P638" s="386"/>
      <c r="Q638" s="386"/>
    </row>
    <row r="639" spans="1:17" ht="30" customHeight="1" x14ac:dyDescent="0.2">
      <c r="A639" s="7655"/>
      <c r="B639" s="7653"/>
      <c r="C639" s="7724"/>
      <c r="D639" s="7564"/>
      <c r="E639" s="7660"/>
      <c r="F639" s="7564"/>
      <c r="G639" s="7564"/>
      <c r="H639" s="7564"/>
      <c r="I639" s="7564"/>
      <c r="J639" s="7564"/>
      <c r="K639" s="7817"/>
      <c r="L639" s="7812"/>
      <c r="M639" s="386"/>
      <c r="N639" s="386"/>
      <c r="O639" s="386"/>
      <c r="P639" s="386"/>
      <c r="Q639" s="386"/>
    </row>
    <row r="640" spans="1:17" ht="30" customHeight="1" x14ac:dyDescent="0.2">
      <c r="A640" s="2267"/>
      <c r="B640" s="2265" t="s">
        <v>2799</v>
      </c>
      <c r="C640" s="2236"/>
      <c r="D640" s="2211">
        <v>85000000</v>
      </c>
      <c r="E640" s="2263"/>
      <c r="F640" s="2211"/>
      <c r="G640" s="2199"/>
      <c r="H640" s="2199"/>
      <c r="I640" s="2199"/>
      <c r="J640" s="2199"/>
      <c r="K640" s="2253"/>
      <c r="L640" s="2269" t="s">
        <v>2800</v>
      </c>
      <c r="M640" s="386"/>
      <c r="N640" s="386"/>
      <c r="O640" s="386"/>
      <c r="P640" s="386"/>
      <c r="Q640" s="386"/>
    </row>
    <row r="641" spans="1:17" ht="30" customHeight="1" x14ac:dyDescent="0.2">
      <c r="A641" s="2267"/>
      <c r="B641" s="2265" t="s">
        <v>2802</v>
      </c>
      <c r="C641" s="2236" t="s">
        <v>359</v>
      </c>
      <c r="D641" s="2211">
        <v>20000000</v>
      </c>
      <c r="E641" s="2263">
        <v>0.05</v>
      </c>
      <c r="F641" s="2211">
        <f>D641*E641</f>
        <v>1000000</v>
      </c>
      <c r="G641" s="2199">
        <v>1000000</v>
      </c>
      <c r="H641" s="2199" t="s">
        <v>4043</v>
      </c>
      <c r="I641" s="2199" t="s">
        <v>3556</v>
      </c>
      <c r="J641" s="2199">
        <f>G641</f>
        <v>1000000</v>
      </c>
      <c r="K641" s="2253">
        <f>F641-J641</f>
        <v>0</v>
      </c>
      <c r="L641" s="2269"/>
      <c r="M641" s="386"/>
      <c r="N641" s="386"/>
      <c r="O641" s="386"/>
      <c r="P641" s="386"/>
      <c r="Q641" s="386"/>
    </row>
    <row r="642" spans="1:17" ht="30" customHeight="1" x14ac:dyDescent="0.2">
      <c r="A642" s="2200"/>
      <c r="B642" s="2261" t="s">
        <v>2904</v>
      </c>
      <c r="C642" s="2264" t="s">
        <v>1081</v>
      </c>
      <c r="D642" s="2199">
        <v>40000000</v>
      </c>
      <c r="E642" s="2263">
        <v>0.04</v>
      </c>
      <c r="F642" s="2199">
        <f>D642*E642</f>
        <v>1600000</v>
      </c>
      <c r="G642" s="2199"/>
      <c r="H642" s="2199"/>
      <c r="I642" s="2199" t="s">
        <v>3340</v>
      </c>
      <c r="J642" s="2199">
        <f>G642</f>
        <v>0</v>
      </c>
      <c r="K642" s="2253">
        <f>F642-J642</f>
        <v>1600000</v>
      </c>
      <c r="L642" s="2269"/>
      <c r="M642" s="386"/>
      <c r="N642" s="386"/>
      <c r="O642" s="386"/>
      <c r="P642" s="386"/>
      <c r="Q642" s="386"/>
    </row>
    <row r="643" spans="1:17" ht="30" customHeight="1" x14ac:dyDescent="0.2">
      <c r="A643" s="2267"/>
      <c r="B643" s="2265" t="s">
        <v>2834</v>
      </c>
      <c r="C643" s="2236" t="s">
        <v>2849</v>
      </c>
      <c r="D643" s="2211">
        <v>20000000</v>
      </c>
      <c r="E643" s="2208">
        <v>0.05</v>
      </c>
      <c r="F643" s="2211">
        <f>D643*E643</f>
        <v>1000000</v>
      </c>
      <c r="G643" s="2199">
        <v>1000000</v>
      </c>
      <c r="H643" s="2199" t="s">
        <v>4043</v>
      </c>
      <c r="I643" s="2199" t="s">
        <v>3681</v>
      </c>
      <c r="J643" s="2199">
        <f>G643</f>
        <v>1000000</v>
      </c>
      <c r="K643" s="2253">
        <f>G643-J643</f>
        <v>0</v>
      </c>
      <c r="L643" s="2269" t="s">
        <v>2835</v>
      </c>
      <c r="M643" s="386"/>
      <c r="N643" s="386"/>
      <c r="O643" s="386"/>
      <c r="P643" s="386"/>
      <c r="Q643" s="386"/>
    </row>
    <row r="644" spans="1:17" ht="30" customHeight="1" x14ac:dyDescent="0.2">
      <c r="A644" s="7654"/>
      <c r="B644" s="1547" t="s">
        <v>2867</v>
      </c>
      <c r="C644" s="7975" t="s">
        <v>2898</v>
      </c>
      <c r="D644" s="8007">
        <v>70000000</v>
      </c>
      <c r="E644" s="8017">
        <v>0.05</v>
      </c>
      <c r="F644" s="8020">
        <f>D644*E644</f>
        <v>3500000</v>
      </c>
      <c r="G644" s="2199">
        <v>5000000</v>
      </c>
      <c r="H644" s="2199" t="s">
        <v>4164</v>
      </c>
      <c r="I644" s="2199" t="s">
        <v>4165</v>
      </c>
      <c r="J644" s="7563">
        <f>G644</f>
        <v>5000000</v>
      </c>
      <c r="K644" s="7816">
        <f>(F644+F647+F648+1800000)-J644</f>
        <v>14300000</v>
      </c>
      <c r="L644" s="2249"/>
      <c r="M644" s="386"/>
      <c r="N644" s="386"/>
      <c r="O644" s="386"/>
      <c r="P644" s="386"/>
      <c r="Q644" s="386"/>
    </row>
    <row r="645" spans="1:17" ht="30" customHeight="1" x14ac:dyDescent="0.2">
      <c r="A645" s="7656"/>
      <c r="B645" s="1548"/>
      <c r="C645" s="7978"/>
      <c r="D645" s="8008"/>
      <c r="E645" s="8018"/>
      <c r="F645" s="8020"/>
      <c r="G645" s="178"/>
      <c r="H645" s="178"/>
      <c r="I645" s="178"/>
      <c r="J645" s="7586"/>
      <c r="K645" s="7882"/>
      <c r="L645" s="2270" t="s">
        <v>2901</v>
      </c>
      <c r="M645" s="386"/>
      <c r="N645" s="386"/>
      <c r="O645" s="386"/>
      <c r="P645" s="386"/>
      <c r="Q645" s="386"/>
    </row>
    <row r="646" spans="1:17" ht="30" customHeight="1" x14ac:dyDescent="0.2">
      <c r="A646" s="7655"/>
      <c r="B646" s="1549"/>
      <c r="C646" s="7976"/>
      <c r="D646" s="8009"/>
      <c r="E646" s="8019"/>
      <c r="F646" s="8020"/>
      <c r="G646" s="178"/>
      <c r="H646" s="178"/>
      <c r="I646" s="178"/>
      <c r="J646" s="7586"/>
      <c r="K646" s="7882"/>
      <c r="L646" s="2270" t="s">
        <v>2900</v>
      </c>
      <c r="M646" s="386"/>
      <c r="N646" s="386"/>
      <c r="O646" s="386"/>
      <c r="P646" s="386"/>
      <c r="Q646" s="386"/>
    </row>
    <row r="647" spans="1:17" ht="30" customHeight="1" x14ac:dyDescent="0.2">
      <c r="A647" s="7654"/>
      <c r="B647" s="7973" t="s">
        <v>2899</v>
      </c>
      <c r="C647" s="7975" t="s">
        <v>402</v>
      </c>
      <c r="D647" s="2283">
        <v>190000000</v>
      </c>
      <c r="E647" s="1216">
        <v>4.4999999999999998E-2</v>
      </c>
      <c r="F647" s="2283">
        <v>8600000</v>
      </c>
      <c r="G647" s="178"/>
      <c r="H647" s="178"/>
      <c r="I647" s="178"/>
      <c r="J647" s="7586"/>
      <c r="K647" s="7882"/>
      <c r="L647" s="2270"/>
      <c r="M647" s="386"/>
      <c r="N647" s="386"/>
      <c r="O647" s="386"/>
      <c r="P647" s="386"/>
      <c r="Q647" s="386"/>
    </row>
    <row r="648" spans="1:17" ht="30" customHeight="1" x14ac:dyDescent="0.2">
      <c r="A648" s="7655"/>
      <c r="B648" s="7974"/>
      <c r="C648" s="7976"/>
      <c r="D648" s="2283">
        <v>90000000</v>
      </c>
      <c r="E648" s="1216">
        <v>0.06</v>
      </c>
      <c r="F648" s="2283">
        <f>D648*E648</f>
        <v>5400000</v>
      </c>
      <c r="G648" s="7"/>
      <c r="H648" s="7"/>
      <c r="I648" s="7"/>
      <c r="J648" s="7564"/>
      <c r="K648" s="7817"/>
      <c r="L648" s="2270"/>
      <c r="M648" s="386"/>
      <c r="N648" s="386"/>
      <c r="O648" s="386"/>
      <c r="P648" s="386"/>
      <c r="Q648" s="386"/>
    </row>
    <row r="649" spans="1:17" ht="30" customHeight="1" x14ac:dyDescent="0.2">
      <c r="A649" s="2267"/>
      <c r="B649" s="2274" t="s">
        <v>2206</v>
      </c>
      <c r="C649" s="2275" t="s">
        <v>1306</v>
      </c>
      <c r="D649" s="2283">
        <v>150000000</v>
      </c>
      <c r="E649" s="1216">
        <v>0.05</v>
      </c>
      <c r="F649" s="2283">
        <f>D649*E649</f>
        <v>7500000</v>
      </c>
      <c r="G649" s="2211">
        <v>7500000</v>
      </c>
      <c r="H649" s="2211" t="s">
        <v>4128</v>
      </c>
      <c r="I649" s="2230" t="s">
        <v>4539</v>
      </c>
      <c r="J649" s="2211">
        <f>G649</f>
        <v>7500000</v>
      </c>
      <c r="K649" s="2253">
        <f>F649-J649</f>
        <v>0</v>
      </c>
      <c r="L649" s="2250"/>
      <c r="M649" s="386"/>
      <c r="N649" s="386"/>
      <c r="O649" s="386"/>
      <c r="P649" s="386"/>
      <c r="Q649" s="386"/>
    </row>
    <row r="650" spans="1:17" ht="30" customHeight="1" x14ac:dyDescent="0.2">
      <c r="A650" s="2267"/>
      <c r="B650" s="2265"/>
      <c r="C650" s="2236"/>
      <c r="D650" s="2211"/>
      <c r="E650" s="2263"/>
      <c r="F650" s="2211"/>
      <c r="G650" s="2211"/>
      <c r="H650" s="2211"/>
      <c r="I650" s="2230"/>
      <c r="J650" s="2211"/>
      <c r="K650" s="2253"/>
      <c r="L650" s="2269"/>
      <c r="M650" s="386"/>
      <c r="N650" s="386"/>
      <c r="O650" s="386"/>
      <c r="P650" s="386"/>
      <c r="Q650" s="386"/>
    </row>
    <row r="651" spans="1:17" ht="30" customHeight="1" x14ac:dyDescent="0.2">
      <c r="A651" s="2267"/>
      <c r="B651" s="19" t="s">
        <v>180</v>
      </c>
      <c r="C651" s="2236" t="s">
        <v>2849</v>
      </c>
      <c r="D651" s="2211">
        <v>100000000</v>
      </c>
      <c r="E651" s="2263"/>
      <c r="F651" s="2211"/>
      <c r="G651" s="2199"/>
      <c r="H651" s="2199"/>
      <c r="I651" s="2199" t="s">
        <v>2870</v>
      </c>
      <c r="J651" s="2199">
        <f>G651</f>
        <v>0</v>
      </c>
      <c r="K651" s="2253">
        <f>F651-J651</f>
        <v>0</v>
      </c>
      <c r="L651" s="2269"/>
      <c r="M651" s="386"/>
      <c r="N651" s="386"/>
      <c r="O651" s="386"/>
      <c r="P651" s="386"/>
      <c r="Q651" s="386"/>
    </row>
    <row r="652" spans="1:17" ht="30" customHeight="1" x14ac:dyDescent="0.2">
      <c r="A652" s="2267"/>
      <c r="B652" s="2265" t="s">
        <v>2873</v>
      </c>
      <c r="C652" s="2236" t="s">
        <v>1172</v>
      </c>
      <c r="D652" s="2211">
        <v>40000000</v>
      </c>
      <c r="E652" s="2263">
        <v>0.05</v>
      </c>
      <c r="F652" s="2211">
        <f>D652*E652</f>
        <v>2000000</v>
      </c>
      <c r="G652" s="2211">
        <v>2000000</v>
      </c>
      <c r="H652" s="2211" t="s">
        <v>4074</v>
      </c>
      <c r="I652" s="2230" t="s">
        <v>4078</v>
      </c>
      <c r="J652" s="2211">
        <f>G652</f>
        <v>2000000</v>
      </c>
      <c r="K652" s="2253">
        <f>F652-J652</f>
        <v>0</v>
      </c>
      <c r="L652" s="2269"/>
      <c r="M652" s="386"/>
      <c r="N652" s="386"/>
      <c r="O652" s="386"/>
      <c r="P652" s="386"/>
      <c r="Q652" s="386"/>
    </row>
    <row r="653" spans="1:17" ht="30" customHeight="1" x14ac:dyDescent="0.2">
      <c r="A653" s="2267"/>
      <c r="B653" s="2265" t="s">
        <v>2878</v>
      </c>
      <c r="C653" s="2236" t="s">
        <v>1718</v>
      </c>
      <c r="D653" s="2211">
        <v>25000000</v>
      </c>
      <c r="E653" s="2263">
        <v>0.04</v>
      </c>
      <c r="F653" s="2211">
        <f>D653*E653</f>
        <v>1000000</v>
      </c>
      <c r="G653" s="2211">
        <v>1000000</v>
      </c>
      <c r="H653" s="2211" t="s">
        <v>4060</v>
      </c>
      <c r="I653" s="2230" t="s">
        <v>4062</v>
      </c>
      <c r="J653" s="2211">
        <f>G653</f>
        <v>1000000</v>
      </c>
      <c r="K653" s="2253">
        <f>F653-J653</f>
        <v>0</v>
      </c>
      <c r="L653" s="2269"/>
      <c r="M653" s="386"/>
      <c r="N653" s="386"/>
      <c r="O653" s="386"/>
      <c r="P653" s="386"/>
      <c r="Q653" s="386"/>
    </row>
    <row r="654" spans="1:17" ht="30" customHeight="1" x14ac:dyDescent="0.2">
      <c r="A654" s="2267"/>
      <c r="B654" s="2265" t="s">
        <v>2932</v>
      </c>
      <c r="C654" s="2236"/>
      <c r="D654" s="2211">
        <v>50000000</v>
      </c>
      <c r="E654" s="2263">
        <v>0.05</v>
      </c>
      <c r="F654" s="2211">
        <f>D654*E654</f>
        <v>2500000</v>
      </c>
      <c r="G654" s="2211">
        <v>2500000</v>
      </c>
      <c r="H654" s="2211" t="s">
        <v>4043</v>
      </c>
      <c r="I654" s="2230" t="s">
        <v>4092</v>
      </c>
      <c r="J654" s="2211">
        <f t="shared" ref="J654:J666" si="73">G654</f>
        <v>2500000</v>
      </c>
      <c r="K654" s="2253">
        <f>F654-J654</f>
        <v>0</v>
      </c>
      <c r="L654" s="2269"/>
      <c r="M654" s="386"/>
      <c r="N654" s="386"/>
      <c r="O654" s="386"/>
      <c r="P654" s="386"/>
      <c r="Q654" s="386"/>
    </row>
    <row r="655" spans="1:17" ht="30" customHeight="1" x14ac:dyDescent="0.2">
      <c r="A655" s="7654"/>
      <c r="B655" s="7652" t="s">
        <v>2938</v>
      </c>
      <c r="C655" s="7723"/>
      <c r="D655" s="7677"/>
      <c r="E655" s="7691"/>
      <c r="F655" s="7677"/>
      <c r="G655" s="2211"/>
      <c r="H655" s="2211"/>
      <c r="I655" s="2230" t="s">
        <v>3430</v>
      </c>
      <c r="J655" s="2211">
        <f t="shared" si="73"/>
        <v>0</v>
      </c>
      <c r="K655" s="2258">
        <f>F655-J655</f>
        <v>0</v>
      </c>
      <c r="L655" s="2269"/>
      <c r="M655" s="386"/>
      <c r="N655" s="386"/>
      <c r="O655" s="386"/>
      <c r="P655" s="386"/>
      <c r="Q655" s="386"/>
    </row>
    <row r="656" spans="1:17" ht="30" customHeight="1" x14ac:dyDescent="0.2">
      <c r="A656" s="7655"/>
      <c r="B656" s="7653"/>
      <c r="C656" s="7724"/>
      <c r="D656" s="7678"/>
      <c r="E656" s="7693"/>
      <c r="F656" s="7678"/>
      <c r="G656" s="2211"/>
      <c r="H656" s="2211"/>
      <c r="I656" s="2230" t="s">
        <v>3430</v>
      </c>
      <c r="J656" s="2211">
        <f t="shared" si="73"/>
        <v>0</v>
      </c>
      <c r="K656" s="2258">
        <f>F655-J656</f>
        <v>0</v>
      </c>
      <c r="L656" s="2269"/>
      <c r="M656" s="386"/>
      <c r="N656" s="386"/>
      <c r="O656" s="386"/>
      <c r="P656" s="386"/>
      <c r="Q656" s="386"/>
    </row>
    <row r="657" spans="1:17" ht="30" customHeight="1" x14ac:dyDescent="0.2">
      <c r="A657" s="2267"/>
      <c r="B657" s="2265" t="s">
        <v>2943</v>
      </c>
      <c r="C657" s="2236"/>
      <c r="D657" s="2224"/>
      <c r="E657" s="2295"/>
      <c r="F657" s="2224"/>
      <c r="G657" s="2211"/>
      <c r="H657" s="2211"/>
      <c r="I657" s="2230"/>
      <c r="J657" s="2211">
        <f t="shared" si="73"/>
        <v>0</v>
      </c>
      <c r="K657" s="2258">
        <f>F657-J657</f>
        <v>0</v>
      </c>
      <c r="L657" s="2269"/>
      <c r="M657" s="386"/>
      <c r="N657" s="386"/>
      <c r="O657" s="386"/>
      <c r="P657" s="386"/>
      <c r="Q657" s="386"/>
    </row>
    <row r="658" spans="1:17" ht="30" customHeight="1" x14ac:dyDescent="0.2">
      <c r="A658" s="7654"/>
      <c r="B658" s="7652" t="s">
        <v>3446</v>
      </c>
      <c r="C658" s="7723" t="s">
        <v>1172</v>
      </c>
      <c r="D658" s="7563">
        <v>180000000</v>
      </c>
      <c r="E658" s="7659">
        <v>5.5E-2</v>
      </c>
      <c r="F658" s="7563">
        <v>10000000</v>
      </c>
      <c r="G658" s="2211">
        <v>10000000</v>
      </c>
      <c r="H658" s="2211" t="s">
        <v>1846</v>
      </c>
      <c r="I658" s="2230" t="s">
        <v>3922</v>
      </c>
      <c r="J658" s="2211">
        <f t="shared" si="73"/>
        <v>10000000</v>
      </c>
      <c r="K658" s="2253">
        <f>F658-J658</f>
        <v>0</v>
      </c>
      <c r="L658" s="2269"/>
      <c r="M658" s="386"/>
      <c r="N658" s="386"/>
      <c r="O658" s="386"/>
      <c r="P658" s="386"/>
      <c r="Q658" s="386"/>
    </row>
    <row r="659" spans="1:17" ht="30" customHeight="1" x14ac:dyDescent="0.2">
      <c r="A659" s="7656"/>
      <c r="B659" s="7665"/>
      <c r="C659" s="7747"/>
      <c r="D659" s="7586"/>
      <c r="E659" s="7676"/>
      <c r="F659" s="7586"/>
      <c r="G659" s="2211">
        <v>2500000</v>
      </c>
      <c r="H659" s="2211" t="s">
        <v>3929</v>
      </c>
      <c r="I659" s="2230" t="s">
        <v>3930</v>
      </c>
      <c r="J659" s="2211">
        <f>G659</f>
        <v>2500000</v>
      </c>
      <c r="K659" s="2253"/>
      <c r="L659" s="2269" t="s">
        <v>4184</v>
      </c>
      <c r="M659" s="386"/>
      <c r="N659" s="386"/>
      <c r="O659" s="386"/>
      <c r="P659" s="386"/>
      <c r="Q659" s="386"/>
    </row>
    <row r="660" spans="1:17" ht="30" customHeight="1" x14ac:dyDescent="0.2">
      <c r="A660" s="7656"/>
      <c r="B660" s="7665"/>
      <c r="C660" s="7747"/>
      <c r="D660" s="7564"/>
      <c r="E660" s="7660"/>
      <c r="F660" s="7564"/>
      <c r="G660" s="2211">
        <v>5437000</v>
      </c>
      <c r="H660" s="2211" t="s">
        <v>3078</v>
      </c>
      <c r="I660" s="2230" t="s">
        <v>3447</v>
      </c>
      <c r="J660" s="2211">
        <f>G660</f>
        <v>5437000</v>
      </c>
      <c r="K660" s="2253"/>
      <c r="L660" s="2269" t="s">
        <v>4185</v>
      </c>
      <c r="M660" s="386"/>
      <c r="N660" s="386"/>
      <c r="O660" s="386"/>
      <c r="P660" s="386"/>
      <c r="Q660" s="386"/>
    </row>
    <row r="661" spans="1:17" ht="30" customHeight="1" x14ac:dyDescent="0.2">
      <c r="A661" s="7656"/>
      <c r="B661" s="7665"/>
      <c r="C661" s="7747"/>
      <c r="D661" s="7494" t="s">
        <v>4349</v>
      </c>
      <c r="E661" s="7495"/>
      <c r="F661" s="7768"/>
      <c r="G661" s="2211">
        <v>10000000</v>
      </c>
      <c r="H661" s="2211" t="s">
        <v>4144</v>
      </c>
      <c r="I661" s="2230" t="s">
        <v>4183</v>
      </c>
      <c r="J661" s="7563">
        <f>G661+G662+G663+G664+G665</f>
        <v>80000000</v>
      </c>
      <c r="K661" s="7816">
        <f>D658-J661</f>
        <v>100000000</v>
      </c>
      <c r="L661" s="7811" t="s">
        <v>4189</v>
      </c>
      <c r="M661" s="386"/>
      <c r="N661" s="386"/>
      <c r="O661" s="386"/>
      <c r="P661" s="386"/>
      <c r="Q661" s="386"/>
    </row>
    <row r="662" spans="1:17" ht="30" customHeight="1" x14ac:dyDescent="0.2">
      <c r="A662" s="7656"/>
      <c r="B662" s="7665"/>
      <c r="C662" s="7747"/>
      <c r="D662" s="7877"/>
      <c r="E662" s="7524"/>
      <c r="F662" s="7878"/>
      <c r="G662" s="2211">
        <v>10000000</v>
      </c>
      <c r="H662" s="2211" t="s">
        <v>4159</v>
      </c>
      <c r="I662" s="2230" t="s">
        <v>4183</v>
      </c>
      <c r="J662" s="7586"/>
      <c r="K662" s="7882"/>
      <c r="L662" s="7897"/>
      <c r="M662" s="386"/>
      <c r="N662" s="386"/>
      <c r="O662" s="386"/>
      <c r="P662" s="386"/>
      <c r="Q662" s="386"/>
    </row>
    <row r="663" spans="1:17" ht="30" customHeight="1" x14ac:dyDescent="0.2">
      <c r="A663" s="7656"/>
      <c r="B663" s="7665"/>
      <c r="C663" s="7747"/>
      <c r="D663" s="7877"/>
      <c r="E663" s="7524"/>
      <c r="F663" s="7878"/>
      <c r="G663" s="2211">
        <v>40000000</v>
      </c>
      <c r="H663" s="2211" t="s">
        <v>4164</v>
      </c>
      <c r="I663" s="2230" t="s">
        <v>4183</v>
      </c>
      <c r="J663" s="7586"/>
      <c r="K663" s="7882"/>
      <c r="L663" s="7897"/>
      <c r="M663" s="386"/>
      <c r="N663" s="386"/>
      <c r="O663" s="386"/>
      <c r="P663" s="386"/>
      <c r="Q663" s="386"/>
    </row>
    <row r="664" spans="1:17" ht="30" customHeight="1" x14ac:dyDescent="0.2">
      <c r="A664" s="7656"/>
      <c r="B664" s="7665"/>
      <c r="C664" s="7747"/>
      <c r="D664" s="7877"/>
      <c r="E664" s="7524"/>
      <c r="F664" s="7878"/>
      <c r="G664" s="2211">
        <v>20000000</v>
      </c>
      <c r="H664" s="2211" t="s">
        <v>4188</v>
      </c>
      <c r="I664" s="2230" t="s">
        <v>3922</v>
      </c>
      <c r="J664" s="7586"/>
      <c r="K664" s="7882"/>
      <c r="L664" s="7897"/>
      <c r="M664" s="386"/>
      <c r="N664" s="386"/>
      <c r="O664" s="386"/>
      <c r="P664" s="386"/>
      <c r="Q664" s="386"/>
    </row>
    <row r="665" spans="1:17" ht="30" customHeight="1" x14ac:dyDescent="0.2">
      <c r="A665" s="7655"/>
      <c r="B665" s="7653"/>
      <c r="C665" s="7724"/>
      <c r="D665" s="7769"/>
      <c r="E665" s="7805"/>
      <c r="F665" s="7770"/>
      <c r="G665" s="2211"/>
      <c r="H665" s="2211"/>
      <c r="I665" s="2230"/>
      <c r="J665" s="7564"/>
      <c r="K665" s="7817"/>
      <c r="L665" s="7812"/>
      <c r="M665" s="386"/>
      <c r="N665" s="386"/>
      <c r="O665" s="386"/>
      <c r="P665" s="386"/>
      <c r="Q665" s="386"/>
    </row>
    <row r="666" spans="1:17" ht="30" customHeight="1" x14ac:dyDescent="0.2">
      <c r="A666" s="2267"/>
      <c r="B666" s="2265" t="s">
        <v>3037</v>
      </c>
      <c r="C666" s="2236"/>
      <c r="D666" s="2211">
        <v>30000000</v>
      </c>
      <c r="E666" s="2263">
        <v>0.05</v>
      </c>
      <c r="F666" s="2211">
        <f>D666*E666</f>
        <v>1500000</v>
      </c>
      <c r="G666" s="2199">
        <v>1500000</v>
      </c>
      <c r="H666" s="2199" t="s">
        <v>4134</v>
      </c>
      <c r="I666" s="2199" t="s">
        <v>3719</v>
      </c>
      <c r="J666" s="2199">
        <f t="shared" si="73"/>
        <v>1500000</v>
      </c>
      <c r="K666" s="2253">
        <f>F666-J666</f>
        <v>0</v>
      </c>
      <c r="L666" s="2269" t="s">
        <v>3393</v>
      </c>
      <c r="M666" s="386"/>
      <c r="N666" s="386"/>
      <c r="O666" s="386"/>
      <c r="P666" s="386"/>
      <c r="Q666" s="386"/>
    </row>
    <row r="667" spans="1:17" ht="30" customHeight="1" x14ac:dyDescent="0.2">
      <c r="A667" s="2267"/>
      <c r="B667" s="2265" t="s">
        <v>3040</v>
      </c>
      <c r="C667" s="2236"/>
      <c r="D667" s="2211">
        <f>1000000000+19000000</f>
        <v>1019000000</v>
      </c>
      <c r="E667" s="2263">
        <v>7.0000000000000007E-2</v>
      </c>
      <c r="F667" s="2211">
        <f>D667*E667</f>
        <v>71330000</v>
      </c>
      <c r="G667" s="2211">
        <f>F667*2</f>
        <v>142660000</v>
      </c>
      <c r="H667" s="2211" t="s">
        <v>4060</v>
      </c>
      <c r="I667" s="2230" t="s">
        <v>4088</v>
      </c>
      <c r="J667" s="2211">
        <f>G667</f>
        <v>142660000</v>
      </c>
      <c r="K667" s="2253">
        <v>0</v>
      </c>
      <c r="L667" s="2269" t="s">
        <v>4089</v>
      </c>
      <c r="M667" s="386"/>
      <c r="N667" s="386"/>
      <c r="O667" s="386"/>
      <c r="P667" s="386"/>
      <c r="Q667" s="386"/>
    </row>
    <row r="668" spans="1:17" ht="30" customHeight="1" x14ac:dyDescent="0.2">
      <c r="A668" s="2267"/>
      <c r="B668" s="2265" t="s">
        <v>3071</v>
      </c>
      <c r="C668" s="2236" t="s">
        <v>889</v>
      </c>
      <c r="D668" s="2211">
        <v>100000000</v>
      </c>
      <c r="E668" s="2263">
        <v>0.05</v>
      </c>
      <c r="F668" s="2211">
        <f>D668*E668</f>
        <v>5000000</v>
      </c>
      <c r="G668" s="2211">
        <v>5000000</v>
      </c>
      <c r="H668" s="2211" t="s">
        <v>3965</v>
      </c>
      <c r="I668" s="2230" t="s">
        <v>3966</v>
      </c>
      <c r="J668" s="2211">
        <f>G668</f>
        <v>5000000</v>
      </c>
      <c r="K668" s="2253">
        <f>F668-J668</f>
        <v>0</v>
      </c>
      <c r="L668" s="7806" t="s">
        <v>3072</v>
      </c>
      <c r="M668" s="7807"/>
      <c r="N668" s="7807"/>
      <c r="O668" s="7807"/>
      <c r="P668" s="7808"/>
      <c r="Q668" s="386"/>
    </row>
    <row r="669" spans="1:17" ht="30" customHeight="1" x14ac:dyDescent="0.2">
      <c r="A669" s="7654"/>
      <c r="B669" s="7652" t="s">
        <v>3764</v>
      </c>
      <c r="C669" s="7723"/>
      <c r="D669" s="7563">
        <v>30000000</v>
      </c>
      <c r="E669" s="7659">
        <v>7.0000000000000007E-2</v>
      </c>
      <c r="F669" s="7563">
        <f>D669*E669</f>
        <v>2100000</v>
      </c>
      <c r="G669" s="7563">
        <v>2100000</v>
      </c>
      <c r="H669" s="7563" t="s">
        <v>4134</v>
      </c>
      <c r="I669" s="7563" t="s">
        <v>4141</v>
      </c>
      <c r="J669" s="7563">
        <f>G669</f>
        <v>2100000</v>
      </c>
      <c r="K669" s="7816">
        <f>F669-J669</f>
        <v>0</v>
      </c>
      <c r="L669" s="7811" t="s">
        <v>3121</v>
      </c>
      <c r="M669" s="386"/>
      <c r="N669" s="386"/>
      <c r="O669" s="386"/>
      <c r="P669" s="386"/>
      <c r="Q669" s="386"/>
    </row>
    <row r="670" spans="1:17" ht="30" customHeight="1" x14ac:dyDescent="0.2">
      <c r="A670" s="7655"/>
      <c r="B670" s="7653"/>
      <c r="C670" s="7724"/>
      <c r="D670" s="7564"/>
      <c r="E670" s="7660"/>
      <c r="F670" s="7564"/>
      <c r="G670" s="7564"/>
      <c r="H670" s="7564"/>
      <c r="I670" s="7564"/>
      <c r="J670" s="7564"/>
      <c r="K670" s="7817"/>
      <c r="L670" s="7812"/>
      <c r="M670" s="386"/>
      <c r="N670" s="386"/>
      <c r="O670" s="386"/>
      <c r="P670" s="386"/>
      <c r="Q670" s="386"/>
    </row>
    <row r="671" spans="1:17" ht="30" customHeight="1" x14ac:dyDescent="0.2">
      <c r="A671" s="2202"/>
      <c r="B671" s="1339" t="s">
        <v>3954</v>
      </c>
      <c r="C671" s="2236"/>
      <c r="D671" s="2211">
        <v>200000000</v>
      </c>
      <c r="E671" s="2208">
        <v>0.05</v>
      </c>
      <c r="F671" s="2211">
        <f>D671*E671</f>
        <v>10000000</v>
      </c>
      <c r="G671" s="2199">
        <v>10000000</v>
      </c>
      <c r="H671" s="2199" t="s">
        <v>4144</v>
      </c>
      <c r="I671" s="2199" t="s">
        <v>4147</v>
      </c>
      <c r="J671" s="2199">
        <f>G671</f>
        <v>10000000</v>
      </c>
      <c r="K671" s="2253"/>
      <c r="L671" s="2250" t="s">
        <v>3160</v>
      </c>
      <c r="M671" s="386"/>
      <c r="N671" s="386"/>
      <c r="O671" s="386"/>
      <c r="P671" s="386"/>
      <c r="Q671" s="386"/>
    </row>
    <row r="672" spans="1:17" ht="30" customHeight="1" x14ac:dyDescent="0.2">
      <c r="A672" s="2202"/>
      <c r="B672" s="1339" t="s">
        <v>3159</v>
      </c>
      <c r="C672" s="2236"/>
      <c r="D672" s="2211">
        <v>50000000</v>
      </c>
      <c r="E672" s="2208">
        <v>0.05</v>
      </c>
      <c r="F672" s="2211">
        <f>D672*E672</f>
        <v>2500000</v>
      </c>
      <c r="G672" s="2199"/>
      <c r="H672" s="2199"/>
      <c r="I672" s="2199"/>
      <c r="J672" s="2199"/>
      <c r="K672" s="2253"/>
      <c r="L672" s="2250" t="s">
        <v>3161</v>
      </c>
      <c r="M672" s="386"/>
      <c r="N672" s="386"/>
      <c r="O672" s="386"/>
      <c r="P672" s="386"/>
      <c r="Q672" s="386"/>
    </row>
    <row r="673" spans="1:17" ht="30" customHeight="1" x14ac:dyDescent="0.2">
      <c r="A673" s="2267"/>
      <c r="B673" s="2222"/>
      <c r="C673" s="1339"/>
      <c r="D673" s="2211"/>
      <c r="E673" s="2211"/>
      <c r="F673" s="2208"/>
      <c r="G673" s="2199"/>
      <c r="H673" s="2199"/>
      <c r="I673" s="2199"/>
      <c r="J673" s="2199"/>
      <c r="K673" s="2253"/>
      <c r="L673" s="2269"/>
      <c r="M673" s="386"/>
      <c r="N673" s="386"/>
      <c r="O673" s="386"/>
      <c r="P673" s="386"/>
      <c r="Q673" s="386"/>
    </row>
    <row r="674" spans="1:17" ht="30" customHeight="1" x14ac:dyDescent="0.2">
      <c r="A674" s="7654"/>
      <c r="B674" s="7661" t="s">
        <v>825</v>
      </c>
      <c r="C674" s="1339"/>
      <c r="D674" s="2236"/>
      <c r="E674" s="2211"/>
      <c r="F674" s="2208"/>
      <c r="G674" s="2199"/>
      <c r="H674" s="7563"/>
      <c r="I674" s="7563" t="s">
        <v>855</v>
      </c>
      <c r="J674" s="7563">
        <f>G674+G675</f>
        <v>0</v>
      </c>
      <c r="K674" s="7816"/>
      <c r="L674" s="2269" t="s">
        <v>3867</v>
      </c>
      <c r="M674" s="386"/>
      <c r="N674" s="386"/>
      <c r="O674" s="386"/>
      <c r="P674" s="386"/>
      <c r="Q674" s="386"/>
    </row>
    <row r="675" spans="1:17" ht="30" customHeight="1" x14ac:dyDescent="0.2">
      <c r="A675" s="7655"/>
      <c r="B675" s="7663"/>
      <c r="C675" s="1339"/>
      <c r="D675" s="2236"/>
      <c r="E675" s="2211"/>
      <c r="F675" s="2208"/>
      <c r="G675" s="2199"/>
      <c r="H675" s="7564"/>
      <c r="I675" s="7564"/>
      <c r="J675" s="7564"/>
      <c r="K675" s="7817"/>
      <c r="L675" s="2269" t="s">
        <v>3502</v>
      </c>
      <c r="M675" s="386"/>
      <c r="N675" s="386"/>
      <c r="O675" s="386"/>
      <c r="P675" s="386"/>
      <c r="Q675" s="386"/>
    </row>
    <row r="676" spans="1:17" ht="30" customHeight="1" x14ac:dyDescent="0.2">
      <c r="A676" s="146"/>
      <c r="B676" s="2222" t="s">
        <v>3215</v>
      </c>
      <c r="C676" s="2236" t="s">
        <v>3216</v>
      </c>
      <c r="D676" s="2211">
        <v>120000000</v>
      </c>
      <c r="E676" s="2263">
        <v>0.04</v>
      </c>
      <c r="F676" s="2211">
        <f>D676*E676</f>
        <v>4800000</v>
      </c>
      <c r="G676" s="2199">
        <v>4800000</v>
      </c>
      <c r="H676" s="2199" t="s">
        <v>4107</v>
      </c>
      <c r="I676" s="2199" t="s">
        <v>1946</v>
      </c>
      <c r="J676" s="2199">
        <f>G676</f>
        <v>4800000</v>
      </c>
      <c r="K676" s="2253">
        <f>F676-J676</f>
        <v>0</v>
      </c>
      <c r="L676" s="2269" t="s">
        <v>3217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2" t="s">
        <v>3218</v>
      </c>
      <c r="C677" s="2236" t="s">
        <v>3219</v>
      </c>
      <c r="D677" s="2211">
        <v>100000000</v>
      </c>
      <c r="E677" s="2263">
        <v>0.05</v>
      </c>
      <c r="F677" s="2211">
        <f>D677*E677</f>
        <v>5000000</v>
      </c>
      <c r="G677" s="2199"/>
      <c r="H677" s="2199"/>
      <c r="I677" s="2199"/>
      <c r="J677" s="2199"/>
      <c r="K677" s="2253"/>
      <c r="L677" s="2269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2" t="s">
        <v>3221</v>
      </c>
      <c r="C678" s="2236" t="s">
        <v>1796</v>
      </c>
      <c r="D678" s="2211">
        <v>50000000</v>
      </c>
      <c r="E678" s="2263">
        <v>0.05</v>
      </c>
      <c r="F678" s="2211">
        <f>D678*E678</f>
        <v>2500000</v>
      </c>
      <c r="G678" s="2199">
        <v>2500000</v>
      </c>
      <c r="H678" s="2199" t="s">
        <v>4188</v>
      </c>
      <c r="I678" s="2199" t="s">
        <v>4262</v>
      </c>
      <c r="J678" s="2199">
        <f>G678</f>
        <v>2500000</v>
      </c>
      <c r="K678" s="2253">
        <f>F678-J678</f>
        <v>0</v>
      </c>
      <c r="L678" s="2269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2" t="s">
        <v>3224</v>
      </c>
      <c r="C679" s="2236"/>
      <c r="D679" s="2251"/>
      <c r="E679" s="2295"/>
      <c r="F679" s="2224"/>
      <c r="G679" s="2199"/>
      <c r="H679" s="2199"/>
      <c r="I679" s="2199"/>
      <c r="J679" s="2199">
        <f>G679</f>
        <v>0</v>
      </c>
      <c r="K679" s="2258">
        <f>F679-J679</f>
        <v>0</v>
      </c>
      <c r="L679" s="2269" t="s">
        <v>3230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2" t="s">
        <v>3257</v>
      </c>
      <c r="C680" s="2236" t="s">
        <v>402</v>
      </c>
      <c r="D680" s="2211">
        <v>40000000</v>
      </c>
      <c r="E680" s="2263">
        <v>0.05</v>
      </c>
      <c r="F680" s="2211">
        <f>D680*E680</f>
        <v>2000000</v>
      </c>
      <c r="G680" s="2199"/>
      <c r="H680" s="2199"/>
      <c r="I680" s="1930"/>
      <c r="J680" s="1930"/>
      <c r="K680" s="1930"/>
      <c r="L680" s="2269"/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2" t="s">
        <v>3293</v>
      </c>
      <c r="C681" s="2222"/>
      <c r="D681" s="2211">
        <v>15000000</v>
      </c>
      <c r="E681" s="2263">
        <v>0.05</v>
      </c>
      <c r="F681" s="2211">
        <f>D681*E681</f>
        <v>750000</v>
      </c>
      <c r="G681" s="2199">
        <v>750000</v>
      </c>
      <c r="H681" s="2199" t="s">
        <v>4188</v>
      </c>
      <c r="I681" s="2199" t="s">
        <v>3949</v>
      </c>
      <c r="J681" s="2199">
        <f>G681</f>
        <v>750000</v>
      </c>
      <c r="K681" s="2253">
        <f>F681-J681</f>
        <v>0</v>
      </c>
      <c r="L681" s="2269" t="s">
        <v>3868</v>
      </c>
      <c r="M681" s="386"/>
      <c r="N681" s="386"/>
      <c r="O681" s="386"/>
      <c r="P681" s="386"/>
      <c r="Q681" s="386"/>
    </row>
    <row r="682" spans="1:17" ht="30" customHeight="1" x14ac:dyDescent="0.2">
      <c r="A682" s="2267"/>
      <c r="B682" s="3" t="s">
        <v>3296</v>
      </c>
      <c r="C682" s="2236" t="s">
        <v>942</v>
      </c>
      <c r="D682" s="2211">
        <v>150000000</v>
      </c>
      <c r="E682" s="2263">
        <v>0.05</v>
      </c>
      <c r="F682" s="2211">
        <f>D682*E682</f>
        <v>7500000</v>
      </c>
      <c r="G682" s="2199"/>
      <c r="H682" s="2199"/>
      <c r="I682" s="2199" t="s">
        <v>3887</v>
      </c>
      <c r="J682" s="2199">
        <f>G682</f>
        <v>0</v>
      </c>
      <c r="K682" s="2253"/>
      <c r="L682" s="2269"/>
      <c r="M682" s="386"/>
      <c r="N682" s="386"/>
      <c r="O682" s="386"/>
      <c r="P682" s="386"/>
      <c r="Q682" s="386"/>
    </row>
    <row r="683" spans="1:17" ht="30" customHeight="1" x14ac:dyDescent="0.2">
      <c r="A683" s="2267"/>
      <c r="B683" s="3" t="s">
        <v>3308</v>
      </c>
      <c r="C683" s="2236" t="s">
        <v>3323</v>
      </c>
      <c r="D683" s="2211">
        <v>20000000</v>
      </c>
      <c r="E683" s="2263">
        <v>0.05</v>
      </c>
      <c r="F683" s="2211">
        <f>D683*E683</f>
        <v>1000000</v>
      </c>
      <c r="G683" s="2199"/>
      <c r="H683" s="2199"/>
      <c r="I683" s="2199" t="s">
        <v>3901</v>
      </c>
      <c r="J683" s="2199">
        <f>G683</f>
        <v>0</v>
      </c>
      <c r="K683" s="2253">
        <f>F683-J683</f>
        <v>1000000</v>
      </c>
      <c r="L683" s="2269" t="s">
        <v>3309</v>
      </c>
      <c r="M683" s="386"/>
      <c r="N683" s="386"/>
      <c r="O683" s="386"/>
      <c r="P683" s="386"/>
      <c r="Q683" s="386"/>
    </row>
    <row r="684" spans="1:17" ht="30" customHeight="1" x14ac:dyDescent="0.2">
      <c r="A684" s="2267"/>
      <c r="B684" s="3" t="s">
        <v>3324</v>
      </c>
      <c r="C684" s="2236" t="s">
        <v>889</v>
      </c>
      <c r="D684" s="2211">
        <v>200000000</v>
      </c>
      <c r="E684" s="2263">
        <v>0.05</v>
      </c>
      <c r="F684" s="2211">
        <f>D684*E684</f>
        <v>10000000</v>
      </c>
      <c r="G684" s="2199"/>
      <c r="H684" s="2199"/>
      <c r="I684" s="2199"/>
      <c r="J684" s="2199"/>
      <c r="K684" s="2258"/>
      <c r="L684" s="2269" t="s">
        <v>3325</v>
      </c>
      <c r="M684" s="386"/>
      <c r="N684" s="386"/>
      <c r="O684" s="386"/>
      <c r="P684" s="386"/>
      <c r="Q684" s="386"/>
    </row>
    <row r="685" spans="1:17" ht="30" customHeight="1" x14ac:dyDescent="0.2">
      <c r="A685" s="2267"/>
      <c r="B685" s="3" t="s">
        <v>3332</v>
      </c>
      <c r="C685" s="2222"/>
      <c r="D685" s="2251"/>
      <c r="E685" s="2295"/>
      <c r="F685" s="2224"/>
      <c r="G685" s="2199"/>
      <c r="H685" s="2199"/>
      <c r="I685" s="2199"/>
      <c r="J685" s="2199">
        <f t="shared" ref="J685:J692" si="74">G685</f>
        <v>0</v>
      </c>
      <c r="K685" s="2258"/>
      <c r="L685" s="2269"/>
      <c r="M685" s="386"/>
      <c r="N685" s="386"/>
      <c r="O685" s="386"/>
      <c r="P685" s="386"/>
      <c r="Q685" s="386"/>
    </row>
    <row r="686" spans="1:17" ht="30" customHeight="1" x14ac:dyDescent="0.2">
      <c r="A686" s="7654"/>
      <c r="B686" s="7661" t="s">
        <v>3395</v>
      </c>
      <c r="C686" s="2236" t="s">
        <v>889</v>
      </c>
      <c r="D686" s="2211">
        <v>1000000000</v>
      </c>
      <c r="E686" s="2263">
        <v>0.06</v>
      </c>
      <c r="F686" s="2211">
        <f>D686*E686</f>
        <v>60000000</v>
      </c>
      <c r="G686" s="2211">
        <v>61666000</v>
      </c>
      <c r="H686" s="2211" t="s">
        <v>3939</v>
      </c>
      <c r="I686" s="2230" t="s">
        <v>3940</v>
      </c>
      <c r="J686" s="2211">
        <f t="shared" si="74"/>
        <v>61666000</v>
      </c>
      <c r="K686" s="2253">
        <v>0</v>
      </c>
      <c r="L686" s="2269" t="s">
        <v>3722</v>
      </c>
      <c r="M686" s="386"/>
      <c r="N686" s="386"/>
      <c r="O686" s="386"/>
      <c r="P686" s="386"/>
      <c r="Q686" s="386"/>
    </row>
    <row r="687" spans="1:17" ht="30" customHeight="1" x14ac:dyDescent="0.2">
      <c r="A687" s="7655"/>
      <c r="B687" s="7663"/>
      <c r="C687" s="2236" t="s">
        <v>1298</v>
      </c>
      <c r="D687" s="2211">
        <v>500000000</v>
      </c>
      <c r="E687" s="2263">
        <v>6.5000000000000002E-2</v>
      </c>
      <c r="F687" s="2211">
        <f>D687*E687</f>
        <v>32500000</v>
      </c>
      <c r="G687" s="2211">
        <v>32500000</v>
      </c>
      <c r="H687" s="2211" t="s">
        <v>4107</v>
      </c>
      <c r="I687" s="2230" t="s">
        <v>3940</v>
      </c>
      <c r="J687" s="2211">
        <f t="shared" si="74"/>
        <v>32500000</v>
      </c>
      <c r="K687" s="2253">
        <f>F687-J687</f>
        <v>0</v>
      </c>
      <c r="L687" s="2269"/>
      <c r="M687" s="386"/>
      <c r="N687" s="386"/>
      <c r="O687" s="386"/>
      <c r="P687" s="386"/>
      <c r="Q687" s="386"/>
    </row>
    <row r="688" spans="1:17" ht="30" customHeight="1" x14ac:dyDescent="0.2">
      <c r="A688" s="2267"/>
      <c r="B688" s="3" t="s">
        <v>3514</v>
      </c>
      <c r="C688" s="2236"/>
      <c r="D688" s="2224"/>
      <c r="E688" s="2295"/>
      <c r="F688" s="2224"/>
      <c r="G688" s="2211">
        <v>6000000</v>
      </c>
      <c r="H688" s="2211" t="s">
        <v>3923</v>
      </c>
      <c r="I688" s="2230" t="s">
        <v>678</v>
      </c>
      <c r="J688" s="2211">
        <f t="shared" si="74"/>
        <v>6000000</v>
      </c>
      <c r="K688" s="2258">
        <f>F688-J688</f>
        <v>-6000000</v>
      </c>
      <c r="L688" s="2269"/>
      <c r="M688" s="386"/>
      <c r="N688" s="386"/>
      <c r="O688" s="386"/>
      <c r="P688" s="386"/>
      <c r="Q688" s="386"/>
    </row>
    <row r="689" spans="1:17" ht="30" customHeight="1" x14ac:dyDescent="0.2">
      <c r="A689" s="2200"/>
      <c r="B689" s="2221" t="s">
        <v>3424</v>
      </c>
      <c r="C689" s="2237"/>
      <c r="D689" s="2233"/>
      <c r="E689" s="2225"/>
      <c r="F689" s="2233"/>
      <c r="G689" s="2210"/>
      <c r="H689" s="2210"/>
      <c r="I689" s="2266" t="s">
        <v>3425</v>
      </c>
      <c r="J689" s="2210">
        <f t="shared" si="74"/>
        <v>0</v>
      </c>
      <c r="K689" s="1113"/>
      <c r="L689" s="2249"/>
      <c r="M689" s="386"/>
      <c r="N689" s="386"/>
      <c r="O689" s="386"/>
      <c r="P689" s="386"/>
      <c r="Q689" s="386"/>
    </row>
    <row r="690" spans="1:17" s="1539" customFormat="1" ht="30" customHeight="1" x14ac:dyDescent="0.2">
      <c r="A690" s="2267"/>
      <c r="B690" s="3" t="s">
        <v>3455</v>
      </c>
      <c r="C690" s="2264" t="s">
        <v>3483</v>
      </c>
      <c r="D690" s="2199">
        <v>25000000</v>
      </c>
      <c r="E690" s="2263">
        <v>0.05</v>
      </c>
      <c r="F690" s="2199">
        <f t="shared" ref="F690:F697" si="75">D690*E690</f>
        <v>1250000</v>
      </c>
      <c r="G690" s="2199">
        <v>1250000</v>
      </c>
      <c r="H690" s="2199" t="s">
        <v>3965</v>
      </c>
      <c r="I690" s="2199" t="s">
        <v>3992</v>
      </c>
      <c r="J690" s="2199">
        <f t="shared" si="74"/>
        <v>1250000</v>
      </c>
      <c r="K690" s="2196">
        <f>F690-J690</f>
        <v>0</v>
      </c>
      <c r="L690" s="2269" t="s">
        <v>3456</v>
      </c>
      <c r="M690" s="387"/>
      <c r="N690" s="387"/>
      <c r="O690" s="387"/>
      <c r="P690" s="387"/>
      <c r="Q690" s="387"/>
    </row>
    <row r="691" spans="1:17" s="184" customFormat="1" ht="30" customHeight="1" x14ac:dyDescent="0.2">
      <c r="A691" s="2267"/>
      <c r="B691" s="3" t="s">
        <v>3459</v>
      </c>
      <c r="C691" s="2264"/>
      <c r="D691" s="2227">
        <v>600000000</v>
      </c>
      <c r="E691" s="2295">
        <v>0.06</v>
      </c>
      <c r="F691" s="2227">
        <f t="shared" si="75"/>
        <v>36000000</v>
      </c>
      <c r="G691" s="2227">
        <v>51000000</v>
      </c>
      <c r="H691" s="2227" t="s">
        <v>4016</v>
      </c>
      <c r="I691" s="2227" t="s">
        <v>1401</v>
      </c>
      <c r="J691" s="2227">
        <f t="shared" si="74"/>
        <v>51000000</v>
      </c>
      <c r="K691" s="1030">
        <f>F691-J691</f>
        <v>-15000000</v>
      </c>
      <c r="L691" s="2269"/>
      <c r="M691" s="386"/>
      <c r="N691" s="386"/>
      <c r="O691" s="386"/>
      <c r="P691" s="386"/>
      <c r="Q691" s="386"/>
    </row>
    <row r="692" spans="1:17" s="184" customFormat="1" ht="30" customHeight="1" x14ac:dyDescent="0.2">
      <c r="A692" s="7654"/>
      <c r="B692" s="7661" t="s">
        <v>3460</v>
      </c>
      <c r="C692" s="7723" t="s">
        <v>3483</v>
      </c>
      <c r="D692" s="2199">
        <v>140000000</v>
      </c>
      <c r="E692" s="2263">
        <v>0.04</v>
      </c>
      <c r="F692" s="2199">
        <f t="shared" si="75"/>
        <v>5600000</v>
      </c>
      <c r="G692" s="7563">
        <v>5067000</v>
      </c>
      <c r="H692" s="7563" t="s">
        <v>4074</v>
      </c>
      <c r="I692" s="7563" t="s">
        <v>4076</v>
      </c>
      <c r="J692" s="7563">
        <f t="shared" si="74"/>
        <v>5067000</v>
      </c>
      <c r="K692" s="7816">
        <v>0</v>
      </c>
      <c r="L692" s="2250" t="s">
        <v>4075</v>
      </c>
      <c r="M692" s="386"/>
      <c r="N692" s="386"/>
      <c r="O692" s="386"/>
      <c r="P692" s="386"/>
      <c r="Q692" s="386"/>
    </row>
    <row r="693" spans="1:17" s="184" customFormat="1" ht="30" customHeight="1" x14ac:dyDescent="0.2">
      <c r="A693" s="7655"/>
      <c r="B693" s="7663"/>
      <c r="C693" s="7724"/>
      <c r="D693" s="2199">
        <v>80000000</v>
      </c>
      <c r="E693" s="2263">
        <v>0.04</v>
      </c>
      <c r="F693" s="2199">
        <f t="shared" si="75"/>
        <v>3200000</v>
      </c>
      <c r="G693" s="7564"/>
      <c r="H693" s="7564"/>
      <c r="I693" s="7564"/>
      <c r="J693" s="7564"/>
      <c r="K693" s="7817"/>
      <c r="L693" s="2250" t="s">
        <v>3484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2267"/>
      <c r="B694" s="3" t="s">
        <v>3480</v>
      </c>
      <c r="C694" s="2264" t="s">
        <v>372</v>
      </c>
      <c r="D694" s="2199">
        <v>85000000</v>
      </c>
      <c r="E694" s="2263">
        <v>7.0000000000000007E-2</v>
      </c>
      <c r="F694" s="2199">
        <f t="shared" si="75"/>
        <v>5950000.0000000009</v>
      </c>
      <c r="G694" s="2199"/>
      <c r="H694" s="2199"/>
      <c r="I694" s="2199" t="s">
        <v>3481</v>
      </c>
      <c r="J694" s="2199">
        <f>G694</f>
        <v>0</v>
      </c>
      <c r="K694" s="2196">
        <f>F694-J694</f>
        <v>5950000.0000000009</v>
      </c>
      <c r="L694" s="2269"/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7"/>
      <c r="B695" s="3" t="s">
        <v>3482</v>
      </c>
      <c r="C695" s="2264" t="s">
        <v>3483</v>
      </c>
      <c r="D695" s="2199">
        <v>70000000</v>
      </c>
      <c r="E695" s="2263">
        <v>0.05</v>
      </c>
      <c r="F695" s="2199">
        <f t="shared" si="75"/>
        <v>3500000</v>
      </c>
      <c r="G695" s="2199">
        <v>3500000</v>
      </c>
      <c r="H695" s="2199" t="s">
        <v>4060</v>
      </c>
      <c r="I695" s="2199" t="s">
        <v>4069</v>
      </c>
      <c r="J695" s="2199">
        <f>G695</f>
        <v>3500000</v>
      </c>
      <c r="K695" s="2196">
        <f>F695-J695</f>
        <v>0</v>
      </c>
      <c r="L695" s="2269" t="s">
        <v>3484</v>
      </c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7"/>
      <c r="B696" s="3" t="s">
        <v>3979</v>
      </c>
      <c r="C696" s="2264" t="s">
        <v>889</v>
      </c>
      <c r="D696" s="2199">
        <v>20000000</v>
      </c>
      <c r="E696" s="2263">
        <v>0.05</v>
      </c>
      <c r="F696" s="2199">
        <f t="shared" si="75"/>
        <v>1000000</v>
      </c>
      <c r="G696" s="2199">
        <v>1000000</v>
      </c>
      <c r="H696" s="2199" t="s">
        <v>3965</v>
      </c>
      <c r="I696" s="2199" t="s">
        <v>3980</v>
      </c>
      <c r="J696" s="2199">
        <f>G696</f>
        <v>1000000</v>
      </c>
      <c r="K696" s="2196">
        <f>F696-J696</f>
        <v>0</v>
      </c>
      <c r="L696" s="2269" t="s">
        <v>3981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7"/>
      <c r="B697" s="3" t="s">
        <v>2952</v>
      </c>
      <c r="C697" s="2264" t="s">
        <v>402</v>
      </c>
      <c r="D697" s="2199">
        <v>150000000</v>
      </c>
      <c r="E697" s="2263">
        <v>0.06</v>
      </c>
      <c r="F697" s="2199">
        <f t="shared" si="75"/>
        <v>9000000</v>
      </c>
      <c r="G697" s="2199">
        <v>9000000</v>
      </c>
      <c r="H697" s="2199" t="s">
        <v>3806</v>
      </c>
      <c r="I697" s="2199" t="s">
        <v>3963</v>
      </c>
      <c r="J697" s="2199">
        <f>G697</f>
        <v>9000000</v>
      </c>
      <c r="K697" s="2199">
        <f>F697-J697</f>
        <v>0</v>
      </c>
      <c r="L697" s="2269"/>
      <c r="M697" s="386"/>
      <c r="N697" s="386"/>
      <c r="O697" s="386"/>
      <c r="P697" s="386"/>
      <c r="Q697" s="386"/>
    </row>
    <row r="698" spans="1:17" s="9" customFormat="1" ht="30" customHeight="1" x14ac:dyDescent="0.2">
      <c r="A698" s="2276"/>
      <c r="B698" s="2265" t="s">
        <v>153</v>
      </c>
      <c r="C698" s="2264"/>
      <c r="D698" s="2199">
        <v>10000000</v>
      </c>
      <c r="E698" s="2263">
        <v>0.05</v>
      </c>
      <c r="F698" s="2199">
        <f>D698*E698</f>
        <v>500000</v>
      </c>
      <c r="G698" s="2199"/>
      <c r="H698" s="2199"/>
      <c r="I698" s="2199"/>
      <c r="J698" s="2199"/>
      <c r="K698" s="2199"/>
      <c r="L698" s="2269" t="s">
        <v>3545</v>
      </c>
      <c r="M698" s="387"/>
      <c r="N698" s="387"/>
      <c r="O698" s="387"/>
      <c r="P698" s="387"/>
      <c r="Q698" s="387"/>
    </row>
    <row r="699" spans="1:17" s="1659" customFormat="1" ht="30" customHeight="1" x14ac:dyDescent="0.2">
      <c r="A699" s="2276"/>
      <c r="B699" s="2265" t="s">
        <v>3554</v>
      </c>
      <c r="C699" s="2236" t="s">
        <v>372</v>
      </c>
      <c r="D699" s="2199">
        <v>10000000</v>
      </c>
      <c r="E699" s="2263">
        <v>0.05</v>
      </c>
      <c r="F699" s="2199">
        <f>D699*E699</f>
        <v>500000</v>
      </c>
      <c r="G699" s="2211">
        <v>500000</v>
      </c>
      <c r="H699" s="2211" t="s">
        <v>4016</v>
      </c>
      <c r="I699" s="2230" t="s">
        <v>3555</v>
      </c>
      <c r="J699" s="2211">
        <f>G699</f>
        <v>500000</v>
      </c>
      <c r="K699" s="2211">
        <f>F699-J699</f>
        <v>0</v>
      </c>
      <c r="L699" s="2250"/>
      <c r="M699" s="386"/>
      <c r="N699" s="386"/>
      <c r="O699" s="386"/>
      <c r="P699" s="386"/>
      <c r="Q699" s="386"/>
    </row>
    <row r="700" spans="1:17" s="1659" customFormat="1" ht="30" customHeight="1" x14ac:dyDescent="0.2">
      <c r="A700" s="2362"/>
      <c r="B700" s="19" t="s">
        <v>4442</v>
      </c>
      <c r="C700" s="2367" t="s">
        <v>4223</v>
      </c>
      <c r="D700" s="2355">
        <v>100000000</v>
      </c>
      <c r="E700" s="2364">
        <v>0.05</v>
      </c>
      <c r="F700" s="2355">
        <f>D700*E700</f>
        <v>5000000</v>
      </c>
      <c r="G700" s="7470" t="s">
        <v>4443</v>
      </c>
      <c r="H700" s="7493"/>
      <c r="I700" s="7493"/>
      <c r="J700" s="7510"/>
      <c r="K700" s="2355">
        <v>0</v>
      </c>
      <c r="L700" s="387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276"/>
      <c r="B701" s="2265" t="s">
        <v>3566</v>
      </c>
      <c r="C701" s="2264"/>
      <c r="D701" s="2199">
        <v>6000000</v>
      </c>
      <c r="E701" s="2263">
        <f>F701/D701</f>
        <v>0.05</v>
      </c>
      <c r="F701" s="2199">
        <v>300000</v>
      </c>
      <c r="G701" s="2199">
        <v>1000000</v>
      </c>
      <c r="H701" s="2199" t="s">
        <v>4074</v>
      </c>
      <c r="I701" s="2199" t="s">
        <v>3567</v>
      </c>
      <c r="J701" s="2199">
        <f>G701</f>
        <v>1000000</v>
      </c>
      <c r="K701" s="2199">
        <f>F701-J701</f>
        <v>-700000</v>
      </c>
      <c r="L701" s="1660" t="s">
        <v>3568</v>
      </c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6"/>
      <c r="B702" s="2265" t="s">
        <v>3590</v>
      </c>
      <c r="C702" s="2264"/>
      <c r="D702" s="2199">
        <v>870000000</v>
      </c>
      <c r="E702" s="2263">
        <v>7.0999999999999994E-2</v>
      </c>
      <c r="F702" s="2199">
        <v>62000000</v>
      </c>
      <c r="G702" s="2199">
        <v>61000000</v>
      </c>
      <c r="H702" s="2199" t="s">
        <v>4074</v>
      </c>
      <c r="I702" s="2199" t="s">
        <v>1610</v>
      </c>
      <c r="J702" s="2199">
        <f>G702</f>
        <v>61000000</v>
      </c>
      <c r="K702" s="2199">
        <f>F702-J702</f>
        <v>1000000</v>
      </c>
      <c r="L702" s="2250" t="s">
        <v>4096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7703"/>
      <c r="B703" s="7652" t="s">
        <v>3597</v>
      </c>
      <c r="C703" s="7723" t="s">
        <v>889</v>
      </c>
      <c r="D703" s="7563">
        <v>200000000</v>
      </c>
      <c r="E703" s="7659">
        <v>0.05</v>
      </c>
      <c r="F703" s="7563">
        <f>D703*E703</f>
        <v>10000000</v>
      </c>
      <c r="G703" s="7563">
        <v>10000000</v>
      </c>
      <c r="H703" s="7563" t="s">
        <v>3923</v>
      </c>
      <c r="I703" s="7563" t="s">
        <v>3598</v>
      </c>
      <c r="J703" s="7563">
        <f>G703</f>
        <v>10000000</v>
      </c>
      <c r="K703" s="7563">
        <f>F703-J703</f>
        <v>0</v>
      </c>
      <c r="L703" s="2250" t="s">
        <v>3847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7705"/>
      <c r="B704" s="7653"/>
      <c r="C704" s="7724"/>
      <c r="D704" s="7564"/>
      <c r="E704" s="7660"/>
      <c r="F704" s="7564"/>
      <c r="G704" s="7564"/>
      <c r="H704" s="7564"/>
      <c r="I704" s="7564"/>
      <c r="J704" s="7564"/>
      <c r="K704" s="7564"/>
      <c r="L704" s="2250" t="s">
        <v>3599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2276"/>
      <c r="B705" s="2265" t="s">
        <v>3612</v>
      </c>
      <c r="C705" s="2264" t="s">
        <v>2278</v>
      </c>
      <c r="D705" s="2199">
        <v>100000000</v>
      </c>
      <c r="E705" s="2263">
        <v>0.05</v>
      </c>
      <c r="F705" s="2199">
        <f>D705*E705</f>
        <v>5000000</v>
      </c>
      <c r="G705" s="2199">
        <v>5000000</v>
      </c>
      <c r="H705" s="2199" t="s">
        <v>4107</v>
      </c>
      <c r="I705" s="2199" t="s">
        <v>4125</v>
      </c>
      <c r="J705" s="2199">
        <f>G705</f>
        <v>5000000</v>
      </c>
      <c r="K705" s="2199">
        <f>F705-J705</f>
        <v>0</v>
      </c>
      <c r="L705" s="2250" t="s">
        <v>3217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6"/>
      <c r="B706" s="2265" t="s">
        <v>4055</v>
      </c>
      <c r="C706" s="2264" t="s">
        <v>2278</v>
      </c>
      <c r="D706" s="2199">
        <v>130000000</v>
      </c>
      <c r="E706" s="2263">
        <v>0.05</v>
      </c>
      <c r="F706" s="2199">
        <f>D706*E706</f>
        <v>6500000</v>
      </c>
      <c r="G706" s="2199">
        <v>6500000</v>
      </c>
      <c r="H706" s="2199" t="s">
        <v>4107</v>
      </c>
      <c r="I706" s="2199" t="s">
        <v>3776</v>
      </c>
      <c r="J706" s="2199">
        <f>G706</f>
        <v>6500000</v>
      </c>
      <c r="K706" s="2199">
        <f>F706-J706</f>
        <v>0</v>
      </c>
      <c r="L706" s="2250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7703"/>
      <c r="B707" s="7652" t="s">
        <v>3674</v>
      </c>
      <c r="C707" s="7723"/>
      <c r="D707" s="2199">
        <v>1140000000</v>
      </c>
      <c r="E707" s="2263">
        <v>7.0000000000000007E-2</v>
      </c>
      <c r="F707" s="2199">
        <f>D707*E707</f>
        <v>79800000.000000015</v>
      </c>
      <c r="G707" s="2199">
        <v>50000000</v>
      </c>
      <c r="H707" s="2199" t="s">
        <v>4144</v>
      </c>
      <c r="I707" s="2199" t="s">
        <v>1613</v>
      </c>
      <c r="J707" s="7563">
        <f>G707+G708</f>
        <v>91000000</v>
      </c>
      <c r="K707" s="7563">
        <f>F708-J707</f>
        <v>0</v>
      </c>
      <c r="L707" s="2250" t="s">
        <v>3919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7705"/>
      <c r="B708" s="7653"/>
      <c r="C708" s="7724"/>
      <c r="D708" s="2198">
        <v>1300000000</v>
      </c>
      <c r="E708" s="435">
        <v>7.0000000000000007E-2</v>
      </c>
      <c r="F708" s="2198">
        <f>D708*E708</f>
        <v>91000000.000000015</v>
      </c>
      <c r="G708" s="2199">
        <v>41000000</v>
      </c>
      <c r="H708" s="2199" t="s">
        <v>4164</v>
      </c>
      <c r="I708" s="2199" t="s">
        <v>1613</v>
      </c>
      <c r="J708" s="7564"/>
      <c r="K708" s="7564"/>
      <c r="L708" s="2250" t="s">
        <v>3709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2276"/>
      <c r="B709" s="2265" t="s">
        <v>3707</v>
      </c>
      <c r="C709" s="2264" t="s">
        <v>3390</v>
      </c>
      <c r="D709" s="2199">
        <v>10000000</v>
      </c>
      <c r="E709" s="2263">
        <v>0.05</v>
      </c>
      <c r="F709" s="2199">
        <f>D709*E709</f>
        <v>500000</v>
      </c>
      <c r="G709" s="2199">
        <v>500000</v>
      </c>
      <c r="H709" s="2199" t="s">
        <v>4144</v>
      </c>
      <c r="I709" s="2199" t="s">
        <v>4154</v>
      </c>
      <c r="J709" s="2199">
        <f>G709</f>
        <v>500000</v>
      </c>
      <c r="K709" s="2199">
        <f>F709-J709</f>
        <v>0</v>
      </c>
      <c r="L709" s="2250" t="s">
        <v>3708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6"/>
      <c r="B710" s="2265" t="s">
        <v>3710</v>
      </c>
      <c r="C710" s="2264" t="s">
        <v>1652</v>
      </c>
      <c r="D710" s="2199">
        <v>58000000</v>
      </c>
      <c r="E710" s="2263"/>
      <c r="F710" s="2199"/>
      <c r="G710" s="2199"/>
      <c r="H710" s="2199"/>
      <c r="I710" s="2199"/>
      <c r="J710" s="2199"/>
      <c r="K710" s="2199"/>
      <c r="L710" s="2250" t="s">
        <v>3711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6"/>
      <c r="B711" s="2265" t="s">
        <v>3742</v>
      </c>
      <c r="C711" s="2264" t="s">
        <v>1300</v>
      </c>
      <c r="D711" s="2199">
        <v>100000000</v>
      </c>
      <c r="E711" s="2263">
        <v>0.05</v>
      </c>
      <c r="F711" s="2199">
        <f>D711*E711</f>
        <v>5000000</v>
      </c>
      <c r="G711" s="2199">
        <v>5000000</v>
      </c>
      <c r="H711" s="2199" t="s">
        <v>3078</v>
      </c>
      <c r="I711" s="2199" t="s">
        <v>4052</v>
      </c>
      <c r="J711" s="2199">
        <f>G711</f>
        <v>5000000</v>
      </c>
      <c r="K711" s="2199">
        <f>F711-J711</f>
        <v>0</v>
      </c>
      <c r="L711" s="2250" t="s">
        <v>4054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6"/>
      <c r="B712" s="2265" t="s">
        <v>3743</v>
      </c>
      <c r="C712" s="2236"/>
      <c r="D712" s="2211">
        <v>96000000</v>
      </c>
      <c r="E712" s="2208">
        <v>0.05</v>
      </c>
      <c r="F712" s="2211">
        <v>5000000</v>
      </c>
      <c r="G712" s="2199">
        <v>5000000</v>
      </c>
      <c r="H712" s="2199" t="s">
        <v>3078</v>
      </c>
      <c r="I712" s="2199" t="s">
        <v>4053</v>
      </c>
      <c r="J712" s="2199">
        <f>G712</f>
        <v>5000000</v>
      </c>
      <c r="K712" s="2199">
        <f>F712-J712</f>
        <v>0</v>
      </c>
      <c r="L712" s="2250" t="s">
        <v>4054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6"/>
      <c r="B713" s="2265" t="s">
        <v>3869</v>
      </c>
      <c r="C713" s="2264" t="s">
        <v>3219</v>
      </c>
      <c r="D713" s="2211">
        <v>100000000</v>
      </c>
      <c r="E713" s="2208">
        <v>0.06</v>
      </c>
      <c r="F713" s="2211">
        <f>D713*E713</f>
        <v>6000000</v>
      </c>
      <c r="G713" s="2211"/>
      <c r="H713" s="2211"/>
      <c r="I713" s="2230"/>
      <c r="J713" s="2211"/>
      <c r="K713" s="2211"/>
      <c r="L713" s="2250" t="s">
        <v>3872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6"/>
      <c r="B714" s="2265" t="s">
        <v>3871</v>
      </c>
      <c r="C714" s="2264" t="s">
        <v>3390</v>
      </c>
      <c r="D714" s="2199">
        <v>50000000</v>
      </c>
      <c r="E714" s="2208">
        <v>0.05</v>
      </c>
      <c r="F714" s="2211">
        <f>D714*E714</f>
        <v>2500000</v>
      </c>
      <c r="G714" s="2211"/>
      <c r="H714" s="2211"/>
      <c r="I714" s="2230"/>
      <c r="J714" s="2211"/>
      <c r="K714" s="2211"/>
      <c r="L714" s="2250"/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6"/>
      <c r="B715" s="2265" t="s">
        <v>3890</v>
      </c>
      <c r="C715" s="2264"/>
      <c r="D715" s="2227"/>
      <c r="E715" s="2227"/>
      <c r="F715" s="2227"/>
      <c r="G715" s="2211"/>
      <c r="H715" s="2211"/>
      <c r="I715" s="2230" t="s">
        <v>3891</v>
      </c>
      <c r="J715" s="2211">
        <f>G715</f>
        <v>0</v>
      </c>
      <c r="K715" s="2211">
        <f>F715-J715</f>
        <v>0</v>
      </c>
      <c r="L715" s="2250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7703"/>
      <c r="B716" s="7652" t="s">
        <v>3895</v>
      </c>
      <c r="C716" s="2264" t="s">
        <v>4105</v>
      </c>
      <c r="D716" s="2199">
        <v>120000000</v>
      </c>
      <c r="E716" s="2208">
        <v>0.05</v>
      </c>
      <c r="F716" s="2211">
        <f>D716*E716</f>
        <v>6000000</v>
      </c>
      <c r="G716" s="233"/>
      <c r="H716" s="233"/>
      <c r="I716" s="233"/>
      <c r="J716" s="233"/>
      <c r="K716" s="2211"/>
      <c r="L716" s="2250" t="s">
        <v>3897</v>
      </c>
      <c r="M716" s="386"/>
      <c r="N716" s="386"/>
      <c r="O716" s="386"/>
      <c r="P716" s="386"/>
      <c r="Q716" s="386"/>
    </row>
    <row r="717" spans="1:17" s="1659" customFormat="1" ht="30" customHeight="1" x14ac:dyDescent="0.2">
      <c r="A717" s="7705"/>
      <c r="B717" s="7653"/>
      <c r="C717" s="2236"/>
      <c r="D717" s="2211">
        <v>50000000</v>
      </c>
      <c r="E717" s="2208">
        <v>7.0000000000000007E-2</v>
      </c>
      <c r="F717" s="2211">
        <f>D717*E717</f>
        <v>3500000.0000000005</v>
      </c>
      <c r="G717" s="7"/>
      <c r="H717" s="7"/>
      <c r="I717" s="1965"/>
      <c r="J717" s="7"/>
      <c r="K717" s="2211"/>
      <c r="L717" s="2022" t="s">
        <v>4215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2276"/>
      <c r="B718" s="2294" t="s">
        <v>3931</v>
      </c>
      <c r="C718" s="2236"/>
      <c r="D718" s="2224"/>
      <c r="E718" s="2226"/>
      <c r="F718" s="2224"/>
      <c r="G718" s="2211">
        <v>1105000</v>
      </c>
      <c r="H718" s="2211" t="s">
        <v>3932</v>
      </c>
      <c r="I718" s="2230" t="s">
        <v>3933</v>
      </c>
      <c r="J718" s="2211">
        <f>G718</f>
        <v>1105000</v>
      </c>
      <c r="K718" s="2211"/>
      <c r="L718" s="2250"/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6"/>
      <c r="B719" s="2294" t="s">
        <v>3935</v>
      </c>
      <c r="C719" s="2236"/>
      <c r="D719" s="2224"/>
      <c r="E719" s="2226"/>
      <c r="F719" s="2224"/>
      <c r="G719" s="2211">
        <v>1100000</v>
      </c>
      <c r="H719" s="2211" t="s">
        <v>1215</v>
      </c>
      <c r="I719" s="2230" t="s">
        <v>3936</v>
      </c>
      <c r="J719" s="2211">
        <f>G719</f>
        <v>1100000</v>
      </c>
      <c r="K719" s="2211"/>
      <c r="L719" s="2250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6"/>
      <c r="B720" s="2265" t="s">
        <v>3956</v>
      </c>
      <c r="C720" s="2236"/>
      <c r="D720" s="2211">
        <v>50000000</v>
      </c>
      <c r="E720" s="2208">
        <v>0.05</v>
      </c>
      <c r="F720" s="2211">
        <f>D720*E720</f>
        <v>2500000</v>
      </c>
      <c r="G720" s="2211">
        <v>2500000</v>
      </c>
      <c r="H720" s="2211" t="s">
        <v>4107</v>
      </c>
      <c r="I720" s="2230" t="s">
        <v>4121</v>
      </c>
      <c r="J720" s="2211">
        <f>G720</f>
        <v>2500000</v>
      </c>
      <c r="K720" s="2211"/>
      <c r="L720" s="2250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6"/>
      <c r="B721" s="2265" t="s">
        <v>3961</v>
      </c>
      <c r="C721" s="2236"/>
      <c r="D721" s="2211">
        <f>25000000+10000000+10000000+250000+2500000+1500000+500000</f>
        <v>49750000</v>
      </c>
      <c r="E721" s="2208"/>
      <c r="F721" s="2211"/>
      <c r="G721" s="2211"/>
      <c r="H721" s="2211"/>
      <c r="I721" s="2230"/>
      <c r="J721" s="2211"/>
      <c r="K721" s="2211"/>
      <c r="L721" s="2250" t="s">
        <v>3962</v>
      </c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6"/>
      <c r="B722" s="2265" t="s">
        <v>3964</v>
      </c>
      <c r="C722" s="2236" t="s">
        <v>1652</v>
      </c>
      <c r="D722" s="2211">
        <v>58000000</v>
      </c>
      <c r="E722" s="2208">
        <v>0.05</v>
      </c>
      <c r="F722" s="2211">
        <f>D722*E722</f>
        <v>2900000</v>
      </c>
      <c r="G722" s="2211">
        <v>2900000</v>
      </c>
      <c r="H722" s="2211" t="s">
        <v>3993</v>
      </c>
      <c r="I722" s="2230" t="s">
        <v>3996</v>
      </c>
      <c r="J722" s="2211">
        <f>G722</f>
        <v>2900000</v>
      </c>
      <c r="K722" s="2211">
        <f>F722-J722</f>
        <v>0</v>
      </c>
      <c r="L722" s="2250"/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6"/>
      <c r="B723" s="2265" t="s">
        <v>896</v>
      </c>
      <c r="C723" s="2236"/>
      <c r="D723" s="2211">
        <v>130000000</v>
      </c>
      <c r="E723" s="2208">
        <v>0.05</v>
      </c>
      <c r="F723" s="2211">
        <f>D723*E723</f>
        <v>6500000</v>
      </c>
      <c r="G723" s="2211">
        <v>6500000</v>
      </c>
      <c r="H723" s="2211" t="s">
        <v>3965</v>
      </c>
      <c r="I723" s="2230" t="s">
        <v>3987</v>
      </c>
      <c r="J723" s="2211">
        <f>G723</f>
        <v>6500000</v>
      </c>
      <c r="K723" s="2211">
        <f>F723-J723</f>
        <v>0</v>
      </c>
      <c r="L723" s="2250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6"/>
      <c r="B724" s="2265" t="s">
        <v>2305</v>
      </c>
      <c r="C724" s="2236"/>
      <c r="D724" s="2224"/>
      <c r="E724" s="2226"/>
      <c r="F724" s="2224"/>
      <c r="G724" s="2211">
        <v>5000000</v>
      </c>
      <c r="H724" s="2211" t="s">
        <v>3965</v>
      </c>
      <c r="I724" s="2230" t="s">
        <v>3994</v>
      </c>
      <c r="J724" s="2211">
        <f>G724</f>
        <v>5000000</v>
      </c>
      <c r="K724" s="2211"/>
      <c r="L724" s="2250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6"/>
      <c r="B725" s="2265" t="s">
        <v>4014</v>
      </c>
      <c r="C725" s="2236"/>
      <c r="D725" s="2224"/>
      <c r="E725" s="2226"/>
      <c r="F725" s="2224"/>
      <c r="G725" s="7732" t="s">
        <v>4015</v>
      </c>
      <c r="H725" s="7733"/>
      <c r="I725" s="7733"/>
      <c r="J725" s="7734"/>
      <c r="K725" s="2211"/>
      <c r="L725" s="2250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6"/>
      <c r="B726" s="2265" t="s">
        <v>4025</v>
      </c>
      <c r="C726" s="2236"/>
      <c r="D726" s="2211">
        <v>110000000</v>
      </c>
      <c r="E726" s="2208">
        <v>0.04</v>
      </c>
      <c r="F726" s="2211">
        <f>D726*E726</f>
        <v>4400000</v>
      </c>
      <c r="G726" s="2211">
        <v>4400000</v>
      </c>
      <c r="H726" s="2211" t="s">
        <v>4016</v>
      </c>
      <c r="I726" s="2230" t="s">
        <v>3469</v>
      </c>
      <c r="J726" s="2211">
        <f>G726</f>
        <v>4400000</v>
      </c>
      <c r="K726" s="2211">
        <f>F726-J726</f>
        <v>0</v>
      </c>
      <c r="L726" s="2250" t="s">
        <v>4026</v>
      </c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6"/>
      <c r="B727" s="2265" t="s">
        <v>1455</v>
      </c>
      <c r="C727" s="2236"/>
      <c r="D727" s="2211">
        <v>50000000</v>
      </c>
      <c r="E727" s="2208">
        <v>0.05</v>
      </c>
      <c r="F727" s="2211">
        <f>D727*E727</f>
        <v>2500000</v>
      </c>
      <c r="G727" s="7732" t="s">
        <v>4033</v>
      </c>
      <c r="H727" s="7733"/>
      <c r="I727" s="7733"/>
      <c r="J727" s="7734"/>
      <c r="K727" s="2211"/>
      <c r="L727" s="2250"/>
      <c r="M727" s="386"/>
      <c r="N727" s="386"/>
      <c r="O727" s="386"/>
      <c r="P727" s="386"/>
      <c r="Q727" s="386"/>
    </row>
    <row r="728" spans="1:17" s="1659" customFormat="1" ht="30" customHeight="1" x14ac:dyDescent="0.2">
      <c r="A728" s="7703"/>
      <c r="B728" s="7652" t="s">
        <v>4037</v>
      </c>
      <c r="C728" s="7723"/>
      <c r="D728" s="7470" t="s">
        <v>4350</v>
      </c>
      <c r="E728" s="7493"/>
      <c r="F728" s="7510"/>
      <c r="G728" s="2199">
        <v>14000000</v>
      </c>
      <c r="H728" s="2199" t="s">
        <v>4036</v>
      </c>
      <c r="I728" s="2199" t="s">
        <v>4038</v>
      </c>
      <c r="J728" s="2199">
        <f>G728</f>
        <v>14000000</v>
      </c>
      <c r="K728" s="2211"/>
      <c r="L728" s="2250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7705"/>
      <c r="B729" s="7665"/>
      <c r="C729" s="7747"/>
      <c r="D729" s="2223">
        <v>21000000</v>
      </c>
      <c r="E729" s="2223"/>
      <c r="F729" s="2223"/>
      <c r="G729" s="2233"/>
      <c r="H729" s="2233"/>
      <c r="I729" s="2032"/>
      <c r="J729" s="2223"/>
      <c r="K729" s="2233"/>
      <c r="L729" s="2023" t="s">
        <v>4219</v>
      </c>
      <c r="M729" s="386"/>
      <c r="N729" s="386"/>
      <c r="O729" s="386"/>
      <c r="P729" s="386"/>
      <c r="Q729" s="386"/>
    </row>
    <row r="730" spans="1:17" s="1659" customFormat="1" ht="30" customHeight="1" x14ac:dyDescent="0.2">
      <c r="A730" s="2256"/>
      <c r="B730" s="2265" t="s">
        <v>4226</v>
      </c>
      <c r="C730" s="2264" t="s">
        <v>4105</v>
      </c>
      <c r="D730" s="2199">
        <v>470000000</v>
      </c>
      <c r="E730" s="2263">
        <f>F730/D730</f>
        <v>5.9574468085106386E-2</v>
      </c>
      <c r="F730" s="2199">
        <v>28000000</v>
      </c>
      <c r="G730" s="7470" t="s">
        <v>4351</v>
      </c>
      <c r="H730" s="7493"/>
      <c r="I730" s="7493"/>
      <c r="J730" s="7510"/>
      <c r="K730" s="2199"/>
      <c r="L730" s="2269" t="s">
        <v>4227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7703"/>
      <c r="B731" s="7652" t="s">
        <v>4044</v>
      </c>
      <c r="C731" s="7723"/>
      <c r="D731" s="7494" t="s">
        <v>4350</v>
      </c>
      <c r="E731" s="7495"/>
      <c r="F731" s="7768"/>
      <c r="G731" s="2211">
        <v>50000000</v>
      </c>
      <c r="H731" s="2211" t="s">
        <v>4043</v>
      </c>
      <c r="I731" s="2230" t="s">
        <v>4045</v>
      </c>
      <c r="J731" s="7563">
        <f>G731+G732</f>
        <v>87000000</v>
      </c>
      <c r="K731" s="7563">
        <f>87000000-J731</f>
        <v>0</v>
      </c>
      <c r="L731" s="7816"/>
      <c r="M731" s="386"/>
      <c r="N731" s="386"/>
      <c r="O731" s="386"/>
      <c r="P731" s="386"/>
      <c r="Q731" s="386"/>
    </row>
    <row r="732" spans="1:17" s="1659" customFormat="1" ht="30" customHeight="1" x14ac:dyDescent="0.2">
      <c r="A732" s="7705"/>
      <c r="B732" s="7653"/>
      <c r="C732" s="7724"/>
      <c r="D732" s="7769"/>
      <c r="E732" s="7805"/>
      <c r="F732" s="7770"/>
      <c r="G732" s="2211">
        <v>37000000</v>
      </c>
      <c r="H732" s="2211" t="s">
        <v>4060</v>
      </c>
      <c r="I732" s="2230" t="s">
        <v>4045</v>
      </c>
      <c r="J732" s="7564"/>
      <c r="K732" s="7564"/>
      <c r="L732" s="7817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7703"/>
      <c r="B733" s="7652" t="s">
        <v>4046</v>
      </c>
      <c r="C733" s="7723" t="s">
        <v>2644</v>
      </c>
      <c r="D733" s="7470" t="s">
        <v>4350</v>
      </c>
      <c r="E733" s="7493"/>
      <c r="F733" s="7510"/>
      <c r="G733" s="2211">
        <v>3000000</v>
      </c>
      <c r="H733" s="2211" t="s">
        <v>4043</v>
      </c>
      <c r="I733" s="2230" t="s">
        <v>4047</v>
      </c>
      <c r="J733" s="2211">
        <f>G733</f>
        <v>3000000</v>
      </c>
      <c r="K733" s="2211"/>
      <c r="L733" s="2250" t="s">
        <v>4220</v>
      </c>
      <c r="M733" s="386"/>
      <c r="N733" s="386"/>
      <c r="O733" s="386"/>
      <c r="P733" s="386"/>
      <c r="Q733" s="386"/>
    </row>
    <row r="734" spans="1:17" s="1659" customFormat="1" ht="30" customHeight="1" x14ac:dyDescent="0.2">
      <c r="A734" s="7704"/>
      <c r="B734" s="7665"/>
      <c r="C734" s="7724"/>
      <c r="D734" s="2199">
        <v>47000000</v>
      </c>
      <c r="E734" s="2583">
        <v>0.05</v>
      </c>
      <c r="F734" s="2199">
        <f>D734*E734</f>
        <v>2350000</v>
      </c>
      <c r="G734" s="2211"/>
      <c r="H734" s="2211"/>
      <c r="I734" s="2230"/>
      <c r="J734" s="2211"/>
      <c r="K734" s="2211"/>
      <c r="L734" s="2250" t="s">
        <v>4048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7705"/>
      <c r="B735" s="7653"/>
      <c r="C735" s="2580" t="s">
        <v>990</v>
      </c>
      <c r="D735" s="2581">
        <v>90000000</v>
      </c>
      <c r="E735" s="2583">
        <v>0.05</v>
      </c>
      <c r="F735" s="2582">
        <f>D735*E735</f>
        <v>4500000</v>
      </c>
      <c r="G735" s="2578"/>
      <c r="H735" s="2578"/>
      <c r="I735" s="2581"/>
      <c r="J735" s="2578"/>
      <c r="K735" s="2578"/>
      <c r="L735" s="2585" t="s">
        <v>4632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2276"/>
      <c r="B736" s="2265" t="s">
        <v>4079</v>
      </c>
      <c r="C736" s="2236" t="s">
        <v>1287</v>
      </c>
      <c r="D736" s="2230">
        <v>100000000</v>
      </c>
      <c r="E736" s="2263">
        <v>0.05</v>
      </c>
      <c r="F736" s="2231">
        <f>D736*E736</f>
        <v>5000000</v>
      </c>
      <c r="G736" s="2211">
        <v>5000000</v>
      </c>
      <c r="H736" s="2211" t="s">
        <v>4074</v>
      </c>
      <c r="I736" s="2230" t="s">
        <v>4080</v>
      </c>
      <c r="J736" s="2211">
        <f>G736</f>
        <v>5000000</v>
      </c>
      <c r="K736" s="2211">
        <f>F736-J736</f>
        <v>0</v>
      </c>
      <c r="L736" s="2250"/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6"/>
      <c r="B737" s="2265" t="s">
        <v>4083</v>
      </c>
      <c r="C737" s="2236"/>
      <c r="D737" s="452"/>
      <c r="E737" s="2226"/>
      <c r="F737" s="597"/>
      <c r="G737" s="2211">
        <v>2000000</v>
      </c>
      <c r="H737" s="2211" t="s">
        <v>4074</v>
      </c>
      <c r="I737" s="937">
        <v>5423044873</v>
      </c>
      <c r="J737" s="2211">
        <f>G737</f>
        <v>2000000</v>
      </c>
      <c r="K737" s="2224"/>
      <c r="L737" s="2250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6"/>
      <c r="B738" s="2265" t="s">
        <v>4085</v>
      </c>
      <c r="C738" s="2236"/>
      <c r="D738" s="452"/>
      <c r="E738" s="2226"/>
      <c r="F738" s="597"/>
      <c r="G738" s="2211">
        <v>1100000</v>
      </c>
      <c r="H738" s="2211" t="s">
        <v>3025</v>
      </c>
      <c r="I738" s="2230" t="s">
        <v>4086</v>
      </c>
      <c r="J738" s="2211">
        <f>G738</f>
        <v>1100000</v>
      </c>
      <c r="K738" s="2224"/>
      <c r="L738" s="2250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6"/>
      <c r="B739" s="2265" t="s">
        <v>4100</v>
      </c>
      <c r="C739" s="2236" t="s">
        <v>1796</v>
      </c>
      <c r="D739" s="2230">
        <v>11000000</v>
      </c>
      <c r="E739" s="2208">
        <v>0.05</v>
      </c>
      <c r="F739" s="2231">
        <f>D739*E739</f>
        <v>550000</v>
      </c>
      <c r="G739" s="2211"/>
      <c r="H739" s="2211"/>
      <c r="I739" s="2230"/>
      <c r="J739" s="2211"/>
      <c r="K739" s="2211"/>
      <c r="L739" s="2250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6"/>
      <c r="B740" s="2265" t="s">
        <v>4114</v>
      </c>
      <c r="C740" s="2236" t="s">
        <v>1172</v>
      </c>
      <c r="D740" s="2230">
        <v>50000000</v>
      </c>
      <c r="E740" s="2208">
        <v>0.05</v>
      </c>
      <c r="F740" s="2231">
        <f>D740*E740</f>
        <v>2500000</v>
      </c>
      <c r="G740" s="2211"/>
      <c r="H740" s="2211"/>
      <c r="I740" s="2230"/>
      <c r="J740" s="2211"/>
      <c r="K740" s="2211"/>
      <c r="L740" s="2250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6"/>
      <c r="B741" s="2265" t="s">
        <v>4115</v>
      </c>
      <c r="C741" s="2236"/>
      <c r="D741" s="2230">
        <v>5000000</v>
      </c>
      <c r="E741" s="2208"/>
      <c r="F741" s="2231"/>
      <c r="G741" s="2211"/>
      <c r="H741" s="2211"/>
      <c r="I741" s="2230"/>
      <c r="J741" s="2211"/>
      <c r="K741" s="2211"/>
      <c r="L741" s="2250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6"/>
      <c r="B742" s="2265" t="s">
        <v>4116</v>
      </c>
      <c r="C742" s="2236" t="s">
        <v>1172</v>
      </c>
      <c r="D742" s="2230">
        <v>70000000</v>
      </c>
      <c r="E742" s="2208">
        <v>0.06</v>
      </c>
      <c r="F742" s="2231">
        <f>D742*E742</f>
        <v>4200000</v>
      </c>
      <c r="G742" s="2211"/>
      <c r="H742" s="2211"/>
      <c r="I742" s="2230"/>
      <c r="J742" s="2211"/>
      <c r="K742" s="2211"/>
      <c r="L742" s="2250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6"/>
      <c r="B743" s="2265" t="s">
        <v>4131</v>
      </c>
      <c r="C743" s="2236"/>
      <c r="D743" s="2230">
        <v>45000000</v>
      </c>
      <c r="E743" s="2208">
        <v>0.05</v>
      </c>
      <c r="F743" s="2231">
        <f>D743*E743</f>
        <v>2250000</v>
      </c>
      <c r="G743" s="7732" t="s">
        <v>4132</v>
      </c>
      <c r="H743" s="7733"/>
      <c r="I743" s="7733"/>
      <c r="J743" s="7734"/>
      <c r="K743" s="2211"/>
      <c r="L743" s="2250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6"/>
      <c r="B744" s="2265" t="s">
        <v>4242</v>
      </c>
      <c r="C744" s="2236"/>
      <c r="D744" s="2230">
        <v>60000000</v>
      </c>
      <c r="E744" s="2208"/>
      <c r="F744" s="2231"/>
      <c r="G744" s="2211"/>
      <c r="H744" s="2211"/>
      <c r="I744" s="2230"/>
      <c r="J744" s="2211"/>
      <c r="K744" s="2211"/>
      <c r="L744" s="2250" t="s">
        <v>4133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6"/>
      <c r="B745" s="2265" t="s">
        <v>4243</v>
      </c>
      <c r="C745" s="2236"/>
      <c r="D745" s="2230">
        <v>10000000</v>
      </c>
      <c r="E745" s="2208"/>
      <c r="F745" s="2231"/>
      <c r="G745" s="2211"/>
      <c r="H745" s="2211"/>
      <c r="I745" s="2230"/>
      <c r="J745" s="2211"/>
      <c r="K745" s="2211"/>
      <c r="L745" s="2250" t="s">
        <v>4244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6"/>
      <c r="B746" s="2265" t="s">
        <v>4139</v>
      </c>
      <c r="C746" s="2236"/>
      <c r="D746" s="2230">
        <v>10000000</v>
      </c>
      <c r="E746" s="2208"/>
      <c r="F746" s="2231"/>
      <c r="G746" s="2211"/>
      <c r="H746" s="2211"/>
      <c r="I746" s="2230"/>
      <c r="J746" s="2211"/>
      <c r="K746" s="2211"/>
      <c r="L746" s="7732" t="s">
        <v>4140</v>
      </c>
      <c r="M746" s="7733"/>
      <c r="N746" s="7733"/>
      <c r="O746" s="7734"/>
      <c r="P746" s="386"/>
      <c r="Q746" s="386"/>
    </row>
    <row r="747" spans="1:17" s="1659" customFormat="1" ht="30" customHeight="1" x14ac:dyDescent="0.2">
      <c r="A747" s="2276"/>
      <c r="B747" s="2265" t="s">
        <v>4142</v>
      </c>
      <c r="C747" s="2236"/>
      <c r="D747" s="2230">
        <v>200000000</v>
      </c>
      <c r="E747" s="2208">
        <v>7.0000000000000007E-2</v>
      </c>
      <c r="F747" s="2231">
        <f>D747*E747</f>
        <v>14000000.000000002</v>
      </c>
      <c r="G747" s="2230"/>
      <c r="H747" s="2208"/>
      <c r="I747" s="2231"/>
      <c r="J747" s="2230"/>
      <c r="K747" s="2208"/>
      <c r="L747" s="7732" t="s">
        <v>4143</v>
      </c>
      <c r="M747" s="7733"/>
      <c r="N747" s="7733"/>
      <c r="O747" s="7734"/>
      <c r="P747" s="386"/>
      <c r="Q747" s="386"/>
    </row>
    <row r="748" spans="1:17" s="1659" customFormat="1" ht="30" customHeight="1" x14ac:dyDescent="0.2">
      <c r="A748" s="2276"/>
      <c r="B748" s="2294" t="s">
        <v>4155</v>
      </c>
      <c r="C748" s="2236"/>
      <c r="D748" s="452"/>
      <c r="E748" s="2226"/>
      <c r="F748" s="597"/>
      <c r="G748" s="2211">
        <v>2000000</v>
      </c>
      <c r="H748" s="2211" t="s">
        <v>4144</v>
      </c>
      <c r="I748" s="2230" t="s">
        <v>4156</v>
      </c>
      <c r="J748" s="2211">
        <f>G748</f>
        <v>2000000</v>
      </c>
      <c r="K748" s="2211"/>
      <c r="L748" s="2250"/>
      <c r="M748" s="2277"/>
      <c r="N748" s="2277"/>
      <c r="O748" s="2277"/>
      <c r="P748" s="386"/>
      <c r="Q748" s="386"/>
    </row>
    <row r="749" spans="1:17" s="1659" customFormat="1" ht="30" customHeight="1" x14ac:dyDescent="0.2">
      <c r="A749" s="2276"/>
      <c r="B749" s="2294" t="s">
        <v>4157</v>
      </c>
      <c r="C749" s="2236"/>
      <c r="D749" s="452"/>
      <c r="E749" s="2226"/>
      <c r="F749" s="597"/>
      <c r="G749" s="2211">
        <v>10000000</v>
      </c>
      <c r="H749" s="2211" t="s">
        <v>4144</v>
      </c>
      <c r="I749" s="2230" t="s">
        <v>4158</v>
      </c>
      <c r="J749" s="2211">
        <f>G749</f>
        <v>10000000</v>
      </c>
      <c r="K749" s="2211"/>
      <c r="L749" s="2250"/>
      <c r="M749" s="2277"/>
      <c r="N749" s="2277"/>
      <c r="O749" s="2277"/>
      <c r="P749" s="386"/>
      <c r="Q749" s="386"/>
    </row>
    <row r="750" spans="1:17" s="1659" customFormat="1" ht="30" customHeight="1" x14ac:dyDescent="0.2">
      <c r="A750" s="2276"/>
      <c r="B750" s="2294" t="s">
        <v>4160</v>
      </c>
      <c r="C750" s="2236"/>
      <c r="D750" s="452"/>
      <c r="E750" s="2226"/>
      <c r="F750" s="597"/>
      <c r="G750" s="2211">
        <v>40000</v>
      </c>
      <c r="H750" s="2211" t="s">
        <v>4159</v>
      </c>
      <c r="I750" s="2230" t="s">
        <v>4161</v>
      </c>
      <c r="J750" s="2211">
        <f>G750</f>
        <v>40000</v>
      </c>
      <c r="K750" s="2211"/>
      <c r="L750" s="2250"/>
      <c r="M750" s="2277"/>
      <c r="N750" s="2277"/>
      <c r="O750" s="2277"/>
      <c r="P750" s="386"/>
      <c r="Q750" s="386"/>
    </row>
    <row r="751" spans="1:17" s="1659" customFormat="1" ht="30" customHeight="1" x14ac:dyDescent="0.2">
      <c r="A751" s="7703"/>
      <c r="B751" s="7652" t="s">
        <v>4162</v>
      </c>
      <c r="C751" s="7723"/>
      <c r="D751" s="7563">
        <v>70000000</v>
      </c>
      <c r="E751" s="7659">
        <v>0.05</v>
      </c>
      <c r="F751" s="7563">
        <f>D751*E751</f>
        <v>3500000</v>
      </c>
      <c r="G751" s="7563">
        <v>3500000</v>
      </c>
      <c r="H751" s="7563" t="s">
        <v>4159</v>
      </c>
      <c r="I751" s="7563" t="s">
        <v>4163</v>
      </c>
      <c r="J751" s="7563">
        <f>G751</f>
        <v>3500000</v>
      </c>
      <c r="K751" s="7563">
        <f>F751-J751</f>
        <v>0</v>
      </c>
      <c r="L751" s="2247" t="s">
        <v>4208</v>
      </c>
      <c r="M751" s="2277"/>
      <c r="N751" s="2277"/>
      <c r="O751" s="2277"/>
      <c r="P751" s="386"/>
      <c r="Q751" s="386"/>
    </row>
    <row r="752" spans="1:17" s="1659" customFormat="1" ht="30" customHeight="1" x14ac:dyDescent="0.2">
      <c r="A752" s="7704"/>
      <c r="B752" s="7665"/>
      <c r="C752" s="7724"/>
      <c r="D752" s="7564"/>
      <c r="E752" s="7660"/>
      <c r="F752" s="7564"/>
      <c r="G752" s="7564"/>
      <c r="H752" s="7564"/>
      <c r="I752" s="7564"/>
      <c r="J752" s="7564"/>
      <c r="K752" s="7564"/>
      <c r="L752" s="2250" t="s">
        <v>4209</v>
      </c>
      <c r="M752" s="2277"/>
      <c r="N752" s="2277"/>
      <c r="O752" s="2277"/>
      <c r="P752" s="386"/>
      <c r="Q752" s="386"/>
    </row>
    <row r="753" spans="1:17" s="1659" customFormat="1" ht="30" customHeight="1" x14ac:dyDescent="0.2">
      <c r="A753" s="7705"/>
      <c r="B753" s="7653"/>
      <c r="C753" s="2237"/>
      <c r="D753" s="2210">
        <v>10000000</v>
      </c>
      <c r="E753" s="2207">
        <v>0.05</v>
      </c>
      <c r="F753" s="2210">
        <f>D753*E753</f>
        <v>500000</v>
      </c>
      <c r="G753" s="2211"/>
      <c r="H753" s="2211"/>
      <c r="I753" s="2230"/>
      <c r="J753" s="2210"/>
      <c r="K753" s="2210"/>
      <c r="L753" s="2270" t="s">
        <v>4270</v>
      </c>
      <c r="M753" s="2277"/>
      <c r="N753" s="2277"/>
      <c r="O753" s="2277"/>
      <c r="P753" s="386"/>
      <c r="Q753" s="386"/>
    </row>
    <row r="754" spans="1:17" s="1659" customFormat="1" ht="30" customHeight="1" x14ac:dyDescent="0.2">
      <c r="A754" s="7703"/>
      <c r="B754" s="7710" t="s">
        <v>4166</v>
      </c>
      <c r="C754" s="7723"/>
      <c r="D754" s="7677"/>
      <c r="E754" s="7691"/>
      <c r="F754" s="7677"/>
      <c r="G754" s="2211">
        <v>15000000</v>
      </c>
      <c r="H754" s="2211" t="s">
        <v>4164</v>
      </c>
      <c r="I754" s="2230" t="s">
        <v>4167</v>
      </c>
      <c r="J754" s="7563">
        <f>G754+G755</f>
        <v>65000000</v>
      </c>
      <c r="K754" s="7563"/>
      <c r="L754" s="2249"/>
      <c r="M754" s="2277"/>
      <c r="N754" s="2277"/>
      <c r="O754" s="2277"/>
      <c r="P754" s="386"/>
      <c r="Q754" s="386"/>
    </row>
    <row r="755" spans="1:17" s="1659" customFormat="1" ht="30" customHeight="1" x14ac:dyDescent="0.2">
      <c r="A755" s="7705"/>
      <c r="B755" s="7712"/>
      <c r="C755" s="7724"/>
      <c r="D755" s="7678"/>
      <c r="E755" s="7693"/>
      <c r="F755" s="7678"/>
      <c r="G755" s="2211">
        <v>50000000</v>
      </c>
      <c r="H755" s="2211" t="s">
        <v>4164</v>
      </c>
      <c r="I755" s="2230" t="s">
        <v>4167</v>
      </c>
      <c r="J755" s="7564"/>
      <c r="K755" s="7564"/>
      <c r="L755" s="2250"/>
      <c r="M755" s="2277"/>
      <c r="N755" s="2277"/>
      <c r="O755" s="2277"/>
      <c r="P755" s="386"/>
      <c r="Q755" s="386"/>
    </row>
    <row r="756" spans="1:17" s="1659" customFormat="1" ht="30" customHeight="1" x14ac:dyDescent="0.2">
      <c r="A756" s="2276"/>
      <c r="B756" s="2265" t="s">
        <v>4186</v>
      </c>
      <c r="C756" s="2264"/>
      <c r="D756" s="2199">
        <v>120000000</v>
      </c>
      <c r="E756" s="2263"/>
      <c r="F756" s="2199"/>
      <c r="G756" s="2211"/>
      <c r="H756" s="2211"/>
      <c r="I756" s="2230"/>
      <c r="J756" s="2211"/>
      <c r="K756" s="2211"/>
      <c r="L756" s="2250" t="s">
        <v>4187</v>
      </c>
      <c r="M756" s="2277"/>
      <c r="N756" s="2277"/>
      <c r="O756" s="2277"/>
      <c r="P756" s="386"/>
      <c r="Q756" s="386"/>
    </row>
    <row r="757" spans="1:17" s="1659" customFormat="1" ht="30" customHeight="1" x14ac:dyDescent="0.2">
      <c r="A757" s="2276"/>
      <c r="B757" s="2265" t="s">
        <v>4196</v>
      </c>
      <c r="C757" s="2264"/>
      <c r="D757" s="2199">
        <v>100000000</v>
      </c>
      <c r="E757" s="2263"/>
      <c r="F757" s="2199"/>
      <c r="G757" s="2211"/>
      <c r="H757" s="2211"/>
      <c r="I757" s="2230"/>
      <c r="J757" s="2211"/>
      <c r="K757" s="2211"/>
      <c r="L757" s="2250" t="s">
        <v>4197</v>
      </c>
      <c r="M757" s="2277"/>
      <c r="N757" s="2277"/>
      <c r="O757" s="2277"/>
      <c r="P757" s="386"/>
      <c r="Q757" s="386"/>
    </row>
    <row r="758" spans="1:17" s="1659" customFormat="1" ht="30" customHeight="1" x14ac:dyDescent="0.2">
      <c r="A758" s="2276"/>
      <c r="B758" s="2265" t="s">
        <v>4213</v>
      </c>
      <c r="C758" s="2264"/>
      <c r="D758" s="2199">
        <v>100000000</v>
      </c>
      <c r="E758" s="2263"/>
      <c r="F758" s="2199"/>
      <c r="G758" s="2211"/>
      <c r="H758" s="2211"/>
      <c r="I758" s="2230"/>
      <c r="J758" s="2211"/>
      <c r="K758" s="2211"/>
      <c r="L758" s="2021" t="s">
        <v>4214</v>
      </c>
      <c r="M758" s="2277"/>
      <c r="N758" s="2277"/>
      <c r="O758" s="2277"/>
      <c r="P758" s="386"/>
      <c r="Q758" s="386"/>
    </row>
    <row r="759" spans="1:17" s="1659" customFormat="1" ht="30" customHeight="1" x14ac:dyDescent="0.2">
      <c r="A759" s="2513"/>
      <c r="B759" s="2508" t="s">
        <v>229</v>
      </c>
      <c r="C759" s="2509"/>
      <c r="D759" s="2502"/>
      <c r="E759" s="2519"/>
      <c r="F759" s="2502"/>
      <c r="G759" s="2496">
        <v>3000000</v>
      </c>
      <c r="H759" s="2496" t="s">
        <v>4128</v>
      </c>
      <c r="I759" s="2503" t="s">
        <v>1063</v>
      </c>
      <c r="J759" s="2496">
        <f>G759</f>
        <v>3000000</v>
      </c>
      <c r="K759" s="2500"/>
      <c r="L759" s="2021"/>
      <c r="M759" s="2514"/>
      <c r="N759" s="2514"/>
      <c r="O759" s="2514"/>
      <c r="P759" s="386"/>
      <c r="Q759" s="386"/>
    </row>
    <row r="760" spans="1:17" s="1659" customFormat="1" ht="30" customHeight="1" x14ac:dyDescent="0.2">
      <c r="A760" s="2513"/>
      <c r="B760" s="2508" t="s">
        <v>4583</v>
      </c>
      <c r="C760" s="2509"/>
      <c r="D760" s="2495"/>
      <c r="E760" s="2506"/>
      <c r="F760" s="2495"/>
      <c r="G760" s="2495">
        <v>10000000</v>
      </c>
      <c r="H760" s="2496" t="s">
        <v>4128</v>
      </c>
      <c r="I760" s="2503" t="s">
        <v>4584</v>
      </c>
      <c r="J760" s="2496">
        <f>G760</f>
        <v>10000000</v>
      </c>
      <c r="K760" s="2496">
        <f>F760-J760</f>
        <v>-10000000</v>
      </c>
      <c r="L760" s="2021"/>
      <c r="M760" s="2514"/>
      <c r="N760" s="2514"/>
      <c r="O760" s="2514"/>
      <c r="P760" s="386"/>
      <c r="Q760" s="386"/>
    </row>
    <row r="761" spans="1:17" s="1659" customFormat="1" ht="30" customHeight="1" x14ac:dyDescent="0.2">
      <c r="A761" s="2646"/>
      <c r="B761" s="2644" t="s">
        <v>4657</v>
      </c>
      <c r="C761" s="2643" t="s">
        <v>990</v>
      </c>
      <c r="D761" s="2624">
        <v>10000000</v>
      </c>
      <c r="E761" s="2642">
        <v>0.05</v>
      </c>
      <c r="F761" s="2624">
        <f>D761*E761</f>
        <v>500000</v>
      </c>
      <c r="G761" s="2624"/>
      <c r="H761" s="2624"/>
      <c r="I761" s="2624"/>
      <c r="J761" s="2624"/>
      <c r="K761" s="2625"/>
      <c r="L761" s="2021" t="s">
        <v>4658</v>
      </c>
      <c r="M761" s="2647"/>
      <c r="N761" s="2647"/>
      <c r="O761" s="2647"/>
      <c r="P761" s="386"/>
      <c r="Q761" s="386"/>
    </row>
    <row r="762" spans="1:17" s="1659" customFormat="1" ht="30" customHeight="1" x14ac:dyDescent="0.2">
      <c r="A762" s="2646"/>
      <c r="B762" s="2644"/>
      <c r="C762" s="2643"/>
      <c r="D762" s="2624"/>
      <c r="E762" s="2642"/>
      <c r="F762" s="2624"/>
      <c r="G762" s="2624"/>
      <c r="H762" s="2624"/>
      <c r="I762" s="2624"/>
      <c r="J762" s="2624"/>
      <c r="K762" s="2625"/>
      <c r="L762" s="2021"/>
      <c r="M762" s="2647"/>
      <c r="N762" s="2647"/>
      <c r="O762" s="2647"/>
      <c r="P762" s="386"/>
      <c r="Q762" s="386"/>
    </row>
    <row r="763" spans="1:17" ht="30" customHeight="1" x14ac:dyDescent="0.2">
      <c r="A763" s="8013" t="s">
        <v>4280</v>
      </c>
      <c r="B763" s="8014"/>
      <c r="C763" s="1031"/>
      <c r="D763" s="294">
        <v>110561703000</v>
      </c>
      <c r="E763" s="2208"/>
      <c r="F763" s="2211"/>
      <c r="G763" s="2211"/>
      <c r="H763" s="2211"/>
      <c r="I763" s="21"/>
      <c r="J763" s="2211"/>
      <c r="K763" s="2211"/>
      <c r="L763" s="2204"/>
    </row>
  </sheetData>
  <mergeCells count="1037">
    <mergeCell ref="G594:J594"/>
    <mergeCell ref="C593:C594"/>
    <mergeCell ref="B593:B594"/>
    <mergeCell ref="A593:A594"/>
    <mergeCell ref="G430:J430"/>
    <mergeCell ref="G431:J431"/>
    <mergeCell ref="G432:J432"/>
    <mergeCell ref="G433:J433"/>
    <mergeCell ref="C428:C433"/>
    <mergeCell ref="B428:B433"/>
    <mergeCell ref="A428:A433"/>
    <mergeCell ref="J209:J212"/>
    <mergeCell ref="K209:K212"/>
    <mergeCell ref="G213:K213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3:E254"/>
    <mergeCell ref="F253:F254"/>
    <mergeCell ref="A141:A1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A154:A155"/>
    <mergeCell ref="B154:B155"/>
    <mergeCell ref="C154:C155"/>
    <mergeCell ref="D154:D155"/>
    <mergeCell ref="E154:E155"/>
    <mergeCell ref="F154:F155"/>
    <mergeCell ref="A150:A151"/>
    <mergeCell ref="B150:B151"/>
    <mergeCell ref="C150:C151"/>
    <mergeCell ref="D150:D151"/>
    <mergeCell ref="E150:E151"/>
    <mergeCell ref="F150:F151"/>
    <mergeCell ref="A166:A168"/>
    <mergeCell ref="B166:B168"/>
    <mergeCell ref="C166:C167"/>
    <mergeCell ref="D167:F167"/>
    <mergeCell ref="A169:A170"/>
    <mergeCell ref="B169:B170"/>
    <mergeCell ref="C169:C170"/>
    <mergeCell ref="D169:D170"/>
    <mergeCell ref="E169:E170"/>
    <mergeCell ref="F169:F170"/>
    <mergeCell ref="J169:J170"/>
    <mergeCell ref="K169:K170"/>
    <mergeCell ref="L169:L170"/>
    <mergeCell ref="A172:A177"/>
    <mergeCell ref="B172:B177"/>
    <mergeCell ref="C172:C177"/>
    <mergeCell ref="G172:G173"/>
    <mergeCell ref="H172:H173"/>
    <mergeCell ref="I172:I173"/>
    <mergeCell ref="J172:J173"/>
    <mergeCell ref="K172:K173"/>
    <mergeCell ref="L172:L173"/>
    <mergeCell ref="D174:D177"/>
    <mergeCell ref="E174:E177"/>
    <mergeCell ref="F174:F177"/>
    <mergeCell ref="G174:J174"/>
    <mergeCell ref="G175:G177"/>
    <mergeCell ref="H175:H177"/>
    <mergeCell ref="I175:I177"/>
    <mergeCell ref="J175:J177"/>
    <mergeCell ref="L181:L182"/>
    <mergeCell ref="A186:A187"/>
    <mergeCell ref="B186:B187"/>
    <mergeCell ref="C186:C187"/>
    <mergeCell ref="G187:J187"/>
    <mergeCell ref="K175:K177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88:A189"/>
    <mergeCell ref="B188:B189"/>
    <mergeCell ref="C188:C189"/>
    <mergeCell ref="D188:D189"/>
    <mergeCell ref="E188:E189"/>
    <mergeCell ref="F188:F189"/>
    <mergeCell ref="G196:J196"/>
    <mergeCell ref="J181:J182"/>
    <mergeCell ref="K181:K182"/>
    <mergeCell ref="A192:A193"/>
    <mergeCell ref="B192:B193"/>
    <mergeCell ref="J192:J193"/>
    <mergeCell ref="K192:K193"/>
    <mergeCell ref="L192:L193"/>
    <mergeCell ref="B194:B196"/>
    <mergeCell ref="C194:C196"/>
    <mergeCell ref="D194:D196"/>
    <mergeCell ref="E194:E196"/>
    <mergeCell ref="F194:F196"/>
    <mergeCell ref="K198:K199"/>
    <mergeCell ref="L198:L199"/>
    <mergeCell ref="A200:A203"/>
    <mergeCell ref="B200:B203"/>
    <mergeCell ref="C200:C203"/>
    <mergeCell ref="D200:D201"/>
    <mergeCell ref="E200:E201"/>
    <mergeCell ref="F200:F201"/>
    <mergeCell ref="J200:J201"/>
    <mergeCell ref="K200:K201"/>
    <mergeCell ref="L200:L201"/>
    <mergeCell ref="G202:J202"/>
    <mergeCell ref="L202:L203"/>
    <mergeCell ref="G203:J203"/>
    <mergeCell ref="A198:A199"/>
    <mergeCell ref="B198:B199"/>
    <mergeCell ref="C198:C199"/>
    <mergeCell ref="G198:G199"/>
    <mergeCell ref="H198:H199"/>
    <mergeCell ref="I198:I199"/>
    <mergeCell ref="J198:J199"/>
    <mergeCell ref="A207:A208"/>
    <mergeCell ref="B207:B208"/>
    <mergeCell ref="C207:C208"/>
    <mergeCell ref="D207:D208"/>
    <mergeCell ref="E207:E208"/>
    <mergeCell ref="F207:F208"/>
    <mergeCell ref="L209:L213"/>
    <mergeCell ref="A219:A220"/>
    <mergeCell ref="B219:B220"/>
    <mergeCell ref="C219:C220"/>
    <mergeCell ref="A209:A213"/>
    <mergeCell ref="B209:B213"/>
    <mergeCell ref="C209:C213"/>
    <mergeCell ref="D209:D213"/>
    <mergeCell ref="E209:E213"/>
    <mergeCell ref="F209:F213"/>
    <mergeCell ref="K224:K225"/>
    <mergeCell ref="L224:L225"/>
    <mergeCell ref="E225:F225"/>
    <mergeCell ref="A231:A232"/>
    <mergeCell ref="B231:B232"/>
    <mergeCell ref="G231:G232"/>
    <mergeCell ref="H231:H232"/>
    <mergeCell ref="I231:I232"/>
    <mergeCell ref="J231:J232"/>
    <mergeCell ref="K231:K232"/>
    <mergeCell ref="A224:A225"/>
    <mergeCell ref="B224:B225"/>
    <mergeCell ref="C224:C225"/>
    <mergeCell ref="H224:H225"/>
    <mergeCell ref="I224:I225"/>
    <mergeCell ref="J224:J225"/>
    <mergeCell ref="L243:P243"/>
    <mergeCell ref="A248:A252"/>
    <mergeCell ref="B248:B252"/>
    <mergeCell ref="C248:C252"/>
    <mergeCell ref="D248:D252"/>
    <mergeCell ref="E248:E252"/>
    <mergeCell ref="F248:F252"/>
    <mergeCell ref="J248:J252"/>
    <mergeCell ref="K248:K252"/>
    <mergeCell ref="L251:L252"/>
    <mergeCell ref="G261:G262"/>
    <mergeCell ref="H261:H262"/>
    <mergeCell ref="I261:I262"/>
    <mergeCell ref="J261:J262"/>
    <mergeCell ref="K261:K262"/>
    <mergeCell ref="A270:A272"/>
    <mergeCell ref="B270:B272"/>
    <mergeCell ref="G270:G271"/>
    <mergeCell ref="H270:H271"/>
    <mergeCell ref="I270:I271"/>
    <mergeCell ref="A261:A262"/>
    <mergeCell ref="B261:B262"/>
    <mergeCell ref="C261:C262"/>
    <mergeCell ref="D261:D262"/>
    <mergeCell ref="E261:E262"/>
    <mergeCell ref="F261:F262"/>
    <mergeCell ref="J270:J271"/>
    <mergeCell ref="K270:K271"/>
    <mergeCell ref="L270:L271"/>
    <mergeCell ref="A253:A254"/>
    <mergeCell ref="B253:B254"/>
    <mergeCell ref="C253:C254"/>
    <mergeCell ref="D253:D254"/>
    <mergeCell ref="A273:A274"/>
    <mergeCell ref="B273:B274"/>
    <mergeCell ref="C273:C274"/>
    <mergeCell ref="D273:D274"/>
    <mergeCell ref="E273:E274"/>
    <mergeCell ref="F273:F274"/>
    <mergeCell ref="J273:J274"/>
    <mergeCell ref="K273:K274"/>
    <mergeCell ref="A275:A280"/>
    <mergeCell ref="B275:B280"/>
    <mergeCell ref="C275:C280"/>
    <mergeCell ref="D275:D280"/>
    <mergeCell ref="E275:E280"/>
    <mergeCell ref="F275:F280"/>
    <mergeCell ref="J275:J276"/>
    <mergeCell ref="K275:K276"/>
    <mergeCell ref="J284:J285"/>
    <mergeCell ref="K284:K285"/>
    <mergeCell ref="L284:L285"/>
    <mergeCell ref="A286:A287"/>
    <mergeCell ref="B286:B287"/>
    <mergeCell ref="C286:C287"/>
    <mergeCell ref="A284:A285"/>
    <mergeCell ref="B284:B285"/>
    <mergeCell ref="C284:C285"/>
    <mergeCell ref="G284:G285"/>
    <mergeCell ref="H284:H285"/>
    <mergeCell ref="I284:I285"/>
    <mergeCell ref="A312:A314"/>
    <mergeCell ref="B312:B314"/>
    <mergeCell ref="C312:C314"/>
    <mergeCell ref="D312:D314"/>
    <mergeCell ref="E312:E314"/>
    <mergeCell ref="F312:F314"/>
    <mergeCell ref="J296:J297"/>
    <mergeCell ref="K296:K297"/>
    <mergeCell ref="L296:L297"/>
    <mergeCell ref="A307:A308"/>
    <mergeCell ref="B307:B308"/>
    <mergeCell ref="C307:C308"/>
    <mergeCell ref="D307:D308"/>
    <mergeCell ref="E307:E308"/>
    <mergeCell ref="F307:F308"/>
    <mergeCell ref="A296:A297"/>
    <mergeCell ref="B296:B297"/>
    <mergeCell ref="C296:C297"/>
    <mergeCell ref="G296:G297"/>
    <mergeCell ref="H296:H297"/>
    <mergeCell ref="I296:I297"/>
    <mergeCell ref="K322:K325"/>
    <mergeCell ref="G323:G325"/>
    <mergeCell ref="H323:H325"/>
    <mergeCell ref="I323:I325"/>
    <mergeCell ref="J323:J325"/>
    <mergeCell ref="G312:G314"/>
    <mergeCell ref="H312:H314"/>
    <mergeCell ref="I312:I314"/>
    <mergeCell ref="J312:J314"/>
    <mergeCell ref="K312:K314"/>
    <mergeCell ref="A326:A327"/>
    <mergeCell ref="B326:B327"/>
    <mergeCell ref="C326:C327"/>
    <mergeCell ref="A331:A332"/>
    <mergeCell ref="B331:B332"/>
    <mergeCell ref="C331:C332"/>
    <mergeCell ref="F316:F317"/>
    <mergeCell ref="A322:A325"/>
    <mergeCell ref="B322:B325"/>
    <mergeCell ref="C322:C325"/>
    <mergeCell ref="A316:A317"/>
    <mergeCell ref="B316:B317"/>
    <mergeCell ref="C316:C317"/>
    <mergeCell ref="D316:D317"/>
    <mergeCell ref="E316:E317"/>
    <mergeCell ref="J331:J332"/>
    <mergeCell ref="K331:K332"/>
    <mergeCell ref="G329:J329"/>
    <mergeCell ref="A334:A336"/>
    <mergeCell ref="B334:B336"/>
    <mergeCell ref="C334:C336"/>
    <mergeCell ref="G335:J335"/>
    <mergeCell ref="G336:J336"/>
    <mergeCell ref="D331:D332"/>
    <mergeCell ref="E331:E332"/>
    <mergeCell ref="F331:F332"/>
    <mergeCell ref="G331:G332"/>
    <mergeCell ref="H331:H332"/>
    <mergeCell ref="I331:I332"/>
    <mergeCell ref="K343:K344"/>
    <mergeCell ref="L343:L344"/>
    <mergeCell ref="G352:J352"/>
    <mergeCell ref="A337:A338"/>
    <mergeCell ref="C337:C338"/>
    <mergeCell ref="G339:J339"/>
    <mergeCell ref="A343:A344"/>
    <mergeCell ref="B343:B344"/>
    <mergeCell ref="C343:C344"/>
    <mergeCell ref="G343:G344"/>
    <mergeCell ref="H343:H344"/>
    <mergeCell ref="I343:I344"/>
    <mergeCell ref="J343:J344"/>
    <mergeCell ref="J358:J359"/>
    <mergeCell ref="K358:K359"/>
    <mergeCell ref="G364:G365"/>
    <mergeCell ref="H364:H365"/>
    <mergeCell ref="I364:I365"/>
    <mergeCell ref="J364:J365"/>
    <mergeCell ref="K364:K365"/>
    <mergeCell ref="A358:A359"/>
    <mergeCell ref="B358:B359"/>
    <mergeCell ref="C358:C359"/>
    <mergeCell ref="G358:G359"/>
    <mergeCell ref="H358:H359"/>
    <mergeCell ref="I358:I359"/>
    <mergeCell ref="L364:L365"/>
    <mergeCell ref="A366:A369"/>
    <mergeCell ref="B366:B369"/>
    <mergeCell ref="A372:A373"/>
    <mergeCell ref="B372:B373"/>
    <mergeCell ref="C372:C373"/>
    <mergeCell ref="D372:D373"/>
    <mergeCell ref="E372:E373"/>
    <mergeCell ref="F372:F373"/>
    <mergeCell ref="J372:J373"/>
    <mergeCell ref="K372:K373"/>
    <mergeCell ref="J375:J376"/>
    <mergeCell ref="K375:K376"/>
    <mergeCell ref="A380:A382"/>
    <mergeCell ref="B380:B382"/>
    <mergeCell ref="C381:C382"/>
    <mergeCell ref="G381:G382"/>
    <mergeCell ref="H381:H382"/>
    <mergeCell ref="I381:I382"/>
    <mergeCell ref="J381:J382"/>
    <mergeCell ref="K381:K382"/>
    <mergeCell ref="A375:A37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L381:L382"/>
    <mergeCell ref="A383:A388"/>
    <mergeCell ref="B383:B388"/>
    <mergeCell ref="C383:C388"/>
    <mergeCell ref="G383:J386"/>
    <mergeCell ref="K383:K388"/>
    <mergeCell ref="L383:L388"/>
    <mergeCell ref="D386:E386"/>
    <mergeCell ref="D387:D388"/>
    <mergeCell ref="E387:E388"/>
    <mergeCell ref="F387:F388"/>
    <mergeCell ref="J387:J388"/>
    <mergeCell ref="A390:A391"/>
    <mergeCell ref="A393:A394"/>
    <mergeCell ref="B393:B394"/>
    <mergeCell ref="C393:C394"/>
    <mergeCell ref="D393:D394"/>
    <mergeCell ref="E393:E394"/>
    <mergeCell ref="F393:F394"/>
    <mergeCell ref="J393:J394"/>
    <mergeCell ref="K393:K394"/>
    <mergeCell ref="L393:L394"/>
    <mergeCell ref="G390:J390"/>
    <mergeCell ref="A396:A399"/>
    <mergeCell ref="B396:B399"/>
    <mergeCell ref="C396:C399"/>
    <mergeCell ref="D396:D397"/>
    <mergeCell ref="E396:E397"/>
    <mergeCell ref="F396:F397"/>
    <mergeCell ref="J396:J397"/>
    <mergeCell ref="K396:K397"/>
    <mergeCell ref="A404:A405"/>
    <mergeCell ref="B404:B405"/>
    <mergeCell ref="A407:A411"/>
    <mergeCell ref="B407:B411"/>
    <mergeCell ref="C407:C411"/>
    <mergeCell ref="G407:J410"/>
    <mergeCell ref="L396:L397"/>
    <mergeCell ref="E398:F398"/>
    <mergeCell ref="G398:G399"/>
    <mergeCell ref="H398:H399"/>
    <mergeCell ref="I398:I399"/>
    <mergeCell ref="J398:J399"/>
    <mergeCell ref="K398:K399"/>
    <mergeCell ref="L398:L399"/>
    <mergeCell ref="K407:K410"/>
    <mergeCell ref="H421:H422"/>
    <mergeCell ref="I421:I422"/>
    <mergeCell ref="J421:J422"/>
    <mergeCell ref="K421:K422"/>
    <mergeCell ref="L421:L422"/>
    <mergeCell ref="G428:J429"/>
    <mergeCell ref="A414:A415"/>
    <mergeCell ref="B414:B415"/>
    <mergeCell ref="C414:C415"/>
    <mergeCell ref="G414:G415"/>
    <mergeCell ref="H414:H415"/>
    <mergeCell ref="I414:I415"/>
    <mergeCell ref="J414:J415"/>
    <mergeCell ref="K414:K415"/>
    <mergeCell ref="L414:L415"/>
    <mergeCell ref="D428:D429"/>
    <mergeCell ref="E428:E429"/>
    <mergeCell ref="F428:F429"/>
    <mergeCell ref="A421:A422"/>
    <mergeCell ref="C421:C422"/>
    <mergeCell ref="G421:G422"/>
    <mergeCell ref="L440:L441"/>
    <mergeCell ref="A442:A443"/>
    <mergeCell ref="B442:B443"/>
    <mergeCell ref="C442:C443"/>
    <mergeCell ref="A448:A449"/>
    <mergeCell ref="B448:B449"/>
    <mergeCell ref="K434:K437"/>
    <mergeCell ref="G440:G441"/>
    <mergeCell ref="H440:H441"/>
    <mergeCell ref="I440:I441"/>
    <mergeCell ref="J440:J441"/>
    <mergeCell ref="K440:K441"/>
    <mergeCell ref="A434:A437"/>
    <mergeCell ref="B434:B437"/>
    <mergeCell ref="C434:C437"/>
    <mergeCell ref="D434:D437"/>
    <mergeCell ref="E434:E437"/>
    <mergeCell ref="F434:F437"/>
    <mergeCell ref="J434:J437"/>
    <mergeCell ref="A438:A439"/>
    <mergeCell ref="B438:B439"/>
    <mergeCell ref="C438:C439"/>
    <mergeCell ref="G439:J439"/>
    <mergeCell ref="J452:J453"/>
    <mergeCell ref="K452:K453"/>
    <mergeCell ref="A455:A456"/>
    <mergeCell ref="B455:B456"/>
    <mergeCell ref="C455:C456"/>
    <mergeCell ref="A459:A460"/>
    <mergeCell ref="B459:B460"/>
    <mergeCell ref="C459:C460"/>
    <mergeCell ref="G459:G460"/>
    <mergeCell ref="H459:H460"/>
    <mergeCell ref="A452:A453"/>
    <mergeCell ref="B452:B453"/>
    <mergeCell ref="C452:C453"/>
    <mergeCell ref="G452:G453"/>
    <mergeCell ref="H452:H453"/>
    <mergeCell ref="I452:I453"/>
    <mergeCell ref="I459:I460"/>
    <mergeCell ref="J459:J460"/>
    <mergeCell ref="K459:K460"/>
    <mergeCell ref="G458:J458"/>
    <mergeCell ref="L459:L460"/>
    <mergeCell ref="A468:A469"/>
    <mergeCell ref="B468:B469"/>
    <mergeCell ref="C468:C469"/>
    <mergeCell ref="G468:G469"/>
    <mergeCell ref="H468:H469"/>
    <mergeCell ref="I468:I469"/>
    <mergeCell ref="J468:J469"/>
    <mergeCell ref="K468:K469"/>
    <mergeCell ref="L468:L469"/>
    <mergeCell ref="G463:J463"/>
    <mergeCell ref="A501:A504"/>
    <mergeCell ref="B501:B504"/>
    <mergeCell ref="C501:C504"/>
    <mergeCell ref="J501:J502"/>
    <mergeCell ref="K501:K502"/>
    <mergeCell ref="D502:F504"/>
    <mergeCell ref="G503:J503"/>
    <mergeCell ref="G486:K486"/>
    <mergeCell ref="D487:E487"/>
    <mergeCell ref="G487:K487"/>
    <mergeCell ref="A493:A494"/>
    <mergeCell ref="B493:B494"/>
    <mergeCell ref="C493:C494"/>
    <mergeCell ref="A473:A488"/>
    <mergeCell ref="B473:B488"/>
    <mergeCell ref="C473:C488"/>
    <mergeCell ref="D479:E479"/>
    <mergeCell ref="G481:K481"/>
    <mergeCell ref="G482:K482"/>
    <mergeCell ref="G483:K483"/>
    <mergeCell ref="D484:E484"/>
    <mergeCell ref="G484:K484"/>
    <mergeCell ref="G485:K485"/>
    <mergeCell ref="G491:J491"/>
    <mergeCell ref="C491:C492"/>
    <mergeCell ref="B491:B492"/>
    <mergeCell ref="A491:A492"/>
    <mergeCell ref="G511:G512"/>
    <mergeCell ref="H511:H512"/>
    <mergeCell ref="I511:I512"/>
    <mergeCell ref="J511:J512"/>
    <mergeCell ref="K511:K512"/>
    <mergeCell ref="L511:L512"/>
    <mergeCell ref="E505:F505"/>
    <mergeCell ref="A508:A509"/>
    <mergeCell ref="B508:B509"/>
    <mergeCell ref="A511:A512"/>
    <mergeCell ref="B511:B512"/>
    <mergeCell ref="C511:C512"/>
    <mergeCell ref="J515:J516"/>
    <mergeCell ref="K515:K516"/>
    <mergeCell ref="L515:L516"/>
    <mergeCell ref="A517:A518"/>
    <mergeCell ref="B517:B518"/>
    <mergeCell ref="C517:C518"/>
    <mergeCell ref="G517:G518"/>
    <mergeCell ref="H517:H518"/>
    <mergeCell ref="I517:I518"/>
    <mergeCell ref="J517:J518"/>
    <mergeCell ref="A515:A516"/>
    <mergeCell ref="B515:B516"/>
    <mergeCell ref="C515:C516"/>
    <mergeCell ref="D515:D516"/>
    <mergeCell ref="E515:E516"/>
    <mergeCell ref="F515:F516"/>
    <mergeCell ref="L517:L518"/>
    <mergeCell ref="A529:A531"/>
    <mergeCell ref="B529:B531"/>
    <mergeCell ref="C529:C531"/>
    <mergeCell ref="D529:D531"/>
    <mergeCell ref="E529:E531"/>
    <mergeCell ref="F529:F531"/>
    <mergeCell ref="K517:K518"/>
    <mergeCell ref="L532:O532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A519:A528"/>
    <mergeCell ref="B519:B528"/>
    <mergeCell ref="C519:C528"/>
    <mergeCell ref="D519:D528"/>
    <mergeCell ref="E519:E528"/>
    <mergeCell ref="F519:F528"/>
    <mergeCell ref="J519:J528"/>
    <mergeCell ref="K519:K528"/>
    <mergeCell ref="H520:I520"/>
    <mergeCell ref="H523:I523"/>
    <mergeCell ref="A545:A546"/>
    <mergeCell ref="B545:B546"/>
    <mergeCell ref="C545:C546"/>
    <mergeCell ref="D545:D546"/>
    <mergeCell ref="E545:E546"/>
    <mergeCell ref="F545:F546"/>
    <mergeCell ref="J538:J539"/>
    <mergeCell ref="K538:K539"/>
    <mergeCell ref="L538:L539"/>
    <mergeCell ref="A540:A543"/>
    <mergeCell ref="B540:B543"/>
    <mergeCell ref="C540:C543"/>
    <mergeCell ref="J554:J555"/>
    <mergeCell ref="K554:K555"/>
    <mergeCell ref="L554:L555"/>
    <mergeCell ref="A554:A555"/>
    <mergeCell ref="B554:B555"/>
    <mergeCell ref="C554:C555"/>
    <mergeCell ref="D554:D555"/>
    <mergeCell ref="E554:E555"/>
    <mergeCell ref="F554:F555"/>
    <mergeCell ref="A556:A557"/>
    <mergeCell ref="B556:B557"/>
    <mergeCell ref="C556:C557"/>
    <mergeCell ref="D556:D557"/>
    <mergeCell ref="E556:E557"/>
    <mergeCell ref="F556:F557"/>
    <mergeCell ref="G554:G555"/>
    <mergeCell ref="H554:H555"/>
    <mergeCell ref="I554:I555"/>
    <mergeCell ref="K565:K566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I568:I569"/>
    <mergeCell ref="A565:A566"/>
    <mergeCell ref="B565:B566"/>
    <mergeCell ref="C565:C566"/>
    <mergeCell ref="D565:D566"/>
    <mergeCell ref="E565:E566"/>
    <mergeCell ref="F565:F566"/>
    <mergeCell ref="J568:J569"/>
    <mergeCell ref="K568:K569"/>
    <mergeCell ref="H565:H566"/>
    <mergeCell ref="I565:I566"/>
    <mergeCell ref="J565:J566"/>
    <mergeCell ref="G565:G566"/>
    <mergeCell ref="L568:L569"/>
    <mergeCell ref="A571:A576"/>
    <mergeCell ref="B571:B576"/>
    <mergeCell ref="C572:C576"/>
    <mergeCell ref="D572:D575"/>
    <mergeCell ref="E572:E575"/>
    <mergeCell ref="K572:K575"/>
    <mergeCell ref="F582:F583"/>
    <mergeCell ref="J582:J583"/>
    <mergeCell ref="K582:K583"/>
    <mergeCell ref="L582:L583"/>
    <mergeCell ref="J577:J581"/>
    <mergeCell ref="A595:A598"/>
    <mergeCell ref="B595:B598"/>
    <mergeCell ref="C595:C596"/>
    <mergeCell ref="G595:G596"/>
    <mergeCell ref="H595:H596"/>
    <mergeCell ref="I595:I596"/>
    <mergeCell ref="A577:A583"/>
    <mergeCell ref="C577:C581"/>
    <mergeCell ref="G577:G581"/>
    <mergeCell ref="H577:H581"/>
    <mergeCell ref="I577:I581"/>
    <mergeCell ref="B582:B583"/>
    <mergeCell ref="C582:C583"/>
    <mergeCell ref="D582:D583"/>
    <mergeCell ref="E582:E583"/>
    <mergeCell ref="J595:J596"/>
    <mergeCell ref="K595:K596"/>
    <mergeCell ref="L595:L596"/>
    <mergeCell ref="C597:C598"/>
    <mergeCell ref="D597:D598"/>
    <mergeCell ref="E597:E598"/>
    <mergeCell ref="F597:F598"/>
    <mergeCell ref="J597:J598"/>
    <mergeCell ref="K597:K598"/>
    <mergeCell ref="A601:A605"/>
    <mergeCell ref="B601:B605"/>
    <mergeCell ref="G601:J601"/>
    <mergeCell ref="F608:F610"/>
    <mergeCell ref="G614:J614"/>
    <mergeCell ref="A616:A623"/>
    <mergeCell ref="J616:J621"/>
    <mergeCell ref="G605:J605"/>
    <mergeCell ref="G603:J603"/>
    <mergeCell ref="G604:J604"/>
    <mergeCell ref="G602:J602"/>
    <mergeCell ref="E604:F604"/>
    <mergeCell ref="C601:C605"/>
    <mergeCell ref="G622:I622"/>
    <mergeCell ref="F621:F622"/>
    <mergeCell ref="D621:E622"/>
    <mergeCell ref="A606:A607"/>
    <mergeCell ref="B606:B607"/>
    <mergeCell ref="C606:C607"/>
    <mergeCell ref="A608:A613"/>
    <mergeCell ref="B608:B613"/>
    <mergeCell ref="C608:C613"/>
    <mergeCell ref="D608:D610"/>
    <mergeCell ref="E608:E610"/>
    <mergeCell ref="A631:A632"/>
    <mergeCell ref="B631:B632"/>
    <mergeCell ref="C631:C632"/>
    <mergeCell ref="D631:D632"/>
    <mergeCell ref="E631:E632"/>
    <mergeCell ref="F631:F632"/>
    <mergeCell ref="K616:K621"/>
    <mergeCell ref="L616:L617"/>
    <mergeCell ref="G619:I621"/>
    <mergeCell ref="G623:I623"/>
    <mergeCell ref="A625:A627"/>
    <mergeCell ref="B625:B627"/>
    <mergeCell ref="C625:C627"/>
    <mergeCell ref="G626:J626"/>
    <mergeCell ref="G627:J627"/>
    <mergeCell ref="B616:B624"/>
    <mergeCell ref="C616:C624"/>
    <mergeCell ref="D624:E624"/>
    <mergeCell ref="G638:G639"/>
    <mergeCell ref="H638:H639"/>
    <mergeCell ref="I638:I639"/>
    <mergeCell ref="J638:J639"/>
    <mergeCell ref="K638:K639"/>
    <mergeCell ref="L638:L639"/>
    <mergeCell ref="A638:A639"/>
    <mergeCell ref="B638:B639"/>
    <mergeCell ref="C638:C639"/>
    <mergeCell ref="D638:D639"/>
    <mergeCell ref="E638:E639"/>
    <mergeCell ref="F638:F639"/>
    <mergeCell ref="K644:K648"/>
    <mergeCell ref="A647:A648"/>
    <mergeCell ref="B647:B648"/>
    <mergeCell ref="C647:C648"/>
    <mergeCell ref="A655:A656"/>
    <mergeCell ref="B655:B656"/>
    <mergeCell ref="C655:C656"/>
    <mergeCell ref="D655:D656"/>
    <mergeCell ref="E655:E656"/>
    <mergeCell ref="F655:F656"/>
    <mergeCell ref="A644:A646"/>
    <mergeCell ref="C644:C646"/>
    <mergeCell ref="D644:D646"/>
    <mergeCell ref="E644:E646"/>
    <mergeCell ref="F644:F646"/>
    <mergeCell ref="J644:J648"/>
    <mergeCell ref="J661:J665"/>
    <mergeCell ref="K661:K665"/>
    <mergeCell ref="L661:L665"/>
    <mergeCell ref="L668:P668"/>
    <mergeCell ref="A669:A670"/>
    <mergeCell ref="B669:B670"/>
    <mergeCell ref="C669:C670"/>
    <mergeCell ref="D669:D670"/>
    <mergeCell ref="E669:E670"/>
    <mergeCell ref="F669:F670"/>
    <mergeCell ref="A658:A665"/>
    <mergeCell ref="B658:B665"/>
    <mergeCell ref="C658:C665"/>
    <mergeCell ref="D658:D660"/>
    <mergeCell ref="E658:E660"/>
    <mergeCell ref="F658:F660"/>
    <mergeCell ref="D661:F665"/>
    <mergeCell ref="H703:H704"/>
    <mergeCell ref="I703:I704"/>
    <mergeCell ref="J703:J704"/>
    <mergeCell ref="A707:A708"/>
    <mergeCell ref="B707:B708"/>
    <mergeCell ref="C707:C708"/>
    <mergeCell ref="J707:J708"/>
    <mergeCell ref="K707:K708"/>
    <mergeCell ref="I674:I675"/>
    <mergeCell ref="J674:J675"/>
    <mergeCell ref="K674:K675"/>
    <mergeCell ref="G669:G670"/>
    <mergeCell ref="H669:H670"/>
    <mergeCell ref="I669:I670"/>
    <mergeCell ref="J669:J670"/>
    <mergeCell ref="K669:K670"/>
    <mergeCell ref="L669:L670"/>
    <mergeCell ref="A686:A687"/>
    <mergeCell ref="B686:B687"/>
    <mergeCell ref="A692:A693"/>
    <mergeCell ref="B692:B693"/>
    <mergeCell ref="C692:C693"/>
    <mergeCell ref="G692:G693"/>
    <mergeCell ref="A674:A675"/>
    <mergeCell ref="B674:B675"/>
    <mergeCell ref="H674:H675"/>
    <mergeCell ref="H692:H693"/>
    <mergeCell ref="K692:K693"/>
    <mergeCell ref="I692:I693"/>
    <mergeCell ref="J692:J693"/>
    <mergeCell ref="A763:B763"/>
    <mergeCell ref="G351:J351"/>
    <mergeCell ref="A351:A354"/>
    <mergeCell ref="B351:B354"/>
    <mergeCell ref="C351:C354"/>
    <mergeCell ref="G353:J353"/>
    <mergeCell ref="G354:J354"/>
    <mergeCell ref="H751:H752"/>
    <mergeCell ref="I751:I752"/>
    <mergeCell ref="J751:J752"/>
    <mergeCell ref="K751:K752"/>
    <mergeCell ref="A754:A755"/>
    <mergeCell ref="B754:B755"/>
    <mergeCell ref="C754:C755"/>
    <mergeCell ref="D754:D755"/>
    <mergeCell ref="E754:E755"/>
    <mergeCell ref="F754:F755"/>
    <mergeCell ref="G743:J743"/>
    <mergeCell ref="K731:K732"/>
    <mergeCell ref="A716:A717"/>
    <mergeCell ref="B716:B717"/>
    <mergeCell ref="C733:C734"/>
    <mergeCell ref="D733:F733"/>
    <mergeCell ref="G730:J730"/>
    <mergeCell ref="A731:A732"/>
    <mergeCell ref="B731:B732"/>
    <mergeCell ref="C731:C732"/>
    <mergeCell ref="D731:F732"/>
    <mergeCell ref="J731:J732"/>
    <mergeCell ref="G727:J727"/>
    <mergeCell ref="A728:A729"/>
    <mergeCell ref="B728:B729"/>
    <mergeCell ref="D142:F142"/>
    <mergeCell ref="G141:J141"/>
    <mergeCell ref="A355:A356"/>
    <mergeCell ref="B355:B356"/>
    <mergeCell ref="C355:C356"/>
    <mergeCell ref="G356:J356"/>
    <mergeCell ref="L746:O746"/>
    <mergeCell ref="L747:O747"/>
    <mergeCell ref="A751:A753"/>
    <mergeCell ref="B751:B753"/>
    <mergeCell ref="C751:C752"/>
    <mergeCell ref="D751:D752"/>
    <mergeCell ref="E751:E752"/>
    <mergeCell ref="F751:F752"/>
    <mergeCell ref="G751:G752"/>
    <mergeCell ref="J754:J755"/>
    <mergeCell ref="K754:K755"/>
    <mergeCell ref="L731:L732"/>
    <mergeCell ref="C728:C729"/>
    <mergeCell ref="D728:F728"/>
    <mergeCell ref="B733:B735"/>
    <mergeCell ref="A733:A735"/>
    <mergeCell ref="G725:J725"/>
    <mergeCell ref="A703:A704"/>
    <mergeCell ref="B703:B704"/>
    <mergeCell ref="C703:C704"/>
    <mergeCell ref="D703:D704"/>
    <mergeCell ref="E703:E704"/>
    <mergeCell ref="F703:F704"/>
    <mergeCell ref="G703:G704"/>
    <mergeCell ref="K703:K704"/>
    <mergeCell ref="G700:J700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"/>
  <sheetViews>
    <sheetView rightToLeft="1" topLeftCell="B857" zoomScale="60" zoomScaleNormal="60" workbookViewId="0">
      <selection activeCell="B875" sqref="B875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3">
        <v>1</v>
      </c>
      <c r="B2" s="19" t="s">
        <v>1496</v>
      </c>
      <c r="C2" s="2105" t="s">
        <v>372</v>
      </c>
      <c r="D2" s="2062">
        <v>600000000</v>
      </c>
      <c r="E2" s="2101">
        <v>0.06</v>
      </c>
      <c r="F2" s="2062">
        <f>D2*E2</f>
        <v>36000000</v>
      </c>
      <c r="G2" s="2062">
        <v>36000000</v>
      </c>
      <c r="H2" s="2062" t="s">
        <v>4426</v>
      </c>
      <c r="I2" s="2108" t="s">
        <v>1810</v>
      </c>
      <c r="J2" s="2062">
        <f>G2</f>
        <v>36000000</v>
      </c>
      <c r="K2" s="2062">
        <f>F2-J2</f>
        <v>0</v>
      </c>
      <c r="L2" s="2085"/>
    </row>
    <row r="3" spans="1:12" ht="30" customHeight="1" x14ac:dyDescent="0.2">
      <c r="A3" s="8153">
        <v>2</v>
      </c>
      <c r="B3" s="8166" t="s">
        <v>282</v>
      </c>
      <c r="C3" s="8134"/>
      <c r="D3" s="2550">
        <v>300000000</v>
      </c>
      <c r="E3" s="2556">
        <v>0.05</v>
      </c>
      <c r="F3" s="2550">
        <f>D3*E3</f>
        <v>15000000</v>
      </c>
      <c r="G3" s="2550">
        <v>15000000</v>
      </c>
      <c r="H3" s="2550" t="s">
        <v>4462</v>
      </c>
      <c r="I3" s="287" t="s">
        <v>4098</v>
      </c>
      <c r="J3" s="2550">
        <f>G3</f>
        <v>15000000</v>
      </c>
      <c r="K3" s="2550">
        <f>F3-J3</f>
        <v>0</v>
      </c>
      <c r="L3" s="2557"/>
    </row>
    <row r="4" spans="1:12" ht="30" customHeight="1" x14ac:dyDescent="0.2">
      <c r="A4" s="8154"/>
      <c r="B4" s="8167"/>
      <c r="C4" s="8156"/>
      <c r="D4" s="8157" t="s">
        <v>4531</v>
      </c>
      <c r="E4" s="8158"/>
      <c r="F4" s="8159"/>
      <c r="G4" s="2550">
        <v>100000000</v>
      </c>
      <c r="H4" s="2550" t="s">
        <v>3003</v>
      </c>
      <c r="I4" s="287" t="s">
        <v>4098</v>
      </c>
      <c r="J4" s="8145">
        <f>G4+G5+G6</f>
        <v>300000000</v>
      </c>
      <c r="K4" s="8145">
        <f>300000000-J4</f>
        <v>0</v>
      </c>
      <c r="L4" s="8150" t="s">
        <v>1326</v>
      </c>
    </row>
    <row r="5" spans="1:12" ht="30" customHeight="1" x14ac:dyDescent="0.2">
      <c r="A5" s="8154"/>
      <c r="B5" s="8167"/>
      <c r="C5" s="8156"/>
      <c r="D5" s="8160"/>
      <c r="E5" s="8161"/>
      <c r="F5" s="8162"/>
      <c r="G5" s="2550">
        <v>89000000</v>
      </c>
      <c r="H5" s="2550" t="s">
        <v>4596</v>
      </c>
      <c r="I5" s="287" t="s">
        <v>4098</v>
      </c>
      <c r="J5" s="8146"/>
      <c r="K5" s="8146"/>
      <c r="L5" s="8151"/>
    </row>
    <row r="6" spans="1:12" ht="30" customHeight="1" x14ac:dyDescent="0.2">
      <c r="A6" s="8155"/>
      <c r="B6" s="8168"/>
      <c r="C6" s="8135"/>
      <c r="D6" s="8163"/>
      <c r="E6" s="8164"/>
      <c r="F6" s="8165"/>
      <c r="G6" s="2550">
        <v>111000000</v>
      </c>
      <c r="H6" s="2550" t="s">
        <v>4619</v>
      </c>
      <c r="I6" s="287" t="s">
        <v>4098</v>
      </c>
      <c r="J6" s="8147"/>
      <c r="K6" s="8147"/>
      <c r="L6" s="8152"/>
    </row>
    <row r="7" spans="1:12" ht="30" customHeight="1" x14ac:dyDescent="0.2">
      <c r="A7" s="2103">
        <v>3</v>
      </c>
      <c r="B7" s="19" t="s">
        <v>285</v>
      </c>
      <c r="C7" s="2084" t="s">
        <v>359</v>
      </c>
      <c r="D7" s="2074">
        <v>36000000</v>
      </c>
      <c r="E7" s="2101">
        <v>7.0000000000000007E-2</v>
      </c>
      <c r="F7" s="2074">
        <v>2500000</v>
      </c>
      <c r="G7" s="2074">
        <v>2500000</v>
      </c>
      <c r="H7" s="2074" t="s">
        <v>4426</v>
      </c>
      <c r="I7" s="24" t="s">
        <v>2026</v>
      </c>
      <c r="J7" s="2074">
        <f>G7</f>
        <v>2500000</v>
      </c>
      <c r="K7" s="2074">
        <f>F7-J7</f>
        <v>0</v>
      </c>
      <c r="L7" s="2107"/>
    </row>
    <row r="8" spans="1:12" ht="30" customHeight="1" x14ac:dyDescent="0.2">
      <c r="A8" s="2063">
        <v>4</v>
      </c>
      <c r="B8" s="2106" t="s">
        <v>310</v>
      </c>
      <c r="C8" s="2105" t="s">
        <v>2644</v>
      </c>
      <c r="D8" s="2074">
        <v>700000000</v>
      </c>
      <c r="E8" s="2101">
        <v>6.3E-2</v>
      </c>
      <c r="F8" s="2074">
        <f>D8*E8</f>
        <v>44100000</v>
      </c>
      <c r="G8" s="2074">
        <v>44000000</v>
      </c>
      <c r="H8" s="2074" t="s">
        <v>4385</v>
      </c>
      <c r="I8" s="24" t="s">
        <v>1543</v>
      </c>
      <c r="J8" s="2074">
        <f>G8</f>
        <v>44000000</v>
      </c>
      <c r="K8" s="2074">
        <f>F8-J8</f>
        <v>100000</v>
      </c>
      <c r="L8" s="29"/>
    </row>
    <row r="9" spans="1:12" ht="30" customHeight="1" x14ac:dyDescent="0.2">
      <c r="A9" s="2103">
        <v>5</v>
      </c>
      <c r="B9" s="19" t="s">
        <v>317</v>
      </c>
      <c r="C9" s="2084" t="s">
        <v>372</v>
      </c>
      <c r="D9" s="2074">
        <v>20000000</v>
      </c>
      <c r="E9" s="2101">
        <v>7.0000000000000007E-2</v>
      </c>
      <c r="F9" s="2074">
        <v>1400000</v>
      </c>
      <c r="G9" s="2074">
        <v>22000000</v>
      </c>
      <c r="H9" s="2074" t="s">
        <v>3003</v>
      </c>
      <c r="I9" s="24" t="s">
        <v>4532</v>
      </c>
      <c r="J9" s="2074">
        <f t="shared" ref="J9:J14" si="0">G9</f>
        <v>22000000</v>
      </c>
      <c r="K9" s="2074">
        <f t="shared" ref="K9:K14" si="1">F9-J9</f>
        <v>-20600000</v>
      </c>
      <c r="L9" s="29" t="s">
        <v>1326</v>
      </c>
    </row>
    <row r="10" spans="1:12" ht="30" customHeight="1" x14ac:dyDescent="0.2">
      <c r="A10" s="2063">
        <v>6</v>
      </c>
      <c r="B10" s="2106" t="s">
        <v>407</v>
      </c>
      <c r="C10" s="2083"/>
      <c r="D10" s="2074">
        <v>15000000</v>
      </c>
      <c r="E10" s="2101">
        <v>0.05</v>
      </c>
      <c r="F10" s="2074">
        <f t="shared" ref="F10:F16" si="2">D10*E10</f>
        <v>750000</v>
      </c>
      <c r="G10" s="2074"/>
      <c r="H10" s="2074"/>
      <c r="I10" s="24"/>
      <c r="J10" s="2074">
        <f t="shared" si="0"/>
        <v>0</v>
      </c>
      <c r="K10" s="2074">
        <f t="shared" si="1"/>
        <v>750000</v>
      </c>
      <c r="L10" s="637"/>
    </row>
    <row r="11" spans="1:12" ht="30" customHeight="1" x14ac:dyDescent="0.2">
      <c r="A11" s="2063">
        <v>7</v>
      </c>
      <c r="B11" s="2106" t="s">
        <v>102</v>
      </c>
      <c r="C11" s="2083" t="s">
        <v>889</v>
      </c>
      <c r="D11" s="2074">
        <v>45000000</v>
      </c>
      <c r="E11" s="2101">
        <v>0.05</v>
      </c>
      <c r="F11" s="2074">
        <f t="shared" si="2"/>
        <v>2250000</v>
      </c>
      <c r="G11" s="2074">
        <v>2250000</v>
      </c>
      <c r="H11" s="2074" t="s">
        <v>4426</v>
      </c>
      <c r="I11" s="26" t="s">
        <v>3420</v>
      </c>
      <c r="J11" s="2074">
        <f t="shared" si="0"/>
        <v>2250000</v>
      </c>
      <c r="K11" s="2074">
        <f t="shared" si="1"/>
        <v>0</v>
      </c>
      <c r="L11" s="736"/>
    </row>
    <row r="12" spans="1:12" ht="30" customHeight="1" x14ac:dyDescent="0.2">
      <c r="A12" s="2063">
        <v>8</v>
      </c>
      <c r="B12" s="19" t="s">
        <v>349</v>
      </c>
      <c r="C12" s="2105" t="s">
        <v>1291</v>
      </c>
      <c r="D12" s="2062">
        <v>400000000</v>
      </c>
      <c r="E12" s="2101">
        <v>4.4999999999999998E-2</v>
      </c>
      <c r="F12" s="2062">
        <f t="shared" si="2"/>
        <v>18000000</v>
      </c>
      <c r="G12" s="2062">
        <v>18000000</v>
      </c>
      <c r="H12" s="2074" t="s">
        <v>2473</v>
      </c>
      <c r="I12" s="24" t="s">
        <v>3739</v>
      </c>
      <c r="J12" s="2074">
        <f t="shared" si="0"/>
        <v>18000000</v>
      </c>
      <c r="K12" s="2062">
        <f t="shared" si="1"/>
        <v>0</v>
      </c>
      <c r="L12" s="2071" t="s">
        <v>4516</v>
      </c>
    </row>
    <row r="13" spans="1:12" ht="30" customHeight="1" x14ac:dyDescent="0.2">
      <c r="A13" s="2103">
        <v>9</v>
      </c>
      <c r="B13" s="2107" t="s">
        <v>378</v>
      </c>
      <c r="C13" s="2084" t="s">
        <v>371</v>
      </c>
      <c r="D13" s="2074">
        <v>10000000</v>
      </c>
      <c r="E13" s="2077">
        <v>0.05</v>
      </c>
      <c r="F13" s="2074">
        <f t="shared" si="2"/>
        <v>500000</v>
      </c>
      <c r="G13" s="2074">
        <v>500000</v>
      </c>
      <c r="H13" s="2074" t="s">
        <v>4449</v>
      </c>
      <c r="I13" s="24" t="s">
        <v>1001</v>
      </c>
      <c r="J13" s="2074">
        <f t="shared" si="0"/>
        <v>500000</v>
      </c>
      <c r="K13" s="2074">
        <f t="shared" si="1"/>
        <v>0</v>
      </c>
      <c r="L13" s="29"/>
    </row>
    <row r="14" spans="1:12" ht="30" customHeight="1" x14ac:dyDescent="0.2">
      <c r="A14" s="2103">
        <v>10</v>
      </c>
      <c r="B14" s="2106" t="s">
        <v>999</v>
      </c>
      <c r="C14" s="2105" t="s">
        <v>1796</v>
      </c>
      <c r="D14" s="2074">
        <v>180000000</v>
      </c>
      <c r="E14" s="2101">
        <v>7.0000000000000007E-2</v>
      </c>
      <c r="F14" s="2074">
        <f t="shared" si="2"/>
        <v>12600000.000000002</v>
      </c>
      <c r="G14" s="2074">
        <v>12600000</v>
      </c>
      <c r="H14" s="2074" t="s">
        <v>4761</v>
      </c>
      <c r="I14" s="24" t="s">
        <v>2372</v>
      </c>
      <c r="J14" s="2074">
        <f t="shared" si="0"/>
        <v>12600000</v>
      </c>
      <c r="K14" s="2074">
        <f t="shared" si="1"/>
        <v>0</v>
      </c>
      <c r="L14" s="180" t="s">
        <v>3197</v>
      </c>
    </row>
    <row r="15" spans="1:12" ht="30" customHeight="1" x14ac:dyDescent="0.2">
      <c r="A15" s="7654">
        <v>11</v>
      </c>
      <c r="B15" s="7717" t="s">
        <v>393</v>
      </c>
      <c r="C15" s="2084" t="s">
        <v>359</v>
      </c>
      <c r="D15" s="2062">
        <v>15000000</v>
      </c>
      <c r="E15" s="2101">
        <v>7.0000000000000007E-2</v>
      </c>
      <c r="F15" s="2062">
        <f t="shared" si="2"/>
        <v>1050000</v>
      </c>
      <c r="G15" s="7563">
        <v>1300000</v>
      </c>
      <c r="H15" s="7563" t="s">
        <v>4449</v>
      </c>
      <c r="I15" s="8115" t="s">
        <v>394</v>
      </c>
      <c r="J15" s="7563">
        <f>G15+G16</f>
        <v>1300000</v>
      </c>
      <c r="K15" s="7563">
        <v>0</v>
      </c>
      <c r="L15" s="7713" t="s">
        <v>4023</v>
      </c>
    </row>
    <row r="16" spans="1:12" ht="30" customHeight="1" x14ac:dyDescent="0.2">
      <c r="A16" s="7656"/>
      <c r="B16" s="7717"/>
      <c r="C16" s="2084" t="s">
        <v>1080</v>
      </c>
      <c r="D16" s="2062">
        <v>5000000</v>
      </c>
      <c r="E16" s="2101">
        <v>0.05</v>
      </c>
      <c r="F16" s="2062">
        <f t="shared" si="2"/>
        <v>250000</v>
      </c>
      <c r="G16" s="7564"/>
      <c r="H16" s="7564"/>
      <c r="I16" s="8116"/>
      <c r="J16" s="7564"/>
      <c r="K16" s="7564"/>
      <c r="L16" s="7714"/>
    </row>
    <row r="17" spans="1:14" ht="30" customHeight="1" x14ac:dyDescent="0.2">
      <c r="A17" s="1028">
        <v>12</v>
      </c>
      <c r="B17" s="2106" t="s">
        <v>399</v>
      </c>
      <c r="C17" s="2084" t="s">
        <v>1172</v>
      </c>
      <c r="D17" s="2074">
        <v>75000000</v>
      </c>
      <c r="E17" s="2077">
        <f>F17/D17</f>
        <v>5.3333333333333337E-2</v>
      </c>
      <c r="F17" s="2074">
        <v>4000000</v>
      </c>
      <c r="G17" s="2074">
        <v>4000000</v>
      </c>
      <c r="H17" s="2074" t="s">
        <v>4385</v>
      </c>
      <c r="I17" s="52" t="s">
        <v>401</v>
      </c>
      <c r="J17" s="2074">
        <f>G17</f>
        <v>4000000</v>
      </c>
      <c r="K17" s="2074">
        <f>F17-J17</f>
        <v>0</v>
      </c>
      <c r="L17" s="2072" t="s">
        <v>3714</v>
      </c>
    </row>
    <row r="18" spans="1:14" ht="30" customHeight="1" x14ac:dyDescent="0.2">
      <c r="A18" s="2396"/>
      <c r="B18" s="19" t="s">
        <v>420</v>
      </c>
      <c r="C18" s="2398" t="s">
        <v>359</v>
      </c>
      <c r="D18" s="2379">
        <v>100000000</v>
      </c>
      <c r="E18" s="2395">
        <v>7.0000000000000007E-2</v>
      </c>
      <c r="F18" s="2379">
        <f t="shared" ref="F18" si="3">D18*E18</f>
        <v>7000000.0000000009</v>
      </c>
      <c r="G18" s="1455">
        <v>7000000</v>
      </c>
      <c r="H18" s="1455" t="s">
        <v>4449</v>
      </c>
      <c r="I18" s="1455" t="s">
        <v>1946</v>
      </c>
      <c r="J18" s="2379">
        <f>G18</f>
        <v>7000000</v>
      </c>
      <c r="K18" s="2379">
        <f>F18-J18</f>
        <v>0</v>
      </c>
      <c r="L18" s="2402"/>
    </row>
    <row r="19" spans="1:14" ht="30" customHeight="1" x14ac:dyDescent="0.2">
      <c r="A19" s="2065">
        <v>14</v>
      </c>
      <c r="B19" s="2068" t="s">
        <v>428</v>
      </c>
      <c r="C19" s="2084" t="s">
        <v>1300</v>
      </c>
      <c r="D19" s="2074">
        <v>150000000</v>
      </c>
      <c r="E19" s="2077">
        <v>0.04</v>
      </c>
      <c r="F19" s="2074">
        <f t="shared" ref="F19:F24" si="4">D19*E19</f>
        <v>6000000</v>
      </c>
      <c r="G19" s="2074">
        <v>6000000</v>
      </c>
      <c r="H19" s="2074" t="s">
        <v>3865</v>
      </c>
      <c r="I19" s="64" t="s">
        <v>4061</v>
      </c>
      <c r="J19" s="2074">
        <f t="shared" ref="J19:J25" si="5">G19</f>
        <v>6000000</v>
      </c>
      <c r="K19" s="2074">
        <f t="shared" ref="K19:K25" si="6">F19-J19</f>
        <v>0</v>
      </c>
      <c r="L19" s="2070"/>
    </row>
    <row r="20" spans="1:14" ht="30" customHeight="1" x14ac:dyDescent="0.2">
      <c r="A20" s="2703"/>
      <c r="B20" s="2708" t="s">
        <v>4726</v>
      </c>
      <c r="C20" s="2712" t="s">
        <v>1138</v>
      </c>
      <c r="D20" s="2705">
        <v>350000000</v>
      </c>
      <c r="E20" s="2707">
        <v>7.0000000000000007E-2</v>
      </c>
      <c r="F20" s="2705">
        <f t="shared" si="4"/>
        <v>24500000.000000004</v>
      </c>
      <c r="G20" s="2705">
        <v>24500000</v>
      </c>
      <c r="H20" s="2705" t="s">
        <v>4813</v>
      </c>
      <c r="I20" s="64" t="s">
        <v>4814</v>
      </c>
      <c r="J20" s="2705">
        <f t="shared" si="5"/>
        <v>24500000</v>
      </c>
      <c r="K20" s="2705">
        <f t="shared" si="6"/>
        <v>0</v>
      </c>
      <c r="L20" s="2709" t="s">
        <v>4727</v>
      </c>
    </row>
    <row r="21" spans="1:14" ht="30" customHeight="1" x14ac:dyDescent="0.2">
      <c r="A21" s="2065">
        <v>15</v>
      </c>
      <c r="B21" s="2068" t="s">
        <v>436</v>
      </c>
      <c r="C21" s="2084"/>
      <c r="D21" s="2074">
        <v>13000000</v>
      </c>
      <c r="E21" s="2077">
        <v>0.05</v>
      </c>
      <c r="F21" s="2074">
        <f t="shared" si="4"/>
        <v>650000</v>
      </c>
      <c r="G21" s="2074">
        <v>650000</v>
      </c>
      <c r="H21" s="2074" t="s">
        <v>1017</v>
      </c>
      <c r="I21" s="64" t="s">
        <v>2092</v>
      </c>
      <c r="J21" s="2074">
        <f t="shared" si="5"/>
        <v>650000</v>
      </c>
      <c r="K21" s="2074">
        <f t="shared" si="6"/>
        <v>0</v>
      </c>
      <c r="L21" s="2070"/>
    </row>
    <row r="22" spans="1:14" ht="30" customHeight="1" x14ac:dyDescent="0.2">
      <c r="A22" s="2103">
        <v>16</v>
      </c>
      <c r="B22" s="19" t="s">
        <v>487</v>
      </c>
      <c r="C22" s="2105" t="s">
        <v>1718</v>
      </c>
      <c r="D22" s="2062">
        <v>80000000</v>
      </c>
      <c r="E22" s="2101">
        <v>0.04</v>
      </c>
      <c r="F22" s="2062">
        <f t="shared" si="4"/>
        <v>3200000</v>
      </c>
      <c r="G22" s="2062">
        <v>3200000</v>
      </c>
      <c r="H22" s="2062" t="s">
        <v>4361</v>
      </c>
      <c r="I22" s="2135" t="s">
        <v>4000</v>
      </c>
      <c r="J22" s="2062">
        <f t="shared" si="5"/>
        <v>3200000</v>
      </c>
      <c r="K22" s="2062">
        <f t="shared" si="6"/>
        <v>0</v>
      </c>
      <c r="L22" s="48"/>
    </row>
    <row r="23" spans="1:14" ht="30" customHeight="1" x14ac:dyDescent="0.2">
      <c r="A23" s="2065">
        <v>17</v>
      </c>
      <c r="B23" s="2068" t="s">
        <v>747</v>
      </c>
      <c r="C23" s="2084" t="s">
        <v>1289</v>
      </c>
      <c r="D23" s="2074">
        <v>100000000</v>
      </c>
      <c r="E23" s="2077">
        <v>0.06</v>
      </c>
      <c r="F23" s="2074">
        <f t="shared" si="4"/>
        <v>6000000</v>
      </c>
      <c r="G23" s="2074">
        <v>6000000</v>
      </c>
      <c r="H23" s="2074" t="s">
        <v>1017</v>
      </c>
      <c r="I23" s="64" t="s">
        <v>3208</v>
      </c>
      <c r="J23" s="2074">
        <f t="shared" si="5"/>
        <v>6000000</v>
      </c>
      <c r="K23" s="2074">
        <f t="shared" si="6"/>
        <v>0</v>
      </c>
      <c r="L23" s="2070"/>
    </row>
    <row r="24" spans="1:14" ht="30" customHeight="1" x14ac:dyDescent="0.2">
      <c r="A24" s="2065">
        <v>18</v>
      </c>
      <c r="B24" s="2068" t="s">
        <v>554</v>
      </c>
      <c r="C24" s="2084" t="s">
        <v>1300</v>
      </c>
      <c r="D24" s="2074">
        <v>50000000</v>
      </c>
      <c r="E24" s="2077">
        <v>0.05</v>
      </c>
      <c r="F24" s="2074">
        <f t="shared" si="4"/>
        <v>2500000</v>
      </c>
      <c r="G24" s="2074">
        <v>2500000</v>
      </c>
      <c r="H24" s="2074" t="s">
        <v>3865</v>
      </c>
      <c r="I24" s="64" t="s">
        <v>4471</v>
      </c>
      <c r="J24" s="2074">
        <f t="shared" si="5"/>
        <v>2500000</v>
      </c>
      <c r="K24" s="2074">
        <f t="shared" si="6"/>
        <v>0</v>
      </c>
      <c r="L24" s="2070"/>
    </row>
    <row r="25" spans="1:14" ht="30" customHeight="1" x14ac:dyDescent="0.2">
      <c r="A25" s="7879">
        <v>19</v>
      </c>
      <c r="B25" s="7652" t="s">
        <v>560</v>
      </c>
      <c r="C25" s="7723" t="s">
        <v>1300</v>
      </c>
      <c r="D25" s="2074">
        <v>50000000</v>
      </c>
      <c r="E25" s="7659">
        <f>F25/(D25+D26)</f>
        <v>0.05</v>
      </c>
      <c r="F25" s="7563">
        <v>3250000</v>
      </c>
      <c r="G25" s="7563">
        <v>3250000</v>
      </c>
      <c r="H25" s="7563" t="s">
        <v>4402</v>
      </c>
      <c r="I25" s="7762" t="s">
        <v>4401</v>
      </c>
      <c r="J25" s="7563">
        <f t="shared" si="5"/>
        <v>3250000</v>
      </c>
      <c r="K25" s="7563">
        <f t="shared" si="6"/>
        <v>0</v>
      </c>
      <c r="L25" s="2119" t="s">
        <v>1995</v>
      </c>
    </row>
    <row r="26" spans="1:14" ht="30" customHeight="1" x14ac:dyDescent="0.2">
      <c r="A26" s="7879"/>
      <c r="B26" s="7665"/>
      <c r="C26" s="7747"/>
      <c r="D26" s="2074">
        <v>15000000</v>
      </c>
      <c r="E26" s="7660"/>
      <c r="F26" s="7564"/>
      <c r="G26" s="7564"/>
      <c r="H26" s="7564"/>
      <c r="I26" s="7763"/>
      <c r="J26" s="7564"/>
      <c r="K26" s="7564"/>
      <c r="L26" s="2119" t="s">
        <v>4517</v>
      </c>
    </row>
    <row r="27" spans="1:14" ht="30" customHeight="1" x14ac:dyDescent="0.2">
      <c r="A27" s="7879"/>
      <c r="B27" s="7653"/>
      <c r="C27" s="7724"/>
      <c r="D27" s="2377">
        <v>30000000</v>
      </c>
      <c r="E27" s="2376">
        <v>0.05</v>
      </c>
      <c r="F27" s="2377">
        <f>E27*D27</f>
        <v>1500000</v>
      </c>
      <c r="G27" s="2377">
        <v>1900000</v>
      </c>
      <c r="H27" s="2377" t="s">
        <v>2473</v>
      </c>
      <c r="I27" s="64" t="s">
        <v>4401</v>
      </c>
      <c r="J27" s="2377">
        <f>G27</f>
        <v>1900000</v>
      </c>
      <c r="K27" s="2377"/>
      <c r="L27" s="2378" t="s">
        <v>4518</v>
      </c>
    </row>
    <row r="28" spans="1:14" ht="30" customHeight="1" x14ac:dyDescent="0.2">
      <c r="A28" s="2065">
        <v>22</v>
      </c>
      <c r="B28" s="19" t="s">
        <v>658</v>
      </c>
      <c r="C28" s="2105" t="s">
        <v>1287</v>
      </c>
      <c r="D28" s="2074">
        <v>300000000</v>
      </c>
      <c r="E28" s="2077">
        <v>0.05</v>
      </c>
      <c r="F28" s="2074">
        <f>D28*E28</f>
        <v>15000000</v>
      </c>
      <c r="G28" s="2074">
        <v>15000000</v>
      </c>
      <c r="H28" s="2074" t="s">
        <v>4475</v>
      </c>
      <c r="I28" s="64" t="s">
        <v>2168</v>
      </c>
      <c r="J28" s="2062">
        <f>G28</f>
        <v>15000000</v>
      </c>
      <c r="K28" s="2062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5" t="s">
        <v>2004</v>
      </c>
      <c r="D29" s="2074">
        <v>150000000</v>
      </c>
      <c r="E29" s="2077">
        <v>7.0000000000000007E-2</v>
      </c>
      <c r="F29" s="2074">
        <f>D29*E29</f>
        <v>10500000.000000002</v>
      </c>
      <c r="G29" s="2074">
        <v>10500000</v>
      </c>
      <c r="H29" s="2089" t="s">
        <v>3003</v>
      </c>
      <c r="I29" s="64" t="s">
        <v>3704</v>
      </c>
      <c r="J29" s="2062">
        <f>G29</f>
        <v>10500000</v>
      </c>
      <c r="K29" s="2062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5" t="s">
        <v>2004</v>
      </c>
      <c r="D30" s="2074">
        <v>70000000</v>
      </c>
      <c r="E30" s="2077">
        <v>0.06</v>
      </c>
      <c r="F30" s="2074">
        <f>D30*E30</f>
        <v>4200000</v>
      </c>
      <c r="G30" s="2074">
        <v>4200000</v>
      </c>
      <c r="H30" s="2089" t="s">
        <v>3003</v>
      </c>
      <c r="I30" s="64" t="s">
        <v>3705</v>
      </c>
      <c r="J30" s="2062">
        <f>G30</f>
        <v>4200000</v>
      </c>
      <c r="K30" s="2074">
        <v>0</v>
      </c>
      <c r="L30" s="29" t="s">
        <v>3706</v>
      </c>
    </row>
    <row r="31" spans="1:14" ht="30" customHeight="1" x14ac:dyDescent="0.2">
      <c r="A31" s="2609"/>
      <c r="B31" s="19" t="s">
        <v>702</v>
      </c>
      <c r="C31" s="378"/>
      <c r="D31" s="2595">
        <v>150000000</v>
      </c>
      <c r="E31" s="1867"/>
      <c r="F31" s="1867"/>
      <c r="G31" s="7880" t="s">
        <v>4641</v>
      </c>
      <c r="H31" s="8169"/>
      <c r="I31" s="8169"/>
      <c r="J31" s="7881"/>
      <c r="K31" s="2595"/>
      <c r="L31" s="2611" t="s">
        <v>4421</v>
      </c>
    </row>
    <row r="32" spans="1:14" ht="30" customHeight="1" x14ac:dyDescent="0.2">
      <c r="A32" s="2065">
        <v>25</v>
      </c>
      <c r="B32" s="2068" t="s">
        <v>718</v>
      </c>
      <c r="C32" s="2084" t="s">
        <v>1296</v>
      </c>
      <c r="D32" s="2074">
        <v>35000000</v>
      </c>
      <c r="E32" s="2077">
        <v>5.8000000000000003E-2</v>
      </c>
      <c r="F32" s="2074">
        <v>2000000</v>
      </c>
      <c r="G32" s="2074">
        <v>2000000</v>
      </c>
      <c r="H32" s="2089" t="s">
        <v>4596</v>
      </c>
      <c r="I32" s="64" t="s">
        <v>4135</v>
      </c>
      <c r="J32" s="2074">
        <f>G32</f>
        <v>2000000</v>
      </c>
      <c r="K32" s="2074">
        <f>F32-G32</f>
        <v>0</v>
      </c>
      <c r="L32" s="2072"/>
      <c r="M32" s="366"/>
      <c r="N32" s="366"/>
    </row>
    <row r="33" spans="1:14" ht="30" customHeight="1" x14ac:dyDescent="0.2">
      <c r="A33" s="2064"/>
      <c r="B33" s="2067" t="s">
        <v>803</v>
      </c>
      <c r="C33" s="2092" t="s">
        <v>359</v>
      </c>
      <c r="D33" s="2078">
        <v>700000000</v>
      </c>
      <c r="E33" s="2076">
        <v>0.05</v>
      </c>
      <c r="F33" s="2078">
        <f t="shared" ref="F33:F45" si="7">D33*E33</f>
        <v>35000000</v>
      </c>
      <c r="G33" s="2062"/>
      <c r="H33" s="2062"/>
      <c r="I33" s="2062" t="s">
        <v>3063</v>
      </c>
      <c r="J33" s="2062">
        <f>G33</f>
        <v>0</v>
      </c>
      <c r="K33" s="2078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7654">
        <v>27</v>
      </c>
      <c r="B34" s="7652" t="s">
        <v>807</v>
      </c>
      <c r="C34" s="7723" t="s">
        <v>1299</v>
      </c>
      <c r="D34" s="2073">
        <v>500000000</v>
      </c>
      <c r="E34" s="2075">
        <v>7.0000000000000007E-2</v>
      </c>
      <c r="F34" s="2073">
        <f t="shared" si="7"/>
        <v>35000000</v>
      </c>
      <c r="G34" s="7563">
        <v>68800000</v>
      </c>
      <c r="H34" s="7563" t="s">
        <v>2125</v>
      </c>
      <c r="I34" s="7762" t="s">
        <v>2290</v>
      </c>
      <c r="J34" s="7563">
        <f t="shared" ref="J34:J42" si="8">G34</f>
        <v>68800000</v>
      </c>
      <c r="K34" s="7563"/>
      <c r="L34" s="2069"/>
      <c r="M34" s="366"/>
      <c r="N34" s="366"/>
    </row>
    <row r="35" spans="1:14" ht="30" customHeight="1" x14ac:dyDescent="0.2">
      <c r="A35" s="7656"/>
      <c r="B35" s="7665"/>
      <c r="C35" s="7747"/>
      <c r="D35" s="2458">
        <v>150000000</v>
      </c>
      <c r="E35" s="2457"/>
      <c r="F35" s="2458"/>
      <c r="G35" s="7586"/>
      <c r="H35" s="7586"/>
      <c r="I35" s="8114"/>
      <c r="J35" s="7586"/>
      <c r="K35" s="7586"/>
      <c r="L35" s="2460" t="s">
        <v>4437</v>
      </c>
      <c r="M35" s="366"/>
      <c r="N35" s="366"/>
    </row>
    <row r="36" spans="1:14" ht="30" customHeight="1" x14ac:dyDescent="0.2">
      <c r="A36" s="7655"/>
      <c r="B36" s="7653"/>
      <c r="C36" s="7724"/>
      <c r="D36" s="2458">
        <v>500000000</v>
      </c>
      <c r="E36" s="2457"/>
      <c r="F36" s="2458"/>
      <c r="G36" s="7564"/>
      <c r="H36" s="7564"/>
      <c r="I36" s="7763"/>
      <c r="J36" s="7564"/>
      <c r="K36" s="7564"/>
      <c r="L36" s="2459"/>
      <c r="M36" s="366"/>
      <c r="N36" s="366"/>
    </row>
    <row r="37" spans="1:14" ht="30" customHeight="1" x14ac:dyDescent="0.2">
      <c r="A37" s="7654"/>
      <c r="B37" s="7652" t="s">
        <v>3369</v>
      </c>
      <c r="C37" s="7723" t="s">
        <v>1299</v>
      </c>
      <c r="D37" s="7563">
        <v>700000000</v>
      </c>
      <c r="E37" s="7659">
        <v>0.06</v>
      </c>
      <c r="F37" s="7563">
        <f t="shared" si="7"/>
        <v>42000000</v>
      </c>
      <c r="G37" s="2062">
        <v>15000000</v>
      </c>
      <c r="H37" s="2062" t="s">
        <v>4331</v>
      </c>
      <c r="I37" s="2062" t="s">
        <v>4352</v>
      </c>
      <c r="J37" s="7563">
        <f>G37+G38</f>
        <v>57000000</v>
      </c>
      <c r="K37" s="7563">
        <f>F37-8000000-J37-J38</f>
        <v>-23000000</v>
      </c>
      <c r="L37" s="2776" t="s">
        <v>4804</v>
      </c>
      <c r="M37" s="366"/>
      <c r="N37" s="366"/>
    </row>
    <row r="38" spans="1:14" ht="30" customHeight="1" x14ac:dyDescent="0.2">
      <c r="A38" s="7655"/>
      <c r="B38" s="7653"/>
      <c r="C38" s="7724"/>
      <c r="D38" s="7564"/>
      <c r="E38" s="7660"/>
      <c r="F38" s="7564"/>
      <c r="G38" s="2074">
        <v>42000000</v>
      </c>
      <c r="H38" s="2089" t="s">
        <v>4790</v>
      </c>
      <c r="I38" s="2089" t="s">
        <v>820</v>
      </c>
      <c r="J38" s="7564"/>
      <c r="K38" s="7564"/>
      <c r="L38" s="2072" t="s">
        <v>4791</v>
      </c>
      <c r="M38" s="366"/>
      <c r="N38" s="366"/>
    </row>
    <row r="39" spans="1:14" ht="30" customHeight="1" x14ac:dyDescent="0.2">
      <c r="A39" s="7654">
        <v>29</v>
      </c>
      <c r="B39" s="7652" t="s">
        <v>839</v>
      </c>
      <c r="C39" s="2105" t="s">
        <v>1306</v>
      </c>
      <c r="D39" s="2074">
        <v>42000000</v>
      </c>
      <c r="E39" s="2077">
        <v>7.0000000000000007E-2</v>
      </c>
      <c r="F39" s="2074">
        <f t="shared" si="7"/>
        <v>2940000.0000000005</v>
      </c>
      <c r="G39" s="2074">
        <v>2940000</v>
      </c>
      <c r="H39" s="2089" t="s">
        <v>4596</v>
      </c>
      <c r="I39" s="64" t="s">
        <v>4597</v>
      </c>
      <c r="J39" s="2074">
        <f t="shared" si="8"/>
        <v>2940000</v>
      </c>
      <c r="K39" s="2074">
        <f t="shared" ref="K39:K42" si="9">F39-J39</f>
        <v>0</v>
      </c>
      <c r="L39" s="2072"/>
      <c r="M39" s="366"/>
      <c r="N39" s="366"/>
    </row>
    <row r="40" spans="1:14" ht="30" customHeight="1" x14ac:dyDescent="0.2">
      <c r="A40" s="7655"/>
      <c r="B40" s="7653"/>
      <c r="C40" s="2084" t="s">
        <v>4105</v>
      </c>
      <c r="D40" s="2074">
        <v>200000000</v>
      </c>
      <c r="E40" s="2077"/>
      <c r="F40" s="2074"/>
      <c r="G40" s="2074"/>
      <c r="H40" s="2089"/>
      <c r="I40" s="64"/>
      <c r="J40" s="2074"/>
      <c r="K40" s="2074"/>
      <c r="L40" s="2119" t="s">
        <v>4106</v>
      </c>
      <c r="M40" s="366"/>
      <c r="N40" s="366"/>
    </row>
    <row r="41" spans="1:14" ht="30" customHeight="1" x14ac:dyDescent="0.2">
      <c r="A41" s="2065">
        <v>30</v>
      </c>
      <c r="B41" s="2068" t="s">
        <v>843</v>
      </c>
      <c r="C41" s="2084" t="s">
        <v>1107</v>
      </c>
      <c r="D41" s="2074">
        <v>20000000</v>
      </c>
      <c r="E41" s="2077">
        <v>0.04</v>
      </c>
      <c r="F41" s="2074">
        <f t="shared" si="7"/>
        <v>800000</v>
      </c>
      <c r="G41" s="2074">
        <v>800000</v>
      </c>
      <c r="H41" s="2089" t="s">
        <v>4596</v>
      </c>
      <c r="I41" s="64" t="s">
        <v>3105</v>
      </c>
      <c r="J41" s="2074">
        <f t="shared" si="8"/>
        <v>800000</v>
      </c>
      <c r="K41" s="2074">
        <f t="shared" si="9"/>
        <v>0</v>
      </c>
      <c r="L41" s="637"/>
      <c r="M41" s="366"/>
      <c r="N41" s="366"/>
    </row>
    <row r="42" spans="1:14" ht="30" customHeight="1" x14ac:dyDescent="0.2">
      <c r="A42" s="2063">
        <v>31</v>
      </c>
      <c r="B42" s="2106" t="s">
        <v>915</v>
      </c>
      <c r="C42" s="2083"/>
      <c r="D42" s="2062">
        <v>100000000</v>
      </c>
      <c r="E42" s="2101">
        <v>7.0000000000000007E-2</v>
      </c>
      <c r="F42" s="2062">
        <f t="shared" si="7"/>
        <v>7000000.0000000009</v>
      </c>
      <c r="G42" s="2074">
        <v>7000000</v>
      </c>
      <c r="H42" s="2089" t="s">
        <v>4619</v>
      </c>
      <c r="I42" s="64" t="s">
        <v>3195</v>
      </c>
      <c r="J42" s="2073">
        <f t="shared" si="8"/>
        <v>7000000</v>
      </c>
      <c r="K42" s="2073">
        <f t="shared" si="9"/>
        <v>0</v>
      </c>
      <c r="L42" s="2069"/>
      <c r="M42" s="366"/>
      <c r="N42" s="366"/>
    </row>
    <row r="43" spans="1:14" ht="30" customHeight="1" x14ac:dyDescent="0.2">
      <c r="A43" s="7654">
        <v>32</v>
      </c>
      <c r="B43" s="7652" t="s">
        <v>982</v>
      </c>
      <c r="C43" s="7723" t="s">
        <v>1306</v>
      </c>
      <c r="D43" s="2074">
        <v>100000000</v>
      </c>
      <c r="E43" s="2077">
        <v>0.05</v>
      </c>
      <c r="F43" s="2074">
        <f t="shared" si="7"/>
        <v>5000000</v>
      </c>
      <c r="G43" s="7563">
        <v>8850000</v>
      </c>
      <c r="H43" s="7563" t="s">
        <v>4619</v>
      </c>
      <c r="I43" s="7762" t="s">
        <v>2986</v>
      </c>
      <c r="J43" s="7563">
        <f>G43</f>
        <v>8850000</v>
      </c>
      <c r="K43" s="7563">
        <f>(F43+F44+F45)-J43</f>
        <v>0</v>
      </c>
      <c r="L43" s="7713"/>
      <c r="M43" s="366"/>
      <c r="N43" s="366"/>
    </row>
    <row r="44" spans="1:14" ht="30" customHeight="1" x14ac:dyDescent="0.2">
      <c r="A44" s="7656"/>
      <c r="B44" s="7665"/>
      <c r="C44" s="7747"/>
      <c r="D44" s="2074">
        <v>35000000</v>
      </c>
      <c r="E44" s="2077">
        <v>7.0000000000000007E-2</v>
      </c>
      <c r="F44" s="2074">
        <f t="shared" si="7"/>
        <v>2450000.0000000005</v>
      </c>
      <c r="G44" s="7586"/>
      <c r="H44" s="7586"/>
      <c r="I44" s="8114"/>
      <c r="J44" s="7586"/>
      <c r="K44" s="7586"/>
      <c r="L44" s="7797"/>
      <c r="M44" s="366"/>
      <c r="N44" s="366"/>
    </row>
    <row r="45" spans="1:14" ht="30" customHeight="1" x14ac:dyDescent="0.2">
      <c r="A45" s="7655"/>
      <c r="B45" s="7653"/>
      <c r="C45" s="7724"/>
      <c r="D45" s="2062">
        <v>20000000</v>
      </c>
      <c r="E45" s="2101">
        <v>7.0000000000000007E-2</v>
      </c>
      <c r="F45" s="2062">
        <f t="shared" si="7"/>
        <v>1400000.0000000002</v>
      </c>
      <c r="G45" s="7564"/>
      <c r="H45" s="7564"/>
      <c r="I45" s="7763"/>
      <c r="J45" s="7564"/>
      <c r="K45" s="7564"/>
      <c r="L45" s="7997"/>
      <c r="M45" s="7733"/>
      <c r="N45" s="7734"/>
    </row>
    <row r="46" spans="1:14" ht="30" customHeight="1" x14ac:dyDescent="0.2">
      <c r="A46" s="2065">
        <v>33</v>
      </c>
      <c r="B46" s="2068" t="s">
        <v>993</v>
      </c>
      <c r="C46" s="2084" t="s">
        <v>1287</v>
      </c>
      <c r="D46" s="2074">
        <v>63580000</v>
      </c>
      <c r="E46" s="2077">
        <v>7.0000000000000007E-2</v>
      </c>
      <c r="F46" s="2074">
        <v>4450000</v>
      </c>
      <c r="G46" s="2074">
        <v>4450000</v>
      </c>
      <c r="H46" s="2074" t="s">
        <v>4475</v>
      </c>
      <c r="I46" s="64" t="s">
        <v>484</v>
      </c>
      <c r="J46" s="2074">
        <f>G46</f>
        <v>4450000</v>
      </c>
      <c r="K46" s="2074">
        <f t="shared" ref="K46:K56" si="10">F46-J46</f>
        <v>0</v>
      </c>
      <c r="L46" s="2072"/>
      <c r="M46" s="366"/>
      <c r="N46" s="366"/>
    </row>
    <row r="47" spans="1:14" ht="30" customHeight="1" x14ac:dyDescent="0.2">
      <c r="A47" s="2065">
        <v>34</v>
      </c>
      <c r="B47" s="2067" t="s">
        <v>1110</v>
      </c>
      <c r="C47" s="2084"/>
      <c r="D47" s="2074">
        <v>20000000</v>
      </c>
      <c r="E47" s="2077">
        <v>0.04</v>
      </c>
      <c r="F47" s="2074">
        <f>D47*E47</f>
        <v>800000</v>
      </c>
      <c r="G47" s="2074">
        <v>800000</v>
      </c>
      <c r="H47" s="2074" t="s">
        <v>4596</v>
      </c>
      <c r="I47" s="64" t="s">
        <v>1112</v>
      </c>
      <c r="J47" s="2074">
        <f>G47</f>
        <v>800000</v>
      </c>
      <c r="K47" s="2074">
        <f t="shared" si="10"/>
        <v>0</v>
      </c>
      <c r="L47" s="2072"/>
      <c r="M47" s="366"/>
      <c r="N47" s="366"/>
    </row>
    <row r="48" spans="1:14" ht="30" customHeight="1" x14ac:dyDescent="0.2">
      <c r="A48" s="2103">
        <v>35</v>
      </c>
      <c r="B48" s="19" t="s">
        <v>1150</v>
      </c>
      <c r="C48" s="2105" t="s">
        <v>1138</v>
      </c>
      <c r="D48" s="2062">
        <v>175000000</v>
      </c>
      <c r="E48" s="2101">
        <v>0.06</v>
      </c>
      <c r="F48" s="2062">
        <f>D48*E48</f>
        <v>10500000</v>
      </c>
      <c r="G48" s="7563">
        <v>14500000</v>
      </c>
      <c r="H48" s="7563" t="s">
        <v>4778</v>
      </c>
      <c r="I48" s="7563" t="s">
        <v>1720</v>
      </c>
      <c r="J48" s="7563">
        <f>G48</f>
        <v>14500000</v>
      </c>
      <c r="K48" s="7563">
        <f>(F48+F49)-J48</f>
        <v>0</v>
      </c>
      <c r="L48" s="2133"/>
      <c r="M48" s="366"/>
      <c r="N48" s="366"/>
    </row>
    <row r="49" spans="1:14" ht="30" customHeight="1" x14ac:dyDescent="0.2">
      <c r="A49" s="7654"/>
      <c r="B49" s="8132" t="s">
        <v>3264</v>
      </c>
      <c r="C49" s="7723" t="s">
        <v>1138</v>
      </c>
      <c r="D49" s="2781">
        <v>100000000</v>
      </c>
      <c r="E49" s="2556">
        <v>0.04</v>
      </c>
      <c r="F49" s="2781">
        <f>D49*E49</f>
        <v>4000000</v>
      </c>
      <c r="G49" s="7564"/>
      <c r="H49" s="7564"/>
      <c r="I49" s="7564"/>
      <c r="J49" s="7564"/>
      <c r="K49" s="7564"/>
      <c r="L49" s="2072" t="s">
        <v>3265</v>
      </c>
      <c r="M49" s="366"/>
      <c r="N49" s="366"/>
    </row>
    <row r="50" spans="1:14" ht="30" customHeight="1" x14ac:dyDescent="0.2">
      <c r="A50" s="7655"/>
      <c r="B50" s="8133"/>
      <c r="C50" s="7724"/>
      <c r="D50" s="8139" t="s">
        <v>2045</v>
      </c>
      <c r="E50" s="8140"/>
      <c r="F50" s="8141"/>
      <c r="G50" s="2780">
        <v>100000000</v>
      </c>
      <c r="H50" s="2780" t="s">
        <v>4786</v>
      </c>
      <c r="I50" s="2780" t="s">
        <v>4788</v>
      </c>
      <c r="J50" s="2780">
        <f>G50</f>
        <v>100000000</v>
      </c>
      <c r="K50" s="2774"/>
      <c r="L50" s="2776"/>
      <c r="M50" s="366"/>
      <c r="N50" s="366"/>
    </row>
    <row r="51" spans="1:14" ht="30" customHeight="1" x14ac:dyDescent="0.2">
      <c r="A51" s="7654">
        <v>36</v>
      </c>
      <c r="B51" s="7652" t="s">
        <v>3370</v>
      </c>
      <c r="C51" s="7723" t="s">
        <v>1081</v>
      </c>
      <c r="D51" s="2062">
        <v>50000000</v>
      </c>
      <c r="E51" s="2101">
        <v>7.0000000000000007E-2</v>
      </c>
      <c r="F51" s="2062">
        <f>D51*E51</f>
        <v>3500000.0000000005</v>
      </c>
      <c r="G51" s="7563">
        <v>5600000</v>
      </c>
      <c r="H51" s="7563" t="s">
        <v>4778</v>
      </c>
      <c r="I51" s="8180" t="s">
        <v>4264</v>
      </c>
      <c r="J51" s="7563">
        <f>G51</f>
        <v>5600000</v>
      </c>
      <c r="K51" s="7563"/>
      <c r="L51" s="2072" t="s">
        <v>4294</v>
      </c>
      <c r="M51" s="366"/>
      <c r="N51" s="366"/>
    </row>
    <row r="52" spans="1:14" ht="30" customHeight="1" x14ac:dyDescent="0.2">
      <c r="A52" s="7655"/>
      <c r="B52" s="7653"/>
      <c r="C52" s="7724"/>
      <c r="D52" s="2182">
        <v>40000000</v>
      </c>
      <c r="E52" s="2186">
        <v>0.06</v>
      </c>
      <c r="F52" s="2179">
        <v>2500000</v>
      </c>
      <c r="G52" s="7564"/>
      <c r="H52" s="7564"/>
      <c r="I52" s="8183"/>
      <c r="J52" s="7564"/>
      <c r="K52" s="7564"/>
      <c r="L52" s="2181" t="s">
        <v>4301</v>
      </c>
      <c r="M52" s="366"/>
      <c r="N52" s="366"/>
    </row>
    <row r="53" spans="1:14" ht="30" customHeight="1" x14ac:dyDescent="0.2">
      <c r="A53" s="2065">
        <v>38</v>
      </c>
      <c r="B53" s="2066" t="s">
        <v>1254</v>
      </c>
      <c r="C53" s="2084"/>
      <c r="D53" s="298"/>
      <c r="E53" s="299"/>
      <c r="F53" s="298"/>
      <c r="G53" s="2074"/>
      <c r="H53" s="2074"/>
      <c r="I53" s="64"/>
      <c r="J53" s="2074"/>
      <c r="K53" s="2079">
        <f t="shared" si="10"/>
        <v>0</v>
      </c>
      <c r="L53" s="2072"/>
    </row>
    <row r="54" spans="1:14" ht="30" customHeight="1" x14ac:dyDescent="0.2">
      <c r="A54" s="2065">
        <v>39</v>
      </c>
      <c r="B54" s="2066" t="s">
        <v>1213</v>
      </c>
      <c r="C54" s="2084"/>
      <c r="D54" s="298"/>
      <c r="E54" s="299"/>
      <c r="F54" s="298"/>
      <c r="G54" s="2074"/>
      <c r="H54" s="2074"/>
      <c r="I54" s="64"/>
      <c r="J54" s="2074"/>
      <c r="K54" s="2079">
        <f t="shared" si="10"/>
        <v>0</v>
      </c>
      <c r="L54" s="2072"/>
    </row>
    <row r="55" spans="1:14" ht="30" customHeight="1" x14ac:dyDescent="0.2">
      <c r="A55" s="2065">
        <v>40</v>
      </c>
      <c r="B55" s="2066" t="s">
        <v>1265</v>
      </c>
      <c r="C55" s="2084" t="s">
        <v>1289</v>
      </c>
      <c r="D55" s="2124">
        <v>16000000</v>
      </c>
      <c r="E55" s="300">
        <v>0.05</v>
      </c>
      <c r="F55" s="2124">
        <f>D55*E55</f>
        <v>800000</v>
      </c>
      <c r="G55" s="2074">
        <v>800000</v>
      </c>
      <c r="H55" s="2074" t="s">
        <v>1017</v>
      </c>
      <c r="I55" s="64" t="s">
        <v>1268</v>
      </c>
      <c r="J55" s="2074">
        <f>G55</f>
        <v>800000</v>
      </c>
      <c r="K55" s="2074">
        <f t="shared" si="10"/>
        <v>0</v>
      </c>
      <c r="L55" s="2072"/>
    </row>
    <row r="56" spans="1:14" ht="30" customHeight="1" x14ac:dyDescent="0.2">
      <c r="A56" s="2065">
        <v>41</v>
      </c>
      <c r="B56" s="2066" t="s">
        <v>1285</v>
      </c>
      <c r="C56" s="2084"/>
      <c r="D56" s="298"/>
      <c r="E56" s="299"/>
      <c r="F56" s="298"/>
      <c r="G56" s="2074"/>
      <c r="H56" s="2074"/>
      <c r="I56" s="64"/>
      <c r="J56" s="2074"/>
      <c r="K56" s="2079">
        <f t="shared" si="10"/>
        <v>0</v>
      </c>
      <c r="L56" s="2072"/>
    </row>
    <row r="57" spans="1:14" ht="30" customHeight="1" x14ac:dyDescent="0.2">
      <c r="A57" s="2065">
        <v>42</v>
      </c>
      <c r="B57" s="2106" t="s">
        <v>183</v>
      </c>
      <c r="C57" s="2084"/>
      <c r="D57" s="2074">
        <v>60000000</v>
      </c>
      <c r="E57" s="2101">
        <v>0.05</v>
      </c>
      <c r="F57" s="2074">
        <f t="shared" ref="F57:F181" si="11">D57*E57</f>
        <v>3000000</v>
      </c>
      <c r="G57" s="7563">
        <v>3500000</v>
      </c>
      <c r="H57" s="7563" t="s">
        <v>4361</v>
      </c>
      <c r="I57" s="7775" t="s">
        <v>2820</v>
      </c>
      <c r="J57" s="7563">
        <f>G57</f>
        <v>3500000</v>
      </c>
      <c r="K57" s="7563">
        <f>(F57+F58)-J57</f>
        <v>0</v>
      </c>
      <c r="L57" s="7703"/>
    </row>
    <row r="58" spans="1:14" ht="30" customHeight="1" x14ac:dyDescent="0.2">
      <c r="A58" s="2065">
        <v>43</v>
      </c>
      <c r="B58" s="2104" t="s">
        <v>1079</v>
      </c>
      <c r="C58" s="2084"/>
      <c r="D58" s="2074">
        <v>10000000</v>
      </c>
      <c r="E58" s="2101">
        <v>0.05</v>
      </c>
      <c r="F58" s="2074">
        <f>D58*E58</f>
        <v>500000</v>
      </c>
      <c r="G58" s="7564"/>
      <c r="H58" s="7564"/>
      <c r="I58" s="7777"/>
      <c r="J58" s="7564"/>
      <c r="K58" s="7564"/>
      <c r="L58" s="7705"/>
    </row>
    <row r="59" spans="1:14" ht="30" customHeight="1" x14ac:dyDescent="0.2">
      <c r="A59" s="2065">
        <v>44</v>
      </c>
      <c r="B59" s="2104" t="s">
        <v>184</v>
      </c>
      <c r="C59" s="2084" t="s">
        <v>889</v>
      </c>
      <c r="D59" s="2074">
        <v>150000000</v>
      </c>
      <c r="E59" s="2101">
        <v>0.05</v>
      </c>
      <c r="F59" s="2074">
        <f t="shared" si="11"/>
        <v>7500000</v>
      </c>
      <c r="G59" s="2074">
        <v>7500000</v>
      </c>
      <c r="H59" s="2074" t="s">
        <v>4331</v>
      </c>
      <c r="I59" s="2062" t="s">
        <v>1339</v>
      </c>
      <c r="J59" s="2074">
        <f>G59</f>
        <v>7500000</v>
      </c>
      <c r="K59" s="2074">
        <f>F59-J59</f>
        <v>0</v>
      </c>
      <c r="L59" s="2104"/>
    </row>
    <row r="60" spans="1:14" ht="30" customHeight="1" x14ac:dyDescent="0.2">
      <c r="A60" s="7654">
        <v>45</v>
      </c>
      <c r="B60" s="7652" t="s">
        <v>185</v>
      </c>
      <c r="C60" s="7723" t="s">
        <v>1295</v>
      </c>
      <c r="D60" s="2062">
        <v>1590000000</v>
      </c>
      <c r="E60" s="2101">
        <v>7.0000000000000007E-2</v>
      </c>
      <c r="F60" s="2062">
        <f>D60*E60</f>
        <v>111300000.00000001</v>
      </c>
      <c r="G60" s="2062">
        <v>11300000</v>
      </c>
      <c r="H60" s="2074" t="s">
        <v>4331</v>
      </c>
      <c r="I60" s="21" t="s">
        <v>2696</v>
      </c>
      <c r="J60" s="2074">
        <f>G60</f>
        <v>11300000</v>
      </c>
      <c r="K60" s="7563">
        <f>F60-J60</f>
        <v>100000000.00000001</v>
      </c>
      <c r="L60" s="7703"/>
    </row>
    <row r="61" spans="1:14" ht="30" customHeight="1" x14ac:dyDescent="0.2">
      <c r="A61" s="7655"/>
      <c r="B61" s="7653"/>
      <c r="C61" s="7724"/>
      <c r="D61" s="2746">
        <f>D60+100000000</f>
        <v>1690000000</v>
      </c>
      <c r="E61" s="2748">
        <v>7.0000000000000007E-2</v>
      </c>
      <c r="F61" s="2746">
        <f>D61*E61</f>
        <v>118300000.00000001</v>
      </c>
      <c r="G61" s="7732" t="s">
        <v>4250</v>
      </c>
      <c r="H61" s="7733"/>
      <c r="I61" s="7733"/>
      <c r="J61" s="7734"/>
      <c r="K61" s="7564"/>
      <c r="L61" s="7705"/>
    </row>
    <row r="62" spans="1:14" ht="30" customHeight="1" x14ac:dyDescent="0.2">
      <c r="A62" s="2749"/>
      <c r="B62" s="2750"/>
      <c r="C62" s="2752"/>
      <c r="D62" s="2746">
        <v>400000000</v>
      </c>
      <c r="E62" s="2748">
        <v>7.0000000000000007E-2</v>
      </c>
      <c r="F62" s="2746">
        <f>D62*E62</f>
        <v>28000000.000000004</v>
      </c>
      <c r="G62" s="2756"/>
      <c r="H62" s="2757"/>
      <c r="I62" s="2757"/>
      <c r="J62" s="2751"/>
      <c r="K62" s="2747"/>
      <c r="L62" s="2753"/>
    </row>
    <row r="63" spans="1:14" ht="30" customHeight="1" x14ac:dyDescent="0.2">
      <c r="A63" s="2749"/>
      <c r="B63" s="2750"/>
      <c r="C63" s="2752"/>
      <c r="D63" s="2754">
        <f>D61+D62</f>
        <v>2090000000</v>
      </c>
      <c r="E63" s="2755">
        <v>7.0000000000000007E-2</v>
      </c>
      <c r="F63" s="2754">
        <f>D63*E63</f>
        <v>146300000</v>
      </c>
      <c r="G63" s="2756"/>
      <c r="H63" s="2757"/>
      <c r="I63" s="2757"/>
      <c r="J63" s="2751"/>
      <c r="K63" s="2747"/>
      <c r="L63" s="2753"/>
    </row>
    <row r="64" spans="1:14" ht="30" customHeight="1" x14ac:dyDescent="0.2">
      <c r="A64" s="7654">
        <v>46</v>
      </c>
      <c r="B64" s="7652" t="s">
        <v>186</v>
      </c>
      <c r="C64" s="7723" t="s">
        <v>1081</v>
      </c>
      <c r="D64" s="7563">
        <v>1200000000</v>
      </c>
      <c r="E64" s="7659">
        <v>0.08</v>
      </c>
      <c r="F64" s="7563">
        <f>D64*E64</f>
        <v>96000000</v>
      </c>
      <c r="G64" s="2074"/>
      <c r="H64" s="2074"/>
      <c r="I64" s="21"/>
      <c r="J64" s="233"/>
      <c r="K64" s="233"/>
      <c r="L64" s="2112"/>
    </row>
    <row r="65" spans="1:12" ht="30" customHeight="1" x14ac:dyDescent="0.2">
      <c r="A65" s="7656"/>
      <c r="B65" s="7665"/>
      <c r="C65" s="7747"/>
      <c r="D65" s="7586"/>
      <c r="E65" s="7676"/>
      <c r="F65" s="7586"/>
      <c r="G65" s="2074"/>
      <c r="H65" s="2074"/>
      <c r="I65" s="21"/>
      <c r="J65" s="233"/>
      <c r="K65" s="233"/>
      <c r="L65" s="2120"/>
    </row>
    <row r="66" spans="1:12" ht="30" customHeight="1" x14ac:dyDescent="0.2">
      <c r="A66" s="7656"/>
      <c r="B66" s="7665"/>
      <c r="C66" s="7747"/>
      <c r="D66" s="7586"/>
      <c r="E66" s="7676"/>
      <c r="F66" s="7586"/>
      <c r="G66" s="233"/>
      <c r="H66" s="233"/>
      <c r="I66" s="233"/>
      <c r="J66" s="233"/>
      <c r="K66" s="233"/>
      <c r="L66" s="2120"/>
    </row>
    <row r="67" spans="1:12" ht="30" customHeight="1" x14ac:dyDescent="0.2">
      <c r="A67" s="7656"/>
      <c r="B67" s="7665"/>
      <c r="C67" s="7747"/>
      <c r="D67" s="7564"/>
      <c r="E67" s="7660"/>
      <c r="F67" s="7564"/>
      <c r="G67" s="2074"/>
      <c r="H67" s="2074"/>
      <c r="I67" s="21"/>
      <c r="J67" s="2074"/>
      <c r="K67" s="2074"/>
      <c r="L67" s="2120"/>
    </row>
    <row r="68" spans="1:12" ht="30" customHeight="1" x14ac:dyDescent="0.2">
      <c r="A68" s="7655"/>
      <c r="B68" s="7653"/>
      <c r="C68" s="7724"/>
      <c r="D68" s="2074">
        <v>1000000000</v>
      </c>
      <c r="E68" s="2077"/>
      <c r="F68" s="2074"/>
      <c r="G68" s="7732" t="s">
        <v>5112</v>
      </c>
      <c r="H68" s="7733"/>
      <c r="I68" s="7733"/>
      <c r="J68" s="7734"/>
      <c r="K68" s="2074"/>
      <c r="L68" s="2113"/>
    </row>
    <row r="69" spans="1:12" ht="30" customHeight="1" x14ac:dyDescent="0.2">
      <c r="A69" s="2063">
        <v>47</v>
      </c>
      <c r="B69" s="2106" t="s">
        <v>187</v>
      </c>
      <c r="C69" s="2105" t="s">
        <v>1080</v>
      </c>
      <c r="D69" s="2074">
        <v>20000000</v>
      </c>
      <c r="E69" s="2077">
        <v>0.05</v>
      </c>
      <c r="F69" s="2074">
        <f t="shared" si="11"/>
        <v>1000000</v>
      </c>
      <c r="G69" s="2074">
        <v>1000000</v>
      </c>
      <c r="H69" s="2074" t="s">
        <v>4299</v>
      </c>
      <c r="I69" s="2094" t="s">
        <v>4309</v>
      </c>
      <c r="J69" s="2074">
        <f>G69</f>
        <v>1000000</v>
      </c>
      <c r="K69" s="2074">
        <f>F69-J69</f>
        <v>0</v>
      </c>
      <c r="L69" s="3464" t="s">
        <v>3952</v>
      </c>
    </row>
    <row r="70" spans="1:12" ht="30" customHeight="1" x14ac:dyDescent="0.2">
      <c r="A70" s="7654">
        <v>48</v>
      </c>
      <c r="B70" s="7652" t="s">
        <v>1615</v>
      </c>
      <c r="C70" s="7723" t="s">
        <v>1081</v>
      </c>
      <c r="D70" s="7563">
        <v>100000000</v>
      </c>
      <c r="E70" s="7659">
        <v>0.05</v>
      </c>
      <c r="F70" s="7563">
        <f t="shared" si="11"/>
        <v>5000000</v>
      </c>
      <c r="G70" s="2074">
        <v>5000000</v>
      </c>
      <c r="H70" s="2074" t="s">
        <v>4299</v>
      </c>
      <c r="I70" s="21" t="s">
        <v>3909</v>
      </c>
      <c r="J70" s="2074">
        <f>G70</f>
        <v>5000000</v>
      </c>
      <c r="K70" s="2074">
        <f>F70-J70</f>
        <v>0</v>
      </c>
      <c r="L70" s="2133" t="s">
        <v>3952</v>
      </c>
    </row>
    <row r="71" spans="1:12" ht="30" customHeight="1" x14ac:dyDescent="0.2">
      <c r="A71" s="7655"/>
      <c r="B71" s="7653"/>
      <c r="C71" s="7724"/>
      <c r="D71" s="7564"/>
      <c r="E71" s="7660"/>
      <c r="F71" s="7564"/>
      <c r="G71" s="2773">
        <v>5000000</v>
      </c>
      <c r="H71" s="2773" t="s">
        <v>4778</v>
      </c>
      <c r="I71" s="21" t="s">
        <v>3909</v>
      </c>
      <c r="J71" s="2773">
        <f>G71</f>
        <v>5000000</v>
      </c>
      <c r="K71" s="2773">
        <f>F70-J71</f>
        <v>0</v>
      </c>
      <c r="L71" s="2775" t="s">
        <v>4437</v>
      </c>
    </row>
    <row r="72" spans="1:12" ht="30" customHeight="1" x14ac:dyDescent="0.2">
      <c r="A72" s="1028">
        <v>49</v>
      </c>
      <c r="B72" s="19" t="s">
        <v>189</v>
      </c>
      <c r="C72" s="2105" t="s">
        <v>1295</v>
      </c>
      <c r="D72" s="2062">
        <v>230000000</v>
      </c>
      <c r="E72" s="2101">
        <v>0.05</v>
      </c>
      <c r="F72" s="2062">
        <f t="shared" si="11"/>
        <v>11500000</v>
      </c>
      <c r="G72" s="2062"/>
      <c r="H72" s="2062"/>
      <c r="I72" s="2108" t="s">
        <v>1052</v>
      </c>
      <c r="J72" s="2062">
        <f>G72</f>
        <v>0</v>
      </c>
      <c r="K72" s="2062">
        <f>F72-J72</f>
        <v>11500000</v>
      </c>
      <c r="L72" s="763" t="s">
        <v>4271</v>
      </c>
    </row>
    <row r="73" spans="1:12" ht="30" customHeight="1" x14ac:dyDescent="0.2">
      <c r="A73" s="7654">
        <v>50</v>
      </c>
      <c r="B73" s="7652" t="s">
        <v>190</v>
      </c>
      <c r="C73" s="7723" t="s">
        <v>889</v>
      </c>
      <c r="D73" s="7563">
        <v>350000000</v>
      </c>
      <c r="E73" s="7659">
        <v>0.05</v>
      </c>
      <c r="F73" s="7563">
        <f t="shared" si="11"/>
        <v>17500000</v>
      </c>
      <c r="G73" s="7470" t="s">
        <v>3911</v>
      </c>
      <c r="H73" s="7493"/>
      <c r="I73" s="7493"/>
      <c r="J73" s="7493"/>
      <c r="K73" s="7510"/>
      <c r="L73" s="2133"/>
    </row>
    <row r="74" spans="1:12" ht="30" customHeight="1" x14ac:dyDescent="0.2">
      <c r="A74" s="7655"/>
      <c r="B74" s="7653"/>
      <c r="C74" s="7724"/>
      <c r="D74" s="7564"/>
      <c r="E74" s="7660"/>
      <c r="F74" s="7564"/>
      <c r="G74" s="2062">
        <v>17000000</v>
      </c>
      <c r="H74" s="2062" t="s">
        <v>4786</v>
      </c>
      <c r="I74" s="2062" t="s">
        <v>1054</v>
      </c>
      <c r="J74" s="2062">
        <f>G74</f>
        <v>17000000</v>
      </c>
      <c r="K74" s="2062"/>
      <c r="L74" s="763" t="s">
        <v>4789</v>
      </c>
    </row>
    <row r="75" spans="1:12" ht="30" customHeight="1" x14ac:dyDescent="0.2">
      <c r="A75" s="2138">
        <v>51</v>
      </c>
      <c r="B75" s="19" t="s">
        <v>191</v>
      </c>
      <c r="C75" s="2105" t="s">
        <v>889</v>
      </c>
      <c r="D75" s="2062">
        <v>260000000</v>
      </c>
      <c r="E75" s="2101">
        <f>F75/D75</f>
        <v>5.5769230769230772E-2</v>
      </c>
      <c r="F75" s="2062">
        <v>14500000</v>
      </c>
      <c r="G75" s="2062">
        <v>14500000</v>
      </c>
      <c r="H75" s="2062" t="s">
        <v>4310</v>
      </c>
      <c r="I75" s="2062" t="s">
        <v>3500</v>
      </c>
      <c r="J75" s="2062">
        <f>G75</f>
        <v>14500000</v>
      </c>
      <c r="K75" s="2062">
        <f>F75-J75</f>
        <v>0</v>
      </c>
      <c r="L75" s="2066"/>
    </row>
    <row r="76" spans="1:12" ht="30" customHeight="1" x14ac:dyDescent="0.2">
      <c r="A76" s="8123"/>
      <c r="B76" s="7652" t="s">
        <v>192</v>
      </c>
      <c r="C76" s="7723" t="s">
        <v>889</v>
      </c>
      <c r="D76" s="2078">
        <v>100000000</v>
      </c>
      <c r="E76" s="2076">
        <v>7.0000000000000007E-2</v>
      </c>
      <c r="F76" s="2743">
        <f>D76*E76</f>
        <v>7000000.0000000009</v>
      </c>
      <c r="G76" s="7494" t="s">
        <v>4284</v>
      </c>
      <c r="H76" s="7495"/>
      <c r="I76" s="7495"/>
      <c r="J76" s="7768"/>
      <c r="K76" s="7563">
        <f>(F76+F77)-J76</f>
        <v>7500000.0000000009</v>
      </c>
      <c r="L76" s="763"/>
    </row>
    <row r="77" spans="1:12" ht="30" customHeight="1" x14ac:dyDescent="0.2">
      <c r="A77" s="8200"/>
      <c r="B77" s="7665"/>
      <c r="C77" s="7747"/>
      <c r="D77" s="2073">
        <v>10000000</v>
      </c>
      <c r="E77" s="2075">
        <v>0.05</v>
      </c>
      <c r="F77" s="2735">
        <f>D77*E77</f>
        <v>500000</v>
      </c>
      <c r="G77" s="7769"/>
      <c r="H77" s="7805"/>
      <c r="I77" s="7805"/>
      <c r="J77" s="7770"/>
      <c r="K77" s="7564"/>
      <c r="L77" s="763"/>
    </row>
    <row r="78" spans="1:12" ht="30" customHeight="1" x14ac:dyDescent="0.2">
      <c r="A78" s="8200"/>
      <c r="B78" s="7665"/>
      <c r="C78" s="7747"/>
      <c r="D78" s="2589">
        <v>7500000</v>
      </c>
      <c r="E78" s="2732">
        <v>0.05</v>
      </c>
      <c r="F78" s="2735">
        <f t="shared" ref="F78:F82" si="12">D78*E78</f>
        <v>375000</v>
      </c>
      <c r="G78" s="2586"/>
      <c r="H78" s="2586"/>
      <c r="I78" s="2586"/>
      <c r="J78" s="2586"/>
      <c r="K78" s="2590"/>
      <c r="L78" s="763"/>
    </row>
    <row r="79" spans="1:12" ht="30" customHeight="1" x14ac:dyDescent="0.2">
      <c r="A79" s="8200"/>
      <c r="B79" s="7665"/>
      <c r="C79" s="7747"/>
      <c r="D79" s="2589">
        <v>2000000</v>
      </c>
      <c r="E79" s="2732">
        <v>0.05</v>
      </c>
      <c r="F79" s="2735">
        <f t="shared" si="12"/>
        <v>100000</v>
      </c>
      <c r="G79" s="2590">
        <f>H79-500000</f>
        <v>8675000</v>
      </c>
      <c r="H79" s="2590">
        <f>F76+F77+F78+F79+G80+G81+G82</f>
        <v>9175000</v>
      </c>
      <c r="I79" s="2590"/>
      <c r="J79" s="2590"/>
      <c r="K79" s="2590"/>
      <c r="L79" s="763" t="s">
        <v>4634</v>
      </c>
    </row>
    <row r="80" spans="1:12" ht="30" customHeight="1" x14ac:dyDescent="0.2">
      <c r="A80" s="8200"/>
      <c r="B80" s="7665"/>
      <c r="C80" s="7747"/>
      <c r="D80" s="2589">
        <v>10000000</v>
      </c>
      <c r="E80" s="2732">
        <v>0.05</v>
      </c>
      <c r="F80" s="2730">
        <f t="shared" si="12"/>
        <v>500000</v>
      </c>
      <c r="G80" s="2736">
        <v>417000</v>
      </c>
      <c r="H80" s="2590">
        <v>25</v>
      </c>
      <c r="I80" s="2590"/>
      <c r="J80" s="2590"/>
      <c r="K80" s="2590"/>
      <c r="L80" s="763" t="s">
        <v>4635</v>
      </c>
    </row>
    <row r="81" spans="1:12" ht="30" customHeight="1" x14ac:dyDescent="0.2">
      <c r="A81" s="8200"/>
      <c r="B81" s="7665"/>
      <c r="C81" s="7747"/>
      <c r="D81" s="2589">
        <v>10000000</v>
      </c>
      <c r="E81" s="2732">
        <v>0.05</v>
      </c>
      <c r="F81" s="2730">
        <f t="shared" si="12"/>
        <v>500000</v>
      </c>
      <c r="G81" s="2736">
        <v>400000</v>
      </c>
      <c r="H81" s="2590">
        <v>24</v>
      </c>
      <c r="I81" s="2590"/>
      <c r="J81" s="2590"/>
      <c r="K81" s="2590"/>
      <c r="L81" s="763" t="s">
        <v>4636</v>
      </c>
    </row>
    <row r="82" spans="1:12" ht="30" customHeight="1" x14ac:dyDescent="0.2">
      <c r="A82" s="8124"/>
      <c r="B82" s="7653"/>
      <c r="C82" s="7724"/>
      <c r="D82" s="2073">
        <v>10000000</v>
      </c>
      <c r="E82" s="2732">
        <v>0.05</v>
      </c>
      <c r="F82" s="2730">
        <f t="shared" si="12"/>
        <v>500000</v>
      </c>
      <c r="G82" s="2736">
        <v>383000</v>
      </c>
      <c r="H82" s="2074">
        <v>23</v>
      </c>
      <c r="I82" s="2074"/>
      <c r="J82" s="2074"/>
      <c r="K82" s="2074"/>
      <c r="L82" s="763" t="s">
        <v>4637</v>
      </c>
    </row>
    <row r="83" spans="1:12" ht="30" customHeight="1" x14ac:dyDescent="0.2">
      <c r="A83" s="2593"/>
      <c r="B83" s="7708" t="s">
        <v>192</v>
      </c>
      <c r="C83" s="2592"/>
      <c r="D83" s="2587">
        <v>100000000</v>
      </c>
      <c r="E83" s="2591">
        <v>7.0000000000000007E-2</v>
      </c>
      <c r="F83" s="2587">
        <f>D83*E83</f>
        <v>7000000.0000000009</v>
      </c>
      <c r="G83" s="2588"/>
      <c r="H83" s="2588"/>
      <c r="I83" s="2588"/>
      <c r="J83" s="2588"/>
      <c r="K83" s="2588"/>
      <c r="L83" s="8181" t="s">
        <v>4638</v>
      </c>
    </row>
    <row r="84" spans="1:12" ht="30" customHeight="1" x14ac:dyDescent="0.2">
      <c r="A84" s="2593"/>
      <c r="B84" s="7709"/>
      <c r="C84" s="2592"/>
      <c r="D84" s="2587">
        <v>49500000</v>
      </c>
      <c r="E84" s="2591">
        <v>0.05</v>
      </c>
      <c r="F84" s="2587">
        <f>D84*E84</f>
        <v>2475000</v>
      </c>
      <c r="G84" s="2588"/>
      <c r="H84" s="2588"/>
      <c r="I84" s="2588"/>
      <c r="J84" s="2588"/>
      <c r="K84" s="2588"/>
      <c r="L84" s="8182"/>
    </row>
    <row r="85" spans="1:12" ht="30" customHeight="1" x14ac:dyDescent="0.2">
      <c r="A85" s="7654"/>
      <c r="B85" s="7652" t="s">
        <v>193</v>
      </c>
      <c r="C85" s="7723" t="s">
        <v>1294</v>
      </c>
      <c r="D85" s="3106">
        <v>500000000</v>
      </c>
      <c r="E85" s="3108">
        <v>7.0000000000000007E-2</v>
      </c>
      <c r="F85" s="3106">
        <f>D85*E85</f>
        <v>35000000</v>
      </c>
      <c r="G85" s="3106"/>
      <c r="H85" s="3106"/>
      <c r="I85" s="3106" t="s">
        <v>1810</v>
      </c>
      <c r="J85" s="3106">
        <f>G85</f>
        <v>0</v>
      </c>
      <c r="K85" s="3106">
        <v>0</v>
      </c>
      <c r="L85" s="1388" t="s">
        <v>3725</v>
      </c>
    </row>
    <row r="86" spans="1:12" ht="30" customHeight="1" x14ac:dyDescent="0.2">
      <c r="A86" s="7656"/>
      <c r="B86" s="7665"/>
      <c r="C86" s="7747"/>
      <c r="D86" s="3096">
        <v>150000000</v>
      </c>
      <c r="E86" s="3097">
        <v>7.0000000000000007E-2</v>
      </c>
      <c r="F86" s="3096">
        <f>D86*E86</f>
        <v>10500000.000000002</v>
      </c>
      <c r="G86" s="2385"/>
      <c r="H86" s="3095"/>
      <c r="I86" s="3095"/>
      <c r="J86" s="3095"/>
      <c r="K86" s="3095"/>
      <c r="L86" s="763" t="s">
        <v>4488</v>
      </c>
    </row>
    <row r="87" spans="1:12" ht="30" customHeight="1" x14ac:dyDescent="0.2">
      <c r="A87" s="7656"/>
      <c r="B87" s="7665"/>
      <c r="C87" s="7747"/>
      <c r="D87" s="3096">
        <v>200000000</v>
      </c>
      <c r="E87" s="3097">
        <v>7.0000000000000007E-2</v>
      </c>
      <c r="F87" s="3096">
        <f>D87*E87</f>
        <v>14000000.000000002</v>
      </c>
      <c r="G87" s="3095"/>
      <c r="H87" s="3095"/>
      <c r="I87" s="3095"/>
      <c r="J87" s="3095"/>
      <c r="K87" s="3095"/>
      <c r="L87" s="763"/>
    </row>
    <row r="88" spans="1:12" ht="30" customHeight="1" x14ac:dyDescent="0.2">
      <c r="A88" s="7655"/>
      <c r="B88" s="7653"/>
      <c r="C88" s="7724"/>
      <c r="D88" s="3100">
        <f>D85+D86+D87</f>
        <v>850000000</v>
      </c>
      <c r="E88" s="3101">
        <v>7.0000000000000007E-2</v>
      </c>
      <c r="F88" s="3100">
        <v>60000000</v>
      </c>
      <c r="G88" s="3095"/>
      <c r="H88" s="3095"/>
      <c r="I88" s="3095"/>
      <c r="J88" s="3095"/>
      <c r="K88" s="3095"/>
      <c r="L88" s="763"/>
    </row>
    <row r="89" spans="1:12" ht="30" customHeight="1" x14ac:dyDescent="0.2">
      <c r="A89" s="7654">
        <v>54</v>
      </c>
      <c r="B89" s="7652" t="s">
        <v>1060</v>
      </c>
      <c r="C89" s="7723"/>
      <c r="D89" s="2074">
        <v>35000000</v>
      </c>
      <c r="E89" s="2077">
        <v>7.1999999999999995E-2</v>
      </c>
      <c r="F89" s="2074">
        <v>2500000</v>
      </c>
      <c r="G89" s="7924">
        <v>3500000</v>
      </c>
      <c r="H89" s="7924" t="s">
        <v>4299</v>
      </c>
      <c r="I89" s="7926" t="s">
        <v>2503</v>
      </c>
      <c r="J89" s="7924">
        <f>G89</f>
        <v>3500000</v>
      </c>
      <c r="K89" s="7924">
        <f>(F89+F90)-J89</f>
        <v>0</v>
      </c>
      <c r="L89" s="7713" t="s">
        <v>4851</v>
      </c>
    </row>
    <row r="90" spans="1:12" ht="30" customHeight="1" x14ac:dyDescent="0.2">
      <c r="A90" s="7656"/>
      <c r="B90" s="7653"/>
      <c r="C90" s="7724"/>
      <c r="D90" s="2074">
        <v>13000000</v>
      </c>
      <c r="E90" s="2101">
        <v>7.6999999999999999E-2</v>
      </c>
      <c r="F90" s="2074">
        <v>1000000</v>
      </c>
      <c r="G90" s="7925"/>
      <c r="H90" s="7925"/>
      <c r="I90" s="7927"/>
      <c r="J90" s="7925"/>
      <c r="K90" s="7925"/>
      <c r="L90" s="7797"/>
    </row>
    <row r="91" spans="1:12" ht="30" customHeight="1" x14ac:dyDescent="0.2">
      <c r="A91" s="7654">
        <v>55</v>
      </c>
      <c r="B91" s="7652" t="s">
        <v>1247</v>
      </c>
      <c r="C91" s="7723" t="s">
        <v>1295</v>
      </c>
      <c r="D91" s="2062">
        <v>175000000</v>
      </c>
      <c r="E91" s="2101">
        <v>0.52</v>
      </c>
      <c r="F91" s="2062">
        <v>9000000</v>
      </c>
      <c r="G91" s="7563">
        <v>18250000</v>
      </c>
      <c r="H91" s="7561" t="s">
        <v>4361</v>
      </c>
      <c r="I91" s="7561" t="s">
        <v>1063</v>
      </c>
      <c r="J91" s="8180">
        <f>G91</f>
        <v>18250000</v>
      </c>
      <c r="K91" s="7482">
        <f>(F91+F92+F93)-J91</f>
        <v>0</v>
      </c>
      <c r="L91" s="7713" t="s">
        <v>4802</v>
      </c>
    </row>
    <row r="92" spans="1:12" ht="30" customHeight="1" x14ac:dyDescent="0.2">
      <c r="A92" s="7656"/>
      <c r="B92" s="7665"/>
      <c r="C92" s="7747"/>
      <c r="D92" s="2073">
        <f>85000000+20000000</f>
        <v>105000000</v>
      </c>
      <c r="E92" s="2075">
        <v>7.0000000000000007E-2</v>
      </c>
      <c r="F92" s="2073">
        <v>7500000</v>
      </c>
      <c r="G92" s="7586"/>
      <c r="H92" s="7672"/>
      <c r="I92" s="7672"/>
      <c r="J92" s="7672"/>
      <c r="K92" s="7482"/>
      <c r="L92" s="7797"/>
    </row>
    <row r="93" spans="1:12" ht="30" customHeight="1" x14ac:dyDescent="0.2">
      <c r="A93" s="7655"/>
      <c r="B93" s="7653"/>
      <c r="C93" s="7724"/>
      <c r="D93" s="2062">
        <v>35000000</v>
      </c>
      <c r="E93" s="2101">
        <v>0.05</v>
      </c>
      <c r="F93" s="2062">
        <f>D93*E93</f>
        <v>1750000</v>
      </c>
      <c r="G93" s="7564"/>
      <c r="H93" s="7562"/>
      <c r="I93" s="7562"/>
      <c r="J93" s="7562"/>
      <c r="K93" s="7482"/>
      <c r="L93" s="7714"/>
    </row>
    <row r="94" spans="1:12" ht="30" customHeight="1" x14ac:dyDescent="0.2">
      <c r="A94" s="7654">
        <v>56</v>
      </c>
      <c r="B94" s="7652" t="s">
        <v>35</v>
      </c>
      <c r="C94" s="7723" t="s">
        <v>1295</v>
      </c>
      <c r="D94" s="7559">
        <v>3284000000</v>
      </c>
      <c r="E94" s="7683">
        <v>7.0000000000000007E-2</v>
      </c>
      <c r="F94" s="7559">
        <v>229880000</v>
      </c>
      <c r="G94" s="2451">
        <v>50000000</v>
      </c>
      <c r="H94" s="2451" t="s">
        <v>4402</v>
      </c>
      <c r="I94" s="21" t="s">
        <v>678</v>
      </c>
      <c r="J94" s="8180">
        <f>G94+G95+G96+G97</f>
        <v>229880000</v>
      </c>
      <c r="K94" s="7563">
        <v>0</v>
      </c>
      <c r="L94" s="637"/>
    </row>
    <row r="95" spans="1:12" ht="30" customHeight="1" x14ac:dyDescent="0.2">
      <c r="A95" s="7656"/>
      <c r="B95" s="7665"/>
      <c r="C95" s="7747"/>
      <c r="D95" s="8003"/>
      <c r="E95" s="8184"/>
      <c r="F95" s="8003"/>
      <c r="G95" s="2451">
        <v>50000000</v>
      </c>
      <c r="H95" s="2451" t="s">
        <v>4475</v>
      </c>
      <c r="I95" s="21" t="s">
        <v>678</v>
      </c>
      <c r="J95" s="7672"/>
      <c r="K95" s="7586"/>
      <c r="L95" s="180"/>
    </row>
    <row r="96" spans="1:12" ht="30" customHeight="1" x14ac:dyDescent="0.2">
      <c r="A96" s="7656"/>
      <c r="B96" s="7665"/>
      <c r="C96" s="7747"/>
      <c r="D96" s="8003"/>
      <c r="E96" s="8184"/>
      <c r="F96" s="8003"/>
      <c r="G96" s="2451">
        <v>73880000</v>
      </c>
      <c r="H96" s="2451" t="s">
        <v>2473</v>
      </c>
      <c r="I96" s="21" t="s">
        <v>678</v>
      </c>
      <c r="J96" s="7672"/>
      <c r="K96" s="7586"/>
      <c r="L96" s="180"/>
    </row>
    <row r="97" spans="1:12" ht="30" customHeight="1" x14ac:dyDescent="0.2">
      <c r="A97" s="7656"/>
      <c r="B97" s="7665"/>
      <c r="C97" s="7724"/>
      <c r="D97" s="7560"/>
      <c r="E97" s="7684"/>
      <c r="F97" s="7560"/>
      <c r="G97" s="2451">
        <v>56000000</v>
      </c>
      <c r="H97" s="2451" t="s">
        <v>1017</v>
      </c>
      <c r="I97" s="21" t="s">
        <v>678</v>
      </c>
      <c r="J97" s="7562"/>
      <c r="K97" s="7564"/>
      <c r="L97" s="1611"/>
    </row>
    <row r="98" spans="1:12" ht="30" customHeight="1" x14ac:dyDescent="0.2">
      <c r="A98" s="7656"/>
      <c r="B98" s="7665"/>
      <c r="C98" s="7723" t="s">
        <v>1306</v>
      </c>
      <c r="D98" s="7559">
        <v>1891929000</v>
      </c>
      <c r="E98" s="7683">
        <v>0.08</v>
      </c>
      <c r="F98" s="7559">
        <f>D98*E98</f>
        <v>151354320</v>
      </c>
      <c r="G98" s="7494" t="s">
        <v>4806</v>
      </c>
      <c r="H98" s="7495"/>
      <c r="I98" s="7495"/>
      <c r="J98" s="7768"/>
      <c r="K98" s="7563"/>
      <c r="L98" s="1611"/>
    </row>
    <row r="99" spans="1:12" ht="30" customHeight="1" x14ac:dyDescent="0.2">
      <c r="A99" s="7656"/>
      <c r="B99" s="7665"/>
      <c r="C99" s="7747"/>
      <c r="D99" s="8003"/>
      <c r="E99" s="8184"/>
      <c r="F99" s="8003"/>
      <c r="G99" s="7877"/>
      <c r="H99" s="7524"/>
      <c r="I99" s="7524"/>
      <c r="J99" s="7878"/>
      <c r="K99" s="7586"/>
      <c r="L99" s="1611"/>
    </row>
    <row r="100" spans="1:12" ht="30" customHeight="1" x14ac:dyDescent="0.2">
      <c r="A100" s="7656"/>
      <c r="B100" s="7665"/>
      <c r="C100" s="7747"/>
      <c r="D100" s="8003"/>
      <c r="E100" s="8184"/>
      <c r="F100" s="8003"/>
      <c r="G100" s="7877"/>
      <c r="H100" s="7524"/>
      <c r="I100" s="7524"/>
      <c r="J100" s="7878"/>
      <c r="K100" s="7586"/>
      <c r="L100" s="1611"/>
    </row>
    <row r="101" spans="1:12" ht="30" customHeight="1" x14ac:dyDescent="0.2">
      <c r="A101" s="7656"/>
      <c r="B101" s="7665"/>
      <c r="C101" s="7747"/>
      <c r="D101" s="8003"/>
      <c r="E101" s="8184"/>
      <c r="F101" s="8003"/>
      <c r="G101" s="7877"/>
      <c r="H101" s="7524"/>
      <c r="I101" s="7524"/>
      <c r="J101" s="7878"/>
      <c r="K101" s="7586"/>
      <c r="L101" s="1611"/>
    </row>
    <row r="102" spans="1:12" ht="30" customHeight="1" x14ac:dyDescent="0.2">
      <c r="A102" s="7656"/>
      <c r="B102" s="7665"/>
      <c r="C102" s="7747"/>
      <c r="D102" s="8003"/>
      <c r="E102" s="8184"/>
      <c r="F102" s="8003"/>
      <c r="G102" s="7877"/>
      <c r="H102" s="7524"/>
      <c r="I102" s="7524"/>
      <c r="J102" s="7878"/>
      <c r="K102" s="7586"/>
      <c r="L102" s="1611"/>
    </row>
    <row r="103" spans="1:12" ht="30" customHeight="1" x14ac:dyDescent="0.2">
      <c r="A103" s="7655"/>
      <c r="B103" s="7653"/>
      <c r="C103" s="7724"/>
      <c r="D103" s="7560"/>
      <c r="E103" s="7684"/>
      <c r="F103" s="7560"/>
      <c r="G103" s="7769"/>
      <c r="H103" s="7805"/>
      <c r="I103" s="7805"/>
      <c r="J103" s="7770"/>
      <c r="K103" s="7564"/>
      <c r="L103" s="1611"/>
    </row>
    <row r="104" spans="1:12" ht="30" customHeight="1" x14ac:dyDescent="0.2">
      <c r="A104" s="7654">
        <v>57</v>
      </c>
      <c r="B104" s="7652" t="s">
        <v>1077</v>
      </c>
      <c r="C104" s="7723" t="s">
        <v>1298</v>
      </c>
      <c r="D104" s="7559">
        <v>317000000</v>
      </c>
      <c r="E104" s="7683">
        <v>7.0000000000000007E-2</v>
      </c>
      <c r="F104" s="7559">
        <f>D104*E104</f>
        <v>22190000.000000004</v>
      </c>
      <c r="G104" s="7494" t="s">
        <v>4806</v>
      </c>
      <c r="H104" s="7495"/>
      <c r="I104" s="7495"/>
      <c r="J104" s="7768"/>
      <c r="K104" s="7563"/>
      <c r="L104" s="7809"/>
    </row>
    <row r="105" spans="1:12" ht="30" customHeight="1" x14ac:dyDescent="0.2">
      <c r="A105" s="7655"/>
      <c r="B105" s="7653"/>
      <c r="C105" s="7724"/>
      <c r="D105" s="7560"/>
      <c r="E105" s="7684"/>
      <c r="F105" s="7560"/>
      <c r="G105" s="7769"/>
      <c r="H105" s="7805"/>
      <c r="I105" s="7805"/>
      <c r="J105" s="7770"/>
      <c r="K105" s="7564"/>
      <c r="L105" s="7810"/>
    </row>
    <row r="106" spans="1:12" ht="30" customHeight="1" x14ac:dyDescent="0.2">
      <c r="A106" s="7654">
        <v>58</v>
      </c>
      <c r="B106" s="7717" t="s">
        <v>1064</v>
      </c>
      <c r="C106" s="7873" t="s">
        <v>889</v>
      </c>
      <c r="D106" s="2074">
        <v>11000000</v>
      </c>
      <c r="E106" s="2101">
        <v>7.0000000000000007E-2</v>
      </c>
      <c r="F106" s="2074">
        <v>700000</v>
      </c>
      <c r="G106" s="7563">
        <v>2100000</v>
      </c>
      <c r="H106" s="7563" t="s">
        <v>4402</v>
      </c>
      <c r="I106" s="7775" t="s">
        <v>1066</v>
      </c>
      <c r="J106" s="7563">
        <f>G106</f>
        <v>2100000</v>
      </c>
      <c r="K106" s="7563">
        <f>(F106+F107)-J106</f>
        <v>0</v>
      </c>
      <c r="L106" s="2104"/>
    </row>
    <row r="107" spans="1:12" ht="30" customHeight="1" x14ac:dyDescent="0.2">
      <c r="A107" s="7655"/>
      <c r="B107" s="7717"/>
      <c r="C107" s="7873"/>
      <c r="D107" s="2170">
        <v>20000000</v>
      </c>
      <c r="E107" s="2173">
        <v>7.0000000000000007E-2</v>
      </c>
      <c r="F107" s="2170">
        <f>D107*E107</f>
        <v>1400000.0000000002</v>
      </c>
      <c r="G107" s="7564"/>
      <c r="H107" s="7564"/>
      <c r="I107" s="7777"/>
      <c r="J107" s="7564"/>
      <c r="K107" s="7564"/>
      <c r="L107" s="2176"/>
    </row>
    <row r="108" spans="1:12" ht="30" customHeight="1" x14ac:dyDescent="0.2">
      <c r="A108" s="7654"/>
      <c r="B108" s="7652" t="s">
        <v>194</v>
      </c>
      <c r="C108" s="7873" t="s">
        <v>1295</v>
      </c>
      <c r="D108" s="2074">
        <v>100000000</v>
      </c>
      <c r="E108" s="2101">
        <v>5.1999999999999998E-2</v>
      </c>
      <c r="F108" s="2074">
        <f t="shared" si="11"/>
        <v>5200000</v>
      </c>
      <c r="G108" s="7563">
        <v>6000000</v>
      </c>
      <c r="H108" s="7563" t="s">
        <v>4310</v>
      </c>
      <c r="I108" s="7563" t="s">
        <v>3941</v>
      </c>
      <c r="J108" s="7563">
        <f>G108</f>
        <v>6000000</v>
      </c>
      <c r="K108" s="7563">
        <f>(F108+F109)-J108</f>
        <v>0</v>
      </c>
      <c r="L108" s="637"/>
    </row>
    <row r="109" spans="1:12" ht="30" customHeight="1" x14ac:dyDescent="0.2">
      <c r="A109" s="7656"/>
      <c r="B109" s="7665"/>
      <c r="C109" s="7873"/>
      <c r="D109" s="2074">
        <v>15000000</v>
      </c>
      <c r="E109" s="2101">
        <v>5.5E-2</v>
      </c>
      <c r="F109" s="2074">
        <v>800000</v>
      </c>
      <c r="G109" s="7564"/>
      <c r="H109" s="7564"/>
      <c r="I109" s="7564"/>
      <c r="J109" s="7564"/>
      <c r="K109" s="7564"/>
      <c r="L109" s="180" t="s">
        <v>4328</v>
      </c>
    </row>
    <row r="110" spans="1:12" ht="30" customHeight="1" x14ac:dyDescent="0.2">
      <c r="A110" s="7655"/>
      <c r="B110" s="7653"/>
      <c r="C110" s="2414"/>
      <c r="D110" s="2412">
        <v>29000000</v>
      </c>
      <c r="E110" s="2416">
        <v>5.1999999999999998E-2</v>
      </c>
      <c r="F110" s="2412">
        <v>1500000</v>
      </c>
      <c r="G110" s="2412"/>
      <c r="H110" s="2412"/>
      <c r="I110" s="2415"/>
      <c r="J110" s="2412"/>
      <c r="K110" s="2412"/>
      <c r="L110" s="180" t="s">
        <v>4507</v>
      </c>
    </row>
    <row r="111" spans="1:12" ht="30" customHeight="1" x14ac:dyDescent="0.2">
      <c r="A111" s="2103">
        <v>60</v>
      </c>
      <c r="B111" s="110" t="s">
        <v>1498</v>
      </c>
      <c r="C111" s="2084" t="s">
        <v>889</v>
      </c>
      <c r="D111" s="2079"/>
      <c r="E111" s="40"/>
      <c r="F111" s="2079">
        <f t="shared" si="11"/>
        <v>0</v>
      </c>
      <c r="G111" s="2074">
        <v>10000000</v>
      </c>
      <c r="H111" s="2074" t="s">
        <v>4310</v>
      </c>
      <c r="I111" s="21" t="s">
        <v>4311</v>
      </c>
      <c r="J111" s="2074">
        <f>G111</f>
        <v>10000000</v>
      </c>
      <c r="K111" s="2079">
        <f>F111-J111</f>
        <v>-10000000</v>
      </c>
      <c r="L111" s="2104"/>
    </row>
    <row r="112" spans="1:12" ht="30" customHeight="1" x14ac:dyDescent="0.2">
      <c r="A112" s="2065">
        <v>61</v>
      </c>
      <c r="B112" s="2104" t="s">
        <v>196</v>
      </c>
      <c r="C112" s="2084"/>
      <c r="D112" s="2074">
        <v>100000000</v>
      </c>
      <c r="E112" s="2101">
        <v>7.0000000000000007E-2</v>
      </c>
      <c r="F112" s="2074">
        <f t="shared" si="11"/>
        <v>7000000.0000000009</v>
      </c>
      <c r="G112" s="2074">
        <v>7000000</v>
      </c>
      <c r="H112" s="2074" t="s">
        <v>1193</v>
      </c>
      <c r="I112" s="21" t="s">
        <v>3466</v>
      </c>
      <c r="J112" s="2074">
        <f>G112</f>
        <v>7000000</v>
      </c>
      <c r="K112" s="2074">
        <f>F112-J112</f>
        <v>0</v>
      </c>
      <c r="L112" s="2104"/>
    </row>
    <row r="113" spans="1:12" ht="30" customHeight="1" x14ac:dyDescent="0.2">
      <c r="A113" s="2138">
        <v>62</v>
      </c>
      <c r="B113" s="1949" t="s">
        <v>197</v>
      </c>
      <c r="C113" s="3410"/>
      <c r="D113" s="3387">
        <v>125000000</v>
      </c>
      <c r="E113" s="2519">
        <v>5.1999999999999998E-2</v>
      </c>
      <c r="F113" s="3387">
        <f t="shared" si="11"/>
        <v>6500000</v>
      </c>
      <c r="G113" s="3387">
        <v>3300000</v>
      </c>
      <c r="H113" s="3387" t="s">
        <v>4659</v>
      </c>
      <c r="I113" s="3387" t="s">
        <v>1251</v>
      </c>
      <c r="J113" s="3387">
        <f>G113</f>
        <v>3300000</v>
      </c>
      <c r="K113" s="3387">
        <f>F113-J113</f>
        <v>3200000</v>
      </c>
      <c r="L113" s="1024"/>
    </row>
    <row r="114" spans="1:12" ht="30" customHeight="1" x14ac:dyDescent="0.2">
      <c r="A114" s="7879">
        <v>63</v>
      </c>
      <c r="B114" s="7717" t="s">
        <v>198</v>
      </c>
      <c r="C114" s="7873" t="s">
        <v>889</v>
      </c>
      <c r="D114" s="2062">
        <v>1800000000</v>
      </c>
      <c r="E114" s="2101">
        <v>6.5000000000000002E-2</v>
      </c>
      <c r="F114" s="2062">
        <f t="shared" si="11"/>
        <v>117000000</v>
      </c>
      <c r="G114" s="2062">
        <v>17000000</v>
      </c>
      <c r="H114" s="2062" t="s">
        <v>4310</v>
      </c>
      <c r="I114" s="2062" t="s">
        <v>3724</v>
      </c>
      <c r="J114" s="2062">
        <f>G114</f>
        <v>17000000</v>
      </c>
      <c r="K114" s="2062">
        <f>F114-100000000-J114</f>
        <v>0</v>
      </c>
      <c r="L114" s="637" t="s">
        <v>3374</v>
      </c>
    </row>
    <row r="115" spans="1:12" ht="30" customHeight="1" x14ac:dyDescent="0.2">
      <c r="A115" s="7879"/>
      <c r="B115" s="7717"/>
      <c r="C115" s="7873"/>
      <c r="D115" s="2062">
        <v>1900000000</v>
      </c>
      <c r="E115" s="2101">
        <v>6.5000000000000002E-2</v>
      </c>
      <c r="F115" s="2062">
        <f>D115*E115</f>
        <v>123500000</v>
      </c>
      <c r="G115" s="8102" t="s">
        <v>4273</v>
      </c>
      <c r="H115" s="8103"/>
      <c r="I115" s="8103"/>
      <c r="J115" s="8104"/>
      <c r="K115" s="2074"/>
      <c r="L115" s="29" t="s">
        <v>4272</v>
      </c>
    </row>
    <row r="116" spans="1:12" ht="30" customHeight="1" x14ac:dyDescent="0.2">
      <c r="A116" s="2065">
        <v>64</v>
      </c>
      <c r="B116" s="2068" t="s">
        <v>1336</v>
      </c>
      <c r="C116" s="2084" t="s">
        <v>889</v>
      </c>
      <c r="D116" s="2074">
        <v>200000000</v>
      </c>
      <c r="E116" s="2077">
        <v>5.5E-2</v>
      </c>
      <c r="F116" s="2074">
        <f t="shared" si="11"/>
        <v>11000000</v>
      </c>
      <c r="G116" s="2074">
        <v>11000000</v>
      </c>
      <c r="H116" s="2074" t="s">
        <v>4331</v>
      </c>
      <c r="I116" s="21" t="s">
        <v>3925</v>
      </c>
      <c r="J116" s="2074">
        <f>G116</f>
        <v>11000000</v>
      </c>
      <c r="K116" s="2074">
        <f t="shared" ref="K116:K129" si="13">F116-J116</f>
        <v>0</v>
      </c>
      <c r="L116" s="2133" t="s">
        <v>1337</v>
      </c>
    </row>
    <row r="117" spans="1:12" ht="30" customHeight="1" x14ac:dyDescent="0.2">
      <c r="A117" s="7654">
        <v>66</v>
      </c>
      <c r="B117" s="7652" t="s">
        <v>201</v>
      </c>
      <c r="C117" s="7723" t="s">
        <v>889</v>
      </c>
      <c r="D117" s="2062">
        <v>220000000</v>
      </c>
      <c r="E117" s="2101">
        <v>0.05</v>
      </c>
      <c r="F117" s="2062">
        <f t="shared" ref="F117:F122" si="14">D117*E117</f>
        <v>11000000</v>
      </c>
      <c r="G117" s="2062"/>
      <c r="H117" s="2062"/>
      <c r="I117" s="2108" t="s">
        <v>3501</v>
      </c>
      <c r="J117" s="2062">
        <f t="shared" ref="J117:J127" si="15">G117</f>
        <v>0</v>
      </c>
      <c r="K117" s="2062">
        <f t="shared" si="13"/>
        <v>11000000</v>
      </c>
      <c r="L117" s="2133"/>
    </row>
    <row r="118" spans="1:12" ht="30" customHeight="1" x14ac:dyDescent="0.2">
      <c r="A118" s="7656"/>
      <c r="B118" s="7665"/>
      <c r="C118" s="7747"/>
      <c r="D118" s="2624">
        <v>12000000</v>
      </c>
      <c r="E118" s="2642">
        <v>7.0000000000000007E-2</v>
      </c>
      <c r="F118" s="2624">
        <f t="shared" si="14"/>
        <v>840000.00000000012</v>
      </c>
      <c r="G118" s="2624"/>
      <c r="H118" s="2624"/>
      <c r="I118" s="2641"/>
      <c r="J118" s="2624"/>
      <c r="K118" s="2624"/>
      <c r="L118" s="2633"/>
    </row>
    <row r="119" spans="1:12" ht="30" customHeight="1" x14ac:dyDescent="0.2">
      <c r="A119" s="7656"/>
      <c r="B119" s="7665"/>
      <c r="C119" s="7747"/>
      <c r="D119" s="2624">
        <v>10000000</v>
      </c>
      <c r="E119" s="2642">
        <v>0.06</v>
      </c>
      <c r="F119" s="2624">
        <f t="shared" si="14"/>
        <v>600000</v>
      </c>
      <c r="G119" s="2624"/>
      <c r="H119" s="2624"/>
      <c r="I119" s="2641"/>
      <c r="J119" s="2624"/>
      <c r="K119" s="2624"/>
      <c r="L119" s="2633"/>
    </row>
    <row r="120" spans="1:12" ht="30" customHeight="1" x14ac:dyDescent="0.2">
      <c r="A120" s="7656"/>
      <c r="B120" s="7665"/>
      <c r="C120" s="7747"/>
      <c r="D120" s="2624">
        <v>10000000</v>
      </c>
      <c r="E120" s="2642">
        <v>7.0000000000000007E-2</v>
      </c>
      <c r="F120" s="2624">
        <f t="shared" si="14"/>
        <v>700000.00000000012</v>
      </c>
      <c r="G120" s="2624"/>
      <c r="H120" s="2624"/>
      <c r="I120" s="2641"/>
      <c r="J120" s="2624"/>
      <c r="K120" s="2624"/>
      <c r="L120" s="2633"/>
    </row>
    <row r="121" spans="1:12" ht="30" customHeight="1" x14ac:dyDescent="0.2">
      <c r="A121" s="7656"/>
      <c r="B121" s="7665"/>
      <c r="C121" s="7747"/>
      <c r="D121" s="2624">
        <v>13140000</v>
      </c>
      <c r="E121" s="2642">
        <v>7.0000000000000007E-2</v>
      </c>
      <c r="F121" s="2624">
        <f t="shared" si="14"/>
        <v>919800.00000000012</v>
      </c>
      <c r="G121" s="7732" t="s">
        <v>4649</v>
      </c>
      <c r="H121" s="7733"/>
      <c r="I121" s="7733"/>
      <c r="J121" s="7734"/>
      <c r="K121" s="2624"/>
      <c r="L121" s="2633"/>
    </row>
    <row r="122" spans="1:12" ht="30" customHeight="1" x14ac:dyDescent="0.2">
      <c r="A122" s="7656"/>
      <c r="B122" s="7665"/>
      <c r="C122" s="7747"/>
      <c r="D122" s="2624">
        <v>269000000</v>
      </c>
      <c r="E122" s="2642">
        <v>7.0000000000000007E-2</v>
      </c>
      <c r="F122" s="2624">
        <f t="shared" si="14"/>
        <v>18830000</v>
      </c>
      <c r="G122" s="7732" t="s">
        <v>4650</v>
      </c>
      <c r="H122" s="7733"/>
      <c r="I122" s="7733"/>
      <c r="J122" s="7734"/>
      <c r="K122" s="2624"/>
      <c r="L122" s="2633"/>
    </row>
    <row r="123" spans="1:12" ht="30" customHeight="1" x14ac:dyDescent="0.2">
      <c r="A123" s="7655"/>
      <c r="B123" s="7653"/>
      <c r="C123" s="7724"/>
      <c r="D123" s="1854">
        <v>534000000</v>
      </c>
      <c r="E123" s="896">
        <f>F123/D123</f>
        <v>6.1573033707865168E-2</v>
      </c>
      <c r="F123" s="1854">
        <v>32880000</v>
      </c>
      <c r="G123" s="2062"/>
      <c r="H123" s="2062"/>
      <c r="I123" s="2108"/>
      <c r="J123" s="2062"/>
      <c r="K123" s="2062"/>
      <c r="L123" s="2071" t="s">
        <v>4241</v>
      </c>
    </row>
    <row r="124" spans="1:12" ht="30" customHeight="1" x14ac:dyDescent="0.2">
      <c r="A124" s="2063">
        <v>68</v>
      </c>
      <c r="B124" s="2104" t="s">
        <v>202</v>
      </c>
      <c r="C124" s="2105" t="s">
        <v>1295</v>
      </c>
      <c r="D124" s="2062">
        <v>150000000</v>
      </c>
      <c r="E124" s="2101">
        <v>0.05</v>
      </c>
      <c r="F124" s="2062">
        <f t="shared" si="11"/>
        <v>7500000</v>
      </c>
      <c r="G124" s="2062">
        <v>7500000</v>
      </c>
      <c r="H124" s="2062" t="s">
        <v>4310</v>
      </c>
      <c r="I124" s="1538" t="s">
        <v>2538</v>
      </c>
      <c r="J124" s="2062">
        <f t="shared" si="15"/>
        <v>7500000</v>
      </c>
      <c r="K124" s="2062">
        <f t="shared" si="13"/>
        <v>0</v>
      </c>
      <c r="L124" s="2085"/>
    </row>
    <row r="125" spans="1:12" ht="30" customHeight="1" x14ac:dyDescent="0.2">
      <c r="A125" s="1028">
        <v>69</v>
      </c>
      <c r="B125" s="19" t="s">
        <v>203</v>
      </c>
      <c r="C125" s="2105" t="s">
        <v>889</v>
      </c>
      <c r="D125" s="2062">
        <v>280000000</v>
      </c>
      <c r="E125" s="2101">
        <f>F125/D125</f>
        <v>7.0000000000000007E-2</v>
      </c>
      <c r="F125" s="2062">
        <v>19600000</v>
      </c>
      <c r="G125" s="8102" t="s">
        <v>4274</v>
      </c>
      <c r="H125" s="8103"/>
      <c r="I125" s="8103"/>
      <c r="J125" s="8104"/>
      <c r="K125" s="2062">
        <f t="shared" si="13"/>
        <v>19600000</v>
      </c>
      <c r="L125" s="2109"/>
    </row>
    <row r="126" spans="1:12" ht="30" customHeight="1" x14ac:dyDescent="0.2">
      <c r="A126" s="2063">
        <v>70</v>
      </c>
      <c r="B126" s="2106" t="s">
        <v>204</v>
      </c>
      <c r="C126" s="2105" t="s">
        <v>889</v>
      </c>
      <c r="D126" s="2062">
        <v>100000000</v>
      </c>
      <c r="E126" s="2101">
        <v>0.04</v>
      </c>
      <c r="F126" s="2062">
        <f t="shared" si="11"/>
        <v>4000000</v>
      </c>
      <c r="G126" s="2062">
        <v>4000000</v>
      </c>
      <c r="H126" s="2062" t="s">
        <v>4310</v>
      </c>
      <c r="I126" s="2125" t="s">
        <v>3405</v>
      </c>
      <c r="J126" s="2062">
        <f t="shared" si="15"/>
        <v>4000000</v>
      </c>
      <c r="K126" s="2062">
        <f t="shared" si="13"/>
        <v>0</v>
      </c>
      <c r="L126" s="2085"/>
    </row>
    <row r="127" spans="1:12" ht="30" customHeight="1" x14ac:dyDescent="0.2">
      <c r="A127" s="7654"/>
      <c r="B127" s="7652" t="s">
        <v>205</v>
      </c>
      <c r="C127" s="7723" t="s">
        <v>889</v>
      </c>
      <c r="D127" s="2074">
        <v>30000000</v>
      </c>
      <c r="E127" s="2077">
        <v>0.05</v>
      </c>
      <c r="F127" s="2074">
        <f t="shared" si="11"/>
        <v>1500000</v>
      </c>
      <c r="G127" s="7563">
        <v>1835000</v>
      </c>
      <c r="H127" s="7563" t="s">
        <v>4361</v>
      </c>
      <c r="I127" s="7563" t="s">
        <v>1407</v>
      </c>
      <c r="J127" s="7563">
        <f t="shared" si="15"/>
        <v>1835000</v>
      </c>
      <c r="K127" s="7563">
        <f t="shared" si="13"/>
        <v>-335000</v>
      </c>
      <c r="L127" s="2070"/>
    </row>
    <row r="128" spans="1:12" ht="30" customHeight="1" x14ac:dyDescent="0.2">
      <c r="A128" s="7655"/>
      <c r="B128" s="7653"/>
      <c r="C128" s="7724"/>
      <c r="D128" s="2078">
        <v>10000000</v>
      </c>
      <c r="E128" s="2076">
        <v>0.05</v>
      </c>
      <c r="F128" s="2078">
        <f t="shared" si="11"/>
        <v>500000</v>
      </c>
      <c r="G128" s="7564"/>
      <c r="H128" s="7564"/>
      <c r="I128" s="7564"/>
      <c r="J128" s="7564"/>
      <c r="K128" s="7564"/>
      <c r="L128" s="2119" t="s">
        <v>4218</v>
      </c>
    </row>
    <row r="129" spans="1:12" ht="30" customHeight="1" x14ac:dyDescent="0.2">
      <c r="A129" s="7654">
        <v>72</v>
      </c>
      <c r="B129" s="7652" t="s">
        <v>1023</v>
      </c>
      <c r="C129" s="7723" t="s">
        <v>1718</v>
      </c>
      <c r="D129" s="7563">
        <v>1685000000</v>
      </c>
      <c r="E129" s="7659">
        <v>0.06</v>
      </c>
      <c r="F129" s="7563">
        <f t="shared" si="11"/>
        <v>101100000</v>
      </c>
      <c r="G129" s="2074">
        <v>50000000</v>
      </c>
      <c r="H129" s="2074" t="s">
        <v>4402</v>
      </c>
      <c r="I129" s="21" t="s">
        <v>3067</v>
      </c>
      <c r="J129" s="7563">
        <f>G129+G130</f>
        <v>100000000</v>
      </c>
      <c r="K129" s="7563">
        <f t="shared" si="13"/>
        <v>1100000</v>
      </c>
      <c r="L129" s="7798"/>
    </row>
    <row r="130" spans="1:12" ht="30" customHeight="1" x14ac:dyDescent="0.2">
      <c r="A130" s="7655"/>
      <c r="B130" s="7653"/>
      <c r="C130" s="7724"/>
      <c r="D130" s="7564"/>
      <c r="E130" s="7660"/>
      <c r="F130" s="7564"/>
      <c r="G130" s="2074">
        <v>50000000</v>
      </c>
      <c r="H130" s="2074" t="s">
        <v>4426</v>
      </c>
      <c r="I130" s="21" t="s">
        <v>3067</v>
      </c>
      <c r="J130" s="7564"/>
      <c r="K130" s="7564"/>
      <c r="L130" s="7800"/>
    </row>
    <row r="131" spans="1:12" ht="30" customHeight="1" x14ac:dyDescent="0.2">
      <c r="A131" s="2065">
        <v>73</v>
      </c>
      <c r="B131" s="2104" t="s">
        <v>206</v>
      </c>
      <c r="C131" s="2084" t="s">
        <v>1293</v>
      </c>
      <c r="D131" s="2074">
        <v>20000000</v>
      </c>
      <c r="E131" s="2101">
        <v>0.05</v>
      </c>
      <c r="F131" s="2074">
        <f t="shared" si="11"/>
        <v>1000000</v>
      </c>
      <c r="G131" s="2074">
        <v>1000000</v>
      </c>
      <c r="H131" s="2074" t="s">
        <v>1193</v>
      </c>
      <c r="I131" s="21" t="s">
        <v>3988</v>
      </c>
      <c r="J131" s="2074">
        <f>G131</f>
        <v>1000000</v>
      </c>
      <c r="K131" s="2074">
        <f>F131-J131</f>
        <v>0</v>
      </c>
      <c r="L131" s="2104"/>
    </row>
    <row r="132" spans="1:12" ht="30" customHeight="1" x14ac:dyDescent="0.2">
      <c r="A132" s="7654">
        <v>74</v>
      </c>
      <c r="B132" s="7652" t="s">
        <v>4203</v>
      </c>
      <c r="C132" s="2084" t="s">
        <v>2644</v>
      </c>
      <c r="D132" s="2074">
        <v>125000000</v>
      </c>
      <c r="E132" s="2101">
        <v>0.04</v>
      </c>
      <c r="F132" s="2074">
        <f t="shared" si="11"/>
        <v>5000000</v>
      </c>
      <c r="G132" s="7563">
        <v>8150000</v>
      </c>
      <c r="H132" s="7563" t="s">
        <v>4361</v>
      </c>
      <c r="I132" s="7563" t="s">
        <v>3067</v>
      </c>
      <c r="J132" s="7563">
        <f>G132</f>
        <v>8150000</v>
      </c>
      <c r="K132" s="7563">
        <f>F132-J132</f>
        <v>-3150000</v>
      </c>
      <c r="L132" s="736"/>
    </row>
    <row r="133" spans="1:12" ht="30" customHeight="1" x14ac:dyDescent="0.2">
      <c r="A133" s="7655"/>
      <c r="B133" s="7653"/>
      <c r="C133" s="2084" t="s">
        <v>2644</v>
      </c>
      <c r="D133" s="2074">
        <v>90000000</v>
      </c>
      <c r="E133" s="2101">
        <v>0.05</v>
      </c>
      <c r="F133" s="2074">
        <f t="shared" si="11"/>
        <v>4500000</v>
      </c>
      <c r="G133" s="7564"/>
      <c r="H133" s="7564"/>
      <c r="I133" s="7564"/>
      <c r="J133" s="7564"/>
      <c r="K133" s="7564"/>
      <c r="L133" s="736" t="s">
        <v>4206</v>
      </c>
    </row>
    <row r="134" spans="1:12" ht="30" customHeight="1" x14ac:dyDescent="0.2">
      <c r="A134" s="2103"/>
      <c r="B134" s="2104" t="s">
        <v>4205</v>
      </c>
      <c r="C134" s="2084" t="s">
        <v>262</v>
      </c>
      <c r="D134" s="2074">
        <v>200000000</v>
      </c>
      <c r="E134" s="2101">
        <v>0.05</v>
      </c>
      <c r="F134" s="2074">
        <f t="shared" si="11"/>
        <v>10000000</v>
      </c>
      <c r="G134" s="2074">
        <v>10000000</v>
      </c>
      <c r="H134" s="2074" t="s">
        <v>4449</v>
      </c>
      <c r="I134" s="2089" t="s">
        <v>4461</v>
      </c>
      <c r="J134" s="2074">
        <f>G134</f>
        <v>10000000</v>
      </c>
      <c r="K134" s="2074">
        <f>F134-J134</f>
        <v>0</v>
      </c>
      <c r="L134" s="736" t="s">
        <v>4204</v>
      </c>
    </row>
    <row r="135" spans="1:12" ht="30" customHeight="1" x14ac:dyDescent="0.2">
      <c r="A135" s="2301"/>
      <c r="B135" s="2323" t="s">
        <v>208</v>
      </c>
      <c r="C135" s="2313"/>
      <c r="D135" s="2306">
        <v>50000000</v>
      </c>
      <c r="E135" s="2322">
        <v>0.05</v>
      </c>
      <c r="F135" s="2306">
        <f t="shared" si="11"/>
        <v>2500000</v>
      </c>
      <c r="G135" s="2306">
        <v>2500000</v>
      </c>
      <c r="H135" s="2306" t="s">
        <v>1193</v>
      </c>
      <c r="I135" s="2318" t="s">
        <v>948</v>
      </c>
      <c r="J135" s="2306">
        <f>G135</f>
        <v>2500000</v>
      </c>
      <c r="K135" s="2306">
        <f>F135-J135</f>
        <v>0</v>
      </c>
      <c r="L135" s="180"/>
    </row>
    <row r="136" spans="1:12" ht="30" customHeight="1" x14ac:dyDescent="0.2">
      <c r="A136" s="7654">
        <v>76</v>
      </c>
      <c r="B136" s="7652" t="s">
        <v>3462</v>
      </c>
      <c r="C136" s="7723" t="s">
        <v>1293</v>
      </c>
      <c r="D136" s="895">
        <v>100000000</v>
      </c>
      <c r="E136" s="2101">
        <v>0.05</v>
      </c>
      <c r="F136" s="2074">
        <f t="shared" si="11"/>
        <v>5000000</v>
      </c>
      <c r="G136" s="2074">
        <v>5000000</v>
      </c>
      <c r="H136" s="2074" t="s">
        <v>4310</v>
      </c>
      <c r="I136" s="21" t="s">
        <v>1538</v>
      </c>
      <c r="J136" s="2074">
        <f>G136</f>
        <v>5000000</v>
      </c>
      <c r="K136" s="2074">
        <f>F136-J136</f>
        <v>0</v>
      </c>
      <c r="L136" s="180"/>
    </row>
    <row r="137" spans="1:12" ht="30" customHeight="1" x14ac:dyDescent="0.2">
      <c r="A137" s="7656"/>
      <c r="B137" s="7665"/>
      <c r="C137" s="7747"/>
      <c r="D137" s="895">
        <v>10000000</v>
      </c>
      <c r="E137" s="2186">
        <v>0.05</v>
      </c>
      <c r="F137" s="2182">
        <f t="shared" si="11"/>
        <v>500000</v>
      </c>
      <c r="G137" s="7563">
        <v>1885000</v>
      </c>
      <c r="H137" s="7563" t="s">
        <v>4402</v>
      </c>
      <c r="I137" s="7561" t="s">
        <v>1538</v>
      </c>
      <c r="J137" s="7563">
        <f>G137</f>
        <v>1885000</v>
      </c>
      <c r="K137" s="7563"/>
      <c r="L137" s="180" t="s">
        <v>4285</v>
      </c>
    </row>
    <row r="138" spans="1:12" ht="30" customHeight="1" x14ac:dyDescent="0.2">
      <c r="A138" s="7656"/>
      <c r="B138" s="7665"/>
      <c r="C138" s="7747"/>
      <c r="D138" s="895">
        <v>10000000</v>
      </c>
      <c r="E138" s="2186">
        <v>0.05</v>
      </c>
      <c r="F138" s="2182">
        <f t="shared" si="11"/>
        <v>500000</v>
      </c>
      <c r="G138" s="7586"/>
      <c r="H138" s="7586"/>
      <c r="I138" s="7672"/>
      <c r="J138" s="7586"/>
      <c r="K138" s="7586"/>
      <c r="L138" s="180" t="s">
        <v>4286</v>
      </c>
    </row>
    <row r="139" spans="1:12" ht="30" customHeight="1" x14ac:dyDescent="0.2">
      <c r="A139" s="7656"/>
      <c r="B139" s="7665"/>
      <c r="C139" s="7747"/>
      <c r="D139" s="895">
        <v>10000000</v>
      </c>
      <c r="E139" s="2186">
        <v>0.05</v>
      </c>
      <c r="F139" s="2182">
        <f t="shared" si="11"/>
        <v>500000</v>
      </c>
      <c r="G139" s="7586"/>
      <c r="H139" s="7586"/>
      <c r="I139" s="7672"/>
      <c r="J139" s="7586"/>
      <c r="K139" s="7586"/>
      <c r="L139" s="180" t="s">
        <v>4287</v>
      </c>
    </row>
    <row r="140" spans="1:12" ht="30" customHeight="1" x14ac:dyDescent="0.2">
      <c r="A140" s="7656"/>
      <c r="B140" s="7665"/>
      <c r="C140" s="7747"/>
      <c r="D140" s="895">
        <v>10000000</v>
      </c>
      <c r="E140" s="2186">
        <v>0.05</v>
      </c>
      <c r="F140" s="2182">
        <f t="shared" si="11"/>
        <v>500000</v>
      </c>
      <c r="G140" s="7586"/>
      <c r="H140" s="7586"/>
      <c r="I140" s="7672"/>
      <c r="J140" s="7586"/>
      <c r="K140" s="7586"/>
      <c r="L140" s="180" t="s">
        <v>4288</v>
      </c>
    </row>
    <row r="141" spans="1:12" ht="30" customHeight="1" x14ac:dyDescent="0.2">
      <c r="A141" s="7655"/>
      <c r="B141" s="7653"/>
      <c r="C141" s="7724"/>
      <c r="D141" s="895">
        <v>10000000</v>
      </c>
      <c r="E141" s="2186">
        <v>0.05</v>
      </c>
      <c r="F141" s="2182">
        <f t="shared" si="11"/>
        <v>500000</v>
      </c>
      <c r="G141" s="7564"/>
      <c r="H141" s="7564"/>
      <c r="I141" s="7562"/>
      <c r="J141" s="7564"/>
      <c r="K141" s="7564"/>
      <c r="L141" s="180" t="s">
        <v>4289</v>
      </c>
    </row>
    <row r="142" spans="1:12" ht="30" customHeight="1" x14ac:dyDescent="0.2">
      <c r="A142" s="7654">
        <v>77</v>
      </c>
      <c r="B142" s="7652" t="s">
        <v>210</v>
      </c>
      <c r="C142" s="7723" t="s">
        <v>1717</v>
      </c>
      <c r="D142" s="2074">
        <v>30000000</v>
      </c>
      <c r="E142" s="2101">
        <v>7.0000000000000007E-2</v>
      </c>
      <c r="F142" s="2074">
        <f t="shared" si="11"/>
        <v>2100000</v>
      </c>
      <c r="G142" s="7563">
        <v>3675000</v>
      </c>
      <c r="H142" s="7563" t="s">
        <v>1193</v>
      </c>
      <c r="I142" s="7561" t="s">
        <v>952</v>
      </c>
      <c r="J142" s="7563">
        <f>G142</f>
        <v>3675000</v>
      </c>
      <c r="K142" s="7563">
        <f>(F142+F143)-J142</f>
        <v>0</v>
      </c>
      <c r="L142" s="7713"/>
    </row>
    <row r="143" spans="1:12" ht="30" customHeight="1" x14ac:dyDescent="0.2">
      <c r="A143" s="7655"/>
      <c r="B143" s="7653"/>
      <c r="C143" s="7724"/>
      <c r="D143" s="2074">
        <v>35000000</v>
      </c>
      <c r="E143" s="2101">
        <v>4.4999999999999998E-2</v>
      </c>
      <c r="F143" s="2074">
        <f t="shared" si="11"/>
        <v>1575000</v>
      </c>
      <c r="G143" s="7564"/>
      <c r="H143" s="7564"/>
      <c r="I143" s="7562"/>
      <c r="J143" s="7564"/>
      <c r="K143" s="7564"/>
      <c r="L143" s="7714"/>
    </row>
    <row r="144" spans="1:12" ht="30" customHeight="1" x14ac:dyDescent="0.2">
      <c r="A144" s="2103">
        <v>78</v>
      </c>
      <c r="B144" s="2104" t="s">
        <v>211</v>
      </c>
      <c r="C144" s="2084" t="s">
        <v>2644</v>
      </c>
      <c r="D144" s="2784">
        <v>45000000</v>
      </c>
      <c r="E144" s="2786">
        <v>4.2000000000000003E-2</v>
      </c>
      <c r="F144" s="2784">
        <v>1900000</v>
      </c>
      <c r="G144" s="2784">
        <v>1900000</v>
      </c>
      <c r="H144" s="2784" t="s">
        <v>1193</v>
      </c>
      <c r="I144" s="2788" t="s">
        <v>955</v>
      </c>
      <c r="J144" s="2784">
        <f t="shared" ref="J144:J150" si="16">G144</f>
        <v>1900000</v>
      </c>
      <c r="K144" s="2784">
        <f t="shared" ref="K144:K150" si="17">F144-J144</f>
        <v>0</v>
      </c>
      <c r="L144" s="2104"/>
    </row>
    <row r="145" spans="1:16" ht="30" customHeight="1" x14ac:dyDescent="0.2">
      <c r="A145" s="2103">
        <v>79</v>
      </c>
      <c r="B145" s="2104" t="s">
        <v>212</v>
      </c>
      <c r="C145" s="2084" t="s">
        <v>889</v>
      </c>
      <c r="D145" s="2074">
        <v>15000000</v>
      </c>
      <c r="E145" s="2101">
        <v>4.4999999999999998E-2</v>
      </c>
      <c r="F145" s="2074">
        <f t="shared" si="11"/>
        <v>675000</v>
      </c>
      <c r="G145" s="2074">
        <v>675000</v>
      </c>
      <c r="H145" s="2074" t="s">
        <v>4331</v>
      </c>
      <c r="I145" s="21" t="s">
        <v>1766</v>
      </c>
      <c r="J145" s="2074">
        <f t="shared" si="16"/>
        <v>675000</v>
      </c>
      <c r="K145" s="2074">
        <f t="shared" si="17"/>
        <v>0</v>
      </c>
      <c r="L145" s="2104"/>
      <c r="M145" s="366"/>
      <c r="N145" s="366"/>
      <c r="O145" s="366"/>
      <c r="P145" s="366"/>
    </row>
    <row r="146" spans="1:16" ht="30" customHeight="1" x14ac:dyDescent="0.2">
      <c r="A146" s="2103">
        <v>80</v>
      </c>
      <c r="B146" s="2104" t="s">
        <v>182</v>
      </c>
      <c r="C146" s="2084" t="s">
        <v>1293</v>
      </c>
      <c r="D146" s="2074">
        <v>145000000</v>
      </c>
      <c r="E146" s="2101">
        <v>4.4999999999999998E-2</v>
      </c>
      <c r="F146" s="2074">
        <v>6775000</v>
      </c>
      <c r="G146" s="2074">
        <v>6775000</v>
      </c>
      <c r="H146" s="2074" t="s">
        <v>4361</v>
      </c>
      <c r="I146" s="2062" t="s">
        <v>3928</v>
      </c>
      <c r="J146" s="2074">
        <f t="shared" si="16"/>
        <v>6775000</v>
      </c>
      <c r="K146" s="2074">
        <f t="shared" si="17"/>
        <v>0</v>
      </c>
      <c r="L146" s="2104"/>
      <c r="M146" s="366"/>
      <c r="N146" s="366"/>
      <c r="O146" s="366"/>
      <c r="P146" s="366"/>
    </row>
    <row r="147" spans="1:16" ht="30" customHeight="1" x14ac:dyDescent="0.2">
      <c r="A147" s="2103">
        <v>81</v>
      </c>
      <c r="B147" s="2104" t="s">
        <v>213</v>
      </c>
      <c r="C147" s="2084"/>
      <c r="D147" s="2074">
        <v>5000000</v>
      </c>
      <c r="E147" s="2101">
        <v>0.04</v>
      </c>
      <c r="F147" s="2074">
        <f t="shared" si="11"/>
        <v>200000</v>
      </c>
      <c r="G147" s="2074">
        <v>200000</v>
      </c>
      <c r="H147" s="2074" t="s">
        <v>4331</v>
      </c>
      <c r="I147" s="21" t="s">
        <v>1363</v>
      </c>
      <c r="J147" s="2074">
        <f t="shared" si="16"/>
        <v>200000</v>
      </c>
      <c r="K147" s="2074">
        <f t="shared" si="17"/>
        <v>0</v>
      </c>
      <c r="L147" s="2104"/>
      <c r="M147" s="366"/>
      <c r="N147" s="366"/>
      <c r="O147" s="366"/>
      <c r="P147" s="366"/>
    </row>
    <row r="148" spans="1:16" ht="30" customHeight="1" x14ac:dyDescent="0.2">
      <c r="A148" s="2103">
        <v>82</v>
      </c>
      <c r="B148" s="2104" t="s">
        <v>214</v>
      </c>
      <c r="C148" s="2084" t="s">
        <v>2644</v>
      </c>
      <c r="D148" s="2074">
        <v>16000000</v>
      </c>
      <c r="E148" s="2101">
        <v>0.05</v>
      </c>
      <c r="F148" s="2074">
        <f t="shared" si="11"/>
        <v>800000</v>
      </c>
      <c r="G148" s="2074">
        <v>800000</v>
      </c>
      <c r="H148" s="2074" t="s">
        <v>1193</v>
      </c>
      <c r="I148" s="2125" t="s">
        <v>964</v>
      </c>
      <c r="J148" s="2074">
        <f t="shared" si="16"/>
        <v>800000</v>
      </c>
      <c r="K148" s="2074">
        <f t="shared" si="17"/>
        <v>0</v>
      </c>
      <c r="L148" s="2104"/>
      <c r="M148" s="366"/>
      <c r="N148" s="366"/>
      <c r="O148" s="366"/>
      <c r="P148" s="366"/>
    </row>
    <row r="149" spans="1:16" ht="30" customHeight="1" x14ac:dyDescent="0.2">
      <c r="A149" s="2103">
        <v>83</v>
      </c>
      <c r="B149" s="2104" t="s">
        <v>215</v>
      </c>
      <c r="C149" s="2084" t="s">
        <v>889</v>
      </c>
      <c r="D149" s="2074">
        <v>160000000</v>
      </c>
      <c r="E149" s="2101">
        <v>0.05</v>
      </c>
      <c r="F149" s="2074">
        <f>D149*E149</f>
        <v>8000000</v>
      </c>
      <c r="G149" s="2074">
        <v>8000000</v>
      </c>
      <c r="H149" s="2074" t="s">
        <v>1193</v>
      </c>
      <c r="I149" s="2062" t="s">
        <v>3982</v>
      </c>
      <c r="J149" s="2074">
        <f t="shared" si="16"/>
        <v>8000000</v>
      </c>
      <c r="K149" s="2074">
        <f t="shared" si="17"/>
        <v>0</v>
      </c>
      <c r="L149" s="2104"/>
      <c r="M149" s="366"/>
      <c r="N149" s="366"/>
      <c r="O149" s="366"/>
      <c r="P149" s="366"/>
    </row>
    <row r="150" spans="1:16" ht="30" customHeight="1" x14ac:dyDescent="0.2">
      <c r="A150" s="2103">
        <v>84</v>
      </c>
      <c r="B150" s="2104" t="s">
        <v>216</v>
      </c>
      <c r="C150" s="2084"/>
      <c r="D150" s="2074">
        <v>400000000</v>
      </c>
      <c r="E150" s="2101">
        <v>6.0999999999999999E-2</v>
      </c>
      <c r="F150" s="2074">
        <f t="shared" si="11"/>
        <v>24400000</v>
      </c>
      <c r="G150" s="2074">
        <v>24400000</v>
      </c>
      <c r="H150" s="2074" t="s">
        <v>1193</v>
      </c>
      <c r="I150" s="2125" t="s">
        <v>1553</v>
      </c>
      <c r="J150" s="2074">
        <f t="shared" si="16"/>
        <v>24400000</v>
      </c>
      <c r="K150" s="2074">
        <f t="shared" si="17"/>
        <v>0</v>
      </c>
      <c r="L150" s="2104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5" t="s">
        <v>889</v>
      </c>
      <c r="D151" s="2062">
        <v>850000000</v>
      </c>
      <c r="E151" s="2101">
        <f>F151/D151</f>
        <v>6.1647058823529409E-2</v>
      </c>
      <c r="F151" s="2062">
        <v>52400000</v>
      </c>
      <c r="G151" s="2062">
        <v>52400000</v>
      </c>
      <c r="H151" s="2062" t="s">
        <v>4395</v>
      </c>
      <c r="I151" s="2062" t="s">
        <v>2540</v>
      </c>
      <c r="J151" s="2062">
        <f>G151</f>
        <v>52400000</v>
      </c>
      <c r="K151" s="2062">
        <f>F151-J151</f>
        <v>0</v>
      </c>
      <c r="L151" s="2083"/>
      <c r="M151" s="366"/>
      <c r="N151" s="366"/>
      <c r="O151" s="366"/>
      <c r="P151" s="366"/>
    </row>
    <row r="152" spans="1:16" ht="30" customHeight="1" x14ac:dyDescent="0.2">
      <c r="A152" s="2103">
        <v>86</v>
      </c>
      <c r="B152" s="19" t="s">
        <v>217</v>
      </c>
      <c r="C152" s="2105" t="s">
        <v>889</v>
      </c>
      <c r="D152" s="2062">
        <v>111000000</v>
      </c>
      <c r="E152" s="2101">
        <v>0.05</v>
      </c>
      <c r="F152" s="2062">
        <f t="shared" ref="F152" si="18">D152*E152</f>
        <v>5550000</v>
      </c>
      <c r="G152" s="2062">
        <v>5550000</v>
      </c>
      <c r="H152" s="2062" t="s">
        <v>4331</v>
      </c>
      <c r="I152" s="2062" t="s">
        <v>3971</v>
      </c>
      <c r="J152" s="2062">
        <f>G152</f>
        <v>5550000</v>
      </c>
      <c r="K152" s="2062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5"/>
      <c r="B153" s="7652" t="s">
        <v>174</v>
      </c>
      <c r="C153" s="7723" t="s">
        <v>889</v>
      </c>
      <c r="D153" s="2074">
        <v>723000000</v>
      </c>
      <c r="E153" s="2077">
        <f>F153/D153</f>
        <v>6.5560165975103737E-2</v>
      </c>
      <c r="F153" s="2074">
        <v>47400000</v>
      </c>
      <c r="G153" s="2074">
        <v>47400000</v>
      </c>
      <c r="H153" s="2074" t="s">
        <v>4385</v>
      </c>
      <c r="I153" s="18" t="s">
        <v>3061</v>
      </c>
      <c r="J153" s="2074">
        <f>G153</f>
        <v>47400000</v>
      </c>
      <c r="K153" s="2074">
        <f>F153-J153</f>
        <v>0</v>
      </c>
      <c r="L153" s="7874"/>
      <c r="M153" s="7875"/>
      <c r="N153" s="7875"/>
      <c r="O153" s="7875"/>
      <c r="P153" s="7876"/>
    </row>
    <row r="154" spans="1:16" ht="30" customHeight="1" x14ac:dyDescent="0.2">
      <c r="A154" s="2475"/>
      <c r="B154" s="7653"/>
      <c r="C154" s="7724"/>
      <c r="D154" s="2478">
        <v>793000000</v>
      </c>
      <c r="E154" s="2477">
        <v>6.6000000000000003E-2</v>
      </c>
      <c r="F154" s="2478">
        <v>52300000</v>
      </c>
      <c r="G154" s="7470" t="s">
        <v>4548</v>
      </c>
      <c r="H154" s="7493"/>
      <c r="I154" s="7493"/>
      <c r="J154" s="7493"/>
      <c r="K154" s="7510"/>
      <c r="L154" s="2491" t="s">
        <v>4549</v>
      </c>
      <c r="M154" s="2520"/>
      <c r="N154" s="2520"/>
      <c r="O154" s="2520"/>
      <c r="P154" s="2520"/>
    </row>
    <row r="155" spans="1:16" ht="30" customHeight="1" x14ac:dyDescent="0.2">
      <c r="A155" s="7654">
        <v>88</v>
      </c>
      <c r="B155" s="7652" t="s">
        <v>218</v>
      </c>
      <c r="C155" s="7723" t="s">
        <v>1295</v>
      </c>
      <c r="D155" s="2074">
        <v>45000000</v>
      </c>
      <c r="E155" s="2101">
        <v>0.04</v>
      </c>
      <c r="F155" s="2074">
        <v>2050000</v>
      </c>
      <c r="G155" s="8214" t="s">
        <v>2404</v>
      </c>
      <c r="H155" s="8215"/>
      <c r="I155" s="8215"/>
      <c r="J155" s="8216"/>
      <c r="K155" s="2074">
        <f>F155-J155</f>
        <v>2050000</v>
      </c>
      <c r="L155" s="2104"/>
      <c r="M155" s="366"/>
      <c r="N155" s="366"/>
      <c r="O155" s="366"/>
      <c r="P155" s="366"/>
    </row>
    <row r="156" spans="1:16" ht="30" customHeight="1" x14ac:dyDescent="0.2">
      <c r="A156" s="7656"/>
      <c r="B156" s="7665"/>
      <c r="C156" s="7747"/>
      <c r="D156" s="2973">
        <v>2050000</v>
      </c>
      <c r="E156" s="2986"/>
      <c r="F156" s="2973"/>
      <c r="G156" s="8217"/>
      <c r="H156" s="8218"/>
      <c r="I156" s="8218"/>
      <c r="J156" s="8219"/>
      <c r="K156" s="2979"/>
      <c r="L156" s="2976"/>
      <c r="M156" s="366"/>
      <c r="N156" s="366"/>
      <c r="O156" s="366"/>
      <c r="P156" s="366"/>
    </row>
    <row r="157" spans="1:16" ht="30" customHeight="1" x14ac:dyDescent="0.2">
      <c r="A157" s="7656"/>
      <c r="B157" s="7665"/>
      <c r="C157" s="7747"/>
      <c r="D157" s="2973">
        <v>950000</v>
      </c>
      <c r="E157" s="2986"/>
      <c r="F157" s="2973"/>
      <c r="G157" s="8099" t="s">
        <v>4867</v>
      </c>
      <c r="H157" s="8100"/>
      <c r="I157" s="8100"/>
      <c r="J157" s="8101"/>
      <c r="K157" s="2979"/>
      <c r="L157" s="2976"/>
      <c r="M157" s="366"/>
      <c r="N157" s="366"/>
      <c r="O157" s="366"/>
      <c r="P157" s="366"/>
    </row>
    <row r="158" spans="1:16" ht="30" customHeight="1" x14ac:dyDescent="0.2">
      <c r="A158" s="7656"/>
      <c r="B158" s="7665"/>
      <c r="C158" s="7747"/>
      <c r="D158" s="2973">
        <v>52000000</v>
      </c>
      <c r="E158" s="2986"/>
      <c r="F158" s="2973"/>
      <c r="G158" s="8099" t="s">
        <v>4868</v>
      </c>
      <c r="H158" s="8100"/>
      <c r="I158" s="8100"/>
      <c r="J158" s="8101"/>
      <c r="K158" s="2979"/>
      <c r="L158" s="2976"/>
      <c r="M158" s="366"/>
      <c r="N158" s="366"/>
      <c r="O158" s="366"/>
      <c r="P158" s="366"/>
    </row>
    <row r="159" spans="1:16" ht="30" customHeight="1" x14ac:dyDescent="0.2">
      <c r="A159" s="7655"/>
      <c r="B159" s="7653"/>
      <c r="C159" s="7724"/>
      <c r="D159" s="2973">
        <f>SUM(D155:D158)</f>
        <v>100000000</v>
      </c>
      <c r="E159" s="2986">
        <v>0.06</v>
      </c>
      <c r="F159" s="2973">
        <f>D159*E159</f>
        <v>6000000</v>
      </c>
      <c r="G159" s="8099" t="s">
        <v>2685</v>
      </c>
      <c r="H159" s="8100"/>
      <c r="I159" s="8100"/>
      <c r="J159" s="8101"/>
      <c r="K159" s="2979"/>
      <c r="L159" s="2976"/>
      <c r="M159" s="366"/>
      <c r="N159" s="366"/>
      <c r="O159" s="366"/>
      <c r="P159" s="366"/>
    </row>
    <row r="160" spans="1:16" ht="30" customHeight="1" x14ac:dyDescent="0.2">
      <c r="A160" s="7654">
        <v>89</v>
      </c>
      <c r="B160" s="7652" t="s">
        <v>219</v>
      </c>
      <c r="C160" s="7723" t="s">
        <v>1293</v>
      </c>
      <c r="D160" s="1854">
        <v>93000000</v>
      </c>
      <c r="E160" s="896">
        <v>7.0000000000000007E-2</v>
      </c>
      <c r="F160" s="1854">
        <v>6500000</v>
      </c>
      <c r="G160" s="1455"/>
      <c r="H160" s="1455"/>
      <c r="I160" s="1455"/>
      <c r="J160" s="1455"/>
      <c r="K160" s="7563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7656"/>
      <c r="B161" s="7665"/>
      <c r="C161" s="7747"/>
      <c r="D161" s="1854">
        <v>450000000</v>
      </c>
      <c r="E161" s="896">
        <v>0.05</v>
      </c>
      <c r="F161" s="2649">
        <f>D161*E161</f>
        <v>22500000</v>
      </c>
      <c r="G161" s="1455"/>
      <c r="H161" s="1455"/>
      <c r="I161" s="1455"/>
      <c r="J161" s="1455"/>
      <c r="K161" s="7564"/>
      <c r="L161" s="29" t="s">
        <v>4651</v>
      </c>
      <c r="M161" s="366"/>
      <c r="N161" s="366"/>
      <c r="O161" s="366"/>
      <c r="P161" s="366"/>
    </row>
    <row r="162" spans="1:16" ht="30" customHeight="1" x14ac:dyDescent="0.2">
      <c r="A162" s="7655"/>
      <c r="B162" s="7653"/>
      <c r="C162" s="7724"/>
      <c r="D162" s="2649">
        <v>100000000</v>
      </c>
      <c r="E162" s="896">
        <v>0.06</v>
      </c>
      <c r="F162" s="2649">
        <f>D162*E162</f>
        <v>6000000</v>
      </c>
      <c r="G162" s="8209" t="s">
        <v>4367</v>
      </c>
      <c r="H162" s="8210"/>
      <c r="I162" s="8210"/>
      <c r="J162" s="8211"/>
      <c r="K162" s="2308"/>
      <c r="L162" s="29" t="s">
        <v>4365</v>
      </c>
      <c r="M162" s="366"/>
      <c r="N162" s="366"/>
      <c r="O162" s="366"/>
      <c r="P162" s="366"/>
    </row>
    <row r="163" spans="1:16" ht="30" customHeight="1" x14ac:dyDescent="0.2">
      <c r="A163" s="7654">
        <v>90</v>
      </c>
      <c r="B163" s="7652" t="s">
        <v>220</v>
      </c>
      <c r="C163" s="7723" t="s">
        <v>1172</v>
      </c>
      <c r="D163" s="2074">
        <v>130000000</v>
      </c>
      <c r="E163" s="2101">
        <v>7.0000000000000007E-2</v>
      </c>
      <c r="F163" s="2074">
        <f>D163*E163</f>
        <v>9100000</v>
      </c>
      <c r="G163" s="7563">
        <v>14460000</v>
      </c>
      <c r="H163" s="7563" t="s">
        <v>1193</v>
      </c>
      <c r="I163" s="7561" t="s">
        <v>1808</v>
      </c>
      <c r="J163" s="7563">
        <f>G163</f>
        <v>14460000</v>
      </c>
      <c r="K163" s="7563">
        <f>(F163+F164)-J163</f>
        <v>0</v>
      </c>
      <c r="L163" s="7703"/>
      <c r="M163" s="366"/>
      <c r="N163" s="366"/>
      <c r="O163" s="366"/>
      <c r="P163" s="366"/>
    </row>
    <row r="164" spans="1:16" ht="30" customHeight="1" x14ac:dyDescent="0.2">
      <c r="A164" s="7655"/>
      <c r="B164" s="7653"/>
      <c r="C164" s="7724"/>
      <c r="D164" s="2074">
        <v>100000000</v>
      </c>
      <c r="E164" s="2101">
        <v>5.3999999999999999E-2</v>
      </c>
      <c r="F164" s="2074">
        <v>5360000</v>
      </c>
      <c r="G164" s="7564"/>
      <c r="H164" s="7564"/>
      <c r="I164" s="7562"/>
      <c r="J164" s="7564"/>
      <c r="K164" s="7564"/>
      <c r="L164" s="7705"/>
      <c r="M164" s="366"/>
      <c r="N164" s="366"/>
      <c r="O164" s="366"/>
      <c r="P164" s="366"/>
    </row>
    <row r="165" spans="1:16" ht="30" customHeight="1" x14ac:dyDescent="0.2">
      <c r="A165" s="7654">
        <v>91</v>
      </c>
      <c r="B165" s="7652" t="s">
        <v>4466</v>
      </c>
      <c r="C165" s="7723"/>
      <c r="D165" s="2074">
        <v>50000000</v>
      </c>
      <c r="E165" s="2101">
        <v>0.05</v>
      </c>
      <c r="F165" s="2074">
        <f t="shared" si="11"/>
        <v>2500000</v>
      </c>
      <c r="G165" s="7563">
        <v>12333000</v>
      </c>
      <c r="H165" s="7563" t="s">
        <v>4462</v>
      </c>
      <c r="I165" s="7772" t="s">
        <v>4464</v>
      </c>
      <c r="J165" s="7563">
        <f>G165</f>
        <v>12333000</v>
      </c>
      <c r="K165" s="7563">
        <f>F165-J165</f>
        <v>-9833000</v>
      </c>
      <c r="L165" s="29" t="s">
        <v>3990</v>
      </c>
      <c r="M165" s="366"/>
      <c r="N165" s="366"/>
      <c r="O165" s="366"/>
      <c r="P165" s="366"/>
    </row>
    <row r="166" spans="1:16" ht="30" customHeight="1" x14ac:dyDescent="0.2">
      <c r="A166" s="7655"/>
      <c r="B166" s="7665"/>
      <c r="C166" s="7747"/>
      <c r="D166" s="2074">
        <v>30000000</v>
      </c>
      <c r="E166" s="2101">
        <v>0.05</v>
      </c>
      <c r="F166" s="2074">
        <f>D166*E166</f>
        <v>1500000</v>
      </c>
      <c r="G166" s="7586"/>
      <c r="H166" s="7586"/>
      <c r="I166" s="8185"/>
      <c r="J166" s="7586"/>
      <c r="K166" s="7586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0"/>
      <c r="B167" s="7653"/>
      <c r="C167" s="7724"/>
      <c r="D167" s="2386">
        <v>200000000</v>
      </c>
      <c r="E167" s="2395">
        <v>0.05</v>
      </c>
      <c r="F167" s="2386">
        <f>D167*E167</f>
        <v>10000000</v>
      </c>
      <c r="G167" s="7564"/>
      <c r="H167" s="7564"/>
      <c r="I167" s="7773"/>
      <c r="J167" s="7564"/>
      <c r="K167" s="7564"/>
      <c r="L167" s="180" t="s">
        <v>4465</v>
      </c>
      <c r="M167" s="366"/>
      <c r="N167" s="366"/>
      <c r="O167" s="366"/>
      <c r="P167" s="366"/>
    </row>
    <row r="168" spans="1:16" ht="30" customHeight="1" x14ac:dyDescent="0.2">
      <c r="A168" s="7654">
        <v>92</v>
      </c>
      <c r="B168" s="7703" t="s">
        <v>749</v>
      </c>
      <c r="C168" s="2105" t="s">
        <v>889</v>
      </c>
      <c r="D168" s="2062">
        <v>450000000</v>
      </c>
      <c r="E168" s="2101">
        <f>F168/D168</f>
        <v>5.3222222222222219E-2</v>
      </c>
      <c r="F168" s="2062">
        <v>23950000</v>
      </c>
      <c r="G168" s="2062">
        <v>23950000</v>
      </c>
      <c r="H168" s="2062" t="s">
        <v>4385</v>
      </c>
      <c r="I168" s="2108" t="s">
        <v>3009</v>
      </c>
      <c r="J168" s="2062">
        <f>G168</f>
        <v>23950000</v>
      </c>
      <c r="K168" s="2062">
        <f>F168-J168</f>
        <v>0</v>
      </c>
      <c r="L168" s="2106"/>
      <c r="M168" s="366"/>
      <c r="N168" s="366"/>
      <c r="O168" s="366"/>
      <c r="P168" s="366"/>
    </row>
    <row r="169" spans="1:16" ht="30" customHeight="1" x14ac:dyDescent="0.2">
      <c r="A169" s="7656"/>
      <c r="B169" s="7704"/>
      <c r="C169" s="7723" t="s">
        <v>1287</v>
      </c>
      <c r="D169" s="2074">
        <v>273000000</v>
      </c>
      <c r="E169" s="2077">
        <f>F169/D169</f>
        <v>5.4615384615384614E-2</v>
      </c>
      <c r="F169" s="2074">
        <v>14910000</v>
      </c>
      <c r="G169" s="7563">
        <v>19910000</v>
      </c>
      <c r="H169" s="7563" t="s">
        <v>2473</v>
      </c>
      <c r="I169" s="7563" t="s">
        <v>3009</v>
      </c>
      <c r="J169" s="7563">
        <f>G169</f>
        <v>19910000</v>
      </c>
      <c r="K169" s="7563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7656"/>
      <c r="B170" s="7704"/>
      <c r="C170" s="7747"/>
      <c r="D170" s="2102">
        <v>100000000</v>
      </c>
      <c r="E170" s="2075">
        <v>0.05</v>
      </c>
      <c r="F170" s="2073">
        <f>D170*E170</f>
        <v>5000000</v>
      </c>
      <c r="G170" s="7564"/>
      <c r="H170" s="7586"/>
      <c r="I170" s="7586"/>
      <c r="J170" s="7564"/>
      <c r="K170" s="7564"/>
      <c r="L170" s="180"/>
      <c r="M170" s="366"/>
      <c r="N170" s="366"/>
      <c r="O170" s="366"/>
      <c r="P170" s="366"/>
    </row>
    <row r="171" spans="1:16" ht="30" customHeight="1" x14ac:dyDescent="0.2">
      <c r="A171" s="7655"/>
      <c r="B171" s="2455"/>
      <c r="C171" s="7724"/>
      <c r="D171" s="7482" t="s">
        <v>4536</v>
      </c>
      <c r="E171" s="7482"/>
      <c r="F171" s="7482"/>
      <c r="G171" s="2451">
        <v>350000</v>
      </c>
      <c r="H171" s="7564"/>
      <c r="I171" s="7564"/>
      <c r="J171" s="2451">
        <f>G171</f>
        <v>350000</v>
      </c>
      <c r="K171" s="2451"/>
      <c r="L171" s="180"/>
      <c r="M171" s="366"/>
      <c r="N171" s="366"/>
      <c r="O171" s="366"/>
      <c r="P171" s="366"/>
    </row>
    <row r="172" spans="1:16" ht="30" customHeight="1" x14ac:dyDescent="0.2">
      <c r="A172" s="2065"/>
      <c r="B172" s="19" t="s">
        <v>222</v>
      </c>
      <c r="C172" s="2105"/>
      <c r="D172" s="2062">
        <v>25000000</v>
      </c>
      <c r="E172" s="2961">
        <v>5.5E-2</v>
      </c>
      <c r="F172" s="2062">
        <f>D172*E172</f>
        <v>1375000</v>
      </c>
      <c r="G172" s="7789" t="s">
        <v>4953</v>
      </c>
      <c r="H172" s="7790"/>
      <c r="I172" s="7790"/>
      <c r="J172" s="7791"/>
      <c r="K172" s="2062"/>
      <c r="L172" s="2013" t="s">
        <v>3916</v>
      </c>
      <c r="M172" s="366"/>
      <c r="N172" s="366"/>
      <c r="O172" s="366"/>
      <c r="P172" s="366"/>
    </row>
    <row r="173" spans="1:16" ht="30" customHeight="1" x14ac:dyDescent="0.2">
      <c r="A173" s="2103">
        <v>94</v>
      </c>
      <c r="B173" s="2104" t="s">
        <v>1144</v>
      </c>
      <c r="C173" s="2084"/>
      <c r="D173" s="2074">
        <v>25000000</v>
      </c>
      <c r="E173" s="2101">
        <v>0.04</v>
      </c>
      <c r="F173" s="2074">
        <f>D173*E173</f>
        <v>1000000</v>
      </c>
      <c r="G173" s="2074">
        <v>1000000</v>
      </c>
      <c r="H173" s="2074" t="s">
        <v>1193</v>
      </c>
      <c r="I173" s="21" t="s">
        <v>1146</v>
      </c>
      <c r="J173" s="2074">
        <f t="shared" ref="J173:J178" si="19">G173</f>
        <v>1000000</v>
      </c>
      <c r="K173" s="2074">
        <f t="shared" ref="K173:K177" si="20">F173-J173</f>
        <v>0</v>
      </c>
      <c r="L173" s="2104"/>
      <c r="M173" s="366"/>
      <c r="N173" s="366"/>
      <c r="O173" s="366"/>
      <c r="P173" s="366"/>
    </row>
    <row r="174" spans="1:16" ht="30" customHeight="1" x14ac:dyDescent="0.2">
      <c r="A174" s="2065"/>
      <c r="B174" s="19" t="s">
        <v>223</v>
      </c>
      <c r="C174" s="2105"/>
      <c r="D174" s="2062">
        <v>355000000</v>
      </c>
      <c r="E174" s="2101">
        <v>0.05</v>
      </c>
      <c r="F174" s="2062">
        <f>D174*E174</f>
        <v>17750000</v>
      </c>
      <c r="G174" s="2062">
        <v>18000000</v>
      </c>
      <c r="H174" s="2062" t="s">
        <v>1193</v>
      </c>
      <c r="I174" s="2108" t="s">
        <v>3431</v>
      </c>
      <c r="J174" s="2062">
        <f t="shared" si="19"/>
        <v>18000000</v>
      </c>
      <c r="K174" s="2062">
        <f t="shared" si="20"/>
        <v>-250000</v>
      </c>
      <c r="L174" s="378" t="s">
        <v>4381</v>
      </c>
      <c r="M174" s="366"/>
      <c r="N174" s="366"/>
      <c r="O174" s="366"/>
      <c r="P174" s="366"/>
    </row>
    <row r="175" spans="1:16" ht="30" customHeight="1" x14ac:dyDescent="0.2">
      <c r="A175" s="2103">
        <v>98</v>
      </c>
      <c r="B175" s="2104" t="s">
        <v>226</v>
      </c>
      <c r="C175" s="2084"/>
      <c r="D175" s="2074">
        <v>20000000</v>
      </c>
      <c r="E175" s="2101">
        <v>0.05</v>
      </c>
      <c r="F175" s="2074">
        <f t="shared" ref="F175" si="21">D175*E175</f>
        <v>1000000</v>
      </c>
      <c r="G175" s="2074"/>
      <c r="H175" s="2074"/>
      <c r="I175" s="2062" t="s">
        <v>789</v>
      </c>
      <c r="J175" s="2074">
        <f t="shared" si="19"/>
        <v>0</v>
      </c>
      <c r="K175" s="2074">
        <f t="shared" si="20"/>
        <v>1000000</v>
      </c>
      <c r="L175" s="2104"/>
      <c r="M175" s="366"/>
      <c r="N175" s="366"/>
      <c r="O175" s="366"/>
      <c r="P175" s="366"/>
    </row>
    <row r="176" spans="1:16" ht="30" customHeight="1" x14ac:dyDescent="0.2">
      <c r="A176" s="2103">
        <v>99</v>
      </c>
      <c r="B176" s="2104" t="s">
        <v>227</v>
      </c>
      <c r="C176" s="2084" t="s">
        <v>1297</v>
      </c>
      <c r="D176" s="2074">
        <v>100000000</v>
      </c>
      <c r="E176" s="2101">
        <v>0.04</v>
      </c>
      <c r="F176" s="2074">
        <f>D176*E176</f>
        <v>4000000</v>
      </c>
      <c r="G176" s="2074">
        <v>4000000</v>
      </c>
      <c r="H176" s="2074" t="s">
        <v>4310</v>
      </c>
      <c r="I176" s="2125" t="s">
        <v>4327</v>
      </c>
      <c r="J176" s="2074">
        <f t="shared" si="19"/>
        <v>4000000</v>
      </c>
      <c r="K176" s="2074">
        <f t="shared" si="20"/>
        <v>0</v>
      </c>
      <c r="L176" s="2104"/>
      <c r="M176" s="366"/>
      <c r="N176" s="366"/>
      <c r="O176" s="366"/>
      <c r="P176" s="366"/>
    </row>
    <row r="177" spans="1:16" ht="30" customHeight="1" x14ac:dyDescent="0.2">
      <c r="A177" s="2103">
        <v>100</v>
      </c>
      <c r="B177" s="2104" t="s">
        <v>228</v>
      </c>
      <c r="C177" s="2084" t="s">
        <v>392</v>
      </c>
      <c r="D177" s="2074">
        <v>101000000</v>
      </c>
      <c r="E177" s="2101">
        <v>5.0999999999999997E-2</v>
      </c>
      <c r="F177" s="2074">
        <v>5100000</v>
      </c>
      <c r="G177" s="2074">
        <v>5100000</v>
      </c>
      <c r="H177" s="2074" t="s">
        <v>4426</v>
      </c>
      <c r="I177" s="21" t="s">
        <v>2860</v>
      </c>
      <c r="J177" s="2074">
        <f t="shared" si="19"/>
        <v>5100000</v>
      </c>
      <c r="K177" s="2074">
        <f t="shared" si="20"/>
        <v>0</v>
      </c>
      <c r="L177" s="2104"/>
      <c r="M177" s="366"/>
      <c r="N177" s="366"/>
      <c r="O177" s="366"/>
      <c r="P177" s="366"/>
    </row>
    <row r="178" spans="1:16" ht="30" customHeight="1" x14ac:dyDescent="0.2">
      <c r="A178" s="7795"/>
      <c r="B178" s="7652" t="s">
        <v>177</v>
      </c>
      <c r="C178" s="7723" t="s">
        <v>1080</v>
      </c>
      <c r="D178" s="7563">
        <v>100000000</v>
      </c>
      <c r="E178" s="7659">
        <v>0.06</v>
      </c>
      <c r="F178" s="7563">
        <f>D178*E178</f>
        <v>6000000</v>
      </c>
      <c r="G178" s="7563">
        <v>6000000</v>
      </c>
      <c r="H178" s="7563" t="s">
        <v>4310</v>
      </c>
      <c r="I178" s="7563" t="s">
        <v>3345</v>
      </c>
      <c r="J178" s="7563">
        <f t="shared" si="19"/>
        <v>6000000</v>
      </c>
      <c r="K178" s="7563">
        <f>F178-J178</f>
        <v>0</v>
      </c>
      <c r="L178" s="2111" t="s">
        <v>3303</v>
      </c>
      <c r="M178" s="366"/>
      <c r="N178" s="366"/>
      <c r="O178" s="366"/>
      <c r="P178" s="366"/>
    </row>
    <row r="179" spans="1:16" ht="30" customHeight="1" x14ac:dyDescent="0.2">
      <c r="A179" s="7796"/>
      <c r="B179" s="7653"/>
      <c r="C179" s="7724"/>
      <c r="D179" s="7564"/>
      <c r="E179" s="7660"/>
      <c r="F179" s="7564"/>
      <c r="G179" s="7564"/>
      <c r="H179" s="7564"/>
      <c r="I179" s="7564"/>
      <c r="J179" s="7564"/>
      <c r="K179" s="7564"/>
      <c r="L179" s="2111" t="s">
        <v>3917</v>
      </c>
      <c r="M179" s="366"/>
      <c r="N179" s="366"/>
      <c r="O179" s="366"/>
      <c r="P179" s="366"/>
    </row>
    <row r="180" spans="1:16" s="1539" customFormat="1" ht="30" customHeight="1" x14ac:dyDescent="0.2">
      <c r="A180" s="2103"/>
      <c r="B180" s="19" t="s">
        <v>230</v>
      </c>
      <c r="C180" s="2105" t="s">
        <v>1172</v>
      </c>
      <c r="D180" s="2062">
        <v>37000000</v>
      </c>
      <c r="E180" s="2101">
        <v>5.5E-2</v>
      </c>
      <c r="F180" s="2062">
        <v>2000000</v>
      </c>
      <c r="G180" s="2062">
        <v>2000000</v>
      </c>
      <c r="H180" s="2062" t="s">
        <v>1193</v>
      </c>
      <c r="I180" s="2062" t="s">
        <v>4262</v>
      </c>
      <c r="J180" s="2062">
        <f>G180</f>
        <v>2000000</v>
      </c>
      <c r="K180" s="2062">
        <f>F180-J180</f>
        <v>0</v>
      </c>
      <c r="L180" s="2013"/>
      <c r="M180" s="9"/>
      <c r="N180" s="9"/>
      <c r="O180" s="9"/>
      <c r="P180" s="9"/>
    </row>
    <row r="181" spans="1:16" ht="30" customHeight="1" x14ac:dyDescent="0.2">
      <c r="A181" s="2065">
        <v>104</v>
      </c>
      <c r="B181" s="2068" t="s">
        <v>231</v>
      </c>
      <c r="C181" s="2084" t="s">
        <v>1172</v>
      </c>
      <c r="D181" s="2074">
        <v>20000000</v>
      </c>
      <c r="E181" s="2077">
        <v>0.05</v>
      </c>
      <c r="F181" s="2074">
        <f t="shared" si="11"/>
        <v>1000000</v>
      </c>
      <c r="G181" s="2074">
        <v>1000000</v>
      </c>
      <c r="H181" s="2074" t="s">
        <v>1193</v>
      </c>
      <c r="I181" s="21" t="s">
        <v>3437</v>
      </c>
      <c r="J181" s="2074">
        <f>G181</f>
        <v>1000000</v>
      </c>
      <c r="K181" s="2074">
        <f>F181-J181</f>
        <v>0</v>
      </c>
      <c r="L181" s="2068"/>
      <c r="M181" s="366"/>
      <c r="N181" s="366"/>
      <c r="O181" s="366"/>
      <c r="P181" s="366"/>
    </row>
    <row r="182" spans="1:16" ht="30" customHeight="1" x14ac:dyDescent="0.2">
      <c r="A182" s="7654">
        <v>105</v>
      </c>
      <c r="B182" s="7864" t="s">
        <v>232</v>
      </c>
      <c r="C182" s="7723"/>
      <c r="D182" s="7677"/>
      <c r="E182" s="7691"/>
      <c r="F182" s="7677">
        <f t="shared" ref="F182:F216" si="22">D182*E182</f>
        <v>0</v>
      </c>
      <c r="G182" s="2074"/>
      <c r="H182" s="2074"/>
      <c r="I182" s="21" t="s">
        <v>772</v>
      </c>
      <c r="J182" s="2074">
        <f>G182</f>
        <v>0</v>
      </c>
      <c r="K182" s="2079">
        <f>F182-J182</f>
        <v>0</v>
      </c>
      <c r="L182" s="2066"/>
    </row>
    <row r="183" spans="1:16" ht="30" customHeight="1" x14ac:dyDescent="0.2">
      <c r="A183" s="7655"/>
      <c r="B183" s="7866"/>
      <c r="C183" s="7724"/>
      <c r="D183" s="7678"/>
      <c r="E183" s="7693"/>
      <c r="F183" s="7678"/>
      <c r="G183" s="2074"/>
      <c r="H183" s="2074"/>
      <c r="I183" s="21" t="s">
        <v>3548</v>
      </c>
      <c r="J183" s="2074">
        <f>G183</f>
        <v>0</v>
      </c>
      <c r="K183" s="2079"/>
      <c r="L183" s="2072" t="s">
        <v>3549</v>
      </c>
    </row>
    <row r="184" spans="1:16" ht="30" customHeight="1" x14ac:dyDescent="0.2">
      <c r="A184" s="2103">
        <v>107</v>
      </c>
      <c r="B184" s="2104" t="s">
        <v>234</v>
      </c>
      <c r="C184" s="2084"/>
      <c r="D184" s="2074">
        <v>65000000</v>
      </c>
      <c r="E184" s="2101">
        <v>3.4000000000000002E-2</v>
      </c>
      <c r="F184" s="2074">
        <v>2200000</v>
      </c>
      <c r="G184" s="2074">
        <v>2200000</v>
      </c>
      <c r="H184" s="2074" t="s">
        <v>1193</v>
      </c>
      <c r="I184" s="2062" t="s">
        <v>4383</v>
      </c>
      <c r="J184" s="2074">
        <f t="shared" ref="J184:J193" si="23">G184</f>
        <v>2200000</v>
      </c>
      <c r="K184" s="2074">
        <f t="shared" ref="K184:K193" si="24">F184-J184</f>
        <v>0</v>
      </c>
      <c r="L184" s="2072" t="s">
        <v>4269</v>
      </c>
    </row>
    <row r="185" spans="1:16" ht="30" customHeight="1" x14ac:dyDescent="0.2">
      <c r="A185" s="7654">
        <v>108</v>
      </c>
      <c r="B185" s="7652" t="s">
        <v>235</v>
      </c>
      <c r="C185" s="7723" t="s">
        <v>1172</v>
      </c>
      <c r="D185" s="2062">
        <v>1430000000</v>
      </c>
      <c r="E185" s="2101">
        <v>5.5E-2</v>
      </c>
      <c r="F185" s="2062">
        <f t="shared" si="22"/>
        <v>78650000</v>
      </c>
      <c r="G185" s="7954" t="s">
        <v>4356</v>
      </c>
      <c r="H185" s="7955"/>
      <c r="I185" s="7955"/>
      <c r="J185" s="7956"/>
      <c r="K185" s="2062">
        <v>0</v>
      </c>
      <c r="L185" s="2105"/>
    </row>
    <row r="186" spans="1:16" ht="30" customHeight="1" x14ac:dyDescent="0.2">
      <c r="A186" s="7656"/>
      <c r="B186" s="7665"/>
      <c r="C186" s="7747"/>
      <c r="D186" s="2211">
        <v>150000000</v>
      </c>
      <c r="E186" s="2208">
        <v>5.5E-2</v>
      </c>
      <c r="F186" s="2211">
        <f>D186*E186</f>
        <v>8250000</v>
      </c>
      <c r="G186" s="7732" t="s">
        <v>4355</v>
      </c>
      <c r="H186" s="7733"/>
      <c r="I186" s="7733"/>
      <c r="J186" s="7734"/>
      <c r="K186" s="2211"/>
      <c r="L186" s="2614" t="s">
        <v>4647</v>
      </c>
    </row>
    <row r="187" spans="1:16" ht="30" customHeight="1" x14ac:dyDescent="0.2">
      <c r="A187" s="7655"/>
      <c r="B187" s="7653"/>
      <c r="C187" s="7724"/>
      <c r="D187" s="2618">
        <v>1580000000</v>
      </c>
      <c r="E187" s="2652">
        <v>5.5E-2</v>
      </c>
      <c r="F187" s="2653">
        <f>D187*E187</f>
        <v>86900000</v>
      </c>
      <c r="G187" s="2615"/>
      <c r="H187" s="2616"/>
      <c r="I187" s="2616"/>
      <c r="J187" s="2617"/>
      <c r="K187" s="2612"/>
      <c r="L187" s="2613"/>
    </row>
    <row r="188" spans="1:16" ht="30" customHeight="1" x14ac:dyDescent="0.2">
      <c r="A188" s="7654">
        <v>109</v>
      </c>
      <c r="B188" s="7652" t="s">
        <v>236</v>
      </c>
      <c r="C188" s="7723"/>
      <c r="D188" s="7482">
        <v>1000000000</v>
      </c>
      <c r="E188" s="7659">
        <v>0.05</v>
      </c>
      <c r="F188" s="7563">
        <f t="shared" si="22"/>
        <v>50000000</v>
      </c>
      <c r="G188" s="2074">
        <v>50000000</v>
      </c>
      <c r="H188" s="2074" t="s">
        <v>4426</v>
      </c>
      <c r="I188" s="21" t="s">
        <v>4427</v>
      </c>
      <c r="J188" s="2074">
        <f t="shared" si="23"/>
        <v>50000000</v>
      </c>
      <c r="K188" s="2074">
        <f t="shared" si="24"/>
        <v>0</v>
      </c>
      <c r="L188" s="2354" t="s">
        <v>4437</v>
      </c>
    </row>
    <row r="189" spans="1:16" ht="30" customHeight="1" x14ac:dyDescent="0.2">
      <c r="A189" s="7655"/>
      <c r="B189" s="7653"/>
      <c r="C189" s="7724"/>
      <c r="D189" s="7482"/>
      <c r="E189" s="7660"/>
      <c r="F189" s="7564"/>
      <c r="G189" s="2353">
        <v>50000000</v>
      </c>
      <c r="H189" s="2353" t="s">
        <v>4436</v>
      </c>
      <c r="I189" s="21" t="s">
        <v>4427</v>
      </c>
      <c r="J189" s="2353">
        <f>G189</f>
        <v>50000000</v>
      </c>
      <c r="K189" s="2353"/>
      <c r="L189" s="2354" t="s">
        <v>4438</v>
      </c>
    </row>
    <row r="190" spans="1:16" ht="30" customHeight="1" x14ac:dyDescent="0.2">
      <c r="A190" s="2103">
        <v>110</v>
      </c>
      <c r="B190" s="2106" t="s">
        <v>1842</v>
      </c>
      <c r="C190" s="2083" t="s">
        <v>1292</v>
      </c>
      <c r="D190" s="2078">
        <v>14000000</v>
      </c>
      <c r="E190" s="2075">
        <v>4.2999999999999997E-2</v>
      </c>
      <c r="F190" s="2074">
        <v>600000</v>
      </c>
      <c r="G190" s="2074">
        <v>600000</v>
      </c>
      <c r="H190" s="2074" t="s">
        <v>3865</v>
      </c>
      <c r="I190" s="21" t="s">
        <v>3927</v>
      </c>
      <c r="J190" s="2062">
        <f t="shared" si="23"/>
        <v>600000</v>
      </c>
      <c r="K190" s="2062">
        <f t="shared" si="24"/>
        <v>0</v>
      </c>
      <c r="L190" s="2384" t="s">
        <v>4473</v>
      </c>
    </row>
    <row r="191" spans="1:16" ht="30" customHeight="1" x14ac:dyDescent="0.2">
      <c r="A191" s="2065"/>
      <c r="B191" s="19" t="s">
        <v>237</v>
      </c>
      <c r="C191" s="2105" t="s">
        <v>392</v>
      </c>
      <c r="D191" s="2062">
        <v>30000000</v>
      </c>
      <c r="E191" s="2101">
        <v>0.05</v>
      </c>
      <c r="F191" s="2074">
        <f>D191*E191</f>
        <v>1500000</v>
      </c>
      <c r="G191" s="2062">
        <v>1500000</v>
      </c>
      <c r="H191" s="2062" t="s">
        <v>4402</v>
      </c>
      <c r="I191" s="2062" t="s">
        <v>3927</v>
      </c>
      <c r="J191" s="2062">
        <f t="shared" si="23"/>
        <v>1500000</v>
      </c>
      <c r="K191" s="2074">
        <f t="shared" si="24"/>
        <v>0</v>
      </c>
      <c r="L191" s="2072" t="s">
        <v>3450</v>
      </c>
    </row>
    <row r="192" spans="1:16" ht="30" customHeight="1" x14ac:dyDescent="0.2">
      <c r="A192" s="2103">
        <v>112</v>
      </c>
      <c r="B192" s="2104" t="s">
        <v>238</v>
      </c>
      <c r="C192" s="2105"/>
      <c r="D192" s="2074">
        <v>40000000</v>
      </c>
      <c r="E192" s="2101">
        <v>0.05</v>
      </c>
      <c r="F192" s="2074">
        <f t="shared" si="22"/>
        <v>2000000</v>
      </c>
      <c r="G192" s="2074">
        <v>2000000</v>
      </c>
      <c r="H192" s="2074" t="s">
        <v>4426</v>
      </c>
      <c r="I192" s="2125" t="s">
        <v>3465</v>
      </c>
      <c r="J192" s="2074">
        <f t="shared" si="23"/>
        <v>2000000</v>
      </c>
      <c r="K192" s="2074">
        <f t="shared" si="24"/>
        <v>0</v>
      </c>
      <c r="L192" s="2104"/>
    </row>
    <row r="193" spans="1:12" ht="30" customHeight="1" x14ac:dyDescent="0.2">
      <c r="A193" s="2065"/>
      <c r="B193" s="2066" t="s">
        <v>239</v>
      </c>
      <c r="C193" s="2105" t="s">
        <v>402</v>
      </c>
      <c r="D193" s="2074">
        <v>250000000</v>
      </c>
      <c r="E193" s="2101">
        <v>0.05</v>
      </c>
      <c r="F193" s="2074">
        <f>D193*E193</f>
        <v>12500000</v>
      </c>
      <c r="G193" s="2062">
        <v>12500000</v>
      </c>
      <c r="H193" s="2062" t="s">
        <v>1193</v>
      </c>
      <c r="I193" s="2062" t="s">
        <v>3989</v>
      </c>
      <c r="J193" s="2062">
        <f t="shared" si="23"/>
        <v>12500000</v>
      </c>
      <c r="K193" s="2074">
        <f t="shared" si="24"/>
        <v>0</v>
      </c>
      <c r="L193" s="2072"/>
    </row>
    <row r="194" spans="1:12" ht="30" customHeight="1" x14ac:dyDescent="0.2">
      <c r="A194" s="2103">
        <v>114</v>
      </c>
      <c r="B194" s="2104" t="s">
        <v>240</v>
      </c>
      <c r="C194" s="2084"/>
      <c r="D194" s="2074">
        <v>100000000</v>
      </c>
      <c r="E194" s="2101">
        <v>4.4999999999999998E-2</v>
      </c>
      <c r="F194" s="2074">
        <f t="shared" si="22"/>
        <v>4500000</v>
      </c>
      <c r="G194" s="2074"/>
      <c r="H194" s="2074"/>
      <c r="I194" s="84"/>
      <c r="J194" s="2074">
        <f>G194</f>
        <v>0</v>
      </c>
      <c r="K194" s="2074">
        <f>F194-J194</f>
        <v>4500000</v>
      </c>
      <c r="L194" s="2104"/>
    </row>
    <row r="195" spans="1:12" ht="30" customHeight="1" x14ac:dyDescent="0.2">
      <c r="A195" s="2138">
        <v>115</v>
      </c>
      <c r="B195" s="2106" t="s">
        <v>241</v>
      </c>
      <c r="C195" s="2083" t="s">
        <v>1138</v>
      </c>
      <c r="D195" s="2073">
        <v>20000000</v>
      </c>
      <c r="E195" s="2075">
        <v>0.05</v>
      </c>
      <c r="F195" s="2073">
        <f t="shared" si="22"/>
        <v>1000000</v>
      </c>
      <c r="G195" s="2074">
        <v>1000000</v>
      </c>
      <c r="H195" s="2074" t="s">
        <v>4402</v>
      </c>
      <c r="I195" s="21" t="s">
        <v>1372</v>
      </c>
      <c r="J195" s="2074">
        <f>G195</f>
        <v>1000000</v>
      </c>
      <c r="K195" s="2074">
        <f>F195-J195</f>
        <v>0</v>
      </c>
      <c r="L195" s="2071"/>
    </row>
    <row r="196" spans="1:12" ht="30" customHeight="1" x14ac:dyDescent="0.2">
      <c r="A196" s="1028"/>
      <c r="B196" s="19" t="s">
        <v>243</v>
      </c>
      <c r="C196" s="2105" t="s">
        <v>889</v>
      </c>
      <c r="D196" s="2062">
        <v>445000000</v>
      </c>
      <c r="E196" s="2101">
        <v>4.4999999999999998E-2</v>
      </c>
      <c r="F196" s="2062">
        <v>20000000</v>
      </c>
      <c r="G196" s="2074"/>
      <c r="H196" s="2074"/>
      <c r="I196" s="84" t="s">
        <v>2646</v>
      </c>
      <c r="J196" s="2074">
        <f>G196</f>
        <v>0</v>
      </c>
      <c r="K196" s="2074">
        <f>F196-J196</f>
        <v>20000000</v>
      </c>
      <c r="L196" s="2133" t="s">
        <v>4265</v>
      </c>
    </row>
    <row r="197" spans="1:12" ht="30" customHeight="1" x14ac:dyDescent="0.2">
      <c r="A197" s="7654">
        <v>118</v>
      </c>
      <c r="B197" s="7652" t="s">
        <v>244</v>
      </c>
      <c r="C197" s="7723" t="s">
        <v>4223</v>
      </c>
      <c r="D197" s="7563">
        <v>33000000</v>
      </c>
      <c r="E197" s="7659">
        <v>0.05</v>
      </c>
      <c r="F197" s="7563">
        <f>D197*E197</f>
        <v>1650000</v>
      </c>
      <c r="G197" s="7563">
        <v>1650000</v>
      </c>
      <c r="H197" s="7563" t="s">
        <v>4402</v>
      </c>
      <c r="I197" s="8148" t="s">
        <v>611</v>
      </c>
      <c r="J197" s="7563">
        <f>G197</f>
        <v>1650000</v>
      </c>
      <c r="K197" s="7563">
        <f>F197-J197</f>
        <v>0</v>
      </c>
      <c r="L197" s="2133" t="s">
        <v>4224</v>
      </c>
    </row>
    <row r="198" spans="1:12" ht="30" customHeight="1" x14ac:dyDescent="0.2">
      <c r="A198" s="7656"/>
      <c r="B198" s="7665"/>
      <c r="C198" s="7724"/>
      <c r="D198" s="7564"/>
      <c r="E198" s="7660"/>
      <c r="F198" s="7564"/>
      <c r="G198" s="7564"/>
      <c r="H198" s="7564"/>
      <c r="I198" s="8149"/>
      <c r="J198" s="7564"/>
      <c r="K198" s="7564"/>
      <c r="L198" s="2133" t="s">
        <v>4225</v>
      </c>
    </row>
    <row r="199" spans="1:12" ht="30" customHeight="1" x14ac:dyDescent="0.2">
      <c r="A199" s="7654">
        <v>120</v>
      </c>
      <c r="B199" s="7652" t="s">
        <v>246</v>
      </c>
      <c r="C199" s="7723" t="s">
        <v>371</v>
      </c>
      <c r="D199" s="7563">
        <v>617000000</v>
      </c>
      <c r="E199" s="7659">
        <v>7.0000000000000007E-2</v>
      </c>
      <c r="F199" s="7563">
        <v>43200000</v>
      </c>
      <c r="G199" s="2062">
        <v>30000000</v>
      </c>
      <c r="H199" s="2062" t="s">
        <v>4462</v>
      </c>
      <c r="I199" s="2108" t="s">
        <v>2866</v>
      </c>
      <c r="J199" s="7563">
        <f>G199+G200</f>
        <v>43200000</v>
      </c>
      <c r="K199" s="7563">
        <f>F199-J199</f>
        <v>0</v>
      </c>
      <c r="L199" s="7703"/>
    </row>
    <row r="200" spans="1:12" ht="30" customHeight="1" x14ac:dyDescent="0.2">
      <c r="A200" s="7655"/>
      <c r="B200" s="7653"/>
      <c r="C200" s="7724"/>
      <c r="D200" s="7564"/>
      <c r="E200" s="7660"/>
      <c r="F200" s="7564"/>
      <c r="G200" s="2074">
        <v>13200000</v>
      </c>
      <c r="H200" s="2074" t="s">
        <v>2473</v>
      </c>
      <c r="I200" s="2108" t="s">
        <v>2866</v>
      </c>
      <c r="J200" s="7564"/>
      <c r="K200" s="7564"/>
      <c r="L200" s="7705"/>
    </row>
    <row r="201" spans="1:12" ht="30" customHeight="1" x14ac:dyDescent="0.2">
      <c r="A201" s="2103">
        <v>122</v>
      </c>
      <c r="B201" s="2104" t="s">
        <v>248</v>
      </c>
      <c r="C201" s="2084"/>
      <c r="D201" s="2074">
        <v>50000000</v>
      </c>
      <c r="E201" s="2101">
        <v>4.4999999999999998E-2</v>
      </c>
      <c r="F201" s="2074">
        <f t="shared" si="22"/>
        <v>2250000</v>
      </c>
      <c r="G201" s="2074">
        <v>2250000</v>
      </c>
      <c r="H201" s="2074" t="s">
        <v>4402</v>
      </c>
      <c r="I201" s="18" t="s">
        <v>1568</v>
      </c>
      <c r="J201" s="2074">
        <f>G201</f>
        <v>2250000</v>
      </c>
      <c r="K201" s="2074">
        <f>F201-J201</f>
        <v>0</v>
      </c>
      <c r="L201" s="2104"/>
    </row>
    <row r="202" spans="1:12" ht="30" customHeight="1" x14ac:dyDescent="0.2">
      <c r="A202" s="7654">
        <v>123</v>
      </c>
      <c r="B202" s="7652" t="s">
        <v>1650</v>
      </c>
      <c r="C202" s="7723" t="s">
        <v>1176</v>
      </c>
      <c r="D202" s="2062">
        <v>60000000</v>
      </c>
      <c r="E202" s="2101">
        <v>0.05</v>
      </c>
      <c r="F202" s="2062">
        <f t="shared" si="22"/>
        <v>3000000</v>
      </c>
      <c r="G202" s="7563">
        <v>7000000</v>
      </c>
      <c r="H202" s="7563" t="s">
        <v>4462</v>
      </c>
      <c r="I202" s="7561" t="s">
        <v>3533</v>
      </c>
      <c r="J202" s="7563">
        <f>G202</f>
        <v>7000000</v>
      </c>
      <c r="K202" s="7563">
        <f>(F202+F203+F204)-G202</f>
        <v>0</v>
      </c>
      <c r="L202" s="7703"/>
    </row>
    <row r="203" spans="1:12" ht="30" customHeight="1" x14ac:dyDescent="0.2">
      <c r="A203" s="7656"/>
      <c r="B203" s="7665"/>
      <c r="C203" s="7747"/>
      <c r="D203" s="2062">
        <v>20000000</v>
      </c>
      <c r="E203" s="2101">
        <v>7.0000000000000007E-2</v>
      </c>
      <c r="F203" s="2062">
        <f t="shared" si="22"/>
        <v>1400000.0000000002</v>
      </c>
      <c r="G203" s="7586"/>
      <c r="H203" s="7586"/>
      <c r="I203" s="7672"/>
      <c r="J203" s="7586"/>
      <c r="K203" s="7586"/>
      <c r="L203" s="7705"/>
    </row>
    <row r="204" spans="1:12" ht="30" customHeight="1" x14ac:dyDescent="0.2">
      <c r="A204" s="7656"/>
      <c r="B204" s="7653"/>
      <c r="C204" s="7724"/>
      <c r="D204" s="2062">
        <v>52000000</v>
      </c>
      <c r="E204" s="2101">
        <v>0.05</v>
      </c>
      <c r="F204" s="2062">
        <f>D204*E204</f>
        <v>2600000</v>
      </c>
      <c r="G204" s="7564"/>
      <c r="H204" s="7564"/>
      <c r="I204" s="7562"/>
      <c r="J204" s="7564"/>
      <c r="K204" s="7564"/>
      <c r="L204" s="2133"/>
    </row>
    <row r="205" spans="1:12" ht="30" customHeight="1" x14ac:dyDescent="0.2">
      <c r="A205" s="2103">
        <v>124</v>
      </c>
      <c r="B205" s="2104" t="s">
        <v>250</v>
      </c>
      <c r="C205" s="2084" t="s">
        <v>392</v>
      </c>
      <c r="D205" s="2074">
        <v>200000000</v>
      </c>
      <c r="E205" s="2077">
        <v>0.05</v>
      </c>
      <c r="F205" s="2074">
        <f t="shared" si="22"/>
        <v>10000000</v>
      </c>
      <c r="G205" s="2074">
        <v>10000000</v>
      </c>
      <c r="H205" s="2074" t="s">
        <v>4402</v>
      </c>
      <c r="I205" s="2093" t="s">
        <v>1401</v>
      </c>
      <c r="J205" s="2074">
        <f t="shared" ref="J205:J216" si="25">G205</f>
        <v>10000000</v>
      </c>
      <c r="K205" s="2074">
        <f t="shared" ref="K205:K216" si="26">F205-J205</f>
        <v>0</v>
      </c>
      <c r="L205" s="2104"/>
    </row>
    <row r="206" spans="1:12" ht="30" customHeight="1" x14ac:dyDescent="0.2">
      <c r="A206" s="2138">
        <v>125</v>
      </c>
      <c r="B206" s="2106" t="s">
        <v>251</v>
      </c>
      <c r="C206" s="2105"/>
      <c r="D206" s="2062">
        <v>160000000</v>
      </c>
      <c r="E206" s="2101">
        <v>7.0000000000000007E-2</v>
      </c>
      <c r="F206" s="2062">
        <v>11000000</v>
      </c>
      <c r="G206" s="2074">
        <v>11000000</v>
      </c>
      <c r="H206" s="2074" t="s">
        <v>1193</v>
      </c>
      <c r="I206" s="21" t="s">
        <v>1630</v>
      </c>
      <c r="J206" s="2074">
        <f t="shared" si="25"/>
        <v>11000000</v>
      </c>
      <c r="K206" s="2074">
        <f t="shared" si="26"/>
        <v>0</v>
      </c>
      <c r="L206" s="2104"/>
    </row>
    <row r="207" spans="1:12" ht="30" customHeight="1" x14ac:dyDescent="0.2">
      <c r="A207" s="7654">
        <v>126</v>
      </c>
      <c r="B207" s="7652" t="s">
        <v>252</v>
      </c>
      <c r="C207" s="7723" t="s">
        <v>402</v>
      </c>
      <c r="D207" s="2074">
        <v>180000000</v>
      </c>
      <c r="E207" s="2077">
        <v>4.4999999999999998E-2</v>
      </c>
      <c r="F207" s="2074">
        <f t="shared" si="22"/>
        <v>8100000</v>
      </c>
      <c r="G207" s="2074">
        <v>8100000</v>
      </c>
      <c r="H207" s="7563" t="s">
        <v>4385</v>
      </c>
      <c r="I207" s="7561" t="s">
        <v>4440</v>
      </c>
      <c r="J207" s="2074">
        <f t="shared" si="25"/>
        <v>8100000</v>
      </c>
      <c r="K207" s="2074">
        <f t="shared" si="26"/>
        <v>0</v>
      </c>
      <c r="L207" s="2372" t="s">
        <v>4441</v>
      </c>
    </row>
    <row r="208" spans="1:12" ht="30" customHeight="1" x14ac:dyDescent="0.2">
      <c r="A208" s="7656"/>
      <c r="B208" s="7665"/>
      <c r="C208" s="7747"/>
      <c r="D208" s="7494" t="s">
        <v>1983</v>
      </c>
      <c r="E208" s="7495"/>
      <c r="F208" s="7768"/>
      <c r="G208" s="2358">
        <v>24900000</v>
      </c>
      <c r="H208" s="7564"/>
      <c r="I208" s="7562"/>
      <c r="J208" s="7563">
        <f>G208+G209+G210</f>
        <v>180000000</v>
      </c>
      <c r="K208" s="7563">
        <f>180000000-J208</f>
        <v>0</v>
      </c>
      <c r="L208" s="2356"/>
    </row>
    <row r="209" spans="1:12" ht="30" customHeight="1" x14ac:dyDescent="0.2">
      <c r="A209" s="7656"/>
      <c r="B209" s="7665"/>
      <c r="C209" s="7747"/>
      <c r="D209" s="7877"/>
      <c r="E209" s="7524"/>
      <c r="F209" s="7878"/>
      <c r="G209" s="2358">
        <v>100000000</v>
      </c>
      <c r="H209" s="2358" t="s">
        <v>4402</v>
      </c>
      <c r="I209" s="21" t="s">
        <v>4440</v>
      </c>
      <c r="J209" s="7586"/>
      <c r="K209" s="7586"/>
      <c r="L209" s="2356"/>
    </row>
    <row r="210" spans="1:12" ht="30" customHeight="1" x14ac:dyDescent="0.2">
      <c r="A210" s="7655"/>
      <c r="B210" s="7653"/>
      <c r="C210" s="7724"/>
      <c r="D210" s="7769"/>
      <c r="E210" s="7805"/>
      <c r="F210" s="7770"/>
      <c r="G210" s="2358">
        <v>55100000</v>
      </c>
      <c r="H210" s="2358" t="s">
        <v>4426</v>
      </c>
      <c r="I210" s="21" t="s">
        <v>4440</v>
      </c>
      <c r="J210" s="7564"/>
      <c r="K210" s="7564"/>
      <c r="L210" s="2356"/>
    </row>
    <row r="211" spans="1:12" ht="30" customHeight="1" x14ac:dyDescent="0.2">
      <c r="A211" s="2063">
        <v>127</v>
      </c>
      <c r="B211" s="2106" t="s">
        <v>253</v>
      </c>
      <c r="C211" s="2105" t="s">
        <v>889</v>
      </c>
      <c r="D211" s="2062">
        <v>800000000</v>
      </c>
      <c r="E211" s="2101">
        <v>0.05</v>
      </c>
      <c r="F211" s="2062">
        <f t="shared" si="22"/>
        <v>40000000</v>
      </c>
      <c r="G211" s="2062">
        <v>40000000</v>
      </c>
      <c r="H211" s="2062" t="s">
        <v>3929</v>
      </c>
      <c r="I211" s="2108" t="s">
        <v>2540</v>
      </c>
      <c r="J211" s="2062">
        <f t="shared" si="25"/>
        <v>40000000</v>
      </c>
      <c r="K211" s="2062">
        <f t="shared" si="26"/>
        <v>0</v>
      </c>
      <c r="L211" s="2085"/>
    </row>
    <row r="212" spans="1:12" ht="30" customHeight="1" x14ac:dyDescent="0.2">
      <c r="A212" s="2103">
        <v>128</v>
      </c>
      <c r="B212" s="2104" t="s">
        <v>254</v>
      </c>
      <c r="C212" s="2084"/>
      <c r="D212" s="2079"/>
      <c r="E212" s="2082"/>
      <c r="F212" s="2079">
        <f t="shared" si="22"/>
        <v>0</v>
      </c>
      <c r="G212" s="2074"/>
      <c r="H212" s="2074"/>
      <c r="I212" s="21"/>
      <c r="J212" s="2074">
        <f t="shared" si="25"/>
        <v>0</v>
      </c>
      <c r="K212" s="2079">
        <f t="shared" si="26"/>
        <v>0</v>
      </c>
      <c r="L212" s="2104"/>
    </row>
    <row r="213" spans="1:12" ht="30" customHeight="1" x14ac:dyDescent="0.2">
      <c r="A213" s="2103">
        <v>129</v>
      </c>
      <c r="B213" s="19" t="s">
        <v>255</v>
      </c>
      <c r="C213" s="2105" t="s">
        <v>1107</v>
      </c>
      <c r="D213" s="2062">
        <v>200000000</v>
      </c>
      <c r="E213" s="2101">
        <v>0.06</v>
      </c>
      <c r="F213" s="2062">
        <f>D213*E213</f>
        <v>12000000</v>
      </c>
      <c r="G213" s="2074"/>
      <c r="H213" s="2074"/>
      <c r="I213" s="21" t="s">
        <v>3252</v>
      </c>
      <c r="J213" s="2074">
        <f t="shared" si="25"/>
        <v>0</v>
      </c>
      <c r="K213" s="2074">
        <f t="shared" si="26"/>
        <v>12000000</v>
      </c>
      <c r="L213" s="2133"/>
    </row>
    <row r="214" spans="1:12" ht="30" customHeight="1" x14ac:dyDescent="0.2">
      <c r="A214" s="7885"/>
      <c r="B214" s="7652" t="s">
        <v>1171</v>
      </c>
      <c r="C214" s="7723" t="s">
        <v>1299</v>
      </c>
      <c r="D214" s="7563">
        <v>150000000</v>
      </c>
      <c r="E214" s="7659">
        <v>0.05</v>
      </c>
      <c r="F214" s="7563">
        <f>D214*E214</f>
        <v>7500000</v>
      </c>
      <c r="G214" s="2062">
        <v>7500000</v>
      </c>
      <c r="H214" s="2062" t="s">
        <v>1017</v>
      </c>
      <c r="I214" s="2062" t="s">
        <v>2986</v>
      </c>
      <c r="J214" s="2062">
        <f t="shared" si="25"/>
        <v>7500000</v>
      </c>
      <c r="K214" s="2062">
        <f t="shared" si="26"/>
        <v>0</v>
      </c>
      <c r="L214" s="2133" t="s">
        <v>4522</v>
      </c>
    </row>
    <row r="215" spans="1:12" ht="30" customHeight="1" x14ac:dyDescent="0.2">
      <c r="A215" s="7886"/>
      <c r="B215" s="7653"/>
      <c r="C215" s="7724"/>
      <c r="D215" s="7564"/>
      <c r="E215" s="7660"/>
      <c r="F215" s="7564"/>
      <c r="G215" s="2306">
        <v>1000000</v>
      </c>
      <c r="H215" s="2306" t="s">
        <v>4361</v>
      </c>
      <c r="I215" s="2318" t="s">
        <v>4372</v>
      </c>
      <c r="J215" s="2306"/>
      <c r="K215" s="2306"/>
      <c r="L215" s="2331" t="s">
        <v>4260</v>
      </c>
    </row>
    <row r="216" spans="1:12" ht="30" customHeight="1" x14ac:dyDescent="0.2">
      <c r="A216" s="7654">
        <v>131</v>
      </c>
      <c r="B216" s="7710" t="s">
        <v>256</v>
      </c>
      <c r="C216" s="7813"/>
      <c r="D216" s="2309">
        <v>200000000</v>
      </c>
      <c r="E216" s="2312">
        <v>0.05</v>
      </c>
      <c r="F216" s="2309">
        <f t="shared" si="22"/>
        <v>10000000</v>
      </c>
      <c r="G216" s="7677">
        <v>20000000</v>
      </c>
      <c r="H216" s="7677" t="s">
        <v>1193</v>
      </c>
      <c r="I216" s="7677" t="s">
        <v>3436</v>
      </c>
      <c r="J216" s="7677">
        <f t="shared" si="25"/>
        <v>20000000</v>
      </c>
      <c r="K216" s="7677">
        <f t="shared" si="26"/>
        <v>-10000000</v>
      </c>
      <c r="L216" s="1024"/>
    </row>
    <row r="217" spans="1:12" ht="30" customHeight="1" x14ac:dyDescent="0.2">
      <c r="A217" s="7655"/>
      <c r="B217" s="7712"/>
      <c r="C217" s="7815"/>
      <c r="D217" s="2310">
        <v>400000000</v>
      </c>
      <c r="E217" s="2311"/>
      <c r="F217" s="2310"/>
      <c r="G217" s="7678"/>
      <c r="H217" s="7678"/>
      <c r="I217" s="7678"/>
      <c r="J217" s="7678"/>
      <c r="K217" s="7678"/>
      <c r="L217" s="2350" t="s">
        <v>4013</v>
      </c>
    </row>
    <row r="218" spans="1:12" ht="30" customHeight="1" x14ac:dyDescent="0.2">
      <c r="A218" s="7654"/>
      <c r="B218" s="7652" t="s">
        <v>1218</v>
      </c>
      <c r="C218" s="7723" t="s">
        <v>1652</v>
      </c>
      <c r="D218" s="7563">
        <v>490000000</v>
      </c>
      <c r="E218" s="7659">
        <v>0.06</v>
      </c>
      <c r="F218" s="7563">
        <f>D218*E218</f>
        <v>29400000</v>
      </c>
      <c r="G218" s="3618">
        <v>10000000</v>
      </c>
      <c r="H218" s="2074" t="s">
        <v>1193</v>
      </c>
      <c r="I218" s="2089" t="s">
        <v>1220</v>
      </c>
      <c r="J218" s="7563">
        <f>10000000+G218+G219</f>
        <v>29400000</v>
      </c>
      <c r="K218" s="7563">
        <f>F218-J218</f>
        <v>0</v>
      </c>
      <c r="L218" s="2305" t="s">
        <v>4275</v>
      </c>
    </row>
    <row r="219" spans="1:12" ht="30" customHeight="1" x14ac:dyDescent="0.2">
      <c r="A219" s="7655"/>
      <c r="B219" s="7653"/>
      <c r="C219" s="7724"/>
      <c r="D219" s="7564"/>
      <c r="E219" s="7660"/>
      <c r="F219" s="7564"/>
      <c r="G219" s="2300">
        <v>9400000</v>
      </c>
      <c r="H219" s="2306" t="s">
        <v>4402</v>
      </c>
      <c r="I219" s="2318" t="s">
        <v>1220</v>
      </c>
      <c r="J219" s="7564"/>
      <c r="K219" s="7564"/>
      <c r="L219" s="2071"/>
    </row>
    <row r="220" spans="1:12" ht="30" customHeight="1" x14ac:dyDescent="0.2">
      <c r="A220" s="2103">
        <v>133</v>
      </c>
      <c r="B220" s="2068" t="s">
        <v>175</v>
      </c>
      <c r="C220" s="2084" t="s">
        <v>1718</v>
      </c>
      <c r="D220" s="2074">
        <v>100000000</v>
      </c>
      <c r="E220" s="2077">
        <v>0.05</v>
      </c>
      <c r="F220" s="2074">
        <f t="shared" ref="F220:F306" si="27">D220*E220</f>
        <v>5000000</v>
      </c>
      <c r="G220" s="2074">
        <v>5000000</v>
      </c>
      <c r="H220" s="2074" t="s">
        <v>4402</v>
      </c>
      <c r="I220" s="21" t="s">
        <v>4412</v>
      </c>
      <c r="J220" s="2074">
        <f>G220</f>
        <v>5000000</v>
      </c>
      <c r="K220" s="2074">
        <f>F220-J220</f>
        <v>0</v>
      </c>
      <c r="L220" s="2071" t="s">
        <v>3112</v>
      </c>
    </row>
    <row r="221" spans="1:12" ht="30" customHeight="1" x14ac:dyDescent="0.2">
      <c r="A221" s="2063">
        <v>134</v>
      </c>
      <c r="B221" s="2106" t="s">
        <v>166</v>
      </c>
      <c r="C221" s="2105" t="s">
        <v>1652</v>
      </c>
      <c r="D221" s="2062">
        <v>110000000</v>
      </c>
      <c r="E221" s="2101">
        <v>0.04</v>
      </c>
      <c r="F221" s="2062">
        <f t="shared" si="27"/>
        <v>4400000</v>
      </c>
      <c r="G221" s="2074">
        <v>4400000</v>
      </c>
      <c r="H221" s="2074" t="s">
        <v>4402</v>
      </c>
      <c r="I221" s="21" t="s">
        <v>4099</v>
      </c>
      <c r="J221" s="2073">
        <f>G221</f>
        <v>4400000</v>
      </c>
      <c r="K221" s="2073">
        <f>F221-J221</f>
        <v>0</v>
      </c>
      <c r="L221" s="2085"/>
    </row>
    <row r="222" spans="1:12" ht="30" customHeight="1" x14ac:dyDescent="0.2">
      <c r="A222" s="7654">
        <v>135</v>
      </c>
      <c r="B222" s="7652" t="s">
        <v>4363</v>
      </c>
      <c r="C222" s="2105" t="s">
        <v>392</v>
      </c>
      <c r="D222" s="2074">
        <v>100000000</v>
      </c>
      <c r="E222" s="2101">
        <v>0.05</v>
      </c>
      <c r="F222" s="2074">
        <f t="shared" si="27"/>
        <v>5000000</v>
      </c>
      <c r="G222" s="2074">
        <v>5000000</v>
      </c>
      <c r="H222" s="2074" t="s">
        <v>4361</v>
      </c>
      <c r="I222" s="26" t="s">
        <v>1549</v>
      </c>
      <c r="J222" s="7563">
        <f>G222+G223</f>
        <v>11000000</v>
      </c>
      <c r="K222" s="7563">
        <f>(F222+F223)-J222</f>
        <v>0</v>
      </c>
      <c r="L222" s="7703"/>
    </row>
    <row r="223" spans="1:12" ht="30" customHeight="1" x14ac:dyDescent="0.2">
      <c r="A223" s="7655"/>
      <c r="B223" s="7653"/>
      <c r="C223" s="2105" t="s">
        <v>1299</v>
      </c>
      <c r="D223" s="2074">
        <v>124000000</v>
      </c>
      <c r="E223" s="2101">
        <v>4.9000000000000002E-2</v>
      </c>
      <c r="F223" s="2074">
        <v>6000000</v>
      </c>
      <c r="G223" s="2074">
        <v>6000000</v>
      </c>
      <c r="H223" s="2074" t="s">
        <v>1017</v>
      </c>
      <c r="I223" s="52" t="s">
        <v>1549</v>
      </c>
      <c r="J223" s="7564"/>
      <c r="K223" s="7564"/>
      <c r="L223" s="7705"/>
    </row>
    <row r="224" spans="1:12" ht="30" customHeight="1" x14ac:dyDescent="0.2">
      <c r="A224" s="7654">
        <v>136</v>
      </c>
      <c r="B224" s="7652" t="s">
        <v>4002</v>
      </c>
      <c r="C224" s="7873"/>
      <c r="D224" s="7677"/>
      <c r="E224" s="7691"/>
      <c r="F224" s="7677">
        <f t="shared" si="27"/>
        <v>0</v>
      </c>
      <c r="G224" s="2074">
        <v>13000000</v>
      </c>
      <c r="H224" s="2074" t="s">
        <v>3003</v>
      </c>
      <c r="I224" s="24" t="s">
        <v>3968</v>
      </c>
      <c r="J224" s="2074">
        <f>G224</f>
        <v>13000000</v>
      </c>
      <c r="K224" s="2079">
        <f>F224-J224</f>
        <v>-13000000</v>
      </c>
      <c r="L224" s="2071"/>
    </row>
    <row r="225" spans="1:12" ht="30" customHeight="1" x14ac:dyDescent="0.2">
      <c r="A225" s="7656"/>
      <c r="B225" s="7665"/>
      <c r="C225" s="7873"/>
      <c r="D225" s="7690"/>
      <c r="E225" s="7692"/>
      <c r="F225" s="7690"/>
      <c r="G225" s="2062"/>
      <c r="H225" s="2062"/>
      <c r="I225" s="234" t="s">
        <v>3968</v>
      </c>
      <c r="J225" s="2062">
        <f>G225</f>
        <v>0</v>
      </c>
      <c r="K225" s="2088"/>
      <c r="L225" s="2133"/>
    </row>
    <row r="226" spans="1:12" ht="30" customHeight="1" x14ac:dyDescent="0.2">
      <c r="A226" s="7655"/>
      <c r="B226" s="7653"/>
      <c r="C226" s="7873"/>
      <c r="D226" s="7678"/>
      <c r="E226" s="7693"/>
      <c r="F226" s="7678"/>
      <c r="G226" s="7470" t="s">
        <v>4276</v>
      </c>
      <c r="H226" s="7493"/>
      <c r="I226" s="7493"/>
      <c r="J226" s="7510"/>
      <c r="K226" s="2088"/>
      <c r="L226" s="2133" t="s">
        <v>4195</v>
      </c>
    </row>
    <row r="227" spans="1:12" ht="30" customHeight="1" x14ac:dyDescent="0.2">
      <c r="A227" s="2063"/>
      <c r="B227" s="2066" t="s">
        <v>257</v>
      </c>
      <c r="C227" s="2092" t="s">
        <v>1652</v>
      </c>
      <c r="D227" s="2074">
        <v>100000000</v>
      </c>
      <c r="E227" s="2101">
        <v>0.05</v>
      </c>
      <c r="F227" s="2074">
        <f>D227*E227</f>
        <v>5000000</v>
      </c>
      <c r="G227" s="2078">
        <v>5000000</v>
      </c>
      <c r="H227" s="2078" t="s">
        <v>1193</v>
      </c>
      <c r="I227" s="1610" t="s">
        <v>4003</v>
      </c>
      <c r="J227" s="2078">
        <f>G227</f>
        <v>5000000</v>
      </c>
      <c r="K227" s="2078">
        <f>F227-J227</f>
        <v>0</v>
      </c>
      <c r="L227" s="2119"/>
    </row>
    <row r="228" spans="1:12" ht="30" customHeight="1" x14ac:dyDescent="0.2">
      <c r="A228" s="7654"/>
      <c r="B228" s="7652" t="s">
        <v>179</v>
      </c>
      <c r="C228" s="7723" t="s">
        <v>1176</v>
      </c>
      <c r="D228" s="2062">
        <v>80000000</v>
      </c>
      <c r="E228" s="2101">
        <v>0.05</v>
      </c>
      <c r="F228" s="2062">
        <f>D228*E228</f>
        <v>4000000</v>
      </c>
      <c r="G228" s="7563">
        <v>6100000</v>
      </c>
      <c r="H228" s="7563" t="s">
        <v>4402</v>
      </c>
      <c r="I228" s="7563" t="s">
        <v>1711</v>
      </c>
      <c r="J228" s="7563">
        <f>G228</f>
        <v>6100000</v>
      </c>
      <c r="K228" s="7563">
        <f>(F228+F229)-J228</f>
        <v>0</v>
      </c>
      <c r="L228" s="7713"/>
    </row>
    <row r="229" spans="1:12" ht="30" customHeight="1" x14ac:dyDescent="0.2">
      <c r="A229" s="7655"/>
      <c r="B229" s="7653"/>
      <c r="C229" s="7724"/>
      <c r="D229" s="2073">
        <v>30000000</v>
      </c>
      <c r="E229" s="2075">
        <v>7.0000000000000007E-2</v>
      </c>
      <c r="F229" s="2073">
        <f>D229*E229</f>
        <v>2100000</v>
      </c>
      <c r="G229" s="7564"/>
      <c r="H229" s="7564"/>
      <c r="I229" s="7564"/>
      <c r="J229" s="7564"/>
      <c r="K229" s="7564"/>
      <c r="L229" s="7714"/>
    </row>
    <row r="230" spans="1:12" ht="30" customHeight="1" x14ac:dyDescent="0.2">
      <c r="A230" s="7654">
        <v>138</v>
      </c>
      <c r="B230" s="7652" t="s">
        <v>259</v>
      </c>
      <c r="C230" s="7723" t="s">
        <v>1172</v>
      </c>
      <c r="D230" s="7563">
        <v>1200000000</v>
      </c>
      <c r="E230" s="7659">
        <v>6.5000000000000002E-2</v>
      </c>
      <c r="F230" s="7563">
        <f t="shared" si="27"/>
        <v>78000000</v>
      </c>
      <c r="G230" s="2074"/>
      <c r="H230" s="2062"/>
      <c r="I230" s="2108" t="s">
        <v>529</v>
      </c>
      <c r="J230" s="7563">
        <f>G230+G231</f>
        <v>0</v>
      </c>
      <c r="K230" s="7563">
        <f>F230-J230</f>
        <v>78000000</v>
      </c>
      <c r="L230" s="7703"/>
    </row>
    <row r="231" spans="1:12" ht="30" customHeight="1" x14ac:dyDescent="0.2">
      <c r="A231" s="7656"/>
      <c r="B231" s="7665"/>
      <c r="C231" s="7747"/>
      <c r="D231" s="7564"/>
      <c r="E231" s="7660"/>
      <c r="F231" s="7564"/>
      <c r="G231" s="2062"/>
      <c r="H231" s="2062"/>
      <c r="I231" s="2108" t="s">
        <v>529</v>
      </c>
      <c r="J231" s="7564"/>
      <c r="K231" s="7564"/>
      <c r="L231" s="7704"/>
    </row>
    <row r="232" spans="1:12" ht="30" customHeight="1" x14ac:dyDescent="0.2">
      <c r="A232" s="7656"/>
      <c r="B232" s="7665"/>
      <c r="C232" s="7747"/>
      <c r="D232" s="2074">
        <v>150000000</v>
      </c>
      <c r="E232" s="2077">
        <v>6.5000000000000002E-2</v>
      </c>
      <c r="F232" s="2074">
        <f>D232*E232</f>
        <v>9750000</v>
      </c>
      <c r="G232" s="8099" t="s">
        <v>4230</v>
      </c>
      <c r="H232" s="8100"/>
      <c r="I232" s="8100"/>
      <c r="J232" s="8101"/>
      <c r="K232" s="2074"/>
      <c r="L232" s="7797" t="s">
        <v>4232</v>
      </c>
    </row>
    <row r="233" spans="1:12" ht="30" customHeight="1" x14ac:dyDescent="0.2">
      <c r="A233" s="7655"/>
      <c r="B233" s="7653"/>
      <c r="C233" s="7724"/>
      <c r="D233" s="2074">
        <v>79600000</v>
      </c>
      <c r="E233" s="2077">
        <v>6.5000000000000002E-2</v>
      </c>
      <c r="F233" s="2074">
        <f>D233*E233</f>
        <v>5174000</v>
      </c>
      <c r="G233" s="7732" t="s">
        <v>4231</v>
      </c>
      <c r="H233" s="7733"/>
      <c r="I233" s="7733"/>
      <c r="J233" s="7734"/>
      <c r="K233" s="2074"/>
      <c r="L233" s="7714"/>
    </row>
    <row r="234" spans="1:12" ht="30" customHeight="1" x14ac:dyDescent="0.2">
      <c r="A234" s="2103">
        <v>139</v>
      </c>
      <c r="B234" s="19" t="s">
        <v>160</v>
      </c>
      <c r="C234" s="2084" t="s">
        <v>1718</v>
      </c>
      <c r="D234" s="2062">
        <v>110000000</v>
      </c>
      <c r="E234" s="2101">
        <v>0.05</v>
      </c>
      <c r="F234" s="2062">
        <f t="shared" si="27"/>
        <v>5500000</v>
      </c>
      <c r="G234" s="2074">
        <v>5500000</v>
      </c>
      <c r="H234" s="2074" t="s">
        <v>4402</v>
      </c>
      <c r="I234" s="26" t="s">
        <v>1734</v>
      </c>
      <c r="J234" s="2062">
        <f>G234</f>
        <v>5500000</v>
      </c>
      <c r="K234" s="2062">
        <f>F234-J234</f>
        <v>0</v>
      </c>
      <c r="L234" s="19"/>
    </row>
    <row r="235" spans="1:12" ht="30" customHeight="1" x14ac:dyDescent="0.2">
      <c r="A235" s="2103"/>
      <c r="B235" s="19" t="s">
        <v>2270</v>
      </c>
      <c r="C235" s="2084" t="s">
        <v>262</v>
      </c>
      <c r="D235" s="2062">
        <v>50000000</v>
      </c>
      <c r="E235" s="2101">
        <v>0.05</v>
      </c>
      <c r="F235" s="2062">
        <f>D235*E235</f>
        <v>2500000</v>
      </c>
      <c r="G235" s="2074">
        <v>2500000</v>
      </c>
      <c r="H235" s="2074" t="s">
        <v>4449</v>
      </c>
      <c r="I235" s="26" t="s">
        <v>456</v>
      </c>
      <c r="J235" s="2062">
        <f>G235</f>
        <v>2500000</v>
      </c>
      <c r="K235" s="2062">
        <f>F235-J235</f>
        <v>0</v>
      </c>
      <c r="L235" s="19"/>
    </row>
    <row r="236" spans="1:12" ht="30" customHeight="1" x14ac:dyDescent="0.2">
      <c r="A236" s="2103">
        <v>140</v>
      </c>
      <c r="B236" s="2104" t="s">
        <v>533</v>
      </c>
      <c r="C236" s="2084" t="s">
        <v>372</v>
      </c>
      <c r="D236" s="2074">
        <v>150000000</v>
      </c>
      <c r="E236" s="2101">
        <v>0.04</v>
      </c>
      <c r="F236" s="2074">
        <f t="shared" si="27"/>
        <v>6000000</v>
      </c>
      <c r="G236" s="2074">
        <v>6000000</v>
      </c>
      <c r="H236" s="2074" t="s">
        <v>4402</v>
      </c>
      <c r="I236" s="18" t="s">
        <v>2682</v>
      </c>
      <c r="J236" s="2074">
        <f>G236</f>
        <v>6000000</v>
      </c>
      <c r="K236" s="2074">
        <f>F236-J236</f>
        <v>0</v>
      </c>
      <c r="L236" s="2104"/>
    </row>
    <row r="237" spans="1:12" ht="30" customHeight="1" x14ac:dyDescent="0.2">
      <c r="A237" s="7654">
        <v>141</v>
      </c>
      <c r="B237" s="7652" t="s">
        <v>7</v>
      </c>
      <c r="C237" s="7723"/>
      <c r="D237" s="7563">
        <v>30000000</v>
      </c>
      <c r="E237" s="7659">
        <v>0.05</v>
      </c>
      <c r="F237" s="7563">
        <f t="shared" si="27"/>
        <v>1500000</v>
      </c>
      <c r="G237" s="2074"/>
      <c r="H237" s="2074"/>
      <c r="I237" s="21" t="s">
        <v>535</v>
      </c>
      <c r="J237" s="2074">
        <f>G237</f>
        <v>0</v>
      </c>
      <c r="K237" s="2074">
        <f>F237-J237</f>
        <v>1500000</v>
      </c>
      <c r="L237" s="2071"/>
    </row>
    <row r="238" spans="1:12" ht="30" customHeight="1" x14ac:dyDescent="0.2">
      <c r="A238" s="7655"/>
      <c r="B238" s="7653"/>
      <c r="C238" s="7724"/>
      <c r="D238" s="7564"/>
      <c r="E238" s="7660"/>
      <c r="F238" s="7564"/>
      <c r="G238" s="2079"/>
      <c r="H238" s="2079"/>
      <c r="I238" s="56" t="s">
        <v>535</v>
      </c>
      <c r="J238" s="2080">
        <f>G238</f>
        <v>0</v>
      </c>
      <c r="K238" s="2078">
        <f>F237-J238</f>
        <v>1500000</v>
      </c>
      <c r="L238" s="2071" t="s">
        <v>4087</v>
      </c>
    </row>
    <row r="239" spans="1:12" ht="30" customHeight="1" x14ac:dyDescent="0.2">
      <c r="A239" s="7654">
        <v>142</v>
      </c>
      <c r="B239" s="7703" t="s">
        <v>8</v>
      </c>
      <c r="C239" s="7723"/>
      <c r="D239" s="7563">
        <v>2000000000</v>
      </c>
      <c r="E239" s="7659">
        <v>0.08</v>
      </c>
      <c r="F239" s="7563">
        <f>D239*E239</f>
        <v>160000000</v>
      </c>
      <c r="G239" s="1854">
        <v>10000000</v>
      </c>
      <c r="H239" s="1854" t="s">
        <v>4331</v>
      </c>
      <c r="I239" s="1854" t="s">
        <v>4358</v>
      </c>
      <c r="J239" s="7482"/>
      <c r="K239" s="7482"/>
      <c r="L239" s="7713" t="s">
        <v>4719</v>
      </c>
    </row>
    <row r="240" spans="1:12" ht="30" customHeight="1" x14ac:dyDescent="0.2">
      <c r="A240" s="7656"/>
      <c r="B240" s="7704"/>
      <c r="C240" s="7747"/>
      <c r="D240" s="7586"/>
      <c r="E240" s="7676"/>
      <c r="F240" s="7586"/>
      <c r="G240" s="2554">
        <v>50000000</v>
      </c>
      <c r="H240" s="2554" t="s">
        <v>4395</v>
      </c>
      <c r="I240" s="1854" t="s">
        <v>1937</v>
      </c>
      <c r="J240" s="7482"/>
      <c r="K240" s="7482"/>
      <c r="L240" s="7797"/>
    </row>
    <row r="241" spans="1:12" ht="30" customHeight="1" x14ac:dyDescent="0.2">
      <c r="A241" s="7656"/>
      <c r="B241" s="7704"/>
      <c r="C241" s="7747"/>
      <c r="D241" s="7586"/>
      <c r="E241" s="7676"/>
      <c r="F241" s="7586"/>
      <c r="G241" s="2074">
        <v>50000000</v>
      </c>
      <c r="H241" s="2074" t="s">
        <v>2125</v>
      </c>
      <c r="I241" s="2108" t="s">
        <v>1937</v>
      </c>
      <c r="J241" s="7482"/>
      <c r="K241" s="7482"/>
      <c r="L241" s="7797"/>
    </row>
    <row r="242" spans="1:12" ht="30" customHeight="1" x14ac:dyDescent="0.2">
      <c r="A242" s="7656"/>
      <c r="B242" s="7704"/>
      <c r="C242" s="7747"/>
      <c r="D242" s="7586"/>
      <c r="E242" s="7676"/>
      <c r="F242" s="7586"/>
      <c r="G242" s="2074">
        <v>26930000</v>
      </c>
      <c r="H242" s="2074" t="s">
        <v>4595</v>
      </c>
      <c r="I242" s="2108" t="s">
        <v>1937</v>
      </c>
      <c r="J242" s="7482"/>
      <c r="K242" s="7482"/>
      <c r="L242" s="7797"/>
    </row>
    <row r="243" spans="1:12" ht="30" customHeight="1" x14ac:dyDescent="0.2">
      <c r="A243" s="7656"/>
      <c r="B243" s="7704"/>
      <c r="C243" s="7747"/>
      <c r="D243" s="7586"/>
      <c r="E243" s="7676"/>
      <c r="F243" s="7586"/>
      <c r="G243" s="2074">
        <v>50000000</v>
      </c>
      <c r="H243" s="2074" t="s">
        <v>4619</v>
      </c>
      <c r="I243" s="2062" t="s">
        <v>1937</v>
      </c>
      <c r="J243" s="7482"/>
      <c r="K243" s="7482"/>
      <c r="L243" s="7797"/>
    </row>
    <row r="244" spans="1:12" ht="30" customHeight="1" x14ac:dyDescent="0.2">
      <c r="A244" s="7656"/>
      <c r="B244" s="7704"/>
      <c r="C244" s="7747"/>
      <c r="D244" s="7586"/>
      <c r="E244" s="7676"/>
      <c r="F244" s="7586"/>
      <c r="G244" s="7997" t="s">
        <v>5092</v>
      </c>
      <c r="H244" s="7998"/>
      <c r="I244" s="7998"/>
      <c r="J244" s="7998"/>
      <c r="K244" s="7999"/>
      <c r="L244" s="7797"/>
    </row>
    <row r="245" spans="1:12" ht="30" customHeight="1" x14ac:dyDescent="0.2">
      <c r="A245" s="2103">
        <v>143</v>
      </c>
      <c r="B245" s="2715" t="s">
        <v>4146</v>
      </c>
      <c r="C245" s="2716"/>
      <c r="D245" s="2701">
        <v>50000000</v>
      </c>
      <c r="E245" s="2713">
        <v>0.04</v>
      </c>
      <c r="F245" s="2701">
        <f t="shared" si="27"/>
        <v>2000000</v>
      </c>
      <c r="G245" s="2701">
        <v>2000000</v>
      </c>
      <c r="H245" s="2701" t="s">
        <v>4449</v>
      </c>
      <c r="I245" s="26" t="s">
        <v>4257</v>
      </c>
      <c r="J245" s="2701">
        <f>G245</f>
        <v>2000000</v>
      </c>
      <c r="K245" s="2701">
        <f t="shared" ref="K245:K251" si="28">F245-J245</f>
        <v>0</v>
      </c>
      <c r="L245" s="2133" t="s">
        <v>4457</v>
      </c>
    </row>
    <row r="246" spans="1:12" ht="30" customHeight="1" x14ac:dyDescent="0.2">
      <c r="A246" s="2103">
        <v>144</v>
      </c>
      <c r="B246" s="2104" t="s">
        <v>514</v>
      </c>
      <c r="C246" s="2084"/>
      <c r="D246" s="2074">
        <v>5000000</v>
      </c>
      <c r="E246" s="2101">
        <v>0.05</v>
      </c>
      <c r="F246" s="2074">
        <f t="shared" si="27"/>
        <v>250000</v>
      </c>
      <c r="G246" s="2074">
        <v>250000</v>
      </c>
      <c r="H246" s="2074" t="s">
        <v>4462</v>
      </c>
      <c r="I246" s="21" t="s">
        <v>516</v>
      </c>
      <c r="J246" s="2074">
        <f>G246</f>
        <v>250000</v>
      </c>
      <c r="K246" s="2074">
        <f t="shared" si="28"/>
        <v>0</v>
      </c>
      <c r="L246" s="2104"/>
    </row>
    <row r="247" spans="1:12" ht="30" customHeight="1" x14ac:dyDescent="0.2">
      <c r="A247" s="2103">
        <v>145</v>
      </c>
      <c r="B247" s="2104" t="s">
        <v>10</v>
      </c>
      <c r="C247" s="2084" t="s">
        <v>1172</v>
      </c>
      <c r="D247" s="2074">
        <v>100000000</v>
      </c>
      <c r="E247" s="2101">
        <v>0.05</v>
      </c>
      <c r="F247" s="2074">
        <f t="shared" si="27"/>
        <v>5000000</v>
      </c>
      <c r="G247" s="2074">
        <v>5000000</v>
      </c>
      <c r="H247" s="2074" t="s">
        <v>4402</v>
      </c>
      <c r="I247" s="18" t="s">
        <v>3525</v>
      </c>
      <c r="J247" s="2074">
        <f>G247</f>
        <v>5000000</v>
      </c>
      <c r="K247" s="2074">
        <f t="shared" si="28"/>
        <v>0</v>
      </c>
      <c r="L247" s="2104"/>
    </row>
    <row r="248" spans="1:12" ht="30" customHeight="1" x14ac:dyDescent="0.2">
      <c r="A248" s="2103">
        <v>146</v>
      </c>
      <c r="B248" s="2104" t="s">
        <v>11</v>
      </c>
      <c r="C248" s="2084"/>
      <c r="D248" s="2074">
        <v>50000000</v>
      </c>
      <c r="E248" s="2101">
        <v>4.4999999999999998E-2</v>
      </c>
      <c r="F248" s="2074">
        <f t="shared" si="27"/>
        <v>2250000</v>
      </c>
      <c r="G248" s="2074"/>
      <c r="H248" s="2074"/>
      <c r="I248" s="21"/>
      <c r="J248" s="2074"/>
      <c r="K248" s="2074">
        <f t="shared" si="28"/>
        <v>2250000</v>
      </c>
      <c r="L248" s="2104"/>
    </row>
    <row r="249" spans="1:12" ht="30" customHeight="1" x14ac:dyDescent="0.2">
      <c r="A249" s="7654">
        <v>147</v>
      </c>
      <c r="B249" s="7652" t="s">
        <v>12</v>
      </c>
      <c r="C249" s="7723" t="s">
        <v>1295</v>
      </c>
      <c r="D249" s="2074">
        <v>60000000</v>
      </c>
      <c r="E249" s="2101">
        <v>0.05</v>
      </c>
      <c r="F249" s="2074">
        <f t="shared" si="27"/>
        <v>3000000</v>
      </c>
      <c r="G249" s="2062">
        <v>3000000</v>
      </c>
      <c r="H249" s="2062" t="s">
        <v>4331</v>
      </c>
      <c r="I249" s="26" t="s">
        <v>4353</v>
      </c>
      <c r="J249" s="2062">
        <f>G249</f>
        <v>3000000</v>
      </c>
      <c r="K249" s="2062">
        <f t="shared" si="28"/>
        <v>0</v>
      </c>
      <c r="L249" s="2132"/>
    </row>
    <row r="250" spans="1:12" ht="30" customHeight="1" x14ac:dyDescent="0.2">
      <c r="A250" s="7655"/>
      <c r="B250" s="7653"/>
      <c r="C250" s="7724"/>
      <c r="D250" s="2442">
        <v>70000000</v>
      </c>
      <c r="E250" s="2446">
        <v>0.05</v>
      </c>
      <c r="F250" s="2442">
        <f t="shared" si="27"/>
        <v>3500000</v>
      </c>
      <c r="G250" s="2441"/>
      <c r="H250" s="2441"/>
      <c r="I250" s="26"/>
      <c r="J250" s="2441"/>
      <c r="K250" s="2441"/>
      <c r="L250" s="2013" t="s">
        <v>4671</v>
      </c>
    </row>
    <row r="251" spans="1:12" ht="30" customHeight="1" x14ac:dyDescent="0.2">
      <c r="A251" s="2063">
        <v>148</v>
      </c>
      <c r="B251" s="2106" t="s">
        <v>13</v>
      </c>
      <c r="C251" s="2105" t="s">
        <v>371</v>
      </c>
      <c r="D251" s="2062">
        <v>50000000</v>
      </c>
      <c r="E251" s="2101">
        <v>0.05</v>
      </c>
      <c r="F251" s="2062">
        <f t="shared" si="27"/>
        <v>2500000</v>
      </c>
      <c r="G251" s="2062">
        <v>2500000</v>
      </c>
      <c r="H251" s="2062" t="s">
        <v>4449</v>
      </c>
      <c r="I251" s="2108" t="s">
        <v>1401</v>
      </c>
      <c r="J251" s="2062">
        <f t="shared" ref="J251:J256" si="29">G251</f>
        <v>2500000</v>
      </c>
      <c r="K251" s="2062">
        <f t="shared" si="28"/>
        <v>0</v>
      </c>
      <c r="L251" s="2013"/>
    </row>
    <row r="252" spans="1:12" ht="30" customHeight="1" x14ac:dyDescent="0.2">
      <c r="A252" s="2103">
        <v>149</v>
      </c>
      <c r="B252" s="2104" t="s">
        <v>14</v>
      </c>
      <c r="C252" s="2084" t="s">
        <v>1291</v>
      </c>
      <c r="D252" s="2074">
        <v>80000000</v>
      </c>
      <c r="E252" s="2077">
        <v>0.05</v>
      </c>
      <c r="F252" s="2074">
        <f t="shared" si="27"/>
        <v>4000000</v>
      </c>
      <c r="G252" s="2074">
        <v>4000000</v>
      </c>
      <c r="H252" s="2074" t="s">
        <v>3865</v>
      </c>
      <c r="I252" s="2140" t="s">
        <v>2580</v>
      </c>
      <c r="J252" s="2074">
        <f t="shared" si="29"/>
        <v>4000000</v>
      </c>
      <c r="K252" s="2074">
        <f t="shared" ref="K252:K257" si="30">F252-J252</f>
        <v>0</v>
      </c>
      <c r="L252" s="2013" t="s">
        <v>357</v>
      </c>
    </row>
    <row r="253" spans="1:12" ht="30" customHeight="1" x14ac:dyDescent="0.2">
      <c r="A253" s="2103">
        <v>150</v>
      </c>
      <c r="B253" s="2104" t="s">
        <v>15</v>
      </c>
      <c r="C253" s="2084" t="s">
        <v>1294</v>
      </c>
      <c r="D253" s="2074">
        <v>160000000</v>
      </c>
      <c r="E253" s="2101">
        <v>0.04</v>
      </c>
      <c r="F253" s="2074">
        <f t="shared" si="27"/>
        <v>6400000</v>
      </c>
      <c r="G253" s="2074">
        <v>6400000</v>
      </c>
      <c r="H253" s="2074" t="s">
        <v>4475</v>
      </c>
      <c r="I253" s="21" t="s">
        <v>2986</v>
      </c>
      <c r="J253" s="2074">
        <f t="shared" si="29"/>
        <v>6400000</v>
      </c>
      <c r="K253" s="2074">
        <f t="shared" si="30"/>
        <v>0</v>
      </c>
      <c r="L253" s="2071" t="s">
        <v>2987</v>
      </c>
    </row>
    <row r="254" spans="1:12" ht="30" customHeight="1" x14ac:dyDescent="0.2">
      <c r="A254" s="2103">
        <v>151</v>
      </c>
      <c r="B254" s="2104" t="s">
        <v>16</v>
      </c>
      <c r="C254" s="2084" t="s">
        <v>1107</v>
      </c>
      <c r="D254" s="2074">
        <v>180000000</v>
      </c>
      <c r="E254" s="2101">
        <v>0.05</v>
      </c>
      <c r="F254" s="2074">
        <f t="shared" si="27"/>
        <v>9000000</v>
      </c>
      <c r="G254" s="2074">
        <v>9000000</v>
      </c>
      <c r="H254" s="2074" t="s">
        <v>3003</v>
      </c>
      <c r="I254" s="21" t="s">
        <v>2149</v>
      </c>
      <c r="J254" s="2074">
        <f t="shared" si="29"/>
        <v>9000000</v>
      </c>
      <c r="K254" s="2074">
        <f t="shared" si="30"/>
        <v>0</v>
      </c>
      <c r="L254" s="2104"/>
    </row>
    <row r="255" spans="1:12" ht="30" customHeight="1" x14ac:dyDescent="0.2">
      <c r="A255" s="2103">
        <v>153</v>
      </c>
      <c r="B255" s="2104" t="s">
        <v>17</v>
      </c>
      <c r="C255" s="2084"/>
      <c r="D255" s="2074">
        <v>30000000</v>
      </c>
      <c r="E255" s="2101">
        <v>0.04</v>
      </c>
      <c r="F255" s="2074">
        <f t="shared" si="27"/>
        <v>1200000</v>
      </c>
      <c r="G255" s="2074">
        <v>1200000</v>
      </c>
      <c r="H255" s="2074" t="s">
        <v>4596</v>
      </c>
      <c r="I255" s="21" t="s">
        <v>1143</v>
      </c>
      <c r="J255" s="2074">
        <f t="shared" si="29"/>
        <v>1200000</v>
      </c>
      <c r="K255" s="2074">
        <f t="shared" si="30"/>
        <v>0</v>
      </c>
      <c r="L255" s="2104"/>
    </row>
    <row r="256" spans="1:12" ht="30" customHeight="1" x14ac:dyDescent="0.2">
      <c r="A256" s="2103">
        <v>154</v>
      </c>
      <c r="B256" s="2104" t="s">
        <v>18</v>
      </c>
      <c r="C256" s="2084" t="s">
        <v>1796</v>
      </c>
      <c r="D256" s="2074">
        <v>15000000</v>
      </c>
      <c r="E256" s="2101">
        <v>7.0000000000000007E-2</v>
      </c>
      <c r="F256" s="2074">
        <f t="shared" si="27"/>
        <v>1050000</v>
      </c>
      <c r="G256" s="2074">
        <v>1050000</v>
      </c>
      <c r="H256" s="2074" t="s">
        <v>4769</v>
      </c>
      <c r="I256" s="21" t="s">
        <v>1278</v>
      </c>
      <c r="J256" s="2074">
        <f t="shared" si="29"/>
        <v>1050000</v>
      </c>
      <c r="K256" s="2074">
        <f t="shared" si="30"/>
        <v>0</v>
      </c>
      <c r="L256" s="2104"/>
    </row>
    <row r="257" spans="1:16" ht="30" customHeight="1" x14ac:dyDescent="0.2">
      <c r="A257" s="2103">
        <v>155</v>
      </c>
      <c r="B257" s="2104" t="s">
        <v>19</v>
      </c>
      <c r="C257" s="2084"/>
      <c r="D257" s="2079"/>
      <c r="E257" s="40"/>
      <c r="F257" s="2079">
        <f t="shared" si="27"/>
        <v>0</v>
      </c>
      <c r="G257" s="2074"/>
      <c r="H257" s="2074"/>
      <c r="I257" s="21"/>
      <c r="J257" s="2074"/>
      <c r="K257" s="2079">
        <f t="shared" si="30"/>
        <v>0</v>
      </c>
      <c r="L257" s="2104"/>
    </row>
    <row r="258" spans="1:16" ht="30" customHeight="1" x14ac:dyDescent="0.2">
      <c r="A258" s="2063">
        <v>156</v>
      </c>
      <c r="B258" s="2106" t="s">
        <v>20</v>
      </c>
      <c r="C258" s="378"/>
      <c r="D258" s="2062">
        <v>50000000</v>
      </c>
      <c r="E258" s="2101">
        <v>0.04</v>
      </c>
      <c r="F258" s="2062">
        <f t="shared" si="27"/>
        <v>2000000</v>
      </c>
      <c r="G258" s="2074">
        <v>1500000</v>
      </c>
      <c r="H258" s="2074" t="s">
        <v>4475</v>
      </c>
      <c r="I258" s="18" t="s">
        <v>3664</v>
      </c>
      <c r="J258" s="2062">
        <f>G258</f>
        <v>1500000</v>
      </c>
      <c r="K258" s="2062">
        <f>F258-500000-G258</f>
        <v>0</v>
      </c>
      <c r="L258" s="2071"/>
      <c r="M258" s="366"/>
      <c r="N258" s="366"/>
      <c r="O258" s="366"/>
      <c r="P258" s="366"/>
    </row>
    <row r="259" spans="1:16" ht="30" customHeight="1" x14ac:dyDescent="0.2">
      <c r="A259" s="2103">
        <v>157</v>
      </c>
      <c r="B259" s="2104" t="s">
        <v>21</v>
      </c>
      <c r="C259" s="2084" t="s">
        <v>1294</v>
      </c>
      <c r="D259" s="2074">
        <v>20000000</v>
      </c>
      <c r="E259" s="2077">
        <v>0.05</v>
      </c>
      <c r="F259" s="2074">
        <f t="shared" si="27"/>
        <v>1000000</v>
      </c>
      <c r="G259" s="2074">
        <v>1000000</v>
      </c>
      <c r="H259" s="2074" t="s">
        <v>1017</v>
      </c>
      <c r="I259" s="21" t="s">
        <v>4523</v>
      </c>
      <c r="J259" s="2074">
        <f>G259</f>
        <v>1000000</v>
      </c>
      <c r="K259" s="2074">
        <f>F259-J259</f>
        <v>0</v>
      </c>
      <c r="L259" s="2104"/>
      <c r="M259" s="366"/>
      <c r="N259" s="366"/>
      <c r="O259" s="366"/>
      <c r="P259" s="366"/>
    </row>
    <row r="260" spans="1:16" ht="30" customHeight="1" x14ac:dyDescent="0.2">
      <c r="A260" s="7654"/>
      <c r="B260" s="7652" t="s">
        <v>822</v>
      </c>
      <c r="C260" s="7723" t="s">
        <v>1306</v>
      </c>
      <c r="D260" s="2074">
        <v>160000000</v>
      </c>
      <c r="E260" s="2101">
        <v>0.05</v>
      </c>
      <c r="F260" s="2074">
        <f>D260*E260</f>
        <v>8000000</v>
      </c>
      <c r="G260" s="7991" t="s">
        <v>5162</v>
      </c>
      <c r="H260" s="7992"/>
      <c r="I260" s="7992"/>
      <c r="J260" s="7993"/>
      <c r="K260" s="7563">
        <f>(F260+F261)-J260</f>
        <v>9200000</v>
      </c>
      <c r="L260" s="233"/>
      <c r="M260" s="233"/>
      <c r="N260" s="233"/>
      <c r="O260" s="233"/>
      <c r="P260" s="233"/>
    </row>
    <row r="261" spans="1:16" ht="30" customHeight="1" x14ac:dyDescent="0.2">
      <c r="A261" s="7656"/>
      <c r="B261" s="7665"/>
      <c r="C261" s="7724"/>
      <c r="D261" s="2074">
        <v>22000000</v>
      </c>
      <c r="E261" s="2101">
        <v>5.5E-2</v>
      </c>
      <c r="F261" s="2074">
        <v>1200000</v>
      </c>
      <c r="G261" s="7997"/>
      <c r="H261" s="7998"/>
      <c r="I261" s="7998"/>
      <c r="J261" s="7999"/>
      <c r="K261" s="7564"/>
      <c r="L261" s="2104"/>
      <c r="M261" s="366"/>
      <c r="N261" s="366"/>
      <c r="O261" s="366"/>
      <c r="P261" s="366"/>
    </row>
    <row r="262" spans="1:16" ht="30" customHeight="1" x14ac:dyDescent="0.2">
      <c r="A262" s="7656"/>
      <c r="B262" s="7665"/>
      <c r="C262" s="7723" t="s">
        <v>1306</v>
      </c>
      <c r="D262" s="2564">
        <v>160000000</v>
      </c>
      <c r="E262" s="896">
        <v>0.05</v>
      </c>
      <c r="F262" s="2564">
        <f>D262*E262</f>
        <v>8000000</v>
      </c>
      <c r="G262" s="2561"/>
      <c r="H262" s="2562"/>
      <c r="I262" s="2562"/>
      <c r="J262" s="2563"/>
      <c r="K262" s="2558"/>
      <c r="L262" s="2560"/>
      <c r="M262" s="366"/>
      <c r="N262" s="366"/>
      <c r="O262" s="366"/>
      <c r="P262" s="366"/>
    </row>
    <row r="263" spans="1:16" ht="30" customHeight="1" x14ac:dyDescent="0.2">
      <c r="A263" s="7655"/>
      <c r="B263" s="7653"/>
      <c r="C263" s="7724"/>
      <c r="D263" s="2564">
        <f>22000000+9200000+13800000</f>
        <v>45000000</v>
      </c>
      <c r="E263" s="896">
        <v>0.06</v>
      </c>
      <c r="F263" s="2564">
        <f>D263*E263</f>
        <v>2700000</v>
      </c>
      <c r="G263" s="2558"/>
      <c r="H263" s="2558"/>
      <c r="I263" s="2559"/>
      <c r="J263" s="2558"/>
      <c r="K263" s="2558"/>
      <c r="L263" s="2560"/>
      <c r="M263" s="366"/>
      <c r="N263" s="366"/>
      <c r="O263" s="366"/>
      <c r="P263" s="366"/>
    </row>
    <row r="264" spans="1:16" ht="30" customHeight="1" x14ac:dyDescent="0.2">
      <c r="A264" s="7654">
        <v>159</v>
      </c>
      <c r="B264" s="7652" t="s">
        <v>22</v>
      </c>
      <c r="C264" s="7723" t="s">
        <v>1300</v>
      </c>
      <c r="D264" s="7563">
        <v>25000000</v>
      </c>
      <c r="E264" s="7659">
        <v>0.05</v>
      </c>
      <c r="F264" s="7563">
        <f t="shared" si="27"/>
        <v>1250000</v>
      </c>
      <c r="G264" s="2074">
        <v>1250000</v>
      </c>
      <c r="H264" s="2074" t="s">
        <v>4449</v>
      </c>
      <c r="I264" s="21" t="s">
        <v>2192</v>
      </c>
      <c r="J264" s="2074">
        <f t="shared" ref="J264:J270" si="31">G264</f>
        <v>1250000</v>
      </c>
      <c r="K264" s="2074">
        <f t="shared" ref="K264:K277" si="32">F264-J264</f>
        <v>0</v>
      </c>
      <c r="L264" s="388" t="s">
        <v>4660</v>
      </c>
      <c r="M264" s="366"/>
      <c r="N264" s="366"/>
      <c r="O264" s="366"/>
      <c r="P264" s="366"/>
    </row>
    <row r="265" spans="1:16" ht="30" customHeight="1" x14ac:dyDescent="0.2">
      <c r="A265" s="7655"/>
      <c r="B265" s="7653"/>
      <c r="C265" s="7724"/>
      <c r="D265" s="7564"/>
      <c r="E265" s="7660"/>
      <c r="F265" s="7564"/>
      <c r="G265" s="3381">
        <v>1250000</v>
      </c>
      <c r="H265" s="3381"/>
      <c r="I265" s="3383"/>
      <c r="J265" s="3381"/>
      <c r="K265" s="3381"/>
      <c r="L265" s="388" t="s">
        <v>5260</v>
      </c>
      <c r="M265" s="366"/>
      <c r="N265" s="366"/>
      <c r="O265" s="366"/>
      <c r="P265" s="366"/>
    </row>
    <row r="266" spans="1:16" ht="30" customHeight="1" x14ac:dyDescent="0.2">
      <c r="A266" s="2103">
        <v>160</v>
      </c>
      <c r="B266" s="2104" t="s">
        <v>23</v>
      </c>
      <c r="C266" s="2084"/>
      <c r="D266" s="2074">
        <v>55000000</v>
      </c>
      <c r="E266" s="2101">
        <v>0.05</v>
      </c>
      <c r="F266" s="2074">
        <f t="shared" si="27"/>
        <v>2750000</v>
      </c>
      <c r="G266" s="2074"/>
      <c r="H266" s="2074"/>
      <c r="I266" s="21"/>
      <c r="J266" s="2074">
        <f t="shared" si="31"/>
        <v>0</v>
      </c>
      <c r="K266" s="2074">
        <f t="shared" si="32"/>
        <v>2750000</v>
      </c>
      <c r="L266" s="2104"/>
      <c r="M266" s="366"/>
      <c r="N266" s="366"/>
      <c r="O266" s="366"/>
      <c r="P266" s="366"/>
    </row>
    <row r="267" spans="1:16" ht="30" customHeight="1" x14ac:dyDescent="0.2">
      <c r="A267" s="2103">
        <v>161</v>
      </c>
      <c r="B267" s="2106" t="s">
        <v>24</v>
      </c>
      <c r="C267" s="2105" t="s">
        <v>1306</v>
      </c>
      <c r="D267" s="2074">
        <v>20000000</v>
      </c>
      <c r="E267" s="2101">
        <v>4.4999999999999998E-2</v>
      </c>
      <c r="F267" s="2074">
        <f t="shared" si="27"/>
        <v>900000</v>
      </c>
      <c r="G267" s="2074">
        <v>900000</v>
      </c>
      <c r="H267" s="2074" t="s">
        <v>4596</v>
      </c>
      <c r="I267" s="21" t="s">
        <v>4601</v>
      </c>
      <c r="J267" s="2074">
        <f t="shared" si="31"/>
        <v>900000</v>
      </c>
      <c r="K267" s="2074">
        <f t="shared" si="32"/>
        <v>0</v>
      </c>
      <c r="L267" s="2104"/>
      <c r="M267" s="366"/>
      <c r="N267" s="366"/>
      <c r="O267" s="366"/>
      <c r="P267" s="366"/>
    </row>
    <row r="268" spans="1:16" ht="30" customHeight="1" x14ac:dyDescent="0.2">
      <c r="A268" s="2103">
        <v>162</v>
      </c>
      <c r="B268" s="2104" t="s">
        <v>25</v>
      </c>
      <c r="C268" s="2084" t="s">
        <v>1306</v>
      </c>
      <c r="D268" s="2074">
        <v>180000000</v>
      </c>
      <c r="E268" s="2101">
        <v>0.05</v>
      </c>
      <c r="F268" s="2074">
        <f t="shared" si="27"/>
        <v>9000000</v>
      </c>
      <c r="G268" s="2074">
        <v>9000000</v>
      </c>
      <c r="H268" s="2074" t="s">
        <v>4540</v>
      </c>
      <c r="I268" s="21" t="s">
        <v>4576</v>
      </c>
      <c r="J268" s="2074">
        <f t="shared" si="31"/>
        <v>9000000</v>
      </c>
      <c r="K268" s="2074">
        <f t="shared" si="32"/>
        <v>0</v>
      </c>
      <c r="L268" s="2104"/>
      <c r="M268" s="366"/>
      <c r="N268" s="366"/>
      <c r="O268" s="366"/>
      <c r="P268" s="366"/>
    </row>
    <row r="269" spans="1:16" ht="30" customHeight="1" x14ac:dyDescent="0.2">
      <c r="A269" s="7654">
        <v>163</v>
      </c>
      <c r="B269" s="7652" t="s">
        <v>828</v>
      </c>
      <c r="C269" s="7723" t="s">
        <v>1306</v>
      </c>
      <c r="D269" s="2074">
        <v>200000000</v>
      </c>
      <c r="E269" s="2101">
        <v>0.06</v>
      </c>
      <c r="F269" s="2074">
        <f t="shared" si="27"/>
        <v>12000000</v>
      </c>
      <c r="G269" s="2074">
        <v>10000000</v>
      </c>
      <c r="H269" s="2074" t="s">
        <v>2125</v>
      </c>
      <c r="I269" s="21" t="s">
        <v>3732</v>
      </c>
      <c r="J269" s="2074">
        <f t="shared" si="31"/>
        <v>10000000</v>
      </c>
      <c r="K269" s="2074">
        <f t="shared" si="32"/>
        <v>2000000</v>
      </c>
      <c r="L269" s="388" t="s">
        <v>4623</v>
      </c>
      <c r="M269" s="366"/>
      <c r="N269" s="366"/>
      <c r="O269" s="366"/>
      <c r="P269" s="366"/>
    </row>
    <row r="270" spans="1:16" ht="30" customHeight="1" x14ac:dyDescent="0.2">
      <c r="A270" s="7656"/>
      <c r="B270" s="7665"/>
      <c r="C270" s="7747"/>
      <c r="D270" s="2546">
        <v>50000000</v>
      </c>
      <c r="E270" s="2547">
        <v>7.0000000000000007E-2</v>
      </c>
      <c r="F270" s="2546">
        <f t="shared" si="27"/>
        <v>3500000.0000000005</v>
      </c>
      <c r="G270" s="2546">
        <v>7000000</v>
      </c>
      <c r="H270" s="2546" t="s">
        <v>4619</v>
      </c>
      <c r="I270" s="21" t="s">
        <v>3732</v>
      </c>
      <c r="J270" s="2546">
        <f t="shared" si="31"/>
        <v>7000000</v>
      </c>
      <c r="K270" s="2546">
        <f t="shared" si="32"/>
        <v>-3499999.9999999995</v>
      </c>
      <c r="L270" s="388" t="s">
        <v>4624</v>
      </c>
      <c r="M270" s="366"/>
      <c r="N270" s="366"/>
      <c r="O270" s="366"/>
      <c r="P270" s="366"/>
    </row>
    <row r="271" spans="1:16" ht="30" customHeight="1" x14ac:dyDescent="0.2">
      <c r="A271" s="7655"/>
      <c r="B271" s="7653"/>
      <c r="C271" s="7724"/>
      <c r="D271" s="2569">
        <v>100000000</v>
      </c>
      <c r="E271" s="2574">
        <v>7.0000000000000007E-2</v>
      </c>
      <c r="F271" s="2569">
        <f t="shared" si="27"/>
        <v>7000000.0000000009</v>
      </c>
      <c r="G271" s="2569"/>
      <c r="H271" s="2569"/>
      <c r="I271" s="21"/>
      <c r="J271" s="2569"/>
      <c r="K271" s="2569"/>
      <c r="L271" s="388" t="s">
        <v>4627</v>
      </c>
      <c r="M271" s="366"/>
      <c r="N271" s="366"/>
      <c r="O271" s="366"/>
      <c r="P271" s="366"/>
    </row>
    <row r="272" spans="1:16" ht="30" customHeight="1" x14ac:dyDescent="0.2">
      <c r="A272" s="2103">
        <v>164</v>
      </c>
      <c r="B272" s="2104" t="s">
        <v>26</v>
      </c>
      <c r="C272" s="2084"/>
      <c r="D272" s="2074">
        <v>50000000</v>
      </c>
      <c r="E272" s="2101">
        <v>0.05</v>
      </c>
      <c r="F272" s="2074">
        <f t="shared" si="27"/>
        <v>2500000</v>
      </c>
      <c r="G272" s="2074">
        <v>2500000</v>
      </c>
      <c r="H272" s="2074" t="s">
        <v>4540</v>
      </c>
      <c r="I272" s="21" t="s">
        <v>741</v>
      </c>
      <c r="J272" s="2074">
        <f t="shared" ref="J272:J280" si="33">G272</f>
        <v>2500000</v>
      </c>
      <c r="K272" s="2074">
        <f t="shared" si="32"/>
        <v>0</v>
      </c>
      <c r="L272" s="2104"/>
      <c r="M272" s="366"/>
      <c r="N272" s="366"/>
      <c r="O272" s="366"/>
      <c r="P272" s="366"/>
    </row>
    <row r="273" spans="1:16" ht="30" customHeight="1" x14ac:dyDescent="0.2">
      <c r="A273" s="2103">
        <v>165</v>
      </c>
      <c r="B273" s="2104" t="s">
        <v>27</v>
      </c>
      <c r="C273" s="2084" t="s">
        <v>681</v>
      </c>
      <c r="D273" s="2074">
        <v>20000000</v>
      </c>
      <c r="E273" s="2101">
        <v>0.04</v>
      </c>
      <c r="F273" s="2074">
        <f t="shared" si="27"/>
        <v>800000</v>
      </c>
      <c r="G273" s="2074">
        <v>800000</v>
      </c>
      <c r="H273" s="2074" t="s">
        <v>4596</v>
      </c>
      <c r="I273" s="21" t="s">
        <v>3740</v>
      </c>
      <c r="J273" s="2074">
        <f t="shared" si="33"/>
        <v>800000</v>
      </c>
      <c r="K273" s="2074">
        <f t="shared" si="32"/>
        <v>0</v>
      </c>
      <c r="L273" s="2104"/>
      <c r="M273" s="366"/>
      <c r="N273" s="366"/>
      <c r="O273" s="366"/>
      <c r="P273" s="366"/>
    </row>
    <row r="274" spans="1:16" ht="30" customHeight="1" x14ac:dyDescent="0.2">
      <c r="A274" s="2103">
        <v>166</v>
      </c>
      <c r="B274" s="2104" t="s">
        <v>28</v>
      </c>
      <c r="C274" s="2084" t="s">
        <v>551</v>
      </c>
      <c r="D274" s="2074">
        <v>100000000</v>
      </c>
      <c r="E274" s="2101">
        <v>0.05</v>
      </c>
      <c r="F274" s="2074">
        <f t="shared" si="27"/>
        <v>5000000</v>
      </c>
      <c r="G274" s="2074">
        <v>5000000</v>
      </c>
      <c r="H274" s="2074" t="s">
        <v>1017</v>
      </c>
      <c r="I274" s="26" t="s">
        <v>4123</v>
      </c>
      <c r="J274" s="2074">
        <f t="shared" si="33"/>
        <v>5000000</v>
      </c>
      <c r="K274" s="2074">
        <f t="shared" si="32"/>
        <v>0</v>
      </c>
      <c r="L274" s="2104"/>
      <c r="M274" s="366"/>
      <c r="N274" s="366"/>
      <c r="O274" s="366"/>
      <c r="P274" s="366"/>
    </row>
    <row r="275" spans="1:16" ht="30" customHeight="1" x14ac:dyDescent="0.2">
      <c r="A275" s="2103">
        <v>167</v>
      </c>
      <c r="B275" s="2104" t="s">
        <v>737</v>
      </c>
      <c r="C275" s="2084" t="s">
        <v>1306</v>
      </c>
      <c r="D275" s="2074">
        <v>50000000</v>
      </c>
      <c r="E275" s="2101">
        <v>0.05</v>
      </c>
      <c r="F275" s="2074">
        <f t="shared" si="27"/>
        <v>2500000</v>
      </c>
      <c r="G275" s="2074">
        <v>2500000</v>
      </c>
      <c r="H275" s="2074" t="s">
        <v>1017</v>
      </c>
      <c r="I275" s="21" t="s">
        <v>739</v>
      </c>
      <c r="J275" s="2074">
        <f t="shared" si="33"/>
        <v>2500000</v>
      </c>
      <c r="K275" s="2074">
        <f t="shared" si="32"/>
        <v>0</v>
      </c>
      <c r="L275" s="2104"/>
      <c r="M275" s="366"/>
      <c r="N275" s="366"/>
      <c r="O275" s="366"/>
      <c r="P275" s="366"/>
    </row>
    <row r="276" spans="1:16" ht="30" customHeight="1" x14ac:dyDescent="0.2">
      <c r="A276" s="2103">
        <v>168</v>
      </c>
      <c r="B276" s="2104" t="s">
        <v>818</v>
      </c>
      <c r="C276" s="2084" t="s">
        <v>1306</v>
      </c>
      <c r="D276" s="2074">
        <v>50000000</v>
      </c>
      <c r="E276" s="2101">
        <v>7.0000000000000007E-2</v>
      </c>
      <c r="F276" s="2074">
        <f t="shared" si="27"/>
        <v>3500000.0000000005</v>
      </c>
      <c r="G276" s="2074">
        <v>3500000</v>
      </c>
      <c r="H276" s="2074" t="s">
        <v>2125</v>
      </c>
      <c r="I276" s="21" t="s">
        <v>3085</v>
      </c>
      <c r="J276" s="2074">
        <f t="shared" si="33"/>
        <v>3500000</v>
      </c>
      <c r="K276" s="2074">
        <f t="shared" si="32"/>
        <v>0</v>
      </c>
      <c r="L276" s="2104"/>
      <c r="M276" s="366"/>
      <c r="N276" s="366"/>
      <c r="O276" s="366"/>
      <c r="P276" s="366"/>
    </row>
    <row r="277" spans="1:16" ht="30" customHeight="1" x14ac:dyDescent="0.2">
      <c r="A277" s="2139"/>
      <c r="B277" s="2106" t="s">
        <v>29</v>
      </c>
      <c r="C277" s="710"/>
      <c r="D277" s="2074">
        <v>20000000</v>
      </c>
      <c r="E277" s="2101">
        <v>0.05</v>
      </c>
      <c r="F277" s="2074">
        <f>D277*E277</f>
        <v>1000000</v>
      </c>
      <c r="G277" s="2074">
        <v>1000000</v>
      </c>
      <c r="H277" s="2074" t="s">
        <v>4596</v>
      </c>
      <c r="I277" s="2074" t="s">
        <v>848</v>
      </c>
      <c r="J277" s="2074">
        <f t="shared" si="33"/>
        <v>1000000</v>
      </c>
      <c r="K277" s="2074">
        <f t="shared" si="32"/>
        <v>0</v>
      </c>
      <c r="L277" s="7732"/>
      <c r="M277" s="7733"/>
      <c r="N277" s="7733"/>
      <c r="O277" s="7733"/>
      <c r="P277" s="7734"/>
    </row>
    <row r="278" spans="1:16" ht="30" customHeight="1" x14ac:dyDescent="0.2">
      <c r="A278" s="2103">
        <v>170</v>
      </c>
      <c r="B278" s="2104" t="s">
        <v>30</v>
      </c>
      <c r="C278" s="2084" t="s">
        <v>1107</v>
      </c>
      <c r="D278" s="2074">
        <v>70000000</v>
      </c>
      <c r="E278" s="2101">
        <v>0.05</v>
      </c>
      <c r="F278" s="2074">
        <f t="shared" si="27"/>
        <v>3500000</v>
      </c>
      <c r="G278" s="2074">
        <v>3500000</v>
      </c>
      <c r="H278" s="2074" t="s">
        <v>4596</v>
      </c>
      <c r="I278" s="21" t="s">
        <v>4138</v>
      </c>
      <c r="J278" s="2074">
        <f t="shared" si="33"/>
        <v>3500000</v>
      </c>
      <c r="K278" s="2074">
        <f>F278-J278</f>
        <v>0</v>
      </c>
      <c r="L278" s="2104"/>
      <c r="M278" s="366"/>
      <c r="N278" s="366"/>
      <c r="O278" s="366"/>
      <c r="P278" s="366"/>
    </row>
    <row r="279" spans="1:16" ht="30" customHeight="1" x14ac:dyDescent="0.2">
      <c r="A279" s="2103">
        <v>171</v>
      </c>
      <c r="B279" s="2104" t="s">
        <v>31</v>
      </c>
      <c r="C279" s="2084" t="s">
        <v>1293</v>
      </c>
      <c r="D279" s="2074">
        <v>10000000</v>
      </c>
      <c r="E279" s="2101">
        <v>0.04</v>
      </c>
      <c r="F279" s="2074">
        <f>D279*E279</f>
        <v>400000</v>
      </c>
      <c r="G279" s="2074">
        <v>400000</v>
      </c>
      <c r="H279" s="2074" t="s">
        <v>4361</v>
      </c>
      <c r="I279" s="21" t="s">
        <v>670</v>
      </c>
      <c r="J279" s="2074">
        <f t="shared" si="33"/>
        <v>400000</v>
      </c>
      <c r="K279" s="2074">
        <f>F279-J279</f>
        <v>0</v>
      </c>
      <c r="L279" s="2133"/>
    </row>
    <row r="280" spans="1:16" ht="30" customHeight="1" x14ac:dyDescent="0.2">
      <c r="A280" s="2063">
        <v>172</v>
      </c>
      <c r="B280" s="2106" t="s">
        <v>32</v>
      </c>
      <c r="C280" s="2643" t="s">
        <v>989</v>
      </c>
      <c r="D280" s="2074">
        <v>5000000</v>
      </c>
      <c r="E280" s="2101">
        <v>0.06</v>
      </c>
      <c r="F280" s="2074">
        <f t="shared" si="27"/>
        <v>300000</v>
      </c>
      <c r="G280" s="2074">
        <v>300000</v>
      </c>
      <c r="H280" s="2074" t="s">
        <v>4786</v>
      </c>
      <c r="I280" s="21" t="s">
        <v>632</v>
      </c>
      <c r="J280" s="2074">
        <f t="shared" si="33"/>
        <v>300000</v>
      </c>
      <c r="K280" s="2074">
        <f>F280-J280</f>
        <v>0</v>
      </c>
      <c r="L280" s="388" t="s">
        <v>3258</v>
      </c>
    </row>
    <row r="281" spans="1:16" ht="30" customHeight="1" x14ac:dyDescent="0.2">
      <c r="A281" s="7654">
        <v>173</v>
      </c>
      <c r="B281" s="7652" t="s">
        <v>33</v>
      </c>
      <c r="C281" s="7723" t="s">
        <v>1306</v>
      </c>
      <c r="D281" s="2074">
        <v>40000000</v>
      </c>
      <c r="E281" s="2101">
        <v>0.05</v>
      </c>
      <c r="F281" s="2074">
        <f t="shared" si="27"/>
        <v>2000000</v>
      </c>
      <c r="G281" s="2074">
        <v>2000000</v>
      </c>
      <c r="H281" s="2074" t="s">
        <v>4596</v>
      </c>
      <c r="I281" s="21" t="s">
        <v>838</v>
      </c>
      <c r="J281" s="2074">
        <f>G281</f>
        <v>2000000</v>
      </c>
      <c r="K281" s="2074">
        <f>F281-J281</f>
        <v>0</v>
      </c>
      <c r="L281" s="2104"/>
    </row>
    <row r="282" spans="1:16" ht="30" customHeight="1" x14ac:dyDescent="0.2">
      <c r="A282" s="7655"/>
      <c r="B282" s="7653"/>
      <c r="C282" s="7724"/>
      <c r="D282" s="3386">
        <v>10000000</v>
      </c>
      <c r="E282" s="3402">
        <v>0.05</v>
      </c>
      <c r="F282" s="3386">
        <f t="shared" si="27"/>
        <v>500000</v>
      </c>
      <c r="G282" s="3386"/>
      <c r="H282" s="3386"/>
      <c r="I282" s="3422"/>
      <c r="J282" s="3385"/>
      <c r="K282" s="3385"/>
      <c r="L282" s="1661" t="s">
        <v>5263</v>
      </c>
    </row>
    <row r="283" spans="1:16" ht="30" customHeight="1" x14ac:dyDescent="0.2">
      <c r="A283" s="7879"/>
      <c r="B283" s="7717" t="s">
        <v>4266</v>
      </c>
      <c r="C283" s="7873" t="s">
        <v>1287</v>
      </c>
      <c r="D283" s="7482">
        <v>5730000000</v>
      </c>
      <c r="E283" s="7870">
        <v>0.08</v>
      </c>
      <c r="F283" s="7482">
        <f>D283*E283</f>
        <v>458400000</v>
      </c>
      <c r="G283" s="2074"/>
      <c r="H283" s="2074"/>
      <c r="I283" s="21"/>
      <c r="J283" s="7563"/>
      <c r="K283" s="7563"/>
      <c r="L283" s="1661" t="s">
        <v>2324</v>
      </c>
    </row>
    <row r="284" spans="1:16" ht="30" customHeight="1" x14ac:dyDescent="0.2">
      <c r="A284" s="7879"/>
      <c r="B284" s="7717"/>
      <c r="C284" s="7873"/>
      <c r="D284" s="7482"/>
      <c r="E284" s="7870"/>
      <c r="F284" s="7482"/>
      <c r="G284" s="233"/>
      <c r="H284" s="233"/>
      <c r="I284" s="233"/>
      <c r="J284" s="7586"/>
      <c r="K284" s="7586"/>
      <c r="L284" s="1661" t="s">
        <v>4728</v>
      </c>
    </row>
    <row r="285" spans="1:16" ht="30" customHeight="1" x14ac:dyDescent="0.2">
      <c r="A285" s="7879"/>
      <c r="B285" s="7717"/>
      <c r="C285" s="7873"/>
      <c r="D285" s="7482"/>
      <c r="E285" s="7870"/>
      <c r="F285" s="7482"/>
      <c r="G285" s="233"/>
      <c r="H285" s="233"/>
      <c r="I285" s="233"/>
      <c r="J285" s="7586"/>
      <c r="K285" s="7586"/>
      <c r="L285" s="388" t="s">
        <v>4729</v>
      </c>
    </row>
    <row r="286" spans="1:16" ht="30" customHeight="1" x14ac:dyDescent="0.2">
      <c r="A286" s="7879"/>
      <c r="B286" s="7717"/>
      <c r="C286" s="7873"/>
      <c r="D286" s="7482"/>
      <c r="E286" s="7870"/>
      <c r="F286" s="7482"/>
      <c r="G286" s="233"/>
      <c r="H286" s="233"/>
      <c r="I286" s="233"/>
      <c r="J286" s="7586"/>
      <c r="K286" s="7586"/>
      <c r="L286" s="388" t="s">
        <v>4730</v>
      </c>
    </row>
    <row r="287" spans="1:16" ht="30" customHeight="1" x14ac:dyDescent="0.2">
      <c r="A287" s="7879"/>
      <c r="B287" s="7717"/>
      <c r="C287" s="7873"/>
      <c r="D287" s="7482"/>
      <c r="E287" s="7870"/>
      <c r="F287" s="7482"/>
      <c r="G287" s="233"/>
      <c r="H287" s="233"/>
      <c r="I287" s="233"/>
      <c r="J287" s="7564"/>
      <c r="K287" s="7564"/>
      <c r="L287" s="2725"/>
    </row>
    <row r="288" spans="1:16" ht="30" customHeight="1" x14ac:dyDescent="0.2">
      <c r="A288" s="2103">
        <v>175</v>
      </c>
      <c r="B288" s="2104" t="s">
        <v>36</v>
      </c>
      <c r="C288" s="2084" t="s">
        <v>1306</v>
      </c>
      <c r="D288" s="2074">
        <v>200000000</v>
      </c>
      <c r="E288" s="2077">
        <v>0.05</v>
      </c>
      <c r="F288" s="2074">
        <f t="shared" si="27"/>
        <v>10000000</v>
      </c>
      <c r="G288" s="7954" t="s">
        <v>4675</v>
      </c>
      <c r="H288" s="7955"/>
      <c r="I288" s="7955"/>
      <c r="J288" s="7956"/>
      <c r="K288" s="2074">
        <f t="shared" ref="K288:K293" si="34">F288-J288</f>
        <v>10000000</v>
      </c>
      <c r="L288" s="2104"/>
    </row>
    <row r="289" spans="1:12" ht="30" customHeight="1" x14ac:dyDescent="0.2">
      <c r="A289" s="2103">
        <v>176</v>
      </c>
      <c r="B289" s="2104" t="s">
        <v>37</v>
      </c>
      <c r="C289" s="2084" t="s">
        <v>1107</v>
      </c>
      <c r="D289" s="2074">
        <v>150000000</v>
      </c>
      <c r="E289" s="2101">
        <v>7.0000000000000007E-2</v>
      </c>
      <c r="F289" s="2074">
        <f t="shared" si="27"/>
        <v>10500000.000000002</v>
      </c>
      <c r="G289" s="2074">
        <v>10500000</v>
      </c>
      <c r="H289" s="2074" t="s">
        <v>4596</v>
      </c>
      <c r="I289" s="21" t="s">
        <v>3223</v>
      </c>
      <c r="J289" s="2074">
        <f t="shared" ref="J289:J295" si="35">G289</f>
        <v>10500000</v>
      </c>
      <c r="K289" s="2074">
        <f t="shared" si="34"/>
        <v>0</v>
      </c>
      <c r="L289" s="2104"/>
    </row>
    <row r="290" spans="1:12" ht="30" customHeight="1" x14ac:dyDescent="0.2">
      <c r="A290" s="2103">
        <v>177</v>
      </c>
      <c r="B290" s="2104" t="s">
        <v>38</v>
      </c>
      <c r="C290" s="2084" t="s">
        <v>1299</v>
      </c>
      <c r="D290" s="2074">
        <v>25000000</v>
      </c>
      <c r="E290" s="2101">
        <v>0.04</v>
      </c>
      <c r="F290" s="2074">
        <f t="shared" si="27"/>
        <v>1000000</v>
      </c>
      <c r="G290" s="2074">
        <v>1000000</v>
      </c>
      <c r="H290" s="2074" t="s">
        <v>1017</v>
      </c>
      <c r="I290" s="18" t="s">
        <v>746</v>
      </c>
      <c r="J290" s="2074">
        <f t="shared" si="35"/>
        <v>1000000</v>
      </c>
      <c r="K290" s="2074">
        <f t="shared" si="34"/>
        <v>0</v>
      </c>
      <c r="L290" s="2104"/>
    </row>
    <row r="291" spans="1:12" ht="30" customHeight="1" x14ac:dyDescent="0.2">
      <c r="A291" s="2103">
        <v>178</v>
      </c>
      <c r="B291" s="2104" t="s">
        <v>39</v>
      </c>
      <c r="C291" s="2084" t="s">
        <v>1299</v>
      </c>
      <c r="D291" s="2074">
        <v>90000000</v>
      </c>
      <c r="E291" s="2101">
        <v>4.4999999999999998E-2</v>
      </c>
      <c r="F291" s="2074">
        <v>4000000</v>
      </c>
      <c r="G291" s="2074">
        <v>4000000</v>
      </c>
      <c r="H291" s="2074" t="s">
        <v>3003</v>
      </c>
      <c r="I291" s="21" t="s">
        <v>2164</v>
      </c>
      <c r="J291" s="2074">
        <f t="shared" si="35"/>
        <v>4000000</v>
      </c>
      <c r="K291" s="2074">
        <f t="shared" si="34"/>
        <v>0</v>
      </c>
      <c r="L291" s="2104"/>
    </row>
    <row r="292" spans="1:12" ht="30" customHeight="1" x14ac:dyDescent="0.2">
      <c r="A292" s="2138">
        <v>179</v>
      </c>
      <c r="B292" s="2106" t="s">
        <v>40</v>
      </c>
      <c r="C292" s="2083"/>
      <c r="D292" s="2073">
        <v>320000000</v>
      </c>
      <c r="E292" s="2075">
        <v>0.05</v>
      </c>
      <c r="F292" s="2073">
        <f t="shared" si="27"/>
        <v>16000000</v>
      </c>
      <c r="G292" s="2074">
        <v>16000000</v>
      </c>
      <c r="H292" s="2074" t="s">
        <v>3003</v>
      </c>
      <c r="I292" s="21" t="s">
        <v>1090</v>
      </c>
      <c r="J292" s="2073">
        <f t="shared" si="35"/>
        <v>16000000</v>
      </c>
      <c r="K292" s="2073">
        <f t="shared" si="34"/>
        <v>0</v>
      </c>
      <c r="L292" s="2085"/>
    </row>
    <row r="293" spans="1:12" ht="30" customHeight="1" x14ac:dyDescent="0.2">
      <c r="A293" s="2063">
        <v>180</v>
      </c>
      <c r="B293" s="19" t="s">
        <v>41</v>
      </c>
      <c r="C293" s="48" t="s">
        <v>2403</v>
      </c>
      <c r="D293" s="2062">
        <v>300000000</v>
      </c>
      <c r="E293" s="2101">
        <v>5.7000000000000002E-2</v>
      </c>
      <c r="F293" s="2062">
        <v>17000000</v>
      </c>
      <c r="G293" s="2062">
        <v>17000000</v>
      </c>
      <c r="H293" s="2062" t="s">
        <v>2125</v>
      </c>
      <c r="I293" s="2108" t="s">
        <v>2260</v>
      </c>
      <c r="J293" s="2062">
        <f t="shared" si="35"/>
        <v>17000000</v>
      </c>
      <c r="K293" s="2062">
        <f t="shared" si="34"/>
        <v>0</v>
      </c>
      <c r="L293" s="2121"/>
    </row>
    <row r="294" spans="1:12" ht="30" customHeight="1" x14ac:dyDescent="0.2">
      <c r="A294" s="2103">
        <v>181</v>
      </c>
      <c r="B294" s="2068" t="s">
        <v>42</v>
      </c>
      <c r="C294" s="2084" t="s">
        <v>989</v>
      </c>
      <c r="D294" s="2074">
        <v>50000000</v>
      </c>
      <c r="E294" s="2077">
        <v>0.05</v>
      </c>
      <c r="F294" s="2074">
        <f t="shared" si="27"/>
        <v>2500000</v>
      </c>
      <c r="G294" s="2074">
        <v>2500000</v>
      </c>
      <c r="H294" s="2074" t="s">
        <v>4619</v>
      </c>
      <c r="I294" s="21" t="s">
        <v>1076</v>
      </c>
      <c r="J294" s="2074">
        <f t="shared" si="35"/>
        <v>2500000</v>
      </c>
      <c r="K294" s="2074">
        <f>F294-J294</f>
        <v>0</v>
      </c>
      <c r="L294" s="2068"/>
    </row>
    <row r="295" spans="1:12" ht="30" customHeight="1" x14ac:dyDescent="0.2">
      <c r="A295" s="7656"/>
      <c r="B295" s="7652" t="s">
        <v>43</v>
      </c>
      <c r="C295" s="7723" t="s">
        <v>989</v>
      </c>
      <c r="D295" s="7563">
        <v>125000000</v>
      </c>
      <c r="E295" s="7659">
        <v>0.05</v>
      </c>
      <c r="F295" s="7563">
        <f>D295*E295</f>
        <v>6250000</v>
      </c>
      <c r="G295" s="7563">
        <v>6250000</v>
      </c>
      <c r="H295" s="7563" t="s">
        <v>3865</v>
      </c>
      <c r="I295" s="7563" t="s">
        <v>3716</v>
      </c>
      <c r="J295" s="7563">
        <f t="shared" si="35"/>
        <v>6250000</v>
      </c>
      <c r="K295" s="7563">
        <f>F295-J295</f>
        <v>0</v>
      </c>
      <c r="L295" s="388" t="s">
        <v>2765</v>
      </c>
    </row>
    <row r="296" spans="1:12" ht="30" customHeight="1" x14ac:dyDescent="0.2">
      <c r="A296" s="7655"/>
      <c r="B296" s="7653"/>
      <c r="C296" s="7724"/>
      <c r="D296" s="7564"/>
      <c r="E296" s="7660"/>
      <c r="F296" s="7564"/>
      <c r="G296" s="7564"/>
      <c r="H296" s="7564"/>
      <c r="I296" s="7564"/>
      <c r="J296" s="7564"/>
      <c r="K296" s="7564"/>
      <c r="L296" s="388" t="s">
        <v>3167</v>
      </c>
    </row>
    <row r="297" spans="1:12" ht="30" customHeight="1" x14ac:dyDescent="0.2">
      <c r="A297" s="7654">
        <v>183</v>
      </c>
      <c r="B297" s="7652" t="s">
        <v>4148</v>
      </c>
      <c r="C297" s="7723" t="s">
        <v>1100</v>
      </c>
      <c r="D297" s="7563">
        <v>100000000</v>
      </c>
      <c r="E297" s="7659">
        <v>0.05</v>
      </c>
      <c r="F297" s="7563">
        <f t="shared" si="27"/>
        <v>5000000</v>
      </c>
      <c r="G297" s="2074">
        <v>2000000</v>
      </c>
      <c r="H297" s="2074" t="s">
        <v>4462</v>
      </c>
      <c r="I297" s="21" t="s">
        <v>4467</v>
      </c>
      <c r="J297" s="2074">
        <f t="shared" ref="J297:J304" si="36">G297</f>
        <v>2000000</v>
      </c>
      <c r="K297" s="2074">
        <f t="shared" ref="K297:K302" si="37">F297-J297</f>
        <v>3000000</v>
      </c>
      <c r="L297" s="2013"/>
    </row>
    <row r="298" spans="1:12" ht="30" customHeight="1" x14ac:dyDescent="0.2">
      <c r="A298" s="7655"/>
      <c r="B298" s="7653"/>
      <c r="C298" s="7724"/>
      <c r="D298" s="7564"/>
      <c r="E298" s="7660"/>
      <c r="F298" s="7564"/>
      <c r="G298" s="2762">
        <v>3000000</v>
      </c>
      <c r="H298" s="2762" t="s">
        <v>4769</v>
      </c>
      <c r="I298" s="21" t="s">
        <v>4774</v>
      </c>
      <c r="J298" s="2762">
        <f t="shared" si="36"/>
        <v>3000000</v>
      </c>
      <c r="K298" s="2762"/>
      <c r="L298" s="2013"/>
    </row>
    <row r="299" spans="1:12" ht="30" customHeight="1" x14ac:dyDescent="0.2">
      <c r="A299" s="2103">
        <v>184</v>
      </c>
      <c r="B299" s="2104" t="s">
        <v>45</v>
      </c>
      <c r="C299" s="2084" t="s">
        <v>989</v>
      </c>
      <c r="D299" s="2074">
        <v>20000000</v>
      </c>
      <c r="E299" s="2101">
        <v>0.05</v>
      </c>
      <c r="F299" s="2074">
        <f t="shared" si="27"/>
        <v>1000000</v>
      </c>
      <c r="G299" s="2074">
        <v>1000000</v>
      </c>
      <c r="H299" s="2074" t="s">
        <v>4619</v>
      </c>
      <c r="I299" s="21" t="s">
        <v>1094</v>
      </c>
      <c r="J299" s="2074">
        <f t="shared" si="36"/>
        <v>1000000</v>
      </c>
      <c r="K299" s="2074">
        <f t="shared" si="37"/>
        <v>0</v>
      </c>
      <c r="L299" s="2104"/>
    </row>
    <row r="300" spans="1:12" ht="30" customHeight="1" x14ac:dyDescent="0.2">
      <c r="A300" s="2103">
        <v>186</v>
      </c>
      <c r="B300" s="2104" t="s">
        <v>47</v>
      </c>
      <c r="C300" s="2084"/>
      <c r="D300" s="2074">
        <v>8000000</v>
      </c>
      <c r="E300" s="2101">
        <v>0.04</v>
      </c>
      <c r="F300" s="2074">
        <f t="shared" si="27"/>
        <v>320000</v>
      </c>
      <c r="G300" s="2074">
        <v>320000</v>
      </c>
      <c r="H300" s="2074" t="s">
        <v>4596</v>
      </c>
      <c r="I300" s="21" t="s">
        <v>4599</v>
      </c>
      <c r="J300" s="2074">
        <f t="shared" si="36"/>
        <v>320000</v>
      </c>
      <c r="K300" s="2074">
        <f t="shared" si="37"/>
        <v>0</v>
      </c>
      <c r="L300" s="2104"/>
    </row>
    <row r="301" spans="1:12" ht="30" customHeight="1" x14ac:dyDescent="0.2">
      <c r="A301" s="2063">
        <v>187</v>
      </c>
      <c r="B301" s="2104" t="s">
        <v>2470</v>
      </c>
      <c r="C301" s="2105" t="s">
        <v>1138</v>
      </c>
      <c r="D301" s="2062">
        <v>200000000</v>
      </c>
      <c r="E301" s="2101">
        <v>0.05</v>
      </c>
      <c r="F301" s="2062">
        <f t="shared" si="27"/>
        <v>10000000</v>
      </c>
      <c r="G301" s="2074">
        <v>10000000</v>
      </c>
      <c r="H301" s="2074" t="s">
        <v>4402</v>
      </c>
      <c r="I301" s="21" t="s">
        <v>3331</v>
      </c>
      <c r="J301" s="2074">
        <f t="shared" si="36"/>
        <v>10000000</v>
      </c>
      <c r="K301" s="2074">
        <f t="shared" si="37"/>
        <v>0</v>
      </c>
      <c r="L301" s="2133" t="s">
        <v>4404</v>
      </c>
    </row>
    <row r="302" spans="1:12" ht="30" customHeight="1" x14ac:dyDescent="0.2">
      <c r="A302" s="2103">
        <v>188</v>
      </c>
      <c r="B302" s="2068" t="s">
        <v>49</v>
      </c>
      <c r="C302" s="2084"/>
      <c r="D302" s="2074">
        <v>200000000</v>
      </c>
      <c r="E302" s="2077">
        <v>0.05</v>
      </c>
      <c r="F302" s="2074">
        <f t="shared" si="27"/>
        <v>10000000</v>
      </c>
      <c r="G302" s="7954" t="s">
        <v>5249</v>
      </c>
      <c r="H302" s="7955"/>
      <c r="I302" s="7955"/>
      <c r="J302" s="7956"/>
      <c r="K302" s="2074">
        <f t="shared" si="37"/>
        <v>10000000</v>
      </c>
      <c r="L302" s="2104"/>
    </row>
    <row r="303" spans="1:12" ht="30" customHeight="1" x14ac:dyDescent="0.2">
      <c r="A303" s="2103">
        <v>189</v>
      </c>
      <c r="B303" s="2104" t="s">
        <v>50</v>
      </c>
      <c r="C303" s="2084" t="s">
        <v>681</v>
      </c>
      <c r="D303" s="2074">
        <v>15000000</v>
      </c>
      <c r="E303" s="2101">
        <v>0.05</v>
      </c>
      <c r="F303" s="2074">
        <f t="shared" si="27"/>
        <v>750000</v>
      </c>
      <c r="G303" s="2074">
        <v>15000000</v>
      </c>
      <c r="H303" s="2074" t="s">
        <v>4331</v>
      </c>
      <c r="I303" s="21" t="s">
        <v>834</v>
      </c>
      <c r="J303" s="2074">
        <f t="shared" si="36"/>
        <v>15000000</v>
      </c>
      <c r="K303" s="2074"/>
      <c r="L303" s="388" t="s">
        <v>4357</v>
      </c>
    </row>
    <row r="304" spans="1:12" ht="30" customHeight="1" x14ac:dyDescent="0.2">
      <c r="A304" s="7654">
        <v>190</v>
      </c>
      <c r="B304" s="7652" t="s">
        <v>51</v>
      </c>
      <c r="C304" s="2084" t="s">
        <v>1100</v>
      </c>
      <c r="D304" s="2074">
        <v>80000000</v>
      </c>
      <c r="E304" s="2101">
        <v>0.05</v>
      </c>
      <c r="F304" s="2074">
        <f t="shared" si="27"/>
        <v>4000000</v>
      </c>
      <c r="G304" s="7563">
        <v>14000000</v>
      </c>
      <c r="H304" s="7563" t="s">
        <v>4769</v>
      </c>
      <c r="I304" s="7561" t="s">
        <v>2967</v>
      </c>
      <c r="J304" s="7563">
        <f t="shared" si="36"/>
        <v>14000000</v>
      </c>
      <c r="K304" s="7563">
        <f>(F304+F305)-J304</f>
        <v>0</v>
      </c>
      <c r="L304" s="7703"/>
    </row>
    <row r="305" spans="1:16" ht="30" customHeight="1" x14ac:dyDescent="0.2">
      <c r="A305" s="7656"/>
      <c r="B305" s="7665"/>
      <c r="C305" s="2084" t="s">
        <v>1100</v>
      </c>
      <c r="D305" s="2074">
        <v>200000000</v>
      </c>
      <c r="E305" s="2101">
        <v>0.05</v>
      </c>
      <c r="F305" s="2074">
        <f t="shared" si="27"/>
        <v>10000000</v>
      </c>
      <c r="G305" s="7564"/>
      <c r="H305" s="7564"/>
      <c r="I305" s="7562"/>
      <c r="J305" s="7564"/>
      <c r="K305" s="7564"/>
      <c r="L305" s="7705"/>
    </row>
    <row r="306" spans="1:16" ht="30" customHeight="1" x14ac:dyDescent="0.2">
      <c r="A306" s="7655"/>
      <c r="B306" s="7653"/>
      <c r="C306" s="2092" t="s">
        <v>262</v>
      </c>
      <c r="D306" s="2078">
        <v>220000000</v>
      </c>
      <c r="E306" s="2075">
        <v>0.05</v>
      </c>
      <c r="F306" s="2078">
        <f t="shared" si="27"/>
        <v>11000000</v>
      </c>
      <c r="G306" s="2074">
        <v>11000000</v>
      </c>
      <c r="H306" s="2074" t="s">
        <v>4449</v>
      </c>
      <c r="I306" s="21" t="s">
        <v>2967</v>
      </c>
      <c r="J306" s="2078">
        <f>G306</f>
        <v>11000000</v>
      </c>
      <c r="K306" s="2078">
        <f>F306-J306</f>
        <v>0</v>
      </c>
      <c r="L306" s="2097"/>
    </row>
    <row r="307" spans="1:16" ht="30" customHeight="1" x14ac:dyDescent="0.2">
      <c r="A307" s="7654">
        <v>191</v>
      </c>
      <c r="B307" s="7652" t="s">
        <v>52</v>
      </c>
      <c r="C307" s="7723" t="s">
        <v>262</v>
      </c>
      <c r="D307" s="7563">
        <v>700000000</v>
      </c>
      <c r="E307" s="7659">
        <v>7.6999999999999999E-2</v>
      </c>
      <c r="F307" s="7563">
        <v>54000000</v>
      </c>
      <c r="G307" s="2074"/>
      <c r="H307" s="2074"/>
      <c r="I307" s="21" t="s">
        <v>678</v>
      </c>
      <c r="J307" s="7563">
        <f>G307+G308</f>
        <v>0</v>
      </c>
      <c r="K307" s="7563">
        <f>F307-J307</f>
        <v>54000000</v>
      </c>
      <c r="L307" s="2109"/>
    </row>
    <row r="308" spans="1:16" ht="30" customHeight="1" x14ac:dyDescent="0.2">
      <c r="A308" s="7655"/>
      <c r="B308" s="7653"/>
      <c r="C308" s="7724"/>
      <c r="D308" s="7564"/>
      <c r="E308" s="7660"/>
      <c r="F308" s="7564"/>
      <c r="G308" s="2074"/>
      <c r="H308" s="2074"/>
      <c r="I308" s="21" t="s">
        <v>678</v>
      </c>
      <c r="J308" s="7564"/>
      <c r="K308" s="7564"/>
      <c r="L308" s="2111"/>
    </row>
    <row r="309" spans="1:16" ht="30" customHeight="1" x14ac:dyDescent="0.2">
      <c r="A309" s="7795">
        <v>192</v>
      </c>
      <c r="B309" s="8179" t="s">
        <v>53</v>
      </c>
      <c r="C309" s="2619" t="s">
        <v>1287</v>
      </c>
      <c r="D309" s="3121">
        <v>1400000000</v>
      </c>
      <c r="E309" s="435">
        <v>7.0000000000000007E-2</v>
      </c>
      <c r="F309" s="3121">
        <f>D309*E309</f>
        <v>98000000.000000015</v>
      </c>
      <c r="G309" s="3121">
        <v>38000000</v>
      </c>
      <c r="H309" s="7559" t="s">
        <v>3865</v>
      </c>
      <c r="I309" s="7559" t="s">
        <v>861</v>
      </c>
      <c r="J309" s="3130">
        <f>G309</f>
        <v>38000000</v>
      </c>
      <c r="K309" s="3130">
        <f>38000000-G309</f>
        <v>0</v>
      </c>
      <c r="L309" s="3154" t="s">
        <v>1992</v>
      </c>
    </row>
    <row r="310" spans="1:16" ht="30" customHeight="1" x14ac:dyDescent="0.2">
      <c r="A310" s="7958"/>
      <c r="B310" s="8179"/>
      <c r="C310" s="8170" t="s">
        <v>5046</v>
      </c>
      <c r="D310" s="8171"/>
      <c r="E310" s="8171"/>
      <c r="F310" s="8172"/>
      <c r="G310" s="3121">
        <v>62000000</v>
      </c>
      <c r="H310" s="7560"/>
      <c r="I310" s="7560"/>
      <c r="J310" s="7570">
        <f>G310+G311+G312+G313</f>
        <v>171000000</v>
      </c>
      <c r="K310" s="7570">
        <v>0</v>
      </c>
      <c r="L310" s="3153" t="s">
        <v>2287</v>
      </c>
    </row>
    <row r="311" spans="1:16" ht="30" customHeight="1" x14ac:dyDescent="0.2">
      <c r="A311" s="7958"/>
      <c r="B311" s="8179"/>
      <c r="C311" s="8173"/>
      <c r="D311" s="8174"/>
      <c r="E311" s="8174"/>
      <c r="F311" s="8175"/>
      <c r="G311" s="3121">
        <v>71000000</v>
      </c>
      <c r="H311" s="7559" t="s">
        <v>4475</v>
      </c>
      <c r="I311" s="7559" t="s">
        <v>861</v>
      </c>
      <c r="J311" s="7570"/>
      <c r="K311" s="7570"/>
      <c r="L311" s="3153"/>
    </row>
    <row r="312" spans="1:16" ht="30" customHeight="1" x14ac:dyDescent="0.2">
      <c r="A312" s="7958"/>
      <c r="B312" s="8179"/>
      <c r="C312" s="8173"/>
      <c r="D312" s="8174"/>
      <c r="E312" s="8174"/>
      <c r="F312" s="8175"/>
      <c r="G312" s="3121">
        <v>29000000</v>
      </c>
      <c r="H312" s="7560"/>
      <c r="I312" s="7560"/>
      <c r="J312" s="7570"/>
      <c r="K312" s="7570"/>
      <c r="L312" s="3153"/>
    </row>
    <row r="313" spans="1:16" ht="30" customHeight="1" x14ac:dyDescent="0.2">
      <c r="A313" s="7958"/>
      <c r="B313" s="8179"/>
      <c r="C313" s="8176"/>
      <c r="D313" s="8177"/>
      <c r="E313" s="8177"/>
      <c r="F313" s="8178"/>
      <c r="G313" s="3121">
        <v>9000000</v>
      </c>
      <c r="H313" s="3121" t="s">
        <v>3003</v>
      </c>
      <c r="I313" s="3121" t="s">
        <v>4553</v>
      </c>
      <c r="J313" s="7570"/>
      <c r="K313" s="7570"/>
      <c r="L313" s="3153"/>
    </row>
    <row r="314" spans="1:16" ht="30" customHeight="1" x14ac:dyDescent="0.2">
      <c r="A314" s="2103">
        <v>193</v>
      </c>
      <c r="B314" s="2476" t="s">
        <v>54</v>
      </c>
      <c r="C314" s="2084" t="s">
        <v>1306</v>
      </c>
      <c r="D314" s="2074">
        <v>45000000</v>
      </c>
      <c r="E314" s="2477">
        <v>0.04</v>
      </c>
      <c r="F314" s="2074">
        <f t="shared" ref="F314:F404" si="38">D314*E314</f>
        <v>1800000</v>
      </c>
      <c r="G314" s="2074">
        <v>1800000</v>
      </c>
      <c r="H314" s="2074" t="s">
        <v>4619</v>
      </c>
      <c r="I314" s="2062" t="s">
        <v>4136</v>
      </c>
      <c r="J314" s="2074">
        <f t="shared" ref="J314:J328" si="39">G314</f>
        <v>1800000</v>
      </c>
      <c r="K314" s="2074">
        <f t="shared" ref="K314:K327" si="40">F314-J314</f>
        <v>0</v>
      </c>
      <c r="L314" s="2104"/>
    </row>
    <row r="315" spans="1:16" ht="30" customHeight="1" x14ac:dyDescent="0.2">
      <c r="A315" s="2063">
        <v>194</v>
      </c>
      <c r="B315" s="19" t="s">
        <v>55</v>
      </c>
      <c r="C315" s="378"/>
      <c r="D315" s="3041">
        <v>130000000</v>
      </c>
      <c r="E315" s="1027">
        <v>0.05</v>
      </c>
      <c r="F315" s="3041">
        <f t="shared" si="38"/>
        <v>6500000</v>
      </c>
      <c r="G315" s="2062">
        <v>6500000</v>
      </c>
      <c r="H315" s="2062" t="s">
        <v>4619</v>
      </c>
      <c r="I315" s="2108" t="s">
        <v>4619</v>
      </c>
      <c r="J315" s="2062">
        <f t="shared" si="39"/>
        <v>6500000</v>
      </c>
      <c r="K315" s="2088">
        <f t="shared" si="40"/>
        <v>0</v>
      </c>
      <c r="L315" s="2085"/>
    </row>
    <row r="316" spans="1:16" ht="30" customHeight="1" x14ac:dyDescent="0.2">
      <c r="A316" s="2103">
        <v>195</v>
      </c>
      <c r="B316" s="2068" t="s">
        <v>56</v>
      </c>
      <c r="C316" s="2084" t="s">
        <v>990</v>
      </c>
      <c r="D316" s="2074">
        <v>10000000</v>
      </c>
      <c r="E316" s="2077">
        <v>0.05</v>
      </c>
      <c r="F316" s="2074">
        <f t="shared" si="38"/>
        <v>500000</v>
      </c>
      <c r="G316" s="2074">
        <v>500000</v>
      </c>
      <c r="H316" s="2074" t="s">
        <v>4761</v>
      </c>
      <c r="I316" s="21" t="s">
        <v>1121</v>
      </c>
      <c r="J316" s="2074">
        <f t="shared" si="39"/>
        <v>500000</v>
      </c>
      <c r="K316" s="2074">
        <f t="shared" si="40"/>
        <v>0</v>
      </c>
      <c r="L316" s="2104"/>
    </row>
    <row r="317" spans="1:16" ht="30" customHeight="1" x14ac:dyDescent="0.2">
      <c r="A317" s="7654">
        <v>196</v>
      </c>
      <c r="B317" s="7652" t="s">
        <v>57</v>
      </c>
      <c r="C317" s="7723" t="s">
        <v>1107</v>
      </c>
      <c r="D317" s="2074">
        <v>20000000</v>
      </c>
      <c r="E317" s="2101">
        <v>0.04</v>
      </c>
      <c r="F317" s="2074">
        <f t="shared" si="38"/>
        <v>800000</v>
      </c>
      <c r="G317" s="7563">
        <v>2300000</v>
      </c>
      <c r="H317" s="7563" t="s">
        <v>4619</v>
      </c>
      <c r="I317" s="7561" t="s">
        <v>3761</v>
      </c>
      <c r="J317" s="7563">
        <f t="shared" si="39"/>
        <v>2300000</v>
      </c>
      <c r="K317" s="7563">
        <f>(F317+F318)-J317</f>
        <v>0</v>
      </c>
      <c r="L317" s="8072" t="s">
        <v>3763</v>
      </c>
    </row>
    <row r="318" spans="1:16" ht="30" customHeight="1" x14ac:dyDescent="0.2">
      <c r="A318" s="7656"/>
      <c r="B318" s="7665"/>
      <c r="C318" s="7724"/>
      <c r="D318" s="2074">
        <v>30000000</v>
      </c>
      <c r="E318" s="2101">
        <v>0.05</v>
      </c>
      <c r="F318" s="2074">
        <f t="shared" si="38"/>
        <v>1500000</v>
      </c>
      <c r="G318" s="7564"/>
      <c r="H318" s="7564"/>
      <c r="I318" s="7562"/>
      <c r="J318" s="7564"/>
      <c r="K318" s="7564"/>
      <c r="L318" s="8072"/>
    </row>
    <row r="319" spans="1:16" ht="30" customHeight="1" x14ac:dyDescent="0.2">
      <c r="A319" s="2467">
        <v>197</v>
      </c>
      <c r="B319" s="19" t="s">
        <v>4151</v>
      </c>
      <c r="C319" s="2471" t="s">
        <v>1134</v>
      </c>
      <c r="D319" s="2464">
        <v>100000000</v>
      </c>
      <c r="E319" s="2470">
        <v>0.05</v>
      </c>
      <c r="F319" s="2464">
        <f t="shared" ref="F319" si="41">D319*E319</f>
        <v>5000000</v>
      </c>
      <c r="G319" s="2464">
        <v>5000000</v>
      </c>
      <c r="H319" s="2464" t="s">
        <v>4596</v>
      </c>
      <c r="I319" s="2464" t="s">
        <v>4152</v>
      </c>
      <c r="J319" s="2464">
        <f t="shared" si="39"/>
        <v>5000000</v>
      </c>
      <c r="K319" s="2464">
        <f t="shared" si="40"/>
        <v>0</v>
      </c>
      <c r="L319" s="736" t="s">
        <v>4012</v>
      </c>
      <c r="M319" s="366"/>
      <c r="N319" s="366"/>
      <c r="O319" s="366"/>
      <c r="P319" s="366"/>
    </row>
    <row r="320" spans="1:16" ht="30" customHeight="1" x14ac:dyDescent="0.2">
      <c r="A320" s="7654">
        <v>198</v>
      </c>
      <c r="B320" s="7665" t="s">
        <v>59</v>
      </c>
      <c r="C320" s="7723" t="s">
        <v>1100</v>
      </c>
      <c r="D320" s="2074">
        <v>30000000</v>
      </c>
      <c r="E320" s="2465">
        <v>8.5000000000000006E-2</v>
      </c>
      <c r="F320" s="2074">
        <v>2500000</v>
      </c>
      <c r="G320" s="2074">
        <v>2500000</v>
      </c>
      <c r="H320" s="2074" t="s">
        <v>4769</v>
      </c>
      <c r="I320" s="2466" t="s">
        <v>1164</v>
      </c>
      <c r="J320" s="2074">
        <f t="shared" si="39"/>
        <v>2500000</v>
      </c>
      <c r="K320" s="2074">
        <f t="shared" si="40"/>
        <v>0</v>
      </c>
      <c r="L320" s="7713" t="s">
        <v>4607</v>
      </c>
      <c r="M320" s="366"/>
      <c r="N320" s="366"/>
      <c r="O320" s="366"/>
      <c r="P320" s="366"/>
    </row>
    <row r="321" spans="1:16" ht="30" customHeight="1" x14ac:dyDescent="0.2">
      <c r="A321" s="7655"/>
      <c r="B321" s="7653"/>
      <c r="C321" s="7724"/>
      <c r="D321" s="2306">
        <v>100000000</v>
      </c>
      <c r="E321" s="2322">
        <v>7.0000000000000007E-2</v>
      </c>
      <c r="F321" s="2306">
        <f>D321*E321</f>
        <v>7000000.0000000009</v>
      </c>
      <c r="G321" s="2306"/>
      <c r="H321" s="2306"/>
      <c r="I321" s="2300"/>
      <c r="J321" s="2306"/>
      <c r="K321" s="2306"/>
      <c r="L321" s="7714"/>
      <c r="M321" s="366"/>
      <c r="N321" s="366"/>
      <c r="O321" s="366"/>
      <c r="P321" s="366"/>
    </row>
    <row r="322" spans="1:16" ht="30" customHeight="1" x14ac:dyDescent="0.2">
      <c r="A322" s="2103">
        <v>199</v>
      </c>
      <c r="B322" s="2104" t="s">
        <v>60</v>
      </c>
      <c r="C322" s="2084" t="s">
        <v>1100</v>
      </c>
      <c r="D322" s="2074">
        <v>50000000</v>
      </c>
      <c r="E322" s="2101">
        <v>0.05</v>
      </c>
      <c r="F322" s="2074">
        <f t="shared" si="38"/>
        <v>2500000</v>
      </c>
      <c r="G322" s="2074">
        <v>2500000</v>
      </c>
      <c r="H322" s="2074" t="s">
        <v>4775</v>
      </c>
      <c r="I322" s="2062" t="s">
        <v>4776</v>
      </c>
      <c r="J322" s="2074">
        <f t="shared" si="39"/>
        <v>2500000</v>
      </c>
      <c r="K322" s="2074">
        <f t="shared" si="40"/>
        <v>0</v>
      </c>
      <c r="L322" s="2104"/>
      <c r="M322" s="366"/>
      <c r="N322" s="366"/>
      <c r="O322" s="366"/>
      <c r="P322" s="366"/>
    </row>
    <row r="323" spans="1:16" ht="30" customHeight="1" x14ac:dyDescent="0.2">
      <c r="A323" s="2103">
        <v>200</v>
      </c>
      <c r="B323" s="2104" t="s">
        <v>61</v>
      </c>
      <c r="C323" s="2084" t="s">
        <v>1081</v>
      </c>
      <c r="D323" s="2074">
        <v>350000000</v>
      </c>
      <c r="E323" s="2101">
        <v>7.0000000000000007E-2</v>
      </c>
      <c r="F323" s="2074">
        <f t="shared" si="38"/>
        <v>24500000.000000004</v>
      </c>
      <c r="G323" s="2074">
        <v>1900000</v>
      </c>
      <c r="H323" s="2074" t="s">
        <v>4778</v>
      </c>
      <c r="I323" s="21" t="s">
        <v>4784</v>
      </c>
      <c r="J323" s="2074">
        <f>G323</f>
        <v>1900000</v>
      </c>
      <c r="K323" s="2074">
        <f t="shared" si="40"/>
        <v>22600000.000000004</v>
      </c>
      <c r="L323" s="2013" t="s">
        <v>4785</v>
      </c>
      <c r="M323" s="366"/>
      <c r="N323" s="366"/>
      <c r="O323" s="366"/>
      <c r="P323" s="366"/>
    </row>
    <row r="324" spans="1:16" ht="30" customHeight="1" x14ac:dyDescent="0.2">
      <c r="A324" s="2103">
        <v>201</v>
      </c>
      <c r="B324" s="2104" t="s">
        <v>62</v>
      </c>
      <c r="C324" s="2084"/>
      <c r="D324" s="2074">
        <v>60000000</v>
      </c>
      <c r="E324" s="2101">
        <v>7.0000000000000007E-2</v>
      </c>
      <c r="F324" s="2074">
        <v>4500000</v>
      </c>
      <c r="G324" s="2074">
        <v>4500000</v>
      </c>
      <c r="H324" s="2074" t="s">
        <v>4778</v>
      </c>
      <c r="I324" s="2125" t="s">
        <v>3900</v>
      </c>
      <c r="J324" s="2074">
        <f t="shared" si="39"/>
        <v>4500000</v>
      </c>
      <c r="K324" s="2074">
        <f t="shared" si="40"/>
        <v>0</v>
      </c>
      <c r="L324" s="2104"/>
      <c r="M324" s="366"/>
      <c r="N324" s="366"/>
      <c r="O324" s="366"/>
      <c r="P324" s="366"/>
    </row>
    <row r="325" spans="1:16" ht="30" customHeight="1" x14ac:dyDescent="0.2">
      <c r="A325" s="2128">
        <v>202</v>
      </c>
      <c r="B325" s="2104" t="s">
        <v>63</v>
      </c>
      <c r="C325" s="2105" t="s">
        <v>1081</v>
      </c>
      <c r="D325" s="2062">
        <v>100000000</v>
      </c>
      <c r="E325" s="2101">
        <v>4.4999999999999998E-2</v>
      </c>
      <c r="F325" s="2062">
        <f t="shared" si="38"/>
        <v>4500000</v>
      </c>
      <c r="G325" s="2062">
        <v>4500000</v>
      </c>
      <c r="H325" s="2074" t="s">
        <v>4775</v>
      </c>
      <c r="I325" s="21" t="s">
        <v>3889</v>
      </c>
      <c r="J325" s="2074">
        <f t="shared" si="39"/>
        <v>4500000</v>
      </c>
      <c r="K325" s="2074">
        <f t="shared" si="40"/>
        <v>0</v>
      </c>
      <c r="L325" s="2133"/>
      <c r="M325" s="366"/>
      <c r="N325" s="366"/>
      <c r="O325" s="366"/>
      <c r="P325" s="366"/>
    </row>
    <row r="326" spans="1:16" ht="30" customHeight="1" x14ac:dyDescent="0.2">
      <c r="A326" s="2103">
        <v>203</v>
      </c>
      <c r="B326" s="2068" t="s">
        <v>1244</v>
      </c>
      <c r="C326" s="2084" t="s">
        <v>1081</v>
      </c>
      <c r="D326" s="2074">
        <v>60000000</v>
      </c>
      <c r="E326" s="2077">
        <v>0.05</v>
      </c>
      <c r="F326" s="2074">
        <f t="shared" si="38"/>
        <v>3000000</v>
      </c>
      <c r="G326" s="2074">
        <v>3000000</v>
      </c>
      <c r="H326" s="2074" t="s">
        <v>4778</v>
      </c>
      <c r="I326" s="21" t="s">
        <v>1693</v>
      </c>
      <c r="J326" s="2074">
        <f t="shared" si="39"/>
        <v>3000000</v>
      </c>
      <c r="K326" s="2074">
        <f t="shared" si="40"/>
        <v>0</v>
      </c>
      <c r="L326" s="2104"/>
    </row>
    <row r="327" spans="1:16" ht="30" customHeight="1" x14ac:dyDescent="0.2">
      <c r="A327" s="2103">
        <v>205</v>
      </c>
      <c r="B327" s="2104" t="s">
        <v>65</v>
      </c>
      <c r="C327" s="2084" t="s">
        <v>3245</v>
      </c>
      <c r="D327" s="2074">
        <v>15000000</v>
      </c>
      <c r="E327" s="2101">
        <v>0.04</v>
      </c>
      <c r="F327" s="2074">
        <f t="shared" si="38"/>
        <v>600000</v>
      </c>
      <c r="G327" s="2074">
        <v>600000</v>
      </c>
      <c r="H327" s="2074" t="s">
        <v>4619</v>
      </c>
      <c r="I327" s="21" t="s">
        <v>3244</v>
      </c>
      <c r="J327" s="2074">
        <f t="shared" si="39"/>
        <v>600000</v>
      </c>
      <c r="K327" s="2074">
        <f t="shared" si="40"/>
        <v>0</v>
      </c>
      <c r="L327" s="2104"/>
    </row>
    <row r="328" spans="1:16" ht="30" customHeight="1" x14ac:dyDescent="0.2">
      <c r="A328" s="7654">
        <v>207</v>
      </c>
      <c r="B328" s="7717" t="s">
        <v>2676</v>
      </c>
      <c r="C328" s="7873" t="s">
        <v>681</v>
      </c>
      <c r="D328" s="2074">
        <v>45000000</v>
      </c>
      <c r="E328" s="2101">
        <v>0.04</v>
      </c>
      <c r="F328" s="2074">
        <f t="shared" si="38"/>
        <v>1800000</v>
      </c>
      <c r="G328" s="7563">
        <v>3800000</v>
      </c>
      <c r="H328" s="7563" t="s">
        <v>4596</v>
      </c>
      <c r="I328" s="7561" t="s">
        <v>3739</v>
      </c>
      <c r="J328" s="7563">
        <f t="shared" si="39"/>
        <v>3800000</v>
      </c>
      <c r="K328" s="7563">
        <f>(F328+F329)-J328</f>
        <v>0</v>
      </c>
      <c r="L328" s="7713"/>
    </row>
    <row r="329" spans="1:16" ht="30" customHeight="1" x14ac:dyDescent="0.2">
      <c r="A329" s="7656"/>
      <c r="B329" s="7717"/>
      <c r="C329" s="7873"/>
      <c r="D329" s="2074">
        <v>50000000</v>
      </c>
      <c r="E329" s="2101">
        <v>0.04</v>
      </c>
      <c r="F329" s="2074">
        <f t="shared" si="38"/>
        <v>2000000</v>
      </c>
      <c r="G329" s="7564"/>
      <c r="H329" s="7564"/>
      <c r="I329" s="7562"/>
      <c r="J329" s="7564"/>
      <c r="K329" s="7564"/>
      <c r="L329" s="7714"/>
    </row>
    <row r="330" spans="1:16" ht="30" customHeight="1" x14ac:dyDescent="0.2">
      <c r="A330" s="2063">
        <v>208</v>
      </c>
      <c r="B330" s="19" t="s">
        <v>69</v>
      </c>
      <c r="C330" s="378" t="s">
        <v>1100</v>
      </c>
      <c r="D330" s="2062">
        <v>15000000</v>
      </c>
      <c r="E330" s="2101">
        <v>0.04</v>
      </c>
      <c r="F330" s="2062">
        <f t="shared" si="38"/>
        <v>600000</v>
      </c>
      <c r="G330" s="2062">
        <v>600000</v>
      </c>
      <c r="H330" s="2062" t="s">
        <v>4778</v>
      </c>
      <c r="I330" s="2108" t="s">
        <v>1099</v>
      </c>
      <c r="J330" s="2062">
        <f t="shared" ref="J330:J343" si="42">G330</f>
        <v>600000</v>
      </c>
      <c r="K330" s="2062">
        <f t="shared" ref="K330:K346" si="43">F330-J330</f>
        <v>0</v>
      </c>
      <c r="L330" s="2013"/>
    </row>
    <row r="331" spans="1:16" ht="30" customHeight="1" x14ac:dyDescent="0.2">
      <c r="A331" s="7654">
        <v>209</v>
      </c>
      <c r="B331" s="7652" t="s">
        <v>70</v>
      </c>
      <c r="C331" s="7723" t="s">
        <v>3323</v>
      </c>
      <c r="D331" s="2074">
        <v>10000000</v>
      </c>
      <c r="E331" s="2077">
        <v>0.05</v>
      </c>
      <c r="F331" s="2074">
        <f t="shared" si="38"/>
        <v>500000</v>
      </c>
      <c r="G331" s="2074">
        <v>500000</v>
      </c>
      <c r="H331" s="2074" t="s">
        <v>4310</v>
      </c>
      <c r="I331" s="2095" t="s">
        <v>4323</v>
      </c>
      <c r="J331" s="2074">
        <f t="shared" si="42"/>
        <v>500000</v>
      </c>
      <c r="K331" s="2074">
        <f t="shared" si="43"/>
        <v>0</v>
      </c>
      <c r="L331" s="2013" t="s">
        <v>4324</v>
      </c>
    </row>
    <row r="332" spans="1:16" ht="30" customHeight="1" x14ac:dyDescent="0.2">
      <c r="A332" s="7655"/>
      <c r="B332" s="7653"/>
      <c r="C332" s="7724"/>
      <c r="D332" s="7470" t="s">
        <v>4073</v>
      </c>
      <c r="E332" s="7493"/>
      <c r="F332" s="7510"/>
      <c r="G332" s="2182">
        <v>10000000</v>
      </c>
      <c r="H332" s="2182" t="s">
        <v>4385</v>
      </c>
      <c r="I332" s="115" t="s">
        <v>1229</v>
      </c>
      <c r="J332" s="2182">
        <f>G332</f>
        <v>10000000</v>
      </c>
      <c r="K332" s="2182"/>
      <c r="L332" s="2013" t="s">
        <v>2045</v>
      </c>
    </row>
    <row r="333" spans="1:16" ht="30" customHeight="1" x14ac:dyDescent="0.2">
      <c r="A333" s="2103">
        <v>210</v>
      </c>
      <c r="B333" s="2104" t="s">
        <v>72</v>
      </c>
      <c r="C333" s="2084"/>
      <c r="D333" s="2074">
        <v>50000000</v>
      </c>
      <c r="E333" s="2101">
        <v>7.0000000000000007E-2</v>
      </c>
      <c r="F333" s="2074">
        <f t="shared" si="38"/>
        <v>3500000.0000000005</v>
      </c>
      <c r="G333" s="2074">
        <v>3500000</v>
      </c>
      <c r="H333" s="2074" t="s">
        <v>1193</v>
      </c>
      <c r="I333" s="21" t="s">
        <v>3494</v>
      </c>
      <c r="J333" s="2074">
        <f t="shared" si="42"/>
        <v>3500000</v>
      </c>
      <c r="K333" s="2074">
        <f t="shared" si="43"/>
        <v>0</v>
      </c>
      <c r="L333" s="2104"/>
    </row>
    <row r="334" spans="1:16" ht="30" customHeight="1" x14ac:dyDescent="0.2">
      <c r="A334" s="2365"/>
      <c r="B334" s="2373" t="s">
        <v>4439</v>
      </c>
      <c r="C334" s="2371"/>
      <c r="D334" s="2359"/>
      <c r="E334" s="2374"/>
      <c r="F334" s="2359"/>
      <c r="G334" s="2359">
        <v>50000000</v>
      </c>
      <c r="H334" s="2359" t="s">
        <v>4395</v>
      </c>
      <c r="I334" s="56" t="s">
        <v>2776</v>
      </c>
      <c r="J334" s="2359">
        <f t="shared" si="42"/>
        <v>50000000</v>
      </c>
      <c r="K334" s="2359"/>
      <c r="L334" s="2366"/>
    </row>
    <row r="335" spans="1:16" ht="30" customHeight="1" x14ac:dyDescent="0.2">
      <c r="A335" s="2103">
        <v>211</v>
      </c>
      <c r="B335" s="2104" t="s">
        <v>73</v>
      </c>
      <c r="C335" s="2084" t="s">
        <v>1295</v>
      </c>
      <c r="D335" s="2074">
        <v>100000000</v>
      </c>
      <c r="E335" s="2101">
        <v>0.05</v>
      </c>
      <c r="F335" s="2074">
        <f t="shared" si="38"/>
        <v>5000000</v>
      </c>
      <c r="G335" s="2074">
        <v>5000000</v>
      </c>
      <c r="H335" s="2074" t="s">
        <v>4361</v>
      </c>
      <c r="I335" s="21" t="s">
        <v>4001</v>
      </c>
      <c r="J335" s="2074">
        <f t="shared" si="42"/>
        <v>5000000</v>
      </c>
      <c r="K335" s="2074">
        <f t="shared" si="43"/>
        <v>0</v>
      </c>
      <c r="L335" s="2104"/>
    </row>
    <row r="336" spans="1:16" ht="30" customHeight="1" x14ac:dyDescent="0.2">
      <c r="A336" s="7654">
        <v>212</v>
      </c>
      <c r="B336" s="7652" t="s">
        <v>74</v>
      </c>
      <c r="C336" s="7723" t="s">
        <v>889</v>
      </c>
      <c r="D336" s="2074">
        <v>30000000</v>
      </c>
      <c r="E336" s="2101">
        <v>0.05</v>
      </c>
      <c r="F336" s="2074">
        <f t="shared" si="38"/>
        <v>1500000</v>
      </c>
      <c r="G336" s="7563">
        <v>2000000</v>
      </c>
      <c r="H336" s="7563" t="s">
        <v>4310</v>
      </c>
      <c r="I336" s="7561" t="s">
        <v>1275</v>
      </c>
      <c r="J336" s="7563">
        <f t="shared" si="42"/>
        <v>2000000</v>
      </c>
      <c r="K336" s="7563">
        <f>(F336+F337)-J336</f>
        <v>0</v>
      </c>
      <c r="L336" s="2104"/>
    </row>
    <row r="337" spans="1:12" ht="30" customHeight="1" x14ac:dyDescent="0.2">
      <c r="A337" s="7655"/>
      <c r="B337" s="7653"/>
      <c r="C337" s="7724"/>
      <c r="D337" s="2182">
        <v>10000000</v>
      </c>
      <c r="E337" s="2186">
        <v>0.05</v>
      </c>
      <c r="F337" s="2182">
        <f t="shared" si="38"/>
        <v>500000</v>
      </c>
      <c r="G337" s="7564"/>
      <c r="H337" s="7564"/>
      <c r="I337" s="7562"/>
      <c r="J337" s="7564"/>
      <c r="K337" s="7564"/>
      <c r="L337" s="2187"/>
    </row>
    <row r="338" spans="1:12" ht="30" customHeight="1" x14ac:dyDescent="0.2">
      <c r="A338" s="2103">
        <v>213</v>
      </c>
      <c r="B338" s="2104" t="s">
        <v>75</v>
      </c>
      <c r="C338" s="2084" t="s">
        <v>889</v>
      </c>
      <c r="D338" s="2074">
        <v>15000000</v>
      </c>
      <c r="E338" s="2101">
        <v>4.7E-2</v>
      </c>
      <c r="F338" s="2074">
        <v>700000</v>
      </c>
      <c r="G338" s="2074">
        <v>700000</v>
      </c>
      <c r="H338" s="2074" t="s">
        <v>4310</v>
      </c>
      <c r="I338" s="21" t="s">
        <v>3406</v>
      </c>
      <c r="J338" s="2074">
        <f t="shared" si="42"/>
        <v>700000</v>
      </c>
      <c r="K338" s="2074">
        <f t="shared" si="43"/>
        <v>0</v>
      </c>
      <c r="L338" s="2104"/>
    </row>
    <row r="339" spans="1:12" ht="30" customHeight="1" x14ac:dyDescent="0.2">
      <c r="A339" s="2103">
        <v>214</v>
      </c>
      <c r="B339" s="2104" t="s">
        <v>937</v>
      </c>
      <c r="C339" s="2084"/>
      <c r="D339" s="2074">
        <v>200000000</v>
      </c>
      <c r="E339" s="2101">
        <v>5.5E-2</v>
      </c>
      <c r="F339" s="2074">
        <f t="shared" si="38"/>
        <v>11000000</v>
      </c>
      <c r="G339" s="2074">
        <v>11000000</v>
      </c>
      <c r="H339" s="2074" t="s">
        <v>4331</v>
      </c>
      <c r="I339" s="21" t="s">
        <v>3974</v>
      </c>
      <c r="J339" s="2074">
        <f t="shared" si="42"/>
        <v>11000000</v>
      </c>
      <c r="K339" s="2074">
        <f t="shared" si="43"/>
        <v>0</v>
      </c>
      <c r="L339" s="2104"/>
    </row>
    <row r="340" spans="1:12" ht="30" customHeight="1" x14ac:dyDescent="0.2">
      <c r="A340" s="2103">
        <v>216</v>
      </c>
      <c r="B340" s="2373" t="s">
        <v>77</v>
      </c>
      <c r="C340" s="2084" t="s">
        <v>889</v>
      </c>
      <c r="D340" s="2074">
        <v>250000000</v>
      </c>
      <c r="E340" s="2101">
        <v>0.05</v>
      </c>
      <c r="F340" s="2074">
        <f t="shared" si="38"/>
        <v>12500000</v>
      </c>
      <c r="G340" s="2074">
        <v>12500000</v>
      </c>
      <c r="H340" s="2074" t="s">
        <v>4310</v>
      </c>
      <c r="I340" s="18" t="s">
        <v>4333</v>
      </c>
      <c r="J340" s="2074">
        <f t="shared" si="42"/>
        <v>12500000</v>
      </c>
      <c r="K340" s="2074">
        <f t="shared" si="43"/>
        <v>0</v>
      </c>
      <c r="L340" s="2104"/>
    </row>
    <row r="341" spans="1:12" ht="30" customHeight="1" x14ac:dyDescent="0.2">
      <c r="A341" s="2063">
        <v>217</v>
      </c>
      <c r="B341" s="2104" t="s">
        <v>79</v>
      </c>
      <c r="C341" s="2105"/>
      <c r="D341" s="2062">
        <v>160000000</v>
      </c>
      <c r="E341" s="2101">
        <v>0.05</v>
      </c>
      <c r="F341" s="2062">
        <f t="shared" si="38"/>
        <v>8000000</v>
      </c>
      <c r="G341" s="2062"/>
      <c r="H341" s="2062"/>
      <c r="I341" s="2125"/>
      <c r="J341" s="2062">
        <f t="shared" si="42"/>
        <v>0</v>
      </c>
      <c r="K341" s="2062">
        <f t="shared" si="43"/>
        <v>8000000</v>
      </c>
      <c r="L341" s="2071"/>
    </row>
    <row r="342" spans="1:12" ht="30" customHeight="1" x14ac:dyDescent="0.2">
      <c r="A342" s="7654">
        <v>218</v>
      </c>
      <c r="B342" s="7652" t="s">
        <v>80</v>
      </c>
      <c r="C342" s="7723"/>
      <c r="D342" s="7563">
        <v>45000000</v>
      </c>
      <c r="E342" s="7659">
        <v>0.04</v>
      </c>
      <c r="F342" s="7563">
        <f t="shared" si="38"/>
        <v>1800000</v>
      </c>
      <c r="G342" s="2074"/>
      <c r="H342" s="2074"/>
      <c r="I342" s="65" t="s">
        <v>1695</v>
      </c>
      <c r="J342" s="2074">
        <f t="shared" si="42"/>
        <v>0</v>
      </c>
      <c r="K342" s="2074">
        <f t="shared" si="43"/>
        <v>1800000</v>
      </c>
      <c r="L342" s="2104"/>
    </row>
    <row r="343" spans="1:12" ht="30" customHeight="1" x14ac:dyDescent="0.2">
      <c r="A343" s="7655"/>
      <c r="B343" s="7653"/>
      <c r="C343" s="7724"/>
      <c r="D343" s="7564"/>
      <c r="E343" s="7660"/>
      <c r="F343" s="7564"/>
      <c r="G343" s="2074"/>
      <c r="H343" s="2074"/>
      <c r="I343" s="65" t="s">
        <v>3561</v>
      </c>
      <c r="J343" s="2074">
        <f t="shared" si="42"/>
        <v>0</v>
      </c>
      <c r="K343" s="2074"/>
      <c r="L343" s="2013" t="s">
        <v>3562</v>
      </c>
    </row>
    <row r="344" spans="1:12" ht="30" customHeight="1" x14ac:dyDescent="0.2">
      <c r="A344" s="2103">
        <v>219</v>
      </c>
      <c r="B344" s="2104" t="s">
        <v>1791</v>
      </c>
      <c r="C344" s="2084"/>
      <c r="D344" s="2079"/>
      <c r="E344" s="40"/>
      <c r="F344" s="2079">
        <f t="shared" si="38"/>
        <v>0</v>
      </c>
      <c r="G344" s="2074"/>
      <c r="H344" s="2074"/>
      <c r="I344" s="21"/>
      <c r="J344" s="2074"/>
      <c r="K344" s="2079">
        <f t="shared" si="43"/>
        <v>0</v>
      </c>
      <c r="L344" s="2104"/>
    </row>
    <row r="345" spans="1:12" ht="30" customHeight="1" x14ac:dyDescent="0.2">
      <c r="A345" s="2103">
        <v>220</v>
      </c>
      <c r="B345" s="2106" t="s">
        <v>81</v>
      </c>
      <c r="C345" s="2737" t="s">
        <v>889</v>
      </c>
      <c r="D345" s="2073">
        <v>203000000</v>
      </c>
      <c r="E345" s="2075">
        <v>0.05</v>
      </c>
      <c r="F345" s="2073">
        <f t="shared" si="38"/>
        <v>10150000</v>
      </c>
      <c r="G345" s="2074">
        <v>10150000</v>
      </c>
      <c r="H345" s="2074" t="s">
        <v>4361</v>
      </c>
      <c r="I345" s="21" t="s">
        <v>3409</v>
      </c>
      <c r="J345" s="2073">
        <f>G345</f>
        <v>10150000</v>
      </c>
      <c r="K345" s="2073">
        <f t="shared" si="43"/>
        <v>0</v>
      </c>
      <c r="L345" s="2104"/>
    </row>
    <row r="346" spans="1:12" ht="30" customHeight="1" x14ac:dyDescent="0.2">
      <c r="A346" s="2103">
        <v>221</v>
      </c>
      <c r="B346" s="2106" t="s">
        <v>326</v>
      </c>
      <c r="C346" s="2083" t="s">
        <v>1652</v>
      </c>
      <c r="D346" s="2073">
        <v>275000000</v>
      </c>
      <c r="E346" s="2075">
        <v>4.2000000000000003E-2</v>
      </c>
      <c r="F346" s="2073">
        <f>D346*E346</f>
        <v>11550000</v>
      </c>
      <c r="G346" s="2078">
        <v>11550000</v>
      </c>
      <c r="H346" s="2078" t="s">
        <v>4402</v>
      </c>
      <c r="I346" s="384" t="s">
        <v>1654</v>
      </c>
      <c r="J346" s="2073">
        <f>G346</f>
        <v>11550000</v>
      </c>
      <c r="K346" s="2073">
        <f t="shared" si="43"/>
        <v>0</v>
      </c>
      <c r="L346" s="2085"/>
    </row>
    <row r="347" spans="1:12" ht="30" customHeight="1" x14ac:dyDescent="0.2">
      <c r="A347" s="7879">
        <v>222</v>
      </c>
      <c r="B347" s="7652" t="s">
        <v>1818</v>
      </c>
      <c r="C347" s="7723" t="s">
        <v>1287</v>
      </c>
      <c r="D347" s="7563">
        <v>700000000</v>
      </c>
      <c r="E347" s="7659">
        <v>0.06</v>
      </c>
      <c r="F347" s="7563">
        <f>D347*E347</f>
        <v>42000000</v>
      </c>
      <c r="G347" s="7563">
        <v>42000000</v>
      </c>
      <c r="H347" s="7563" t="s">
        <v>2473</v>
      </c>
      <c r="I347" s="7561" t="s">
        <v>3724</v>
      </c>
      <c r="J347" s="7563">
        <f>G347</f>
        <v>42000000</v>
      </c>
      <c r="K347" s="7563">
        <f>F347-J347</f>
        <v>0</v>
      </c>
      <c r="L347" s="2109"/>
    </row>
    <row r="348" spans="1:12" ht="30" customHeight="1" x14ac:dyDescent="0.2">
      <c r="A348" s="7879"/>
      <c r="B348" s="7665"/>
      <c r="C348" s="7747"/>
      <c r="D348" s="7586"/>
      <c r="E348" s="7676"/>
      <c r="F348" s="7586"/>
      <c r="G348" s="7586"/>
      <c r="H348" s="7586"/>
      <c r="I348" s="7672"/>
      <c r="J348" s="7586"/>
      <c r="K348" s="7586"/>
      <c r="L348" s="2111"/>
    </row>
    <row r="349" spans="1:12" ht="30" customHeight="1" x14ac:dyDescent="0.2">
      <c r="A349" s="7879"/>
      <c r="B349" s="7653"/>
      <c r="C349" s="7724"/>
      <c r="D349" s="7564"/>
      <c r="E349" s="7660"/>
      <c r="F349" s="7564"/>
      <c r="G349" s="7564"/>
      <c r="H349" s="7564"/>
      <c r="I349" s="7562"/>
      <c r="J349" s="7564"/>
      <c r="K349" s="7564"/>
      <c r="L349" s="2110"/>
    </row>
    <row r="350" spans="1:12" ht="30" customHeight="1" x14ac:dyDescent="0.2">
      <c r="A350" s="2444">
        <v>223</v>
      </c>
      <c r="B350" s="2443" t="s">
        <v>83</v>
      </c>
      <c r="C350" s="2445" t="s">
        <v>1652</v>
      </c>
      <c r="D350" s="2074">
        <v>100000000</v>
      </c>
      <c r="E350" s="2077">
        <v>0.05</v>
      </c>
      <c r="F350" s="2074">
        <f t="shared" si="38"/>
        <v>5000000</v>
      </c>
      <c r="G350" s="2074">
        <v>5000000</v>
      </c>
      <c r="H350" s="2074" t="s">
        <v>4402</v>
      </c>
      <c r="I350" s="21" t="s">
        <v>3491</v>
      </c>
      <c r="J350" s="2074">
        <f t="shared" ref="J350:J357" si="44">G350</f>
        <v>5000000</v>
      </c>
      <c r="K350" s="2074">
        <f t="shared" ref="K350:K357" si="45">F350-J350</f>
        <v>0</v>
      </c>
      <c r="L350" s="2104"/>
    </row>
    <row r="351" spans="1:12" ht="30" customHeight="1" x14ac:dyDescent="0.2">
      <c r="A351" s="7654">
        <v>224</v>
      </c>
      <c r="B351" s="7652" t="s">
        <v>2623</v>
      </c>
      <c r="C351" s="7723"/>
      <c r="D351" s="7563">
        <v>10000000</v>
      </c>
      <c r="E351" s="7659">
        <v>0.05</v>
      </c>
      <c r="F351" s="7563">
        <f t="shared" si="38"/>
        <v>500000</v>
      </c>
      <c r="G351" s="2074"/>
      <c r="H351" s="2074"/>
      <c r="I351" s="21" t="s">
        <v>3934</v>
      </c>
      <c r="J351" s="2074">
        <f t="shared" si="44"/>
        <v>0</v>
      </c>
      <c r="K351" s="2074">
        <f t="shared" si="45"/>
        <v>500000</v>
      </c>
      <c r="L351" s="2104"/>
    </row>
    <row r="352" spans="1:12" ht="30" customHeight="1" x14ac:dyDescent="0.2">
      <c r="A352" s="7655"/>
      <c r="B352" s="7653"/>
      <c r="C352" s="7724"/>
      <c r="D352" s="7564"/>
      <c r="E352" s="7660"/>
      <c r="F352" s="7564"/>
      <c r="G352" s="2901"/>
      <c r="H352" s="2901"/>
      <c r="I352" s="2926" t="s">
        <v>3934</v>
      </c>
      <c r="J352" s="2901">
        <f t="shared" si="44"/>
        <v>0</v>
      </c>
      <c r="K352" s="2901"/>
      <c r="L352" s="2068"/>
    </row>
    <row r="353" spans="1:12" ht="30" customHeight="1" x14ac:dyDescent="0.2">
      <c r="A353" s="2065">
        <v>226</v>
      </c>
      <c r="B353" s="2107" t="s">
        <v>86</v>
      </c>
      <c r="C353" s="2084" t="s">
        <v>889</v>
      </c>
      <c r="D353" s="2062">
        <v>410000000</v>
      </c>
      <c r="E353" s="2101">
        <v>0.06</v>
      </c>
      <c r="F353" s="2062">
        <f>D353*E353</f>
        <v>24600000</v>
      </c>
      <c r="G353" s="2062">
        <v>24600000</v>
      </c>
      <c r="H353" s="2062" t="s">
        <v>4331</v>
      </c>
      <c r="I353" s="2062" t="s">
        <v>2391</v>
      </c>
      <c r="J353" s="2062">
        <f t="shared" si="44"/>
        <v>24600000</v>
      </c>
      <c r="K353" s="2074">
        <f t="shared" si="45"/>
        <v>0</v>
      </c>
      <c r="L353" s="2072"/>
    </row>
    <row r="354" spans="1:12" ht="30" customHeight="1" x14ac:dyDescent="0.2">
      <c r="A354" s="7654">
        <v>227</v>
      </c>
      <c r="B354" s="7652" t="s">
        <v>87</v>
      </c>
      <c r="C354" s="7723" t="s">
        <v>889</v>
      </c>
      <c r="D354" s="7563">
        <v>20000000</v>
      </c>
      <c r="E354" s="7659">
        <v>0.05</v>
      </c>
      <c r="F354" s="7563">
        <f>D354*E354</f>
        <v>1000000</v>
      </c>
      <c r="G354" s="2074">
        <v>1000000</v>
      </c>
      <c r="H354" s="2074" t="s">
        <v>1193</v>
      </c>
      <c r="I354" s="18" t="s">
        <v>361</v>
      </c>
      <c r="J354" s="2074">
        <f t="shared" si="44"/>
        <v>1000000</v>
      </c>
      <c r="K354" s="2074">
        <f t="shared" si="45"/>
        <v>0</v>
      </c>
      <c r="L354" s="2013" t="s">
        <v>4399</v>
      </c>
    </row>
    <row r="355" spans="1:12" ht="30" customHeight="1" x14ac:dyDescent="0.2">
      <c r="A355" s="7655"/>
      <c r="B355" s="7653"/>
      <c r="C355" s="7724"/>
      <c r="D355" s="7564"/>
      <c r="E355" s="7660"/>
      <c r="F355" s="7564"/>
      <c r="G355" s="2656">
        <v>1000000</v>
      </c>
      <c r="H355" s="2656" t="s">
        <v>4385</v>
      </c>
      <c r="I355" s="18" t="s">
        <v>361</v>
      </c>
      <c r="J355" s="2656">
        <v>1000000</v>
      </c>
      <c r="K355" s="2656">
        <f>F354-J355</f>
        <v>0</v>
      </c>
      <c r="L355" s="2013" t="s">
        <v>4400</v>
      </c>
    </row>
    <row r="356" spans="1:12" ht="30" customHeight="1" x14ac:dyDescent="0.2">
      <c r="A356" s="2103">
        <v>228</v>
      </c>
      <c r="B356" s="2104" t="s">
        <v>88</v>
      </c>
      <c r="C356" s="2084" t="s">
        <v>1176</v>
      </c>
      <c r="D356" s="2074">
        <v>10000000</v>
      </c>
      <c r="E356" s="2101">
        <v>0.04</v>
      </c>
      <c r="F356" s="2074">
        <f t="shared" si="38"/>
        <v>400000</v>
      </c>
      <c r="G356" s="2074">
        <v>400000</v>
      </c>
      <c r="H356" s="2074" t="s">
        <v>4449</v>
      </c>
      <c r="I356" s="26" t="s">
        <v>417</v>
      </c>
      <c r="J356" s="2074">
        <f t="shared" si="44"/>
        <v>400000</v>
      </c>
      <c r="K356" s="2074">
        <f t="shared" si="45"/>
        <v>0</v>
      </c>
      <c r="L356" s="2104"/>
    </row>
    <row r="357" spans="1:12" ht="30" customHeight="1" x14ac:dyDescent="0.2">
      <c r="A357" s="2063">
        <v>229</v>
      </c>
      <c r="B357" s="2066" t="s">
        <v>89</v>
      </c>
      <c r="C357" s="2084" t="s">
        <v>889</v>
      </c>
      <c r="D357" s="2074">
        <v>52000000</v>
      </c>
      <c r="E357" s="2101">
        <v>0.05</v>
      </c>
      <c r="F357" s="2074">
        <f t="shared" si="38"/>
        <v>2600000</v>
      </c>
      <c r="G357" s="2074">
        <v>2600000</v>
      </c>
      <c r="H357" s="2074" t="s">
        <v>4331</v>
      </c>
      <c r="I357" s="21" t="s">
        <v>3969</v>
      </c>
      <c r="J357" s="2074">
        <f t="shared" si="44"/>
        <v>2600000</v>
      </c>
      <c r="K357" s="2074">
        <f t="shared" si="45"/>
        <v>0</v>
      </c>
      <c r="L357" s="2104"/>
    </row>
    <row r="358" spans="1:12" ht="30" customHeight="1" x14ac:dyDescent="0.2">
      <c r="A358" s="7654"/>
      <c r="B358" s="7652" t="s">
        <v>90</v>
      </c>
      <c r="C358" s="7723" t="s">
        <v>1718</v>
      </c>
      <c r="D358" s="2062">
        <v>20000000</v>
      </c>
      <c r="E358" s="2101">
        <v>0.05</v>
      </c>
      <c r="F358" s="2062">
        <f t="shared" si="38"/>
        <v>1000000</v>
      </c>
      <c r="G358" s="7563">
        <v>1750000</v>
      </c>
      <c r="H358" s="7563" t="s">
        <v>4402</v>
      </c>
      <c r="I358" s="7563" t="s">
        <v>4408</v>
      </c>
      <c r="J358" s="7563">
        <f>G358</f>
        <v>1750000</v>
      </c>
      <c r="K358" s="7563">
        <f>(F358+F359+F360+F361)-J358</f>
        <v>0</v>
      </c>
      <c r="L358" s="1661"/>
    </row>
    <row r="359" spans="1:12" ht="30" customHeight="1" x14ac:dyDescent="0.2">
      <c r="A359" s="7656"/>
      <c r="B359" s="7665"/>
      <c r="C359" s="7747"/>
      <c r="D359" s="2062">
        <v>5000000</v>
      </c>
      <c r="E359" s="2101">
        <v>0.05</v>
      </c>
      <c r="F359" s="2062">
        <f t="shared" si="38"/>
        <v>250000</v>
      </c>
      <c r="G359" s="7586"/>
      <c r="H359" s="7586"/>
      <c r="I359" s="7586"/>
      <c r="J359" s="7586"/>
      <c r="K359" s="7586"/>
      <c r="L359" s="1336"/>
    </row>
    <row r="360" spans="1:12" ht="30" customHeight="1" x14ac:dyDescent="0.2">
      <c r="A360" s="7656"/>
      <c r="B360" s="7665"/>
      <c r="C360" s="7747"/>
      <c r="D360" s="2074">
        <v>5000000</v>
      </c>
      <c r="E360" s="2101">
        <v>0.05</v>
      </c>
      <c r="F360" s="2062">
        <f t="shared" si="38"/>
        <v>250000</v>
      </c>
      <c r="G360" s="7586"/>
      <c r="H360" s="7586"/>
      <c r="I360" s="7586"/>
      <c r="J360" s="7586"/>
      <c r="K360" s="7586"/>
      <c r="L360" s="1336" t="s">
        <v>4409</v>
      </c>
    </row>
    <row r="361" spans="1:12" ht="30" customHeight="1" x14ac:dyDescent="0.2">
      <c r="A361" s="7655"/>
      <c r="B361" s="7653"/>
      <c r="C361" s="7724"/>
      <c r="D361" s="2074">
        <v>5000000</v>
      </c>
      <c r="E361" s="2101">
        <v>0.05</v>
      </c>
      <c r="F361" s="2062">
        <f t="shared" si="38"/>
        <v>250000</v>
      </c>
      <c r="G361" s="7564"/>
      <c r="H361" s="7564"/>
      <c r="I361" s="7564"/>
      <c r="J361" s="7564"/>
      <c r="K361" s="7564"/>
      <c r="L361" s="1336"/>
    </row>
    <row r="362" spans="1:12" ht="30" customHeight="1" x14ac:dyDescent="0.2">
      <c r="A362" s="2142">
        <v>231</v>
      </c>
      <c r="B362" s="2106" t="s">
        <v>91</v>
      </c>
      <c r="C362" s="2161" t="s">
        <v>1080</v>
      </c>
      <c r="D362" s="895">
        <v>20000000</v>
      </c>
      <c r="E362" s="2147">
        <v>0.05</v>
      </c>
      <c r="F362" s="2145">
        <f t="shared" ref="F362" si="46">D362*E362</f>
        <v>1000000</v>
      </c>
      <c r="G362" s="2074">
        <v>1000000</v>
      </c>
      <c r="H362" s="2074" t="s">
        <v>4402</v>
      </c>
      <c r="I362" s="2140" t="s">
        <v>1747</v>
      </c>
      <c r="J362" s="2074">
        <f>G362</f>
        <v>1000000</v>
      </c>
      <c r="K362" s="2074">
        <f>F362-G362</f>
        <v>0</v>
      </c>
      <c r="L362" s="2013"/>
    </row>
    <row r="363" spans="1:12" ht="30" customHeight="1" x14ac:dyDescent="0.2">
      <c r="A363" s="2103">
        <v>232</v>
      </c>
      <c r="B363" s="2104" t="s">
        <v>1602</v>
      </c>
      <c r="C363" s="2084" t="s">
        <v>1172</v>
      </c>
      <c r="D363" s="2074">
        <v>55000000</v>
      </c>
      <c r="E363" s="2101">
        <v>0.04</v>
      </c>
      <c r="F363" s="2074">
        <f t="shared" si="38"/>
        <v>2200000</v>
      </c>
      <c r="G363" s="2074">
        <v>2200000</v>
      </c>
      <c r="H363" s="2074" t="s">
        <v>4361</v>
      </c>
      <c r="I363" s="21" t="s">
        <v>4362</v>
      </c>
      <c r="J363" s="2074">
        <f t="shared" ref="J363:J375" si="47">G363</f>
        <v>2200000</v>
      </c>
      <c r="K363" s="2074">
        <f t="shared" ref="K363:K374" si="48">F363-J363</f>
        <v>0</v>
      </c>
      <c r="L363" s="2104"/>
    </row>
    <row r="364" spans="1:12" ht="30" customHeight="1" x14ac:dyDescent="0.2">
      <c r="A364" s="2103">
        <v>233</v>
      </c>
      <c r="B364" s="2104" t="s">
        <v>275</v>
      </c>
      <c r="C364" s="2084" t="s">
        <v>372</v>
      </c>
      <c r="D364" s="2074">
        <v>50000000</v>
      </c>
      <c r="E364" s="2101">
        <v>0.05</v>
      </c>
      <c r="F364" s="2074">
        <f t="shared" si="38"/>
        <v>2500000</v>
      </c>
      <c r="G364" s="7954" t="s">
        <v>5097</v>
      </c>
      <c r="H364" s="7955"/>
      <c r="I364" s="7955"/>
      <c r="J364" s="7956"/>
      <c r="K364" s="2074">
        <f t="shared" si="48"/>
        <v>2500000</v>
      </c>
      <c r="L364" s="2013"/>
    </row>
    <row r="365" spans="1:12" ht="30" customHeight="1" x14ac:dyDescent="0.2">
      <c r="A365" s="2103">
        <v>234</v>
      </c>
      <c r="B365" s="2106" t="s">
        <v>93</v>
      </c>
      <c r="C365" s="2105" t="s">
        <v>1293</v>
      </c>
      <c r="D365" s="2062">
        <v>400000000</v>
      </c>
      <c r="E365" s="2101">
        <f>F365/D365</f>
        <v>5.2499999999999998E-2</v>
      </c>
      <c r="F365" s="2062">
        <v>21000000</v>
      </c>
      <c r="G365" s="2062">
        <v>21000000</v>
      </c>
      <c r="H365" s="2062" t="s">
        <v>4385</v>
      </c>
      <c r="I365" s="2108" t="s">
        <v>506</v>
      </c>
      <c r="J365" s="2062">
        <f t="shared" si="47"/>
        <v>21000000</v>
      </c>
      <c r="K365" s="2074">
        <f t="shared" si="48"/>
        <v>0</v>
      </c>
      <c r="L365" s="2109"/>
    </row>
    <row r="366" spans="1:12" ht="30" customHeight="1" x14ac:dyDescent="0.2">
      <c r="A366" s="7654">
        <v>235</v>
      </c>
      <c r="B366" s="7652" t="s">
        <v>94</v>
      </c>
      <c r="C366" s="7873" t="s">
        <v>1172</v>
      </c>
      <c r="D366" s="7563">
        <v>60000000</v>
      </c>
      <c r="E366" s="7659">
        <v>0.05</v>
      </c>
      <c r="F366" s="7563">
        <f t="shared" si="38"/>
        <v>3000000</v>
      </c>
      <c r="G366" s="7482">
        <v>3000000</v>
      </c>
      <c r="H366" s="7482" t="s">
        <v>1193</v>
      </c>
      <c r="I366" s="8073" t="s">
        <v>4384</v>
      </c>
      <c r="J366" s="7563">
        <f t="shared" si="47"/>
        <v>3000000</v>
      </c>
      <c r="K366" s="7563">
        <f t="shared" si="48"/>
        <v>0</v>
      </c>
      <c r="L366" s="637" t="s">
        <v>3572</v>
      </c>
    </row>
    <row r="367" spans="1:12" ht="30" customHeight="1" x14ac:dyDescent="0.2">
      <c r="A367" s="7656"/>
      <c r="B367" s="7653"/>
      <c r="C367" s="7873"/>
      <c r="D367" s="7564"/>
      <c r="E367" s="7660"/>
      <c r="F367" s="7564"/>
      <c r="G367" s="7482"/>
      <c r="H367" s="7482"/>
      <c r="I367" s="8074"/>
      <c r="J367" s="7564"/>
      <c r="K367" s="7564"/>
      <c r="L367" s="2110" t="s">
        <v>3383</v>
      </c>
    </row>
    <row r="368" spans="1:12" ht="30" customHeight="1" x14ac:dyDescent="0.2">
      <c r="A368" s="2103">
        <v>236</v>
      </c>
      <c r="B368" s="2104" t="s">
        <v>95</v>
      </c>
      <c r="C368" s="2084"/>
      <c r="D368" s="2074">
        <v>20000000</v>
      </c>
      <c r="E368" s="2101">
        <v>0.05</v>
      </c>
      <c r="F368" s="2074">
        <f>D368*E368</f>
        <v>1000000</v>
      </c>
      <c r="G368" s="2074">
        <v>1000000</v>
      </c>
      <c r="H368" s="2074" t="s">
        <v>4449</v>
      </c>
      <c r="I368" s="2093" t="s">
        <v>334</v>
      </c>
      <c r="J368" s="2074">
        <f t="shared" si="47"/>
        <v>1000000</v>
      </c>
      <c r="K368" s="2074">
        <f t="shared" si="48"/>
        <v>0</v>
      </c>
      <c r="L368" s="2013" t="s">
        <v>2685</v>
      </c>
    </row>
    <row r="369" spans="1:14" ht="30" customHeight="1" x14ac:dyDescent="0.2">
      <c r="A369" s="7654"/>
      <c r="B369" s="2068" t="s">
        <v>96</v>
      </c>
      <c r="C369" s="7723" t="s">
        <v>1718</v>
      </c>
      <c r="D369" s="2149">
        <v>55000000</v>
      </c>
      <c r="E369" s="2101">
        <v>0.05</v>
      </c>
      <c r="F369" s="2074">
        <f>D369*E369</f>
        <v>2750000</v>
      </c>
      <c r="G369" s="7563">
        <v>5250000</v>
      </c>
      <c r="H369" s="7563" t="s">
        <v>4402</v>
      </c>
      <c r="I369" s="7563" t="s">
        <v>4415</v>
      </c>
      <c r="J369" s="7563">
        <f>G369</f>
        <v>5250000</v>
      </c>
      <c r="K369" s="7563">
        <f>(F369+F370)-J369</f>
        <v>0</v>
      </c>
      <c r="L369" s="2072" t="s">
        <v>3882</v>
      </c>
    </row>
    <row r="370" spans="1:14" ht="30" customHeight="1" x14ac:dyDescent="0.2">
      <c r="A370" s="7655"/>
      <c r="B370" s="2068" t="s">
        <v>2011</v>
      </c>
      <c r="C370" s="7724"/>
      <c r="D370" s="2149">
        <v>50000000</v>
      </c>
      <c r="E370" s="2101">
        <v>0.05</v>
      </c>
      <c r="F370" s="2074">
        <f>D370*E370</f>
        <v>2500000</v>
      </c>
      <c r="G370" s="7564"/>
      <c r="H370" s="7564"/>
      <c r="I370" s="7564"/>
      <c r="J370" s="7564"/>
      <c r="K370" s="7564"/>
      <c r="L370" s="2072" t="s">
        <v>3882</v>
      </c>
    </row>
    <row r="371" spans="1:14" ht="30" customHeight="1" x14ac:dyDescent="0.2">
      <c r="A371" s="2065"/>
      <c r="B371" s="2068" t="s">
        <v>4008</v>
      </c>
      <c r="C371" s="2084" t="s">
        <v>262</v>
      </c>
      <c r="D371" s="2149">
        <v>10000000</v>
      </c>
      <c r="E371" s="2101">
        <v>0.05</v>
      </c>
      <c r="F371" s="2074">
        <f>D371*E371</f>
        <v>500000</v>
      </c>
      <c r="G371" s="2967">
        <v>500000</v>
      </c>
      <c r="H371" s="2967" t="s">
        <v>4449</v>
      </c>
      <c r="I371" s="2967"/>
      <c r="J371" s="2967">
        <f>G371</f>
        <v>500000</v>
      </c>
      <c r="K371" s="2074">
        <f>F371-J371</f>
        <v>0</v>
      </c>
      <c r="L371" s="2072" t="s">
        <v>4279</v>
      </c>
    </row>
    <row r="372" spans="1:14" ht="30" customHeight="1" x14ac:dyDescent="0.2">
      <c r="A372" s="2103">
        <v>238</v>
      </c>
      <c r="B372" s="2104" t="s">
        <v>97</v>
      </c>
      <c r="C372" s="2084" t="s">
        <v>1176</v>
      </c>
      <c r="D372" s="2074">
        <v>100000000</v>
      </c>
      <c r="E372" s="2101">
        <v>0.05</v>
      </c>
      <c r="F372" s="2074">
        <f t="shared" si="38"/>
        <v>5000000</v>
      </c>
      <c r="G372" s="2074">
        <v>5000000</v>
      </c>
      <c r="H372" s="2074" t="s">
        <v>4402</v>
      </c>
      <c r="I372" s="18" t="s">
        <v>3492</v>
      </c>
      <c r="J372" s="2074">
        <f t="shared" si="47"/>
        <v>5000000</v>
      </c>
      <c r="K372" s="2074">
        <f t="shared" si="48"/>
        <v>0</v>
      </c>
      <c r="L372" s="2104"/>
    </row>
    <row r="373" spans="1:14" ht="30" customHeight="1" x14ac:dyDescent="0.2">
      <c r="A373" s="2103">
        <v>239</v>
      </c>
      <c r="B373" s="2104" t="s">
        <v>98</v>
      </c>
      <c r="C373" s="2084" t="s">
        <v>372</v>
      </c>
      <c r="D373" s="2074">
        <v>50000000</v>
      </c>
      <c r="E373" s="2101">
        <v>0.05</v>
      </c>
      <c r="F373" s="2074">
        <f t="shared" si="38"/>
        <v>2500000</v>
      </c>
      <c r="G373" s="2074">
        <v>2500000</v>
      </c>
      <c r="H373" s="2074" t="s">
        <v>4475</v>
      </c>
      <c r="I373" s="21" t="s">
        <v>2986</v>
      </c>
      <c r="J373" s="2074">
        <f t="shared" si="47"/>
        <v>2500000</v>
      </c>
      <c r="K373" s="2074">
        <f t="shared" si="48"/>
        <v>0</v>
      </c>
      <c r="L373" s="2410" t="s">
        <v>4503</v>
      </c>
    </row>
    <row r="374" spans="1:14" ht="30" customHeight="1" x14ac:dyDescent="0.2">
      <c r="A374" s="2063">
        <v>240</v>
      </c>
      <c r="B374" s="2106" t="s">
        <v>2274</v>
      </c>
      <c r="C374" s="345" t="s">
        <v>990</v>
      </c>
      <c r="D374" s="2073">
        <v>100000000</v>
      </c>
      <c r="E374" s="2075">
        <v>0.04</v>
      </c>
      <c r="F374" s="2073">
        <f t="shared" si="38"/>
        <v>4000000</v>
      </c>
      <c r="G374" s="2074"/>
      <c r="H374" s="2074"/>
      <c r="I374" s="21" t="s">
        <v>3776</v>
      </c>
      <c r="J374" s="2074">
        <f t="shared" si="47"/>
        <v>0</v>
      </c>
      <c r="K374" s="2074">
        <f t="shared" si="48"/>
        <v>4000000</v>
      </c>
      <c r="L374" s="2133"/>
    </row>
    <row r="375" spans="1:14" ht="30" customHeight="1" x14ac:dyDescent="0.2">
      <c r="A375" s="7654">
        <v>241</v>
      </c>
      <c r="B375" s="7652" t="s">
        <v>559</v>
      </c>
      <c r="C375" s="7723" t="s">
        <v>1796</v>
      </c>
      <c r="D375" s="2062">
        <v>20000000</v>
      </c>
      <c r="E375" s="2101">
        <v>7.0000000000000007E-2</v>
      </c>
      <c r="F375" s="2062">
        <f>D375*E375</f>
        <v>1400000.0000000002</v>
      </c>
      <c r="G375" s="7563">
        <v>2300000</v>
      </c>
      <c r="H375" s="7563" t="s">
        <v>4310</v>
      </c>
      <c r="I375" s="7772" t="s">
        <v>557</v>
      </c>
      <c r="J375" s="7563">
        <f t="shared" si="47"/>
        <v>2300000</v>
      </c>
      <c r="K375" s="7563">
        <f>(F375+F376)-J375</f>
        <v>0</v>
      </c>
      <c r="L375" s="8037" t="s">
        <v>3952</v>
      </c>
    </row>
    <row r="376" spans="1:14" ht="30" customHeight="1" x14ac:dyDescent="0.2">
      <c r="A376" s="7656"/>
      <c r="B376" s="7665"/>
      <c r="C376" s="7747"/>
      <c r="D376" s="2062">
        <v>10000000</v>
      </c>
      <c r="E376" s="2101">
        <v>0.09</v>
      </c>
      <c r="F376" s="2062">
        <f>D376*E376</f>
        <v>900000</v>
      </c>
      <c r="G376" s="7564"/>
      <c r="H376" s="7564"/>
      <c r="I376" s="7773"/>
      <c r="J376" s="7564"/>
      <c r="K376" s="7564"/>
      <c r="L376" s="7758"/>
    </row>
    <row r="377" spans="1:14" ht="30" customHeight="1" x14ac:dyDescent="0.2">
      <c r="A377" s="7656"/>
      <c r="B377" s="7665"/>
      <c r="C377" s="7747"/>
      <c r="D377" s="2772">
        <v>20000000</v>
      </c>
      <c r="E377" s="2778">
        <v>7.0000000000000007E-2</v>
      </c>
      <c r="F377" s="2772">
        <f>D377*E377</f>
        <v>1400000.0000000002</v>
      </c>
      <c r="G377" s="7563">
        <v>2300000</v>
      </c>
      <c r="H377" s="7563" t="s">
        <v>4778</v>
      </c>
      <c r="I377" s="7772" t="s">
        <v>557</v>
      </c>
      <c r="J377" s="7563">
        <f>G377</f>
        <v>2300000</v>
      </c>
      <c r="K377" s="7563">
        <f>(F377+F378)-J377</f>
        <v>0</v>
      </c>
      <c r="L377" s="7757" t="s">
        <v>4437</v>
      </c>
    </row>
    <row r="378" spans="1:14" ht="30" customHeight="1" x14ac:dyDescent="0.2">
      <c r="A378" s="7655"/>
      <c r="B378" s="7653"/>
      <c r="C378" s="7724"/>
      <c r="D378" s="2772">
        <v>10000000</v>
      </c>
      <c r="E378" s="2778">
        <v>0.09</v>
      </c>
      <c r="F378" s="2772">
        <f>D378*E378</f>
        <v>900000</v>
      </c>
      <c r="G378" s="7564"/>
      <c r="H378" s="7564"/>
      <c r="I378" s="7773"/>
      <c r="J378" s="7564"/>
      <c r="K378" s="7564"/>
      <c r="L378" s="7758"/>
    </row>
    <row r="379" spans="1:14" ht="30" customHeight="1" x14ac:dyDescent="0.2">
      <c r="A379" s="2103">
        <v>242</v>
      </c>
      <c r="B379" s="2104" t="s">
        <v>100</v>
      </c>
      <c r="C379" s="2084" t="s">
        <v>1652</v>
      </c>
      <c r="D379" s="2074">
        <v>140000000</v>
      </c>
      <c r="E379" s="2077">
        <v>4.4999999999999998E-2</v>
      </c>
      <c r="F379" s="2074">
        <f t="shared" si="38"/>
        <v>6300000</v>
      </c>
      <c r="G379" s="2074">
        <v>6300000</v>
      </c>
      <c r="H379" s="2074" t="s">
        <v>1193</v>
      </c>
      <c r="I379" s="21" t="s">
        <v>3493</v>
      </c>
      <c r="J379" s="2074">
        <f>G379</f>
        <v>6300000</v>
      </c>
      <c r="K379" s="2074">
        <f t="shared" ref="K379:K392" si="49">F379-J379</f>
        <v>0</v>
      </c>
      <c r="L379" s="2133"/>
    </row>
    <row r="380" spans="1:14" ht="30" customHeight="1" x14ac:dyDescent="0.2">
      <c r="A380" s="2103">
        <v>243</v>
      </c>
      <c r="B380" s="19" t="s">
        <v>507</v>
      </c>
      <c r="C380" s="2105" t="s">
        <v>262</v>
      </c>
      <c r="D380" s="2062">
        <v>20000000</v>
      </c>
      <c r="E380" s="2101">
        <v>0.04</v>
      </c>
      <c r="F380" s="2062">
        <f>D380*E380</f>
        <v>800000</v>
      </c>
      <c r="G380" s="2062">
        <v>800000</v>
      </c>
      <c r="H380" s="2062" t="s">
        <v>4449</v>
      </c>
      <c r="I380" s="2062" t="s">
        <v>3564</v>
      </c>
      <c r="J380" s="2062">
        <f>G380</f>
        <v>800000</v>
      </c>
      <c r="K380" s="2062">
        <f t="shared" si="49"/>
        <v>0</v>
      </c>
      <c r="L380" s="2133"/>
      <c r="M380" s="248"/>
      <c r="N380" s="248"/>
    </row>
    <row r="381" spans="1:14" ht="30" customHeight="1" x14ac:dyDescent="0.2">
      <c r="A381" s="2103">
        <v>244</v>
      </c>
      <c r="B381" s="2068" t="s">
        <v>101</v>
      </c>
      <c r="C381" s="2084" t="s">
        <v>372</v>
      </c>
      <c r="D381" s="2074">
        <v>50000000</v>
      </c>
      <c r="E381" s="2101">
        <v>0.05</v>
      </c>
      <c r="F381" s="2074">
        <f t="shared" si="38"/>
        <v>2500000</v>
      </c>
      <c r="G381" s="2074">
        <v>2500000</v>
      </c>
      <c r="H381" s="2074" t="s">
        <v>4402</v>
      </c>
      <c r="I381" s="21" t="s">
        <v>3530</v>
      </c>
      <c r="J381" s="2074">
        <f>G381</f>
        <v>2500000</v>
      </c>
      <c r="K381" s="2074">
        <f t="shared" si="49"/>
        <v>0</v>
      </c>
      <c r="L381" s="2104"/>
    </row>
    <row r="382" spans="1:14" ht="30" customHeight="1" x14ac:dyDescent="0.2">
      <c r="A382" s="2103">
        <v>245</v>
      </c>
      <c r="B382" s="2104" t="s">
        <v>4058</v>
      </c>
      <c r="C382" s="2084" t="s">
        <v>262</v>
      </c>
      <c r="D382" s="2074">
        <v>70000000</v>
      </c>
      <c r="E382" s="2101">
        <v>0.05</v>
      </c>
      <c r="F382" s="2074">
        <f t="shared" si="38"/>
        <v>3500000</v>
      </c>
      <c r="G382" s="2074">
        <v>5000000</v>
      </c>
      <c r="H382" s="2074" t="s">
        <v>4449</v>
      </c>
      <c r="I382" s="2096" t="s">
        <v>4064</v>
      </c>
      <c r="J382" s="2074">
        <f>G382</f>
        <v>5000000</v>
      </c>
      <c r="K382" s="2074">
        <f t="shared" si="49"/>
        <v>-1500000</v>
      </c>
      <c r="L382" s="2127" t="s">
        <v>4450</v>
      </c>
    </row>
    <row r="383" spans="1:14" ht="30" customHeight="1" x14ac:dyDescent="0.2">
      <c r="A383" s="2103">
        <v>246</v>
      </c>
      <c r="B383" s="2104" t="s">
        <v>103</v>
      </c>
      <c r="C383" s="2084" t="s">
        <v>262</v>
      </c>
      <c r="D383" s="2074">
        <v>85000000</v>
      </c>
      <c r="E383" s="2101">
        <v>5.0999999999999997E-2</v>
      </c>
      <c r="F383" s="2074">
        <v>4300000</v>
      </c>
      <c r="G383" s="2074">
        <v>4300000</v>
      </c>
      <c r="H383" s="2074" t="s">
        <v>4449</v>
      </c>
      <c r="I383" s="27" t="s">
        <v>2864</v>
      </c>
      <c r="J383" s="2074">
        <f t="shared" ref="J383:J394" si="50">G383</f>
        <v>4300000</v>
      </c>
      <c r="K383" s="2074">
        <f t="shared" si="49"/>
        <v>0</v>
      </c>
      <c r="L383" s="2104"/>
    </row>
    <row r="384" spans="1:14" ht="30" customHeight="1" x14ac:dyDescent="0.2">
      <c r="A384" s="2103">
        <v>247</v>
      </c>
      <c r="B384" s="2104" t="s">
        <v>104</v>
      </c>
      <c r="C384" s="2084" t="s">
        <v>262</v>
      </c>
      <c r="D384" s="2074">
        <v>220000000</v>
      </c>
      <c r="E384" s="2101">
        <v>7.0000000000000007E-2</v>
      </c>
      <c r="F384" s="2074">
        <f t="shared" si="38"/>
        <v>15400000.000000002</v>
      </c>
      <c r="G384" s="2074">
        <v>15400000</v>
      </c>
      <c r="H384" s="2074" t="s">
        <v>4449</v>
      </c>
      <c r="I384" s="21" t="s">
        <v>4090</v>
      </c>
      <c r="J384" s="2074">
        <f t="shared" si="50"/>
        <v>15400000</v>
      </c>
      <c r="K384" s="2074">
        <f t="shared" si="49"/>
        <v>0</v>
      </c>
      <c r="L384" s="2133" t="s">
        <v>340</v>
      </c>
      <c r="M384" s="858"/>
      <c r="N384" s="859"/>
    </row>
    <row r="385" spans="1:15" ht="30" customHeight="1" x14ac:dyDescent="0.2">
      <c r="A385" s="7654">
        <v>250</v>
      </c>
      <c r="B385" s="7652" t="s">
        <v>107</v>
      </c>
      <c r="C385" s="7723"/>
      <c r="D385" s="2074">
        <v>200000000</v>
      </c>
      <c r="E385" s="2101">
        <v>0.04</v>
      </c>
      <c r="F385" s="2074">
        <f t="shared" si="38"/>
        <v>8000000</v>
      </c>
      <c r="G385" s="7563">
        <v>20500000</v>
      </c>
      <c r="H385" s="7563" t="s">
        <v>4426</v>
      </c>
      <c r="I385" s="7871" t="s">
        <v>1220</v>
      </c>
      <c r="J385" s="7563">
        <f t="shared" si="50"/>
        <v>20500000</v>
      </c>
      <c r="K385" s="7563">
        <f>(F385+F386)-J385</f>
        <v>0</v>
      </c>
      <c r="L385" s="2104"/>
    </row>
    <row r="386" spans="1:15" ht="30" customHeight="1" x14ac:dyDescent="0.2">
      <c r="A386" s="7655"/>
      <c r="B386" s="7653"/>
      <c r="C386" s="7724"/>
      <c r="D386" s="2074">
        <v>250000000</v>
      </c>
      <c r="E386" s="2101">
        <v>0.05</v>
      </c>
      <c r="F386" s="2074">
        <f t="shared" si="38"/>
        <v>12500000</v>
      </c>
      <c r="G386" s="7564"/>
      <c r="H386" s="7564"/>
      <c r="I386" s="7872"/>
      <c r="J386" s="7564"/>
      <c r="K386" s="7564"/>
      <c r="L386" s="2168"/>
    </row>
    <row r="387" spans="1:15" ht="30" customHeight="1" x14ac:dyDescent="0.2">
      <c r="A387" s="7654">
        <v>251</v>
      </c>
      <c r="B387" s="7652" t="s">
        <v>1830</v>
      </c>
      <c r="C387" s="7723" t="s">
        <v>371</v>
      </c>
      <c r="D387" s="2595">
        <v>90000000</v>
      </c>
      <c r="E387" s="2606">
        <v>0.06</v>
      </c>
      <c r="F387" s="2595">
        <f t="shared" si="38"/>
        <v>5400000</v>
      </c>
      <c r="G387" s="2595">
        <v>5400000</v>
      </c>
      <c r="H387" s="7482" t="s">
        <v>4462</v>
      </c>
      <c r="I387" s="7857" t="s">
        <v>4463</v>
      </c>
      <c r="J387" s="2595">
        <f t="shared" si="50"/>
        <v>5400000</v>
      </c>
      <c r="K387" s="2595">
        <f t="shared" si="49"/>
        <v>0</v>
      </c>
      <c r="L387" s="2610"/>
    </row>
    <row r="388" spans="1:15" ht="30" customHeight="1" x14ac:dyDescent="0.2">
      <c r="A388" s="7656"/>
      <c r="B388" s="7665"/>
      <c r="C388" s="7747"/>
      <c r="D388" s="2595">
        <v>100000000</v>
      </c>
      <c r="E388" s="2606">
        <v>7.0000000000000007E-2</v>
      </c>
      <c r="F388" s="2595">
        <f t="shared" si="38"/>
        <v>7000000.0000000009</v>
      </c>
      <c r="G388" s="2595">
        <v>7000000</v>
      </c>
      <c r="H388" s="7482"/>
      <c r="I388" s="7857"/>
      <c r="J388" s="2595">
        <f t="shared" si="50"/>
        <v>7000000</v>
      </c>
      <c r="K388" s="2595">
        <f t="shared" si="49"/>
        <v>0</v>
      </c>
      <c r="L388" s="2602"/>
    </row>
    <row r="389" spans="1:15" ht="30" customHeight="1" x14ac:dyDescent="0.2">
      <c r="A389" s="7655"/>
      <c r="B389" s="7653"/>
      <c r="C389" s="7724"/>
      <c r="D389" s="2597">
        <v>40000000</v>
      </c>
      <c r="E389" s="2598">
        <v>7.0000000000000007E-2</v>
      </c>
      <c r="F389" s="2597">
        <f t="shared" si="38"/>
        <v>2800000.0000000005</v>
      </c>
      <c r="G389" s="7732" t="s">
        <v>4645</v>
      </c>
      <c r="H389" s="7733"/>
      <c r="I389" s="7733"/>
      <c r="J389" s="7734"/>
      <c r="K389" s="2597"/>
      <c r="L389" s="2602"/>
    </row>
    <row r="390" spans="1:15" ht="30" customHeight="1" x14ac:dyDescent="0.2">
      <c r="A390" s="2541"/>
      <c r="B390" s="2538" t="s">
        <v>4605</v>
      </c>
      <c r="C390" s="345"/>
      <c r="D390" s="2528">
        <v>150000000</v>
      </c>
      <c r="E390" s="2532"/>
      <c r="F390" s="2531"/>
      <c r="G390" s="2521"/>
      <c r="H390" s="2523"/>
      <c r="I390" s="542"/>
      <c r="J390" s="2533"/>
      <c r="K390" s="2531"/>
      <c r="L390" s="2536" t="s">
        <v>4606</v>
      </c>
    </row>
    <row r="391" spans="1:15" ht="30" customHeight="1" x14ac:dyDescent="0.2">
      <c r="A391" s="2541"/>
      <c r="B391" s="2538" t="s">
        <v>4609</v>
      </c>
      <c r="C391" s="345"/>
      <c r="D391" s="2528"/>
      <c r="E391" s="2532"/>
      <c r="F391" s="2531"/>
      <c r="G391" s="2521"/>
      <c r="H391" s="2523"/>
      <c r="I391" s="542"/>
      <c r="J391" s="2533"/>
      <c r="K391" s="2531"/>
      <c r="L391" s="2536"/>
    </row>
    <row r="392" spans="1:15" ht="30" customHeight="1" x14ac:dyDescent="0.2">
      <c r="A392" s="7654">
        <v>252</v>
      </c>
      <c r="B392" s="7652" t="s">
        <v>109</v>
      </c>
      <c r="C392" s="7723" t="s">
        <v>262</v>
      </c>
      <c r="D392" s="2074">
        <v>270000000</v>
      </c>
      <c r="E392" s="2077">
        <v>0.05</v>
      </c>
      <c r="F392" s="2074">
        <f>D392*E392</f>
        <v>13500000</v>
      </c>
      <c r="G392" s="7954" t="s">
        <v>4284</v>
      </c>
      <c r="H392" s="7955"/>
      <c r="I392" s="7955"/>
      <c r="J392" s="7956"/>
      <c r="K392" s="2074">
        <f t="shared" si="49"/>
        <v>13500000</v>
      </c>
      <c r="L392" s="2066"/>
    </row>
    <row r="393" spans="1:15" ht="30" customHeight="1" x14ac:dyDescent="0.2">
      <c r="A393" s="7655"/>
      <c r="B393" s="7653"/>
      <c r="C393" s="7724"/>
      <c r="D393" s="2337">
        <v>70000000</v>
      </c>
      <c r="E393" s="2334">
        <v>0.05</v>
      </c>
      <c r="F393" s="2337">
        <f>D393*E393</f>
        <v>3500000</v>
      </c>
      <c r="G393" s="7732" t="s">
        <v>4425</v>
      </c>
      <c r="H393" s="7733"/>
      <c r="I393" s="7733"/>
      <c r="J393" s="7734"/>
      <c r="K393" s="2336"/>
      <c r="L393" s="2347" t="s">
        <v>4424</v>
      </c>
    </row>
    <row r="394" spans="1:15" ht="30" customHeight="1" x14ac:dyDescent="0.2">
      <c r="A394" s="7654">
        <v>253</v>
      </c>
      <c r="B394" s="7652" t="s">
        <v>110</v>
      </c>
      <c r="C394" s="7723" t="s">
        <v>262</v>
      </c>
      <c r="D394" s="2074">
        <v>20000000</v>
      </c>
      <c r="E394" s="2101">
        <v>0.05</v>
      </c>
      <c r="F394" s="2074">
        <f t="shared" si="38"/>
        <v>1000000</v>
      </c>
      <c r="G394" s="7563">
        <v>2000000</v>
      </c>
      <c r="H394" s="7563" t="s">
        <v>4449</v>
      </c>
      <c r="I394" s="7775" t="s">
        <v>3538</v>
      </c>
      <c r="J394" s="7563">
        <f t="shared" si="50"/>
        <v>2000000</v>
      </c>
      <c r="K394" s="7563">
        <f>(F394+F395)-J394</f>
        <v>0</v>
      </c>
      <c r="L394" s="2134" t="s">
        <v>1855</v>
      </c>
      <c r="M394" s="1175"/>
      <c r="N394" s="1175"/>
      <c r="O394" s="1175"/>
    </row>
    <row r="395" spans="1:15" ht="30" customHeight="1" x14ac:dyDescent="0.2">
      <c r="A395" s="7655"/>
      <c r="B395" s="7653"/>
      <c r="C395" s="7724"/>
      <c r="D395" s="2074">
        <v>20000000</v>
      </c>
      <c r="E395" s="2101">
        <v>0.05</v>
      </c>
      <c r="F395" s="2074">
        <f t="shared" si="38"/>
        <v>1000000</v>
      </c>
      <c r="G395" s="7564"/>
      <c r="H395" s="7564"/>
      <c r="I395" s="7777"/>
      <c r="J395" s="7564"/>
      <c r="K395" s="7564"/>
      <c r="L395" s="2134" t="s">
        <v>1869</v>
      </c>
      <c r="M395" s="248"/>
      <c r="N395" s="248"/>
      <c r="O395" s="248"/>
    </row>
    <row r="396" spans="1:15" ht="30" customHeight="1" x14ac:dyDescent="0.2">
      <c r="A396" s="7654">
        <v>254</v>
      </c>
      <c r="B396" s="7703" t="s">
        <v>1893</v>
      </c>
      <c r="C396" s="7723" t="s">
        <v>371</v>
      </c>
      <c r="D396" s="2074">
        <v>175000000</v>
      </c>
      <c r="E396" s="2101">
        <v>0.05</v>
      </c>
      <c r="F396" s="2074">
        <f t="shared" si="38"/>
        <v>8750000</v>
      </c>
      <c r="G396" s="2062">
        <v>8750000</v>
      </c>
      <c r="H396" s="2062" t="s">
        <v>4449</v>
      </c>
      <c r="I396" s="2062" t="s">
        <v>2946</v>
      </c>
      <c r="J396" s="2074">
        <f>G396</f>
        <v>8750000</v>
      </c>
      <c r="K396" s="2074">
        <f>F396-J396</f>
        <v>0</v>
      </c>
      <c r="L396" s="2134" t="s">
        <v>3952</v>
      </c>
      <c r="M396" s="1662"/>
      <c r="N396" s="1662"/>
      <c r="O396" s="1662"/>
    </row>
    <row r="397" spans="1:15" ht="30" customHeight="1" x14ac:dyDescent="0.2">
      <c r="A397" s="7656"/>
      <c r="B397" s="7704"/>
      <c r="C397" s="7747"/>
      <c r="D397" s="2792">
        <v>90000000</v>
      </c>
      <c r="E397" s="2801">
        <v>0.06</v>
      </c>
      <c r="F397" s="2792">
        <f t="shared" si="38"/>
        <v>5400000</v>
      </c>
      <c r="G397" s="7552" t="s">
        <v>4797</v>
      </c>
      <c r="H397" s="7843"/>
      <c r="I397" s="7843"/>
      <c r="J397" s="7844"/>
      <c r="K397" s="2792"/>
      <c r="L397" s="2806"/>
      <c r="M397" s="248"/>
      <c r="N397" s="248"/>
      <c r="O397" s="248"/>
    </row>
    <row r="398" spans="1:15" ht="30" customHeight="1" x14ac:dyDescent="0.2">
      <c r="A398" s="7655"/>
      <c r="B398" s="7705"/>
      <c r="C398" s="7724"/>
      <c r="D398" s="3038">
        <v>265000000</v>
      </c>
      <c r="E398" s="3044"/>
      <c r="F398" s="3038"/>
      <c r="G398" s="2794"/>
      <c r="H398" s="2796"/>
      <c r="I398" s="2789"/>
      <c r="J398" s="2795"/>
      <c r="K398" s="2792"/>
      <c r="L398" s="2806"/>
      <c r="M398" s="248"/>
      <c r="N398" s="248"/>
      <c r="O398" s="248"/>
    </row>
    <row r="399" spans="1:15" ht="30" customHeight="1" x14ac:dyDescent="0.2">
      <c r="A399" s="3">
        <v>255</v>
      </c>
      <c r="B399" s="3046" t="s">
        <v>112</v>
      </c>
      <c r="C399" s="3045" t="s">
        <v>262</v>
      </c>
      <c r="D399" s="2074">
        <v>40000000</v>
      </c>
      <c r="E399" s="2101">
        <v>0.05</v>
      </c>
      <c r="F399" s="2074">
        <f t="shared" si="38"/>
        <v>2000000</v>
      </c>
      <c r="G399" s="2074">
        <v>2000000</v>
      </c>
      <c r="H399" s="2074" t="s">
        <v>4449</v>
      </c>
      <c r="I399" s="18" t="s">
        <v>3539</v>
      </c>
      <c r="J399" s="2074">
        <f>G399</f>
        <v>2000000</v>
      </c>
      <c r="K399" s="2074">
        <f>F399-J399</f>
        <v>0</v>
      </c>
      <c r="L399" s="2104"/>
    </row>
    <row r="400" spans="1:15" ht="30" customHeight="1" x14ac:dyDescent="0.2">
      <c r="A400" s="2103">
        <v>256</v>
      </c>
      <c r="B400" s="2104" t="s">
        <v>113</v>
      </c>
      <c r="C400" s="2084" t="s">
        <v>371</v>
      </c>
      <c r="D400" s="2074">
        <v>100000000</v>
      </c>
      <c r="E400" s="2101">
        <v>0.05</v>
      </c>
      <c r="F400" s="2074">
        <f t="shared" si="38"/>
        <v>5000000</v>
      </c>
      <c r="G400" s="2074">
        <v>5000000</v>
      </c>
      <c r="H400" s="2074" t="s">
        <v>4449</v>
      </c>
      <c r="I400" s="18" t="s">
        <v>4453</v>
      </c>
      <c r="J400" s="2074">
        <f>G400</f>
        <v>5000000</v>
      </c>
      <c r="K400" s="2074">
        <f>F400-J400</f>
        <v>0</v>
      </c>
      <c r="L400" s="2104"/>
    </row>
    <row r="401" spans="1:12" ht="30" customHeight="1" x14ac:dyDescent="0.2">
      <c r="A401" s="2103">
        <v>257</v>
      </c>
      <c r="B401" s="2104" t="s">
        <v>114</v>
      </c>
      <c r="C401" s="2084" t="s">
        <v>1292</v>
      </c>
      <c r="D401" s="2074">
        <v>30000000</v>
      </c>
      <c r="E401" s="2101">
        <v>0.05</v>
      </c>
      <c r="F401" s="2074">
        <f t="shared" si="38"/>
        <v>1500000</v>
      </c>
      <c r="G401" s="2074">
        <v>1500000</v>
      </c>
      <c r="H401" s="2074" t="s">
        <v>4462</v>
      </c>
      <c r="I401" s="21" t="s">
        <v>482</v>
      </c>
      <c r="J401" s="2074">
        <f>G401</f>
        <v>1500000</v>
      </c>
      <c r="K401" s="2074">
        <f>F401-J401</f>
        <v>0</v>
      </c>
      <c r="L401" s="2104"/>
    </row>
    <row r="402" spans="1:12" ht="30" customHeight="1" x14ac:dyDescent="0.2">
      <c r="A402" s="2103">
        <v>258</v>
      </c>
      <c r="B402" s="2104" t="s">
        <v>849</v>
      </c>
      <c r="C402" s="2084" t="s">
        <v>262</v>
      </c>
      <c r="D402" s="2074">
        <v>12000000</v>
      </c>
      <c r="E402" s="2101">
        <v>0.05</v>
      </c>
      <c r="F402" s="2074">
        <f t="shared" si="38"/>
        <v>600000</v>
      </c>
      <c r="G402" s="7563">
        <v>1600000</v>
      </c>
      <c r="H402" s="7563" t="s">
        <v>2473</v>
      </c>
      <c r="I402" s="7772" t="s">
        <v>475</v>
      </c>
      <c r="J402" s="7563">
        <f>G402</f>
        <v>1600000</v>
      </c>
      <c r="K402" s="7563">
        <f>(F402+F403)-J402</f>
        <v>0</v>
      </c>
      <c r="L402" s="7703"/>
    </row>
    <row r="403" spans="1:12" ht="30" customHeight="1" x14ac:dyDescent="0.2">
      <c r="A403" s="2103">
        <v>259</v>
      </c>
      <c r="B403" s="2104" t="s">
        <v>156</v>
      </c>
      <c r="C403" s="2084" t="s">
        <v>262</v>
      </c>
      <c r="D403" s="2074">
        <v>20000000</v>
      </c>
      <c r="E403" s="2101">
        <v>0.05</v>
      </c>
      <c r="F403" s="2074">
        <f>D403*E403</f>
        <v>1000000</v>
      </c>
      <c r="G403" s="7564"/>
      <c r="H403" s="7564"/>
      <c r="I403" s="7773"/>
      <c r="J403" s="7564"/>
      <c r="K403" s="7564"/>
      <c r="L403" s="7705"/>
    </row>
    <row r="404" spans="1:12" ht="30" customHeight="1" x14ac:dyDescent="0.2">
      <c r="A404" s="7654">
        <v>261</v>
      </c>
      <c r="B404" s="7652" t="s">
        <v>117</v>
      </c>
      <c r="C404" s="2084" t="s">
        <v>1300</v>
      </c>
      <c r="D404" s="2074">
        <v>10500000</v>
      </c>
      <c r="E404" s="2101">
        <v>0.05</v>
      </c>
      <c r="F404" s="2074">
        <f t="shared" si="38"/>
        <v>525000</v>
      </c>
      <c r="G404" s="7482">
        <v>1872500</v>
      </c>
      <c r="H404" s="7563" t="s">
        <v>4310</v>
      </c>
      <c r="I404" s="7772" t="s">
        <v>3671</v>
      </c>
      <c r="J404" s="7563">
        <f t="shared" ref="J404:J409" si="51">G404</f>
        <v>1872500</v>
      </c>
      <c r="K404" s="7563">
        <v>0</v>
      </c>
      <c r="L404" s="7674" t="s">
        <v>4319</v>
      </c>
    </row>
    <row r="405" spans="1:12" ht="30" customHeight="1" x14ac:dyDescent="0.2">
      <c r="A405" s="7656"/>
      <c r="B405" s="7665"/>
      <c r="C405" s="7723" t="s">
        <v>3323</v>
      </c>
      <c r="D405" s="2074">
        <v>10000000</v>
      </c>
      <c r="E405" s="2101">
        <v>7.0000000000000007E-2</v>
      </c>
      <c r="F405" s="2074">
        <f>D405*E405</f>
        <v>700000.00000000012</v>
      </c>
      <c r="G405" s="7482"/>
      <c r="H405" s="7586"/>
      <c r="I405" s="8185"/>
      <c r="J405" s="7586"/>
      <c r="K405" s="7586"/>
      <c r="L405" s="8186"/>
    </row>
    <row r="406" spans="1:12" ht="30" customHeight="1" x14ac:dyDescent="0.2">
      <c r="A406" s="7656"/>
      <c r="B406" s="7665"/>
      <c r="C406" s="7747"/>
      <c r="D406" s="2074">
        <v>5000000</v>
      </c>
      <c r="E406" s="2101">
        <v>7.0000000000000007E-2</v>
      </c>
      <c r="F406" s="2074">
        <f>D406*E406</f>
        <v>350000.00000000006</v>
      </c>
      <c r="G406" s="7482"/>
      <c r="H406" s="7564"/>
      <c r="I406" s="7773"/>
      <c r="J406" s="7564"/>
      <c r="K406" s="7564"/>
      <c r="L406" s="7675"/>
    </row>
    <row r="407" spans="1:12" ht="30" customHeight="1" x14ac:dyDescent="0.2">
      <c r="A407" s="2630"/>
      <c r="B407" s="2631"/>
      <c r="C407" s="7724"/>
      <c r="D407" s="2649">
        <v>25500000</v>
      </c>
      <c r="E407" s="896"/>
      <c r="F407" s="2649">
        <f>SUM(F404:F406)</f>
        <v>1575000</v>
      </c>
      <c r="G407" s="2632"/>
      <c r="H407" s="2625"/>
      <c r="I407" s="2636"/>
      <c r="J407" s="2625"/>
      <c r="K407" s="2625"/>
      <c r="L407" s="2638"/>
    </row>
    <row r="408" spans="1:12" ht="30" customHeight="1" x14ac:dyDescent="0.2">
      <c r="A408" s="2103">
        <v>263</v>
      </c>
      <c r="B408" s="19" t="s">
        <v>572</v>
      </c>
      <c r="C408" s="2105"/>
      <c r="D408" s="2062">
        <v>105000000</v>
      </c>
      <c r="E408" s="2101">
        <v>5.8000000000000003E-2</v>
      </c>
      <c r="F408" s="2062">
        <v>6000000</v>
      </c>
      <c r="G408" s="2062">
        <v>6000000</v>
      </c>
      <c r="H408" s="2062" t="s">
        <v>3865</v>
      </c>
      <c r="I408" s="2062" t="s">
        <v>451</v>
      </c>
      <c r="J408" s="2062">
        <f t="shared" si="51"/>
        <v>6000000</v>
      </c>
      <c r="K408" s="2062">
        <f>F408-J408</f>
        <v>0</v>
      </c>
      <c r="L408" s="2113" t="s">
        <v>3478</v>
      </c>
    </row>
    <row r="409" spans="1:12" ht="30" customHeight="1" x14ac:dyDescent="0.2">
      <c r="A409" s="2065">
        <v>264</v>
      </c>
      <c r="B409" s="2068" t="s">
        <v>119</v>
      </c>
      <c r="C409" s="2084" t="s">
        <v>262</v>
      </c>
      <c r="D409" s="2074">
        <v>50000000</v>
      </c>
      <c r="E409" s="2077">
        <f>F409/D409</f>
        <v>0.06</v>
      </c>
      <c r="F409" s="2074">
        <v>3000000</v>
      </c>
      <c r="G409" s="2074">
        <v>3000000</v>
      </c>
      <c r="H409" s="2379" t="s">
        <v>4449</v>
      </c>
      <c r="I409" s="24" t="s">
        <v>3563</v>
      </c>
      <c r="J409" s="2074">
        <f t="shared" si="51"/>
        <v>3000000</v>
      </c>
      <c r="K409" s="2074">
        <f>F409-J409</f>
        <v>0</v>
      </c>
      <c r="L409" s="2134" t="s">
        <v>3860</v>
      </c>
    </row>
    <row r="410" spans="1:12" ht="30" customHeight="1" x14ac:dyDescent="0.2">
      <c r="A410" s="7654">
        <v>265</v>
      </c>
      <c r="B410" s="7717" t="s">
        <v>121</v>
      </c>
      <c r="C410" s="7873" t="s">
        <v>262</v>
      </c>
      <c r="D410" s="7563">
        <v>1000000000</v>
      </c>
      <c r="E410" s="7659">
        <v>7.0000000000000007E-2</v>
      </c>
      <c r="F410" s="7563">
        <f>D410*E410</f>
        <v>70000000</v>
      </c>
      <c r="G410" s="7470" t="s">
        <v>4420</v>
      </c>
      <c r="H410" s="7493"/>
      <c r="I410" s="7510"/>
      <c r="J410" s="7482">
        <f>42000000+G411</f>
        <v>42000000</v>
      </c>
      <c r="K410" s="7563">
        <f>F410-J410</f>
        <v>28000000</v>
      </c>
      <c r="L410" s="2113" t="s">
        <v>3283</v>
      </c>
    </row>
    <row r="411" spans="1:12" ht="30" customHeight="1" x14ac:dyDescent="0.2">
      <c r="A411" s="7656"/>
      <c r="B411" s="7717"/>
      <c r="C411" s="7873"/>
      <c r="D411" s="7564"/>
      <c r="E411" s="7660"/>
      <c r="F411" s="7564"/>
      <c r="G411" s="2337"/>
      <c r="H411" s="2337"/>
      <c r="I411" s="2337" t="s">
        <v>3290</v>
      </c>
      <c r="J411" s="7482"/>
      <c r="K411" s="7564"/>
      <c r="L411" s="1540"/>
    </row>
    <row r="412" spans="1:12" ht="30" customHeight="1" x14ac:dyDescent="0.2">
      <c r="A412" s="2103">
        <v>266</v>
      </c>
      <c r="B412" s="2068" t="s">
        <v>1918</v>
      </c>
      <c r="C412" s="2084"/>
      <c r="D412" s="2074">
        <v>80000000</v>
      </c>
      <c r="E412" s="2077">
        <v>4.4999999999999998E-2</v>
      </c>
      <c r="F412" s="2074">
        <f t="shared" ref="F412:F491" si="52">D412*E412</f>
        <v>3600000</v>
      </c>
      <c r="G412" s="2074">
        <v>3600000</v>
      </c>
      <c r="H412" s="2074" t="s">
        <v>4449</v>
      </c>
      <c r="I412" s="18" t="s">
        <v>4065</v>
      </c>
      <c r="J412" s="2074">
        <f>G412</f>
        <v>3600000</v>
      </c>
      <c r="K412" s="2074">
        <f>F412-J412</f>
        <v>0</v>
      </c>
      <c r="L412" s="2104"/>
    </row>
    <row r="413" spans="1:12" ht="30" customHeight="1" x14ac:dyDescent="0.2">
      <c r="A413" s="7654">
        <v>267</v>
      </c>
      <c r="B413" s="7652" t="s">
        <v>497</v>
      </c>
      <c r="C413" s="7723" t="s">
        <v>371</v>
      </c>
      <c r="D413" s="7563">
        <v>300000000</v>
      </c>
      <c r="E413" s="7659">
        <v>0.04</v>
      </c>
      <c r="F413" s="7563">
        <f>D413*E413</f>
        <v>12000000</v>
      </c>
      <c r="G413" s="7563">
        <v>12000000</v>
      </c>
      <c r="H413" s="7563" t="s">
        <v>4449</v>
      </c>
      <c r="I413" s="7563" t="s">
        <v>3579</v>
      </c>
      <c r="J413" s="7563">
        <f>G413</f>
        <v>12000000</v>
      </c>
      <c r="K413" s="7563">
        <f>F413-J413</f>
        <v>0</v>
      </c>
      <c r="L413" s="2113" t="s">
        <v>2891</v>
      </c>
    </row>
    <row r="414" spans="1:12" ht="30" customHeight="1" x14ac:dyDescent="0.2">
      <c r="A414" s="7655"/>
      <c r="B414" s="7653"/>
      <c r="C414" s="7724"/>
      <c r="D414" s="7564"/>
      <c r="E414" s="7660"/>
      <c r="F414" s="7564"/>
      <c r="G414" s="7564"/>
      <c r="H414" s="7564"/>
      <c r="I414" s="7564"/>
      <c r="J414" s="7564"/>
      <c r="K414" s="7564"/>
      <c r="L414" s="2113" t="s">
        <v>3380</v>
      </c>
    </row>
    <row r="415" spans="1:12" ht="30" customHeight="1" x14ac:dyDescent="0.2">
      <c r="A415" s="2103">
        <v>268</v>
      </c>
      <c r="B415" s="2104" t="s">
        <v>391</v>
      </c>
      <c r="C415" s="2084" t="s">
        <v>392</v>
      </c>
      <c r="D415" s="2074">
        <v>130000000</v>
      </c>
      <c r="E415" s="2101">
        <v>4.4999999999999998E-2</v>
      </c>
      <c r="F415" s="2074">
        <f t="shared" si="52"/>
        <v>5850000</v>
      </c>
      <c r="G415" s="2074">
        <v>5850000</v>
      </c>
      <c r="H415" s="2074" t="s">
        <v>1193</v>
      </c>
      <c r="I415" s="18" t="s">
        <v>3518</v>
      </c>
      <c r="J415" s="2074">
        <f>G415</f>
        <v>5850000</v>
      </c>
      <c r="K415" s="2074">
        <f>F415-J415</f>
        <v>0</v>
      </c>
      <c r="L415" s="2104"/>
    </row>
    <row r="416" spans="1:12" ht="30" customHeight="1" x14ac:dyDescent="0.2">
      <c r="A416" s="7654">
        <v>269</v>
      </c>
      <c r="B416" s="7652" t="s">
        <v>123</v>
      </c>
      <c r="C416" s="7723" t="s">
        <v>262</v>
      </c>
      <c r="D416" s="2074">
        <v>300000000</v>
      </c>
      <c r="E416" s="2101">
        <v>0.05</v>
      </c>
      <c r="F416" s="2074">
        <f t="shared" si="52"/>
        <v>15000000</v>
      </c>
      <c r="G416" s="7954" t="s">
        <v>4284</v>
      </c>
      <c r="H416" s="7955"/>
      <c r="I416" s="7955"/>
      <c r="J416" s="7956"/>
      <c r="K416" s="2074">
        <f>F416-J416</f>
        <v>15000000</v>
      </c>
      <c r="L416" s="2104"/>
    </row>
    <row r="417" spans="1:15" ht="30" customHeight="1" x14ac:dyDescent="0.2">
      <c r="A417" s="7656"/>
      <c r="B417" s="7665"/>
      <c r="C417" s="7747"/>
      <c r="D417" s="2170">
        <v>5000000</v>
      </c>
      <c r="E417" s="2173"/>
      <c r="F417" s="2170"/>
      <c r="G417" s="7461"/>
      <c r="H417" s="7481"/>
      <c r="I417" s="7481"/>
      <c r="J417" s="7520"/>
      <c r="K417" s="2170"/>
      <c r="L417" s="2174"/>
    </row>
    <row r="418" spans="1:15" ht="30" customHeight="1" x14ac:dyDescent="0.2">
      <c r="A418" s="7656"/>
      <c r="B418" s="7665"/>
      <c r="C418" s="7747"/>
      <c r="D418" s="2170">
        <v>180000000</v>
      </c>
      <c r="E418" s="2173"/>
      <c r="F418" s="2170"/>
      <c r="G418" s="21"/>
      <c r="H418" s="542"/>
      <c r="I418" s="542"/>
      <c r="J418" s="2194"/>
      <c r="K418" s="2170"/>
      <c r="L418" s="2174"/>
    </row>
    <row r="419" spans="1:15" ht="30" customHeight="1" x14ac:dyDescent="0.2">
      <c r="A419" s="7655"/>
      <c r="B419" s="7653"/>
      <c r="C419" s="7724"/>
      <c r="D419" s="2170">
        <v>500000000</v>
      </c>
      <c r="E419" s="2173">
        <v>0.06</v>
      </c>
      <c r="F419" s="2170">
        <f>D419*E419</f>
        <v>30000000</v>
      </c>
      <c r="G419" s="7954" t="s">
        <v>4283</v>
      </c>
      <c r="H419" s="7955"/>
      <c r="I419" s="7955"/>
      <c r="J419" s="7956"/>
      <c r="K419" s="2170"/>
      <c r="L419" s="2174"/>
    </row>
    <row r="420" spans="1:15" ht="28.5" customHeight="1" x14ac:dyDescent="0.2">
      <c r="A420" s="2103">
        <v>270</v>
      </c>
      <c r="B420" s="2104" t="s">
        <v>124</v>
      </c>
      <c r="C420" s="2084"/>
      <c r="D420" s="2074">
        <v>20000000</v>
      </c>
      <c r="E420" s="2101">
        <v>5.5E-2</v>
      </c>
      <c r="F420" s="2074">
        <f t="shared" si="52"/>
        <v>1100000</v>
      </c>
      <c r="G420" s="2074">
        <v>1200000</v>
      </c>
      <c r="H420" s="2074" t="s">
        <v>4449</v>
      </c>
      <c r="I420" s="21" t="s">
        <v>492</v>
      </c>
      <c r="J420" s="2074">
        <f>G420</f>
        <v>1200000</v>
      </c>
      <c r="K420" s="2074">
        <f>F420-J420</f>
        <v>-100000</v>
      </c>
      <c r="L420" s="2133" t="s">
        <v>4081</v>
      </c>
    </row>
    <row r="421" spans="1:15" ht="30" customHeight="1" x14ac:dyDescent="0.2">
      <c r="A421" s="7654">
        <v>271</v>
      </c>
      <c r="B421" s="7652" t="s">
        <v>125</v>
      </c>
      <c r="C421" s="2105" t="s">
        <v>359</v>
      </c>
      <c r="D421" s="2062">
        <v>40000000</v>
      </c>
      <c r="E421" s="2101">
        <v>5.5E-2</v>
      </c>
      <c r="F421" s="2062">
        <f t="shared" si="52"/>
        <v>2200000</v>
      </c>
      <c r="G421" s="2062">
        <v>2200000</v>
      </c>
      <c r="H421" s="2062" t="s">
        <v>4449</v>
      </c>
      <c r="I421" s="18" t="s">
        <v>4459</v>
      </c>
      <c r="J421" s="2062">
        <f>G421</f>
        <v>2200000</v>
      </c>
      <c r="K421" s="2062">
        <f>F421-J421</f>
        <v>0</v>
      </c>
      <c r="L421" s="2104"/>
    </row>
    <row r="422" spans="1:15" ht="30" customHeight="1" x14ac:dyDescent="0.2">
      <c r="A422" s="7656"/>
      <c r="B422" s="7665"/>
      <c r="C422" s="7723" t="s">
        <v>1796</v>
      </c>
      <c r="D422" s="2074">
        <v>10000000</v>
      </c>
      <c r="E422" s="2077">
        <v>0.05</v>
      </c>
      <c r="F422" s="2074">
        <f t="shared" si="52"/>
        <v>500000</v>
      </c>
      <c r="G422" s="7563">
        <v>1000000</v>
      </c>
      <c r="H422" s="7563" t="s">
        <v>4778</v>
      </c>
      <c r="I422" s="7563" t="s">
        <v>4459</v>
      </c>
      <c r="J422" s="7563">
        <f>G422</f>
        <v>1000000</v>
      </c>
      <c r="K422" s="7563">
        <f>(F422+F423)-J422</f>
        <v>0</v>
      </c>
      <c r="L422" s="8000" t="s">
        <v>4633</v>
      </c>
      <c r="M422" s="2058"/>
      <c r="N422" s="2058"/>
      <c r="O422" s="2058"/>
    </row>
    <row r="423" spans="1:15" ht="30" customHeight="1" x14ac:dyDescent="0.2">
      <c r="A423" s="7655"/>
      <c r="B423" s="7653"/>
      <c r="C423" s="7724"/>
      <c r="D423" s="2074">
        <v>10000000</v>
      </c>
      <c r="E423" s="2077">
        <v>0.05</v>
      </c>
      <c r="F423" s="2074">
        <f t="shared" si="52"/>
        <v>500000</v>
      </c>
      <c r="G423" s="7564"/>
      <c r="H423" s="7564"/>
      <c r="I423" s="7564"/>
      <c r="J423" s="7564"/>
      <c r="K423" s="7564"/>
      <c r="L423" s="8000"/>
      <c r="M423" s="248"/>
      <c r="N423" s="248"/>
      <c r="O423" s="248"/>
    </row>
    <row r="424" spans="1:15" ht="30" customHeight="1" x14ac:dyDescent="0.2">
      <c r="A424" s="7654"/>
      <c r="B424" s="7717" t="s">
        <v>2524</v>
      </c>
      <c r="C424" s="7723" t="s">
        <v>1287</v>
      </c>
      <c r="D424" s="2136">
        <v>495000000</v>
      </c>
      <c r="E424" s="2130">
        <v>5.5E-2</v>
      </c>
      <c r="F424" s="2136">
        <f>D424*E424</f>
        <v>27225000</v>
      </c>
      <c r="G424" s="8040"/>
      <c r="H424" s="8040"/>
      <c r="I424" s="8040"/>
      <c r="J424" s="8040"/>
      <c r="K424" s="7563">
        <f>F428-J428</f>
        <v>-15000</v>
      </c>
      <c r="L424" s="7818"/>
    </row>
    <row r="425" spans="1:15" ht="30" customHeight="1" x14ac:dyDescent="0.2">
      <c r="A425" s="7656"/>
      <c r="B425" s="7717"/>
      <c r="C425" s="7747"/>
      <c r="D425" s="2136">
        <v>65000000</v>
      </c>
      <c r="E425" s="2130">
        <v>0.06</v>
      </c>
      <c r="F425" s="2136">
        <f>D425*E425</f>
        <v>3900000</v>
      </c>
      <c r="G425" s="8040"/>
      <c r="H425" s="8040"/>
      <c r="I425" s="8040"/>
      <c r="J425" s="8040"/>
      <c r="K425" s="7586"/>
      <c r="L425" s="7855"/>
    </row>
    <row r="426" spans="1:15" ht="30" customHeight="1" x14ac:dyDescent="0.2">
      <c r="A426" s="7656"/>
      <c r="B426" s="7717"/>
      <c r="C426" s="7747"/>
      <c r="D426" s="2136">
        <v>246000000</v>
      </c>
      <c r="E426" s="2130">
        <v>0.06</v>
      </c>
      <c r="F426" s="2136">
        <f>D426*E426</f>
        <v>14760000</v>
      </c>
      <c r="G426" s="8040"/>
      <c r="H426" s="8040"/>
      <c r="I426" s="8040"/>
      <c r="J426" s="8040"/>
      <c r="K426" s="7586"/>
      <c r="L426" s="7855"/>
    </row>
    <row r="427" spans="1:15" ht="30" customHeight="1" x14ac:dyDescent="0.2">
      <c r="A427" s="7656"/>
      <c r="B427" s="7717"/>
      <c r="C427" s="7747"/>
      <c r="D427" s="8004" t="s">
        <v>1787</v>
      </c>
      <c r="E427" s="8005"/>
      <c r="F427" s="2136">
        <v>1300000</v>
      </c>
      <c r="G427" s="8040"/>
      <c r="H427" s="8040"/>
      <c r="I427" s="8040"/>
      <c r="J427" s="8040"/>
      <c r="K427" s="7586"/>
      <c r="L427" s="7855"/>
    </row>
    <row r="428" spans="1:15" ht="30" customHeight="1" x14ac:dyDescent="0.2">
      <c r="A428" s="7656"/>
      <c r="B428" s="7717"/>
      <c r="C428" s="7747"/>
      <c r="D428" s="8063">
        <f>D424+D425+D426</f>
        <v>806000000</v>
      </c>
      <c r="E428" s="8065"/>
      <c r="F428" s="7559">
        <f>F424+F425+F426+F427</f>
        <v>47185000</v>
      </c>
      <c r="G428" s="7772">
        <v>47200000</v>
      </c>
      <c r="H428" s="7772" t="s">
        <v>4475</v>
      </c>
      <c r="I428" s="7772" t="s">
        <v>815</v>
      </c>
      <c r="J428" s="7772">
        <f>G428+G429</f>
        <v>47200000</v>
      </c>
      <c r="K428" s="7586"/>
      <c r="L428" s="7855"/>
    </row>
    <row r="429" spans="1:15" ht="30" customHeight="1" x14ac:dyDescent="0.2">
      <c r="A429" s="7656"/>
      <c r="B429" s="7717"/>
      <c r="C429" s="7747"/>
      <c r="D429" s="8066"/>
      <c r="E429" s="8068"/>
      <c r="F429" s="7560"/>
      <c r="G429" s="7773"/>
      <c r="H429" s="7773"/>
      <c r="I429" s="7773"/>
      <c r="J429" s="7773"/>
      <c r="K429" s="7564"/>
      <c r="L429" s="7819"/>
    </row>
    <row r="430" spans="1:15" ht="30" customHeight="1" x14ac:dyDescent="0.2">
      <c r="A430" s="2103">
        <v>273</v>
      </c>
      <c r="B430" s="2104" t="s">
        <v>127</v>
      </c>
      <c r="C430" s="2105" t="s">
        <v>1291</v>
      </c>
      <c r="D430" s="2074">
        <v>20000000</v>
      </c>
      <c r="E430" s="2101">
        <v>0.05</v>
      </c>
      <c r="F430" s="2074">
        <f t="shared" si="52"/>
        <v>1000000</v>
      </c>
      <c r="G430" s="2074">
        <v>1000000</v>
      </c>
      <c r="H430" s="2074" t="s">
        <v>4475</v>
      </c>
      <c r="I430" s="21" t="s">
        <v>3663</v>
      </c>
      <c r="J430" s="2074">
        <f>G430</f>
        <v>1000000</v>
      </c>
      <c r="K430" s="2074">
        <f>F430-J430</f>
        <v>0</v>
      </c>
      <c r="L430" s="2104"/>
    </row>
    <row r="431" spans="1:15" ht="30" customHeight="1" x14ac:dyDescent="0.2">
      <c r="A431" s="7654">
        <v>274</v>
      </c>
      <c r="B431" s="2106" t="s">
        <v>128</v>
      </c>
      <c r="C431" s="345"/>
      <c r="D431" s="2074">
        <v>50000000</v>
      </c>
      <c r="E431" s="2101">
        <v>0.05</v>
      </c>
      <c r="F431" s="2074">
        <f>D431*E431</f>
        <v>2500000</v>
      </c>
      <c r="G431" s="7954" t="s">
        <v>5039</v>
      </c>
      <c r="H431" s="7955"/>
      <c r="I431" s="7955"/>
      <c r="J431" s="7956"/>
      <c r="K431" s="2074">
        <f>F431-J431</f>
        <v>2500000</v>
      </c>
      <c r="L431" s="162"/>
    </row>
    <row r="432" spans="1:15" ht="30" customHeight="1" x14ac:dyDescent="0.2">
      <c r="A432" s="7655"/>
      <c r="B432" s="2107"/>
      <c r="C432" s="710"/>
      <c r="D432" s="2074">
        <v>50000000</v>
      </c>
      <c r="E432" s="2101">
        <v>0.05</v>
      </c>
      <c r="F432" s="2074">
        <f>D432*E432</f>
        <v>2500000</v>
      </c>
      <c r="G432" s="233"/>
      <c r="H432" s="233"/>
      <c r="I432" s="233"/>
      <c r="J432" s="233"/>
      <c r="K432" s="2074"/>
      <c r="L432" s="2133" t="s">
        <v>3385</v>
      </c>
    </row>
    <row r="433" spans="1:12" ht="30" customHeight="1" x14ac:dyDescent="0.2">
      <c r="A433" s="2103">
        <v>275</v>
      </c>
      <c r="B433" s="2104" t="s">
        <v>129</v>
      </c>
      <c r="C433" s="2084" t="s">
        <v>1291</v>
      </c>
      <c r="D433" s="2074">
        <v>130000000</v>
      </c>
      <c r="E433" s="2101">
        <v>0.05</v>
      </c>
      <c r="F433" s="2074">
        <f t="shared" si="52"/>
        <v>6500000</v>
      </c>
      <c r="G433" s="2074">
        <v>6500000</v>
      </c>
      <c r="H433" s="2074" t="s">
        <v>4475</v>
      </c>
      <c r="I433" s="21" t="s">
        <v>2184</v>
      </c>
      <c r="J433" s="2074">
        <f>G433</f>
        <v>6500000</v>
      </c>
      <c r="K433" s="2074">
        <f>F433-J433</f>
        <v>0</v>
      </c>
      <c r="L433" s="2104"/>
    </row>
    <row r="434" spans="1:12" ht="30" customHeight="1" x14ac:dyDescent="0.2">
      <c r="A434" s="7654">
        <v>276</v>
      </c>
      <c r="B434" s="7652" t="s">
        <v>130</v>
      </c>
      <c r="C434" s="7723"/>
      <c r="D434" s="7563">
        <v>95000000</v>
      </c>
      <c r="E434" s="7659">
        <v>5.2999999999999999E-2</v>
      </c>
      <c r="F434" s="7563">
        <v>5000000</v>
      </c>
      <c r="G434" s="2074">
        <v>5000000</v>
      </c>
      <c r="H434" s="2074" t="s">
        <v>4475</v>
      </c>
      <c r="I434" s="21" t="s">
        <v>3503</v>
      </c>
      <c r="J434" s="2409">
        <f>G434</f>
        <v>5000000</v>
      </c>
      <c r="K434" s="2409">
        <f>F434-J434</f>
        <v>0</v>
      </c>
      <c r="L434" s="763"/>
    </row>
    <row r="435" spans="1:12" ht="30" customHeight="1" x14ac:dyDescent="0.2">
      <c r="A435" s="7655"/>
      <c r="B435" s="7653"/>
      <c r="C435" s="7724"/>
      <c r="D435" s="7564"/>
      <c r="E435" s="7660"/>
      <c r="F435" s="7564"/>
      <c r="G435" s="7461" t="s">
        <v>4504</v>
      </c>
      <c r="H435" s="7481"/>
      <c r="I435" s="7520"/>
      <c r="J435" s="2409"/>
      <c r="K435" s="2409"/>
      <c r="L435" s="763" t="s">
        <v>1326</v>
      </c>
    </row>
    <row r="436" spans="1:12" ht="30" customHeight="1" x14ac:dyDescent="0.2">
      <c r="A436" s="2142">
        <v>277</v>
      </c>
      <c r="B436" s="2143" t="s">
        <v>131</v>
      </c>
      <c r="C436" s="2157" t="s">
        <v>2849</v>
      </c>
      <c r="D436" s="2148">
        <v>200000000</v>
      </c>
      <c r="E436" s="2146">
        <v>0.05</v>
      </c>
      <c r="F436" s="2148">
        <f t="shared" si="52"/>
        <v>10000000</v>
      </c>
      <c r="G436" s="2148">
        <v>10000000</v>
      </c>
      <c r="H436" s="2148" t="s">
        <v>3865</v>
      </c>
      <c r="I436" s="384" t="s">
        <v>4470</v>
      </c>
      <c r="J436" s="2148">
        <f>G436</f>
        <v>10000000</v>
      </c>
      <c r="K436" s="2148">
        <f>F436-J436</f>
        <v>0</v>
      </c>
      <c r="L436" s="2143"/>
    </row>
    <row r="437" spans="1:12" s="1539" customFormat="1" ht="30" customHeight="1" x14ac:dyDescent="0.2">
      <c r="A437" s="2142">
        <v>278</v>
      </c>
      <c r="B437" s="19" t="s">
        <v>620</v>
      </c>
      <c r="C437" s="2433" t="s">
        <v>3007</v>
      </c>
      <c r="D437" s="2141">
        <v>30000000</v>
      </c>
      <c r="E437" s="2159">
        <v>4.4999999999999998E-2</v>
      </c>
      <c r="F437" s="2141">
        <f t="shared" si="52"/>
        <v>1350000</v>
      </c>
      <c r="G437" s="2141">
        <v>1350000</v>
      </c>
      <c r="H437" s="2141" t="s">
        <v>3003</v>
      </c>
      <c r="I437" s="2163" t="s">
        <v>2066</v>
      </c>
      <c r="J437" s="2474">
        <f>G437</f>
        <v>1350000</v>
      </c>
      <c r="K437" s="2474">
        <f>F437-J437</f>
        <v>0</v>
      </c>
      <c r="L437" s="2164"/>
    </row>
    <row r="438" spans="1:12" ht="30" customHeight="1" x14ac:dyDescent="0.2">
      <c r="A438" s="2103">
        <v>279</v>
      </c>
      <c r="B438" s="2104" t="s">
        <v>132</v>
      </c>
      <c r="C438" s="2084" t="s">
        <v>402</v>
      </c>
      <c r="D438" s="2074">
        <v>11000000</v>
      </c>
      <c r="E438" s="2101">
        <v>4.4999999999999998E-2</v>
      </c>
      <c r="F438" s="2074">
        <v>500000</v>
      </c>
      <c r="G438" s="2074">
        <v>500000</v>
      </c>
      <c r="H438" s="2074" t="s">
        <v>1193</v>
      </c>
      <c r="I438" s="21" t="s">
        <v>3670</v>
      </c>
      <c r="J438" s="2074">
        <f t="shared" ref="J438:J445" si="53">G438</f>
        <v>500000</v>
      </c>
      <c r="K438" s="2074">
        <f t="shared" ref="K438:K445" si="54">F438-J438</f>
        <v>0</v>
      </c>
      <c r="L438" s="2104"/>
    </row>
    <row r="439" spans="1:12" ht="30" customHeight="1" x14ac:dyDescent="0.2">
      <c r="A439" s="2103">
        <v>280</v>
      </c>
      <c r="B439" s="1949" t="s">
        <v>458</v>
      </c>
      <c r="C439" s="378"/>
      <c r="D439" s="2062">
        <v>20000000</v>
      </c>
      <c r="E439" s="2101">
        <v>0.05</v>
      </c>
      <c r="F439" s="2062">
        <f t="shared" si="52"/>
        <v>1000000</v>
      </c>
      <c r="G439" s="2062">
        <v>1000000</v>
      </c>
      <c r="H439" s="2062" t="s">
        <v>4596</v>
      </c>
      <c r="I439" s="2062" t="s">
        <v>3756</v>
      </c>
      <c r="J439" s="2062">
        <f t="shared" si="53"/>
        <v>1000000</v>
      </c>
      <c r="K439" s="2062">
        <f t="shared" si="54"/>
        <v>0</v>
      </c>
      <c r="L439" s="1024" t="s">
        <v>3097</v>
      </c>
    </row>
    <row r="440" spans="1:12" ht="30" customHeight="1" x14ac:dyDescent="0.2">
      <c r="A440" s="2065">
        <v>281</v>
      </c>
      <c r="B440" s="2106" t="s">
        <v>133</v>
      </c>
      <c r="C440" s="2084" t="s">
        <v>1290</v>
      </c>
      <c r="D440" s="2074">
        <v>40000000</v>
      </c>
      <c r="E440" s="2077">
        <v>0.05</v>
      </c>
      <c r="F440" s="2074">
        <f t="shared" si="52"/>
        <v>2000000</v>
      </c>
      <c r="G440" s="2074">
        <v>2000000</v>
      </c>
      <c r="H440" s="2074" t="s">
        <v>3865</v>
      </c>
      <c r="I440" s="2074" t="s">
        <v>3679</v>
      </c>
      <c r="J440" s="2074">
        <f t="shared" si="53"/>
        <v>2000000</v>
      </c>
      <c r="K440" s="2074">
        <f t="shared" si="54"/>
        <v>0</v>
      </c>
      <c r="L440" s="2104"/>
    </row>
    <row r="441" spans="1:12" ht="30" customHeight="1" x14ac:dyDescent="0.2">
      <c r="A441" s="2103">
        <v>282</v>
      </c>
      <c r="B441" s="2104" t="s">
        <v>1024</v>
      </c>
      <c r="C441" s="2084" t="s">
        <v>371</v>
      </c>
      <c r="D441" s="2074">
        <v>20000000</v>
      </c>
      <c r="E441" s="2101">
        <v>0.04</v>
      </c>
      <c r="F441" s="2074">
        <f t="shared" si="52"/>
        <v>800000</v>
      </c>
      <c r="G441" s="2074">
        <v>800000</v>
      </c>
      <c r="H441" s="2074" t="s">
        <v>4449</v>
      </c>
      <c r="I441" s="2114" t="s">
        <v>2453</v>
      </c>
      <c r="J441" s="2074">
        <f t="shared" si="53"/>
        <v>800000</v>
      </c>
      <c r="K441" s="2074">
        <f t="shared" si="54"/>
        <v>0</v>
      </c>
      <c r="L441" s="2104"/>
    </row>
    <row r="442" spans="1:12" ht="30" customHeight="1" x14ac:dyDescent="0.2">
      <c r="A442" s="7879"/>
      <c r="B442" s="7864" t="s">
        <v>134</v>
      </c>
      <c r="C442" s="7723" t="s">
        <v>1294</v>
      </c>
      <c r="D442" s="2074">
        <v>50111000</v>
      </c>
      <c r="E442" s="2077">
        <v>0.05</v>
      </c>
      <c r="F442" s="2074">
        <f>D442*E442</f>
        <v>2505550</v>
      </c>
      <c r="G442" s="2062">
        <v>2505500</v>
      </c>
      <c r="H442" s="2062" t="s">
        <v>2473</v>
      </c>
      <c r="I442" s="2062" t="s">
        <v>630</v>
      </c>
      <c r="J442" s="2073">
        <f t="shared" si="53"/>
        <v>2505500</v>
      </c>
      <c r="K442" s="2073">
        <f t="shared" si="54"/>
        <v>50</v>
      </c>
      <c r="L442" s="763"/>
    </row>
    <row r="443" spans="1:12" ht="30" customHeight="1" x14ac:dyDescent="0.2">
      <c r="A443" s="7879"/>
      <c r="B443" s="7865"/>
      <c r="C443" s="7747"/>
      <c r="D443" s="2412">
        <v>3230000</v>
      </c>
      <c r="E443" s="2413">
        <v>0.05</v>
      </c>
      <c r="F443" s="2412">
        <f>D443*E443</f>
        <v>161500</v>
      </c>
      <c r="G443" s="2409"/>
      <c r="H443" s="2409"/>
      <c r="I443" s="2409"/>
      <c r="J443" s="2411"/>
      <c r="K443" s="2411"/>
      <c r="L443" s="763" t="s">
        <v>4497</v>
      </c>
    </row>
    <row r="444" spans="1:12" ht="30" customHeight="1" x14ac:dyDescent="0.2">
      <c r="A444" s="7879"/>
      <c r="B444" s="7866"/>
      <c r="C444" s="7724"/>
      <c r="D444" s="895">
        <f>D442+D443</f>
        <v>53341000</v>
      </c>
      <c r="E444" s="2437">
        <v>0.05</v>
      </c>
      <c r="F444" s="895">
        <f>D444*E444</f>
        <v>2667050</v>
      </c>
      <c r="G444" s="2409"/>
      <c r="H444" s="2409"/>
      <c r="I444" s="2409"/>
      <c r="J444" s="2411"/>
      <c r="K444" s="2411"/>
      <c r="L444" s="763"/>
    </row>
    <row r="445" spans="1:12" ht="30" customHeight="1" x14ac:dyDescent="0.2">
      <c r="A445" s="2064"/>
      <c r="B445" s="2160" t="s">
        <v>4246</v>
      </c>
      <c r="C445" s="2083"/>
      <c r="D445" s="2074">
        <v>67000000</v>
      </c>
      <c r="E445" s="2077">
        <v>0.05</v>
      </c>
      <c r="F445" s="2074">
        <f>D445*E445</f>
        <v>3350000</v>
      </c>
      <c r="G445" s="2141">
        <v>2232000</v>
      </c>
      <c r="H445" s="2141" t="s">
        <v>4331</v>
      </c>
      <c r="I445" s="2141" t="s">
        <v>4354</v>
      </c>
      <c r="J445" s="2141">
        <f t="shared" si="53"/>
        <v>2232000</v>
      </c>
      <c r="K445" s="2073">
        <f t="shared" si="54"/>
        <v>1118000</v>
      </c>
      <c r="L445" s="763" t="s">
        <v>4247</v>
      </c>
    </row>
    <row r="446" spans="1:12" ht="30" customHeight="1" x14ac:dyDescent="0.2">
      <c r="A446" s="7654"/>
      <c r="B446" s="7652" t="s">
        <v>1158</v>
      </c>
      <c r="C446" s="7723"/>
      <c r="D446" s="2124">
        <v>100000000</v>
      </c>
      <c r="E446" s="1929">
        <v>4.4999999999999998E-2</v>
      </c>
      <c r="F446" s="1542">
        <f t="shared" si="52"/>
        <v>4500000</v>
      </c>
      <c r="G446" s="7991" t="s">
        <v>3778</v>
      </c>
      <c r="H446" s="7992"/>
      <c r="I446" s="7992"/>
      <c r="J446" s="7993"/>
      <c r="K446" s="7563"/>
      <c r="L446" s="763"/>
    </row>
    <row r="447" spans="1:12" ht="30" customHeight="1" x14ac:dyDescent="0.2">
      <c r="A447" s="7656"/>
      <c r="B447" s="7665"/>
      <c r="C447" s="7747"/>
      <c r="D447" s="2124">
        <v>60000000</v>
      </c>
      <c r="E447" s="1929">
        <v>0.05</v>
      </c>
      <c r="F447" s="1542">
        <f t="shared" si="52"/>
        <v>3000000</v>
      </c>
      <c r="G447" s="7994"/>
      <c r="H447" s="7995"/>
      <c r="I447" s="7995"/>
      <c r="J447" s="7996"/>
      <c r="K447" s="7586"/>
      <c r="L447" s="1336"/>
    </row>
    <row r="448" spans="1:12" ht="30" customHeight="1" x14ac:dyDescent="0.2">
      <c r="A448" s="7656"/>
      <c r="B448" s="7665"/>
      <c r="C448" s="7747"/>
      <c r="D448" s="2124">
        <v>30000000</v>
      </c>
      <c r="E448" s="1929">
        <v>0.05</v>
      </c>
      <c r="F448" s="1542">
        <f t="shared" si="52"/>
        <v>1500000</v>
      </c>
      <c r="G448" s="7994"/>
      <c r="H448" s="7995"/>
      <c r="I448" s="7995"/>
      <c r="J448" s="7996"/>
      <c r="K448" s="7586"/>
      <c r="L448" s="1336" t="s">
        <v>4679</v>
      </c>
    </row>
    <row r="449" spans="1:12" ht="30" customHeight="1" x14ac:dyDescent="0.2">
      <c r="A449" s="7656"/>
      <c r="B449" s="7665"/>
      <c r="C449" s="7747"/>
      <c r="D449" s="2124">
        <v>40000000</v>
      </c>
      <c r="E449" s="1929">
        <v>0.05</v>
      </c>
      <c r="F449" s="1542">
        <f t="shared" si="52"/>
        <v>2000000</v>
      </c>
      <c r="G449" s="7997"/>
      <c r="H449" s="7998"/>
      <c r="I449" s="7998"/>
      <c r="J449" s="7999"/>
      <c r="K449" s="7564"/>
      <c r="L449" s="1336" t="s">
        <v>4679</v>
      </c>
    </row>
    <row r="450" spans="1:12" ht="30" customHeight="1" x14ac:dyDescent="0.2">
      <c r="A450" s="7655"/>
      <c r="B450" s="7653"/>
      <c r="C450" s="7724"/>
      <c r="D450" s="2124"/>
      <c r="E450" s="1929"/>
      <c r="F450" s="1542">
        <f>SUM(F446:F449)</f>
        <v>11000000</v>
      </c>
      <c r="G450" s="2074">
        <v>11000000</v>
      </c>
      <c r="H450" s="2062" t="s">
        <v>4462</v>
      </c>
      <c r="I450" s="2062" t="s">
        <v>2219</v>
      </c>
      <c r="J450" s="2062">
        <f>G450</f>
        <v>11000000</v>
      </c>
      <c r="K450" s="2074">
        <f>F450-J450</f>
        <v>0</v>
      </c>
      <c r="L450" s="522"/>
    </row>
    <row r="451" spans="1:12" ht="30" customHeight="1" x14ac:dyDescent="0.2">
      <c r="A451" s="7654">
        <v>285</v>
      </c>
      <c r="B451" s="8132" t="s">
        <v>135</v>
      </c>
      <c r="C451" s="8134" t="s">
        <v>2278</v>
      </c>
      <c r="D451" s="2577">
        <v>100000000</v>
      </c>
      <c r="E451" s="2549">
        <v>7.0000000000000007E-2</v>
      </c>
      <c r="F451" s="2577">
        <f t="shared" si="52"/>
        <v>7000000.0000000009</v>
      </c>
      <c r="G451" s="2577">
        <v>7000000</v>
      </c>
      <c r="H451" s="2577" t="s">
        <v>4475</v>
      </c>
      <c r="I451" s="287" t="s">
        <v>3023</v>
      </c>
      <c r="J451" s="2577">
        <f>G451</f>
        <v>7000000</v>
      </c>
      <c r="K451" s="2577">
        <f>F451-J451</f>
        <v>0</v>
      </c>
      <c r="L451" s="7798" t="s">
        <v>1326</v>
      </c>
    </row>
    <row r="452" spans="1:12" ht="30" customHeight="1" x14ac:dyDescent="0.2">
      <c r="A452" s="7655"/>
      <c r="B452" s="8133"/>
      <c r="C452" s="8135"/>
      <c r="D452" s="8139" t="s">
        <v>1983</v>
      </c>
      <c r="E452" s="8140"/>
      <c r="F452" s="8141"/>
      <c r="G452" s="2577">
        <v>100000000</v>
      </c>
      <c r="H452" s="2577" t="s">
        <v>4619</v>
      </c>
      <c r="I452" s="287" t="s">
        <v>4631</v>
      </c>
      <c r="J452" s="2577">
        <f>G452</f>
        <v>100000000</v>
      </c>
      <c r="K452" s="2577"/>
      <c r="L452" s="7799"/>
    </row>
    <row r="453" spans="1:12" ht="30" customHeight="1" x14ac:dyDescent="0.2">
      <c r="A453" s="2063">
        <v>286</v>
      </c>
      <c r="B453" s="2106" t="s">
        <v>1622</v>
      </c>
      <c r="C453" s="2105"/>
      <c r="D453" s="2062">
        <v>35000000</v>
      </c>
      <c r="E453" s="1027">
        <v>0.05</v>
      </c>
      <c r="F453" s="2062">
        <v>1700000</v>
      </c>
      <c r="G453" s="2062">
        <v>1700000</v>
      </c>
      <c r="H453" s="2062" t="s">
        <v>1193</v>
      </c>
      <c r="I453" s="18" t="s">
        <v>307</v>
      </c>
      <c r="J453" s="2062">
        <f>G453</f>
        <v>1700000</v>
      </c>
      <c r="K453" s="2062">
        <f>F453-J453</f>
        <v>0</v>
      </c>
      <c r="L453" s="2091"/>
    </row>
    <row r="454" spans="1:12" ht="30" customHeight="1" x14ac:dyDescent="0.2">
      <c r="A454" s="7654">
        <v>287</v>
      </c>
      <c r="B454" s="7652" t="s">
        <v>137</v>
      </c>
      <c r="C454" s="7723"/>
      <c r="D454" s="2074">
        <v>15000000</v>
      </c>
      <c r="E454" s="2077">
        <v>0.05</v>
      </c>
      <c r="F454" s="2074">
        <f t="shared" si="52"/>
        <v>750000</v>
      </c>
      <c r="G454" s="7563">
        <v>3000000</v>
      </c>
      <c r="H454" s="7563" t="s">
        <v>2473</v>
      </c>
      <c r="I454" s="7561" t="s">
        <v>4515</v>
      </c>
      <c r="J454" s="7563">
        <f>G454+G455</f>
        <v>3000000</v>
      </c>
      <c r="K454" s="7563">
        <f>(F454+F455)-J454</f>
        <v>0</v>
      </c>
      <c r="L454" s="7657"/>
    </row>
    <row r="455" spans="1:12" ht="30" customHeight="1" x14ac:dyDescent="0.2">
      <c r="A455" s="7655"/>
      <c r="B455" s="7653"/>
      <c r="C455" s="7724"/>
      <c r="D455" s="2074">
        <v>45000000</v>
      </c>
      <c r="E455" s="2077">
        <v>0.05</v>
      </c>
      <c r="F455" s="2074">
        <f t="shared" si="52"/>
        <v>2250000</v>
      </c>
      <c r="G455" s="7564"/>
      <c r="H455" s="7564"/>
      <c r="I455" s="7562"/>
      <c r="J455" s="7564"/>
      <c r="K455" s="7564"/>
      <c r="L455" s="7658"/>
    </row>
    <row r="456" spans="1:12" ht="30" customHeight="1" x14ac:dyDescent="0.2">
      <c r="A456" s="2103">
        <v>288</v>
      </c>
      <c r="B456" s="2104" t="s">
        <v>138</v>
      </c>
      <c r="C456" s="2084" t="s">
        <v>1289</v>
      </c>
      <c r="D456" s="2074">
        <v>50000000</v>
      </c>
      <c r="E456" s="2101">
        <v>4.4999999999999998E-2</v>
      </c>
      <c r="F456" s="2074">
        <f t="shared" si="52"/>
        <v>2250000</v>
      </c>
      <c r="G456" s="2074">
        <v>2250000</v>
      </c>
      <c r="H456" s="2074" t="s">
        <v>1017</v>
      </c>
      <c r="I456" s="21" t="s">
        <v>673</v>
      </c>
      <c r="J456" s="2074">
        <f t="shared" ref="J456:J461" si="55">G456</f>
        <v>2250000</v>
      </c>
      <c r="K456" s="2074">
        <f t="shared" ref="K456:K461" si="56">F456-J456</f>
        <v>0</v>
      </c>
      <c r="L456" s="2104"/>
    </row>
    <row r="457" spans="1:12" ht="30" customHeight="1" x14ac:dyDescent="0.2">
      <c r="A457" s="2103">
        <v>289</v>
      </c>
      <c r="B457" s="2104" t="s">
        <v>637</v>
      </c>
      <c r="C457" s="2084" t="s">
        <v>1299</v>
      </c>
      <c r="D457" s="2074">
        <v>25000000</v>
      </c>
      <c r="E457" s="2101">
        <v>5.3999999999999999E-2</v>
      </c>
      <c r="F457" s="2074">
        <f t="shared" si="52"/>
        <v>1350000</v>
      </c>
      <c r="G457" s="2074">
        <v>1350000</v>
      </c>
      <c r="H457" s="2074" t="s">
        <v>3003</v>
      </c>
      <c r="I457" s="18" t="s">
        <v>4554</v>
      </c>
      <c r="J457" s="2074">
        <f t="shared" si="55"/>
        <v>1350000</v>
      </c>
      <c r="K457" s="2074">
        <f t="shared" si="56"/>
        <v>0</v>
      </c>
      <c r="L457" s="2104"/>
    </row>
    <row r="458" spans="1:12" ht="30" customHeight="1" x14ac:dyDescent="0.2">
      <c r="A458" s="2063">
        <v>290</v>
      </c>
      <c r="B458" s="2106" t="s">
        <v>3848</v>
      </c>
      <c r="C458" s="2084" t="s">
        <v>1288</v>
      </c>
      <c r="D458" s="2074">
        <v>1150000000</v>
      </c>
      <c r="E458" s="2101">
        <v>7.0000000000000007E-2</v>
      </c>
      <c r="F458" s="2074">
        <f>D458*E458</f>
        <v>80500000.000000015</v>
      </c>
      <c r="G458" s="2062">
        <v>80500000</v>
      </c>
      <c r="H458" s="2062" t="s">
        <v>1017</v>
      </c>
      <c r="I458" s="2062" t="s">
        <v>2076</v>
      </c>
      <c r="J458" s="2062">
        <f>G458</f>
        <v>80500000</v>
      </c>
      <c r="K458" s="2074">
        <f t="shared" si="56"/>
        <v>0</v>
      </c>
      <c r="L458" s="2109" t="s">
        <v>3859</v>
      </c>
    </row>
    <row r="459" spans="1:12" ht="30" customHeight="1" x14ac:dyDescent="0.2">
      <c r="A459" s="2103">
        <v>292</v>
      </c>
      <c r="B459" s="2104" t="s">
        <v>140</v>
      </c>
      <c r="C459" s="2105" t="s">
        <v>1299</v>
      </c>
      <c r="D459" s="2074">
        <v>100000000</v>
      </c>
      <c r="E459" s="2101">
        <v>0.05</v>
      </c>
      <c r="F459" s="2074">
        <f t="shared" si="52"/>
        <v>5000000</v>
      </c>
      <c r="G459" s="2074">
        <v>5000000</v>
      </c>
      <c r="H459" s="2074" t="s">
        <v>3003</v>
      </c>
      <c r="I459" s="65" t="s">
        <v>4552</v>
      </c>
      <c r="J459" s="2074">
        <f t="shared" si="55"/>
        <v>5000000</v>
      </c>
      <c r="K459" s="2074">
        <f t="shared" si="56"/>
        <v>0</v>
      </c>
      <c r="L459" s="2104"/>
    </row>
    <row r="460" spans="1:12" ht="30" customHeight="1" x14ac:dyDescent="0.2">
      <c r="A460" s="2103">
        <v>293</v>
      </c>
      <c r="B460" s="2104" t="s">
        <v>141</v>
      </c>
      <c r="C460" s="2084" t="s">
        <v>1299</v>
      </c>
      <c r="D460" s="2074">
        <v>75000000</v>
      </c>
      <c r="E460" s="2101">
        <v>0.04</v>
      </c>
      <c r="F460" s="2074">
        <f>D460*E460</f>
        <v>3000000</v>
      </c>
      <c r="G460" s="2074">
        <v>3000000</v>
      </c>
      <c r="H460" s="2074" t="s">
        <v>3003</v>
      </c>
      <c r="I460" s="18" t="s">
        <v>2540</v>
      </c>
      <c r="J460" s="2074">
        <f t="shared" si="55"/>
        <v>3000000</v>
      </c>
      <c r="K460" s="2074">
        <f t="shared" si="56"/>
        <v>0</v>
      </c>
      <c r="L460" s="2104"/>
    </row>
    <row r="461" spans="1:12" ht="30" customHeight="1" x14ac:dyDescent="0.2">
      <c r="A461" s="2494">
        <v>295</v>
      </c>
      <c r="B461" s="2106" t="s">
        <v>142</v>
      </c>
      <c r="C461" s="2484" t="s">
        <v>1299</v>
      </c>
      <c r="D461" s="2074">
        <v>100000000</v>
      </c>
      <c r="E461" s="2101">
        <v>0.05</v>
      </c>
      <c r="F461" s="2074">
        <f t="shared" si="52"/>
        <v>5000000</v>
      </c>
      <c r="G461" s="2474">
        <v>5000000</v>
      </c>
      <c r="H461" s="2474" t="s">
        <v>3003</v>
      </c>
      <c r="I461" s="2474" t="s">
        <v>4084</v>
      </c>
      <c r="J461" s="2474">
        <f t="shared" si="55"/>
        <v>5000000</v>
      </c>
      <c r="K461" s="2474">
        <f t="shared" si="56"/>
        <v>0</v>
      </c>
      <c r="L461" s="763"/>
    </row>
    <row r="462" spans="1:12" ht="30" customHeight="1" x14ac:dyDescent="0.2">
      <c r="A462" s="7654"/>
      <c r="B462" s="7652" t="s">
        <v>4556</v>
      </c>
      <c r="C462" s="7723"/>
      <c r="D462" s="2074">
        <v>10000000</v>
      </c>
      <c r="E462" s="2101">
        <v>0.05</v>
      </c>
      <c r="F462" s="2074">
        <f>D462*E462</f>
        <v>500000</v>
      </c>
      <c r="G462" s="7563">
        <v>1100000</v>
      </c>
      <c r="H462" s="7563" t="s">
        <v>3003</v>
      </c>
      <c r="I462" s="7563" t="s">
        <v>4558</v>
      </c>
      <c r="J462" s="7563">
        <f>G462</f>
        <v>1100000</v>
      </c>
      <c r="K462" s="7563">
        <f>(F462+F463)-J462</f>
        <v>0</v>
      </c>
      <c r="L462" s="7816" t="s">
        <v>4557</v>
      </c>
    </row>
    <row r="463" spans="1:12" ht="30" customHeight="1" x14ac:dyDescent="0.2">
      <c r="A463" s="7656"/>
      <c r="B463" s="7665"/>
      <c r="C463" s="7747"/>
      <c r="D463" s="2482">
        <v>10000000</v>
      </c>
      <c r="E463" s="2477">
        <v>0.06</v>
      </c>
      <c r="F463" s="2483">
        <f>D463*E463</f>
        <v>600000</v>
      </c>
      <c r="G463" s="7564"/>
      <c r="H463" s="7564"/>
      <c r="I463" s="7564"/>
      <c r="J463" s="7564"/>
      <c r="K463" s="7564"/>
      <c r="L463" s="7817"/>
    </row>
    <row r="464" spans="1:12" ht="30" customHeight="1" x14ac:dyDescent="0.2">
      <c r="A464" s="7655"/>
      <c r="B464" s="7653"/>
      <c r="C464" s="7724"/>
      <c r="D464" s="2765">
        <v>10000000</v>
      </c>
      <c r="E464" s="2763"/>
      <c r="F464" s="2766"/>
      <c r="G464" s="2762"/>
      <c r="H464" s="2762"/>
      <c r="I464" s="2765"/>
      <c r="J464" s="2762"/>
      <c r="K464" s="2762"/>
      <c r="L464" s="2768" t="s">
        <v>4760</v>
      </c>
    </row>
    <row r="465" spans="1:12" ht="30" customHeight="1" x14ac:dyDescent="0.2">
      <c r="A465" s="2103">
        <v>296</v>
      </c>
      <c r="B465" s="2104" t="s">
        <v>143</v>
      </c>
      <c r="C465" s="2084" t="s">
        <v>1306</v>
      </c>
      <c r="D465" s="2074">
        <v>35000000</v>
      </c>
      <c r="E465" s="2101">
        <v>0.04</v>
      </c>
      <c r="F465" s="2074">
        <f t="shared" si="52"/>
        <v>1400000</v>
      </c>
      <c r="G465" s="2074">
        <v>1400000</v>
      </c>
      <c r="H465" s="2074" t="s">
        <v>4596</v>
      </c>
      <c r="I465" s="21" t="s">
        <v>1109</v>
      </c>
      <c r="J465" s="2074">
        <f>G465</f>
        <v>1400000</v>
      </c>
      <c r="K465" s="2074">
        <f>F465-J465</f>
        <v>0</v>
      </c>
      <c r="L465" s="2104"/>
    </row>
    <row r="466" spans="1:12" ht="30" customHeight="1" x14ac:dyDescent="0.2">
      <c r="A466" s="2103">
        <v>298</v>
      </c>
      <c r="B466" s="2104" t="s">
        <v>145</v>
      </c>
      <c r="C466" s="2084" t="s">
        <v>1134</v>
      </c>
      <c r="D466" s="2074">
        <v>38000000</v>
      </c>
      <c r="E466" s="2101">
        <v>5.1999999999999998E-2</v>
      </c>
      <c r="F466" s="2074">
        <v>2000000</v>
      </c>
      <c r="G466" s="2074">
        <v>2000000</v>
      </c>
      <c r="H466" s="2074" t="s">
        <v>4596</v>
      </c>
      <c r="I466" s="21" t="s">
        <v>4150</v>
      </c>
      <c r="J466" s="2074">
        <f>G466</f>
        <v>2000000</v>
      </c>
      <c r="K466" s="2074">
        <f>F466-J466</f>
        <v>0</v>
      </c>
      <c r="L466" s="2104"/>
    </row>
    <row r="467" spans="1:12" ht="30" customHeight="1" x14ac:dyDescent="0.2">
      <c r="A467" s="2103">
        <v>300</v>
      </c>
      <c r="B467" s="2106" t="s">
        <v>147</v>
      </c>
      <c r="C467" s="2105" t="s">
        <v>890</v>
      </c>
      <c r="D467" s="2062">
        <v>178000000</v>
      </c>
      <c r="E467" s="2101">
        <v>5.8999999999999997E-2</v>
      </c>
      <c r="F467" s="2062">
        <v>10500000</v>
      </c>
      <c r="G467" s="2074">
        <v>10500000</v>
      </c>
      <c r="H467" s="2074" t="s">
        <v>4619</v>
      </c>
      <c r="I467" s="21" t="s">
        <v>3469</v>
      </c>
      <c r="J467" s="2074">
        <f>G467</f>
        <v>10500000</v>
      </c>
      <c r="K467" s="2062">
        <f>F467-J467</f>
        <v>0</v>
      </c>
      <c r="L467" s="2104"/>
    </row>
    <row r="468" spans="1:12" ht="30" customHeight="1" x14ac:dyDescent="0.2">
      <c r="A468" s="2103">
        <v>301</v>
      </c>
      <c r="B468" s="2104" t="s">
        <v>2347</v>
      </c>
      <c r="C468" s="2084"/>
      <c r="D468" s="2074">
        <v>10000000</v>
      </c>
      <c r="E468" s="2077">
        <v>0.04</v>
      </c>
      <c r="F468" s="2074">
        <f>D468*E468</f>
        <v>400000</v>
      </c>
      <c r="G468" s="2074">
        <v>400000</v>
      </c>
      <c r="H468" s="2074" t="s">
        <v>4619</v>
      </c>
      <c r="I468" s="2094" t="s">
        <v>723</v>
      </c>
      <c r="J468" s="2074">
        <f>G468</f>
        <v>400000</v>
      </c>
      <c r="K468" s="2074">
        <f>F468-J468</f>
        <v>0</v>
      </c>
      <c r="L468" s="2133"/>
    </row>
    <row r="469" spans="1:12" ht="30" customHeight="1" x14ac:dyDescent="0.2">
      <c r="A469" s="7654">
        <v>302</v>
      </c>
      <c r="B469" s="7652" t="s">
        <v>149</v>
      </c>
      <c r="C469" s="7723" t="s">
        <v>1296</v>
      </c>
      <c r="D469" s="2074">
        <v>60000000</v>
      </c>
      <c r="E469" s="2101">
        <v>4.4999999999999998E-2</v>
      </c>
      <c r="F469" s="2074">
        <f t="shared" si="52"/>
        <v>2700000</v>
      </c>
      <c r="G469" s="7954" t="s">
        <v>4284</v>
      </c>
      <c r="H469" s="7955"/>
      <c r="I469" s="7955"/>
      <c r="J469" s="7956"/>
      <c r="K469" s="2074">
        <f>F469-J469</f>
        <v>2700000</v>
      </c>
      <c r="L469" s="2667" t="s">
        <v>4691</v>
      </c>
    </row>
    <row r="470" spans="1:12" ht="30" customHeight="1" x14ac:dyDescent="0.2">
      <c r="A470" s="7655"/>
      <c r="B470" s="7653"/>
      <c r="C470" s="7724"/>
      <c r="D470" s="895">
        <v>100000000</v>
      </c>
      <c r="E470" s="896">
        <v>0.05</v>
      </c>
      <c r="F470" s="895">
        <f>D470*E470</f>
        <v>5000000</v>
      </c>
      <c r="G470" s="7732" t="s">
        <v>4594</v>
      </c>
      <c r="H470" s="7733"/>
      <c r="I470" s="7733"/>
      <c r="J470" s="7734"/>
      <c r="K470" s="2496"/>
      <c r="L470" s="2511" t="s">
        <v>4593</v>
      </c>
    </row>
    <row r="471" spans="1:12" ht="30" customHeight="1" x14ac:dyDescent="0.2">
      <c r="A471" s="7681"/>
      <c r="B471" s="7652" t="s">
        <v>150</v>
      </c>
      <c r="C471" s="7723" t="s">
        <v>1796</v>
      </c>
      <c r="D471" s="2701">
        <v>1916000000</v>
      </c>
      <c r="E471" s="2713"/>
      <c r="F471" s="2701"/>
      <c r="G471" s="7732" t="s">
        <v>4709</v>
      </c>
      <c r="H471" s="7733"/>
      <c r="I471" s="7733"/>
      <c r="J471" s="7734"/>
      <c r="K471" s="2701"/>
      <c r="L471" s="2718"/>
    </row>
    <row r="472" spans="1:12" ht="30" customHeight="1" x14ac:dyDescent="0.2">
      <c r="A472" s="8006"/>
      <c r="B472" s="7665"/>
      <c r="C472" s="7747"/>
      <c r="D472" s="2701">
        <f>D471-228000000</f>
        <v>1688000000</v>
      </c>
      <c r="E472" s="2713"/>
      <c r="F472" s="2701"/>
      <c r="G472" s="7732" t="s">
        <v>4712</v>
      </c>
      <c r="H472" s="7733"/>
      <c r="I472" s="7733"/>
      <c r="J472" s="7734"/>
      <c r="K472" s="2701"/>
      <c r="L472" s="2718"/>
    </row>
    <row r="473" spans="1:12" ht="30" customHeight="1" x14ac:dyDescent="0.2">
      <c r="A473" s="8006"/>
      <c r="B473" s="7665"/>
      <c r="C473" s="7747"/>
      <c r="D473" s="2701">
        <f>D472+300000000</f>
        <v>1988000000</v>
      </c>
      <c r="E473" s="2713"/>
      <c r="F473" s="2701"/>
      <c r="G473" s="7732" t="s">
        <v>4704</v>
      </c>
      <c r="H473" s="7733"/>
      <c r="I473" s="7733"/>
      <c r="J473" s="7734"/>
      <c r="K473" s="2701"/>
      <c r="L473" s="2718"/>
    </row>
    <row r="474" spans="1:12" ht="30" customHeight="1" x14ac:dyDescent="0.2">
      <c r="A474" s="8006"/>
      <c r="B474" s="7665"/>
      <c r="C474" s="7747"/>
      <c r="D474" s="2701">
        <f>D473+27000000</f>
        <v>2015000000</v>
      </c>
      <c r="E474" s="2713"/>
      <c r="F474" s="2701"/>
      <c r="G474" s="7732" t="s">
        <v>4705</v>
      </c>
      <c r="H474" s="7733"/>
      <c r="I474" s="7733"/>
      <c r="J474" s="7734"/>
      <c r="K474" s="2701"/>
      <c r="L474" s="2718"/>
    </row>
    <row r="475" spans="1:12" ht="30" customHeight="1" x14ac:dyDescent="0.2">
      <c r="A475" s="8006"/>
      <c r="B475" s="7665"/>
      <c r="C475" s="7747"/>
      <c r="D475" s="2701">
        <f>D474+385000000</f>
        <v>2400000000</v>
      </c>
      <c r="E475" s="2713"/>
      <c r="F475" s="2701"/>
      <c r="G475" s="7732" t="s">
        <v>4706</v>
      </c>
      <c r="H475" s="7733"/>
      <c r="I475" s="7733"/>
      <c r="J475" s="7734"/>
      <c r="K475" s="2701"/>
      <c r="L475" s="2718"/>
    </row>
    <row r="476" spans="1:12" ht="30" customHeight="1" x14ac:dyDescent="0.2">
      <c r="A476" s="8006"/>
      <c r="B476" s="7665"/>
      <c r="C476" s="7747"/>
      <c r="D476" s="2701">
        <f>D475+115000000</f>
        <v>2515000000</v>
      </c>
      <c r="E476" s="2713"/>
      <c r="F476" s="2701"/>
      <c r="G476" s="7732" t="s">
        <v>4707</v>
      </c>
      <c r="H476" s="7733"/>
      <c r="I476" s="7733"/>
      <c r="J476" s="7734"/>
      <c r="K476" s="2701"/>
      <c r="L476" s="2718"/>
    </row>
    <row r="477" spans="1:12" ht="30" customHeight="1" x14ac:dyDescent="0.2">
      <c r="A477" s="8006"/>
      <c r="B477" s="7665"/>
      <c r="C477" s="7747"/>
      <c r="D477" s="7563">
        <f>D476+47000000</f>
        <v>2562000000</v>
      </c>
      <c r="E477" s="7659">
        <f>F477/D477</f>
        <v>7.8556596409055421E-2</v>
      </c>
      <c r="F477" s="7563">
        <v>201262000</v>
      </c>
      <c r="G477" s="7732" t="s">
        <v>4708</v>
      </c>
      <c r="H477" s="7733"/>
      <c r="I477" s="7733"/>
      <c r="J477" s="7734"/>
      <c r="K477" s="2701"/>
      <c r="L477" s="2718"/>
    </row>
    <row r="478" spans="1:12" ht="30" customHeight="1" x14ac:dyDescent="0.2">
      <c r="A478" s="8006"/>
      <c r="B478" s="7665"/>
      <c r="C478" s="7747"/>
      <c r="D478" s="7586"/>
      <c r="E478" s="7676"/>
      <c r="F478" s="7586"/>
      <c r="G478" s="516">
        <v>1262000</v>
      </c>
      <c r="H478" s="516" t="s">
        <v>2125</v>
      </c>
      <c r="I478" s="516" t="s">
        <v>4591</v>
      </c>
      <c r="J478" s="7563">
        <f>G478+G479+G480</f>
        <v>1262000</v>
      </c>
      <c r="K478" s="7563">
        <f>F477-J478</f>
        <v>200000000</v>
      </c>
      <c r="L478" s="2718"/>
    </row>
    <row r="479" spans="1:12" ht="30" customHeight="1" x14ac:dyDescent="0.2">
      <c r="A479" s="8006"/>
      <c r="B479" s="7665"/>
      <c r="C479" s="7747"/>
      <c r="D479" s="7586"/>
      <c r="E479" s="7676"/>
      <c r="F479" s="7586"/>
      <c r="G479" s="2720"/>
      <c r="H479" s="2720"/>
      <c r="I479" s="2720"/>
      <c r="J479" s="7586"/>
      <c r="K479" s="7586"/>
      <c r="L479" s="2718"/>
    </row>
    <row r="480" spans="1:12" ht="30" customHeight="1" x14ac:dyDescent="0.2">
      <c r="A480" s="8006"/>
      <c r="B480" s="7665"/>
      <c r="C480" s="7747"/>
      <c r="D480" s="7564"/>
      <c r="E480" s="7660"/>
      <c r="F480" s="7564"/>
      <c r="G480" s="2720"/>
      <c r="H480" s="2720"/>
      <c r="I480" s="2720"/>
      <c r="J480" s="7564"/>
      <c r="K480" s="7564"/>
      <c r="L480" s="2718"/>
    </row>
    <row r="481" spans="1:12" ht="30" customHeight="1" x14ac:dyDescent="0.2">
      <c r="A481" s="8006"/>
      <c r="B481" s="7665"/>
      <c r="C481" s="7747"/>
      <c r="D481" s="8001">
        <f>D477-340000000</f>
        <v>2222000000</v>
      </c>
      <c r="E481" s="8083">
        <f>F481/D481</f>
        <v>8.1903690369036899E-2</v>
      </c>
      <c r="F481" s="8001">
        <v>181990000</v>
      </c>
      <c r="G481" s="8085" t="s">
        <v>4711</v>
      </c>
      <c r="H481" s="8086"/>
      <c r="I481" s="8086"/>
      <c r="J481" s="8087"/>
      <c r="K481" s="2701"/>
      <c r="L481" s="2718"/>
    </row>
    <row r="482" spans="1:12" ht="30" customHeight="1" x14ac:dyDescent="0.2">
      <c r="A482" s="8006"/>
      <c r="B482" s="7665"/>
      <c r="C482" s="7747"/>
      <c r="D482" s="8041"/>
      <c r="E482" s="8142"/>
      <c r="F482" s="8041"/>
      <c r="G482" s="8085" t="s">
        <v>4710</v>
      </c>
      <c r="H482" s="8086"/>
      <c r="I482" s="8086"/>
      <c r="J482" s="8087"/>
      <c r="K482" s="2701"/>
      <c r="L482" s="2718"/>
    </row>
    <row r="483" spans="1:12" ht="30" customHeight="1" x14ac:dyDescent="0.2">
      <c r="A483" s="7682"/>
      <c r="B483" s="7653"/>
      <c r="C483" s="7724"/>
      <c r="D483" s="8002"/>
      <c r="E483" s="8084"/>
      <c r="F483" s="8002"/>
      <c r="G483" s="1855"/>
      <c r="H483" s="1855"/>
      <c r="I483" s="1855"/>
      <c r="J483" s="1855"/>
      <c r="K483" s="2701"/>
      <c r="L483" s="2718"/>
    </row>
    <row r="484" spans="1:12" ht="30" customHeight="1" x14ac:dyDescent="0.2">
      <c r="A484" s="7654">
        <v>305</v>
      </c>
      <c r="B484" s="7652" t="s">
        <v>152</v>
      </c>
      <c r="C484" s="7723"/>
      <c r="D484" s="7563">
        <v>750000000</v>
      </c>
      <c r="E484" s="7659">
        <v>6.5000000000000002E-2</v>
      </c>
      <c r="F484" s="7563">
        <v>48000000</v>
      </c>
      <c r="G484" s="2705">
        <v>38000000</v>
      </c>
      <c r="H484" s="2705" t="s">
        <v>4813</v>
      </c>
      <c r="I484" s="21" t="s">
        <v>2394</v>
      </c>
      <c r="J484" s="7563">
        <f>G484+G485</f>
        <v>38000000</v>
      </c>
      <c r="K484" s="7563">
        <f>38000000-J484</f>
        <v>0</v>
      </c>
      <c r="L484" s="345"/>
    </row>
    <row r="485" spans="1:12" ht="30" customHeight="1" x14ac:dyDescent="0.2">
      <c r="A485" s="7656"/>
      <c r="B485" s="7665"/>
      <c r="C485" s="7747"/>
      <c r="D485" s="7586"/>
      <c r="E485" s="7676"/>
      <c r="F485" s="7586"/>
      <c r="G485" s="2705"/>
      <c r="H485" s="2705"/>
      <c r="I485" s="21" t="s">
        <v>2394</v>
      </c>
      <c r="J485" s="7586"/>
      <c r="K485" s="7586"/>
      <c r="L485" s="345" t="s">
        <v>3350</v>
      </c>
    </row>
    <row r="486" spans="1:12" ht="30" customHeight="1" x14ac:dyDescent="0.2">
      <c r="A486" s="7656"/>
      <c r="B486" s="7665"/>
      <c r="C486" s="7747"/>
      <c r="D486" s="7586"/>
      <c r="E486" s="7676"/>
      <c r="F486" s="7586"/>
      <c r="G486" s="2705"/>
      <c r="H486" s="2705"/>
      <c r="I486" s="21" t="s">
        <v>2394</v>
      </c>
      <c r="J486" s="7586"/>
      <c r="K486" s="7586"/>
      <c r="L486" s="345"/>
    </row>
    <row r="487" spans="1:12" ht="30" customHeight="1" x14ac:dyDescent="0.2">
      <c r="A487" s="7655"/>
      <c r="B487" s="7653"/>
      <c r="C487" s="7724"/>
      <c r="D487" s="7564"/>
      <c r="E487" s="7660"/>
      <c r="F487" s="7564"/>
      <c r="G487" s="2705"/>
      <c r="H487" s="2705"/>
      <c r="I487" s="21" t="s">
        <v>2394</v>
      </c>
      <c r="J487" s="7564"/>
      <c r="K487" s="7564"/>
      <c r="L487" s="345"/>
    </row>
    <row r="488" spans="1:12" ht="30" customHeight="1" x14ac:dyDescent="0.2">
      <c r="A488" s="7654">
        <v>307</v>
      </c>
      <c r="B488" s="7652" t="s">
        <v>154</v>
      </c>
      <c r="C488" s="7723" t="s">
        <v>1306</v>
      </c>
      <c r="D488" s="2705">
        <v>240000000</v>
      </c>
      <c r="E488" s="2713">
        <v>0.05</v>
      </c>
      <c r="F488" s="2705">
        <f t="shared" si="52"/>
        <v>12000000</v>
      </c>
      <c r="G488" s="2705">
        <v>12000000</v>
      </c>
      <c r="H488" s="2705" t="s">
        <v>4596</v>
      </c>
      <c r="I488" s="21" t="s">
        <v>2409</v>
      </c>
      <c r="J488" s="2705">
        <f>G488</f>
        <v>12000000</v>
      </c>
      <c r="K488" s="2705">
        <f>F488-J488</f>
        <v>0</v>
      </c>
      <c r="L488" s="2715"/>
    </row>
    <row r="489" spans="1:12" ht="30" customHeight="1" x14ac:dyDescent="0.2">
      <c r="A489" s="7656"/>
      <c r="B489" s="7665"/>
      <c r="C489" s="7747"/>
      <c r="D489" s="7470" t="s">
        <v>3892</v>
      </c>
      <c r="E489" s="7493"/>
      <c r="F489" s="7510"/>
      <c r="G489" s="2910">
        <v>20000000</v>
      </c>
      <c r="H489" s="2910" t="s">
        <v>4813</v>
      </c>
      <c r="I489" s="2918" t="s">
        <v>2655</v>
      </c>
      <c r="J489" s="2910">
        <f>G489</f>
        <v>20000000</v>
      </c>
      <c r="K489" s="2910"/>
      <c r="L489" s="2903"/>
    </row>
    <row r="490" spans="1:12" ht="30" customHeight="1" x14ac:dyDescent="0.2">
      <c r="A490" s="7655"/>
      <c r="B490" s="7653"/>
      <c r="C490" s="7724"/>
      <c r="D490" s="2923">
        <v>220000000</v>
      </c>
      <c r="E490" s="896">
        <v>0.05</v>
      </c>
      <c r="F490" s="2923">
        <f>D490*E490</f>
        <v>11000000</v>
      </c>
      <c r="G490" s="2907"/>
      <c r="H490" s="2907"/>
      <c r="I490" s="2925"/>
      <c r="J490" s="2907"/>
      <c r="K490" s="2907"/>
      <c r="L490" s="2903"/>
    </row>
    <row r="491" spans="1:12" ht="30" customHeight="1" x14ac:dyDescent="0.2">
      <c r="A491" s="2702">
        <v>308</v>
      </c>
      <c r="B491" s="2717" t="s">
        <v>155</v>
      </c>
      <c r="C491" s="2716" t="s">
        <v>1294</v>
      </c>
      <c r="D491" s="2701">
        <v>300000000</v>
      </c>
      <c r="E491" s="2713">
        <v>0.05</v>
      </c>
      <c r="F491" s="2701">
        <f t="shared" si="52"/>
        <v>15000000</v>
      </c>
      <c r="G491" s="7563">
        <v>24000000</v>
      </c>
      <c r="H491" s="7563" t="s">
        <v>1017</v>
      </c>
      <c r="I491" s="7772" t="s">
        <v>1873</v>
      </c>
      <c r="J491" s="7563">
        <f>G491</f>
        <v>24000000</v>
      </c>
      <c r="K491" s="7563">
        <f>(F491+F492)-J491</f>
        <v>0</v>
      </c>
      <c r="L491" s="7818"/>
    </row>
    <row r="492" spans="1:12" ht="30" customHeight="1" x14ac:dyDescent="0.2">
      <c r="A492" s="2714">
        <v>309</v>
      </c>
      <c r="B492" s="2717" t="s">
        <v>1874</v>
      </c>
      <c r="C492" s="2716" t="s">
        <v>372</v>
      </c>
      <c r="D492" s="2705">
        <v>180000000</v>
      </c>
      <c r="E492" s="2707">
        <v>0.05</v>
      </c>
      <c r="F492" s="2705">
        <f>D492*E492</f>
        <v>9000000</v>
      </c>
      <c r="G492" s="7564"/>
      <c r="H492" s="7564"/>
      <c r="I492" s="7773"/>
      <c r="J492" s="7564"/>
      <c r="K492" s="7564"/>
      <c r="L492" s="7819"/>
    </row>
    <row r="493" spans="1:12" ht="30" customHeight="1" x14ac:dyDescent="0.2">
      <c r="A493" s="2702">
        <v>310</v>
      </c>
      <c r="B493" s="2715" t="s">
        <v>157</v>
      </c>
      <c r="C493" s="2712" t="s">
        <v>392</v>
      </c>
      <c r="D493" s="2705">
        <v>100000000</v>
      </c>
      <c r="E493" s="2707">
        <v>0.05</v>
      </c>
      <c r="F493" s="2705">
        <f t="shared" ref="F493:F511" si="57">D493*E493</f>
        <v>5000000</v>
      </c>
      <c r="G493" s="2705"/>
      <c r="H493" s="2705"/>
      <c r="I493" s="21" t="s">
        <v>3519</v>
      </c>
      <c r="J493" s="2705">
        <f>G493</f>
        <v>0</v>
      </c>
      <c r="K493" s="2705">
        <f t="shared" ref="K493:K500" si="58">F493-J493</f>
        <v>5000000</v>
      </c>
      <c r="L493" s="2758" t="s">
        <v>4754</v>
      </c>
    </row>
    <row r="494" spans="1:12" ht="30" customHeight="1" x14ac:dyDescent="0.2">
      <c r="A494" s="7654">
        <v>311</v>
      </c>
      <c r="B494" s="7652" t="s">
        <v>158</v>
      </c>
      <c r="C494" s="7723" t="s">
        <v>889</v>
      </c>
      <c r="D494" s="2074">
        <v>85000000</v>
      </c>
      <c r="E494" s="2101">
        <v>0.05</v>
      </c>
      <c r="F494" s="2074">
        <f t="shared" si="57"/>
        <v>4250000</v>
      </c>
      <c r="G494" s="7563">
        <v>6250000</v>
      </c>
      <c r="H494" s="7563" t="s">
        <v>4361</v>
      </c>
      <c r="I494" s="7762" t="s">
        <v>3970</v>
      </c>
      <c r="J494" s="7563">
        <f>G494</f>
        <v>6250000</v>
      </c>
      <c r="K494" s="7563">
        <f t="shared" si="58"/>
        <v>-2000000</v>
      </c>
      <c r="L494" s="2133" t="s">
        <v>3452</v>
      </c>
    </row>
    <row r="495" spans="1:12" ht="30" customHeight="1" x14ac:dyDescent="0.2">
      <c r="A495" s="7655"/>
      <c r="B495" s="7653"/>
      <c r="C495" s="7724"/>
      <c r="D495" s="2074">
        <v>100000000</v>
      </c>
      <c r="E495" s="2101">
        <v>0.05</v>
      </c>
      <c r="F495" s="2074">
        <f t="shared" si="57"/>
        <v>5000000</v>
      </c>
      <c r="G495" s="7564"/>
      <c r="H495" s="7564"/>
      <c r="I495" s="7763"/>
      <c r="J495" s="7564"/>
      <c r="K495" s="7564"/>
      <c r="L495" s="2133" t="s">
        <v>4753</v>
      </c>
    </row>
    <row r="496" spans="1:12" ht="30" customHeight="1" x14ac:dyDescent="0.2">
      <c r="A496" s="2063">
        <v>312</v>
      </c>
      <c r="B496" s="2104" t="s">
        <v>159</v>
      </c>
      <c r="C496" s="2084"/>
      <c r="D496" s="2079"/>
      <c r="E496" s="40"/>
      <c r="F496" s="2079">
        <f t="shared" si="57"/>
        <v>0</v>
      </c>
      <c r="G496" s="2074"/>
      <c r="H496" s="2074"/>
      <c r="I496" s="21"/>
      <c r="J496" s="2074">
        <f>G496</f>
        <v>0</v>
      </c>
      <c r="K496" s="2079">
        <f t="shared" si="58"/>
        <v>0</v>
      </c>
      <c r="L496" s="2104"/>
    </row>
    <row r="497" spans="1:12" ht="30" customHeight="1" x14ac:dyDescent="0.2">
      <c r="A497" s="2138">
        <v>313</v>
      </c>
      <c r="B497" s="2104" t="s">
        <v>161</v>
      </c>
      <c r="C497" s="2105" t="s">
        <v>1652</v>
      </c>
      <c r="D497" s="2062">
        <v>152000000</v>
      </c>
      <c r="E497" s="2101">
        <v>0.05</v>
      </c>
      <c r="F497" s="2062">
        <f>D497*E497</f>
        <v>7600000</v>
      </c>
      <c r="G497" s="2062">
        <v>7600000</v>
      </c>
      <c r="H497" s="2062" t="s">
        <v>1193</v>
      </c>
      <c r="I497" s="2108" t="s">
        <v>3468</v>
      </c>
      <c r="J497" s="2062">
        <f>G497</f>
        <v>7600000</v>
      </c>
      <c r="K497" s="2062">
        <f t="shared" si="58"/>
        <v>0</v>
      </c>
      <c r="L497" s="2121"/>
    </row>
    <row r="498" spans="1:12" ht="30" customHeight="1" x14ac:dyDescent="0.2">
      <c r="A498" s="2063">
        <v>315</v>
      </c>
      <c r="B498" s="19" t="s">
        <v>163</v>
      </c>
      <c r="C498" s="2105" t="s">
        <v>1176</v>
      </c>
      <c r="D498" s="2062">
        <v>400000000</v>
      </c>
      <c r="E498" s="2101">
        <v>6.3E-2</v>
      </c>
      <c r="F498" s="2062">
        <v>25000000</v>
      </c>
      <c r="G498" s="2062">
        <v>25000000</v>
      </c>
      <c r="H498" s="2062" t="s">
        <v>4402</v>
      </c>
      <c r="I498" s="2108" t="s">
        <v>1806</v>
      </c>
      <c r="J498" s="2062">
        <f t="shared" ref="J498:J510" si="59">G498</f>
        <v>25000000</v>
      </c>
      <c r="K498" s="2062">
        <f t="shared" si="58"/>
        <v>0</v>
      </c>
      <c r="L498" s="2085"/>
    </row>
    <row r="499" spans="1:12" ht="30" customHeight="1" x14ac:dyDescent="0.2">
      <c r="A499" s="2103">
        <v>316</v>
      </c>
      <c r="B499" s="2068" t="s">
        <v>164</v>
      </c>
      <c r="C499" s="2084"/>
      <c r="D499" s="2074">
        <v>35000000</v>
      </c>
      <c r="E499" s="2077">
        <v>0.04</v>
      </c>
      <c r="F499" s="2074">
        <f>D499*E499</f>
        <v>1400000</v>
      </c>
      <c r="G499" s="2074">
        <v>1400000</v>
      </c>
      <c r="H499" s="2074" t="s">
        <v>4475</v>
      </c>
      <c r="I499" s="2093" t="s">
        <v>288</v>
      </c>
      <c r="J499" s="2074">
        <f t="shared" si="59"/>
        <v>1400000</v>
      </c>
      <c r="K499" s="2074">
        <f t="shared" si="58"/>
        <v>0</v>
      </c>
      <c r="L499" s="2104"/>
    </row>
    <row r="500" spans="1:12" ht="30" customHeight="1" x14ac:dyDescent="0.2">
      <c r="A500" s="7879">
        <v>317</v>
      </c>
      <c r="B500" s="7652" t="s">
        <v>4529</v>
      </c>
      <c r="C500" s="2084" t="s">
        <v>359</v>
      </c>
      <c r="D500" s="2074">
        <v>100000000</v>
      </c>
      <c r="E500" s="2101">
        <v>0.05</v>
      </c>
      <c r="F500" s="2074">
        <f>D500*E500</f>
        <v>5000000</v>
      </c>
      <c r="G500" s="2074">
        <v>5000000</v>
      </c>
      <c r="H500" s="2074" t="s">
        <v>4449</v>
      </c>
      <c r="I500" s="21" t="s">
        <v>2996</v>
      </c>
      <c r="J500" s="2074">
        <f t="shared" si="59"/>
        <v>5000000</v>
      </c>
      <c r="K500" s="2074">
        <f t="shared" si="58"/>
        <v>0</v>
      </c>
      <c r="L500" s="2133" t="s">
        <v>2708</v>
      </c>
    </row>
    <row r="501" spans="1:12" ht="30" customHeight="1" x14ac:dyDescent="0.2">
      <c r="A501" s="7879"/>
      <c r="B501" s="7653"/>
      <c r="C501" s="2445" t="s">
        <v>3007</v>
      </c>
      <c r="D501" s="2442">
        <v>100000000</v>
      </c>
      <c r="E501" s="2446">
        <v>0.05</v>
      </c>
      <c r="F501" s="2442">
        <f>D501*E501</f>
        <v>5000000</v>
      </c>
      <c r="G501" s="7732" t="s">
        <v>4993</v>
      </c>
      <c r="H501" s="7733"/>
      <c r="I501" s="7733"/>
      <c r="J501" s="7734"/>
      <c r="K501" s="2442"/>
      <c r="L501" s="2447"/>
    </row>
    <row r="502" spans="1:12" ht="30" customHeight="1" x14ac:dyDescent="0.2">
      <c r="A502" s="7654"/>
      <c r="B502" s="7652" t="s">
        <v>165</v>
      </c>
      <c r="C502" s="2084" t="s">
        <v>1287</v>
      </c>
      <c r="D502" s="2074">
        <v>210000000</v>
      </c>
      <c r="E502" s="2101">
        <v>0.05</v>
      </c>
      <c r="F502" s="2074">
        <f>D502*E502</f>
        <v>10500000</v>
      </c>
      <c r="G502" s="7954" t="s">
        <v>4530</v>
      </c>
      <c r="H502" s="7955"/>
      <c r="I502" s="7955"/>
      <c r="J502" s="7956"/>
      <c r="K502" s="2062">
        <v>0</v>
      </c>
      <c r="L502" s="2133" t="s">
        <v>2709</v>
      </c>
    </row>
    <row r="503" spans="1:12" ht="30" customHeight="1" x14ac:dyDescent="0.2">
      <c r="A503" s="7655"/>
      <c r="B503" s="7653"/>
      <c r="C503" s="2535"/>
      <c r="D503" s="2528">
        <v>200000000</v>
      </c>
      <c r="E503" s="2539">
        <v>0.06</v>
      </c>
      <c r="F503" s="2528">
        <f>D503*E503</f>
        <v>12000000</v>
      </c>
      <c r="G503" s="7954" t="s">
        <v>3217</v>
      </c>
      <c r="H503" s="7955"/>
      <c r="I503" s="7955"/>
      <c r="J503" s="7956"/>
      <c r="K503" s="2528"/>
      <c r="L503" s="2543"/>
    </row>
    <row r="504" spans="1:12" ht="30" customHeight="1" x14ac:dyDescent="0.2">
      <c r="A504" s="2103">
        <v>318</v>
      </c>
      <c r="B504" s="2104" t="s">
        <v>167</v>
      </c>
      <c r="C504" s="2084"/>
      <c r="D504" s="2074">
        <v>80000000</v>
      </c>
      <c r="E504" s="2101">
        <v>0.05</v>
      </c>
      <c r="F504" s="2074">
        <f t="shared" si="57"/>
        <v>4000000</v>
      </c>
      <c r="G504" s="2074">
        <v>4000000</v>
      </c>
      <c r="H504" s="2074" t="s">
        <v>4449</v>
      </c>
      <c r="I504" s="18" t="s">
        <v>4452</v>
      </c>
      <c r="J504" s="2074">
        <f t="shared" si="59"/>
        <v>4000000</v>
      </c>
      <c r="K504" s="2074">
        <f>F504-J504</f>
        <v>0</v>
      </c>
      <c r="L504" s="2104"/>
    </row>
    <row r="505" spans="1:12" ht="30" customHeight="1" x14ac:dyDescent="0.2">
      <c r="A505" s="2103">
        <v>319</v>
      </c>
      <c r="B505" s="2551" t="s">
        <v>168</v>
      </c>
      <c r="C505" s="2552" t="s">
        <v>1287</v>
      </c>
      <c r="D505" s="285">
        <v>200000000</v>
      </c>
      <c r="E505" s="2549">
        <v>5.5E-2</v>
      </c>
      <c r="F505" s="285">
        <f t="shared" si="57"/>
        <v>11000000</v>
      </c>
      <c r="G505" s="285"/>
      <c r="H505" s="285"/>
      <c r="I505" s="287" t="s">
        <v>3723</v>
      </c>
      <c r="J505" s="285">
        <f t="shared" si="59"/>
        <v>0</v>
      </c>
      <c r="K505" s="285">
        <f>F505-J505</f>
        <v>11000000</v>
      </c>
      <c r="L505" s="2133"/>
    </row>
    <row r="506" spans="1:12" ht="30" customHeight="1" x14ac:dyDescent="0.2">
      <c r="A506" s="7654">
        <v>320</v>
      </c>
      <c r="B506" s="7652" t="s">
        <v>169</v>
      </c>
      <c r="C506" s="7723" t="s">
        <v>1300</v>
      </c>
      <c r="D506" s="2074">
        <v>135000000</v>
      </c>
      <c r="E506" s="2101">
        <v>0.06</v>
      </c>
      <c r="F506" s="2074">
        <v>8000000</v>
      </c>
      <c r="G506" s="7563">
        <v>9750000</v>
      </c>
      <c r="H506" s="7563" t="s">
        <v>3865</v>
      </c>
      <c r="I506" s="7561" t="s">
        <v>2078</v>
      </c>
      <c r="J506" s="7563">
        <f t="shared" si="59"/>
        <v>9750000</v>
      </c>
      <c r="K506" s="7563">
        <f>(F506+F507)-J506</f>
        <v>0</v>
      </c>
      <c r="L506" s="2133"/>
    </row>
    <row r="507" spans="1:12" ht="30" customHeight="1" x14ac:dyDescent="0.2">
      <c r="A507" s="7655"/>
      <c r="B507" s="7653"/>
      <c r="C507" s="7724"/>
      <c r="D507" s="2074">
        <v>35000000</v>
      </c>
      <c r="E507" s="2101">
        <v>0.05</v>
      </c>
      <c r="F507" s="2074">
        <f>D507*E507</f>
        <v>1750000</v>
      </c>
      <c r="G507" s="7564"/>
      <c r="H507" s="7564"/>
      <c r="I507" s="7562"/>
      <c r="J507" s="7564"/>
      <c r="K507" s="7564"/>
      <c r="L507" s="2516" t="s">
        <v>3458</v>
      </c>
    </row>
    <row r="508" spans="1:12" ht="30" customHeight="1" x14ac:dyDescent="0.2">
      <c r="A508" s="7654">
        <v>321</v>
      </c>
      <c r="B508" s="7652" t="s">
        <v>171</v>
      </c>
      <c r="C508" s="7723" t="s">
        <v>3007</v>
      </c>
      <c r="D508" s="7563">
        <v>5000000</v>
      </c>
      <c r="E508" s="7659">
        <v>0.04</v>
      </c>
      <c r="F508" s="7563">
        <f t="shared" si="57"/>
        <v>200000</v>
      </c>
      <c r="G508" s="2074">
        <v>200000</v>
      </c>
      <c r="H508" s="2074" t="s">
        <v>1193</v>
      </c>
      <c r="I508" s="21" t="s">
        <v>2330</v>
      </c>
      <c r="J508" s="2074">
        <f t="shared" si="59"/>
        <v>200000</v>
      </c>
      <c r="K508" s="2074">
        <f>F508-J508</f>
        <v>0</v>
      </c>
      <c r="L508" s="2516" t="s">
        <v>3952</v>
      </c>
    </row>
    <row r="509" spans="1:12" ht="30" customHeight="1" x14ac:dyDescent="0.2">
      <c r="A509" s="7655"/>
      <c r="B509" s="7653"/>
      <c r="C509" s="7724"/>
      <c r="D509" s="7564"/>
      <c r="E509" s="7660"/>
      <c r="F509" s="7564"/>
      <c r="G509" s="2496">
        <v>200000</v>
      </c>
      <c r="H509" s="2496" t="s">
        <v>4596</v>
      </c>
      <c r="I509" s="21" t="s">
        <v>2330</v>
      </c>
      <c r="J509" s="2496">
        <f>G509</f>
        <v>200000</v>
      </c>
      <c r="K509" s="2496">
        <f>F508-J509</f>
        <v>0</v>
      </c>
      <c r="L509" s="2516" t="s">
        <v>4437</v>
      </c>
    </row>
    <row r="510" spans="1:12" ht="30" customHeight="1" x14ac:dyDescent="0.2">
      <c r="A510" s="2301">
        <v>322</v>
      </c>
      <c r="B510" s="19" t="s">
        <v>1378</v>
      </c>
      <c r="C510" s="2324" t="s">
        <v>1081</v>
      </c>
      <c r="D510" s="2300">
        <v>10000000</v>
      </c>
      <c r="E510" s="2322">
        <v>0.05</v>
      </c>
      <c r="F510" s="2300">
        <f t="shared" si="57"/>
        <v>500000</v>
      </c>
      <c r="G510" s="2300">
        <v>500000</v>
      </c>
      <c r="H510" s="2300" t="s">
        <v>1193</v>
      </c>
      <c r="I510" s="2325" t="s">
        <v>1376</v>
      </c>
      <c r="J510" s="2300">
        <f t="shared" si="59"/>
        <v>500000</v>
      </c>
      <c r="K510" s="2300">
        <f>F510-J510</f>
        <v>0</v>
      </c>
      <c r="L510" s="2516"/>
    </row>
    <row r="511" spans="1:12" ht="30" customHeight="1" x14ac:dyDescent="0.2">
      <c r="A511" s="2103">
        <v>323</v>
      </c>
      <c r="B511" s="2303" t="s">
        <v>172</v>
      </c>
      <c r="C511" s="2084"/>
      <c r="D511" s="2074">
        <v>60000000</v>
      </c>
      <c r="E511" s="2307">
        <v>4.4999999999999998E-2</v>
      </c>
      <c r="F511" s="2074">
        <f t="shared" si="57"/>
        <v>2700000</v>
      </c>
      <c r="G511" s="2074"/>
      <c r="H511" s="2074"/>
      <c r="I511" s="2094"/>
      <c r="J511" s="2074">
        <f>G511</f>
        <v>0</v>
      </c>
      <c r="K511" s="2074">
        <f>F511-J511</f>
        <v>2700000</v>
      </c>
      <c r="L511" s="2104"/>
    </row>
    <row r="512" spans="1:12" ht="30" customHeight="1" x14ac:dyDescent="0.2">
      <c r="A512" s="2103">
        <v>324</v>
      </c>
      <c r="B512" s="3125" t="s">
        <v>173</v>
      </c>
      <c r="C512" s="3145" t="s">
        <v>889</v>
      </c>
      <c r="D512" s="3127">
        <v>20000000</v>
      </c>
      <c r="E512" s="3128">
        <v>0.05</v>
      </c>
      <c r="F512" s="2074">
        <f>D512*E512</f>
        <v>1000000</v>
      </c>
      <c r="G512" s="7954" t="s">
        <v>5062</v>
      </c>
      <c r="H512" s="7955"/>
      <c r="I512" s="7955"/>
      <c r="J512" s="7956"/>
      <c r="K512" s="2074">
        <f>F512-J512</f>
        <v>1000000</v>
      </c>
      <c r="L512" s="2104"/>
    </row>
    <row r="513" spans="1:12" ht="30" customHeight="1" x14ac:dyDescent="0.2">
      <c r="A513" s="7654">
        <v>325</v>
      </c>
      <c r="B513" s="7652" t="s">
        <v>270</v>
      </c>
      <c r="C513" s="7723"/>
      <c r="D513" s="2074">
        <v>300000000</v>
      </c>
      <c r="E513" s="2101">
        <v>0.1</v>
      </c>
      <c r="F513" s="2074">
        <v>30750000</v>
      </c>
      <c r="G513" s="2332">
        <v>20000000</v>
      </c>
      <c r="H513" s="2332" t="s">
        <v>4426</v>
      </c>
      <c r="I513" s="2341" t="s">
        <v>2927</v>
      </c>
      <c r="J513" s="7563">
        <f>G513+G514</f>
        <v>40550000</v>
      </c>
      <c r="K513" s="7563">
        <f>(F513+F514)-J513</f>
        <v>0</v>
      </c>
      <c r="L513" s="7723"/>
    </row>
    <row r="514" spans="1:12" ht="30" customHeight="1" x14ac:dyDescent="0.2">
      <c r="A514" s="7656"/>
      <c r="B514" s="7665"/>
      <c r="C514" s="7747"/>
      <c r="D514" s="2074">
        <v>140000000</v>
      </c>
      <c r="E514" s="2101">
        <v>7.0000000000000007E-2</v>
      </c>
      <c r="F514" s="2074">
        <v>9800000</v>
      </c>
      <c r="G514" s="2332">
        <v>20550000</v>
      </c>
      <c r="H514" s="2332" t="s">
        <v>4462</v>
      </c>
      <c r="I514" s="2341" t="s">
        <v>2927</v>
      </c>
      <c r="J514" s="7564"/>
      <c r="K514" s="7564"/>
      <c r="L514" s="7724"/>
    </row>
    <row r="515" spans="1:12" ht="30" customHeight="1" x14ac:dyDescent="0.2">
      <c r="A515" s="7655"/>
      <c r="B515" s="7653"/>
      <c r="C515" s="7724"/>
      <c r="D515" s="2412">
        <v>70000000</v>
      </c>
      <c r="E515" s="2416">
        <v>0.06</v>
      </c>
      <c r="F515" s="2412">
        <f>D515*E515</f>
        <v>4200000</v>
      </c>
      <c r="G515" s="2409"/>
      <c r="H515" s="2409"/>
      <c r="I515" s="2419"/>
      <c r="J515" s="2412"/>
      <c r="K515" s="2412"/>
      <c r="L515" s="2420" t="s">
        <v>4506</v>
      </c>
    </row>
    <row r="516" spans="1:12" ht="30" customHeight="1" x14ac:dyDescent="0.2">
      <c r="A516" s="3076">
        <v>326</v>
      </c>
      <c r="B516" s="19" t="s">
        <v>176</v>
      </c>
      <c r="C516" s="378"/>
      <c r="D516" s="3083">
        <v>500000000</v>
      </c>
      <c r="E516" s="3084">
        <v>0.05</v>
      </c>
      <c r="F516" s="3083">
        <f>D516*E516</f>
        <v>25000000</v>
      </c>
      <c r="G516" s="233"/>
      <c r="H516" s="233"/>
      <c r="I516" s="233"/>
      <c r="J516" s="233"/>
      <c r="K516" s="2062">
        <f>F516-J516</f>
        <v>25000000</v>
      </c>
      <c r="L516" s="763" t="s">
        <v>3387</v>
      </c>
    </row>
    <row r="517" spans="1:12" ht="30" customHeight="1" x14ac:dyDescent="0.2">
      <c r="A517" s="2103">
        <v>327</v>
      </c>
      <c r="B517" s="2068" t="s">
        <v>1232</v>
      </c>
      <c r="C517" s="2084"/>
      <c r="D517" s="2074">
        <v>60000000</v>
      </c>
      <c r="E517" s="2077">
        <v>0.05</v>
      </c>
      <c r="F517" s="2074">
        <f t="shared" ref="F517:F521" si="60">D517*E517</f>
        <v>3000000</v>
      </c>
      <c r="G517" s="2074"/>
      <c r="H517" s="2074"/>
      <c r="I517" s="21" t="s">
        <v>1231</v>
      </c>
      <c r="J517" s="2074">
        <f>G517</f>
        <v>0</v>
      </c>
      <c r="K517" s="2074">
        <f t="shared" ref="K517:K524" si="61">F517-J517</f>
        <v>3000000</v>
      </c>
      <c r="L517" s="2133"/>
    </row>
    <row r="518" spans="1:12" ht="30" customHeight="1" x14ac:dyDescent="0.2">
      <c r="A518" s="7654">
        <v>328</v>
      </c>
      <c r="B518" s="7652" t="s">
        <v>2675</v>
      </c>
      <c r="C518" s="7723" t="s">
        <v>942</v>
      </c>
      <c r="D518" s="2062">
        <v>685000000</v>
      </c>
      <c r="E518" s="2101">
        <v>0.06</v>
      </c>
      <c r="F518" s="2062">
        <f>D518*E518</f>
        <v>41100000</v>
      </c>
      <c r="G518" s="2074"/>
      <c r="H518" s="2074"/>
      <c r="I518" s="21" t="s">
        <v>1434</v>
      </c>
      <c r="J518" s="2074">
        <f>G518</f>
        <v>0</v>
      </c>
      <c r="K518" s="2074">
        <f t="shared" si="61"/>
        <v>41100000</v>
      </c>
      <c r="L518" s="2133"/>
    </row>
    <row r="519" spans="1:12" ht="30" customHeight="1" x14ac:dyDescent="0.2">
      <c r="A519" s="7656"/>
      <c r="B519" s="7665"/>
      <c r="C519" s="7747"/>
      <c r="D519" s="1854">
        <v>695000000</v>
      </c>
      <c r="E519" s="896">
        <v>0.06</v>
      </c>
      <c r="F519" s="1854">
        <f>D519*E519</f>
        <v>41700000</v>
      </c>
      <c r="G519" s="2300">
        <v>41700000</v>
      </c>
      <c r="H519" s="2300" t="s">
        <v>4395</v>
      </c>
      <c r="I519" s="2300" t="s">
        <v>4396</v>
      </c>
      <c r="J519" s="2300">
        <f>G519</f>
        <v>41700000</v>
      </c>
      <c r="K519" s="2306">
        <f t="shared" si="61"/>
        <v>0</v>
      </c>
      <c r="L519" s="2637" t="s">
        <v>3778</v>
      </c>
    </row>
    <row r="520" spans="1:12" ht="30" customHeight="1" x14ac:dyDescent="0.2">
      <c r="A520" s="7655"/>
      <c r="B520" s="7653"/>
      <c r="C520" s="7724"/>
      <c r="D520" s="1854">
        <v>695000000</v>
      </c>
      <c r="E520" s="896">
        <v>0.06</v>
      </c>
      <c r="F520" s="1854">
        <f>D520*E520</f>
        <v>41700000</v>
      </c>
      <c r="G520" s="2624">
        <v>41700000</v>
      </c>
      <c r="H520" s="2624" t="s">
        <v>4659</v>
      </c>
      <c r="I520" s="2624" t="s">
        <v>4815</v>
      </c>
      <c r="J520" s="2624">
        <f>G520</f>
        <v>41700000</v>
      </c>
      <c r="K520" s="2625">
        <f>F520-J520</f>
        <v>0</v>
      </c>
      <c r="L520" s="2637" t="s">
        <v>4660</v>
      </c>
    </row>
    <row r="521" spans="1:12" ht="30" customHeight="1" x14ac:dyDescent="0.2">
      <c r="A521" s="2063">
        <v>329</v>
      </c>
      <c r="B521" s="2106" t="s">
        <v>181</v>
      </c>
      <c r="C521" s="378"/>
      <c r="D521" s="2088"/>
      <c r="E521" s="40"/>
      <c r="F521" s="2088">
        <f t="shared" si="60"/>
        <v>0</v>
      </c>
      <c r="G521" s="2062"/>
      <c r="H521" s="2062"/>
      <c r="I521" s="2108"/>
      <c r="J521" s="2062"/>
      <c r="K521" s="2088">
        <f t="shared" si="61"/>
        <v>0</v>
      </c>
      <c r="L521" s="2085"/>
    </row>
    <row r="522" spans="1:12" ht="30" customHeight="1" x14ac:dyDescent="0.2">
      <c r="A522" s="2103">
        <v>330</v>
      </c>
      <c r="B522" s="2104" t="s">
        <v>1170</v>
      </c>
      <c r="C522" s="2084" t="s">
        <v>1138</v>
      </c>
      <c r="D522" s="2074">
        <v>30000000</v>
      </c>
      <c r="E522" s="2077">
        <f>F522/D522</f>
        <v>0.05</v>
      </c>
      <c r="F522" s="2074">
        <v>1500000</v>
      </c>
      <c r="G522" s="2074">
        <v>1500000</v>
      </c>
      <c r="H522" s="2074" t="s">
        <v>4769</v>
      </c>
      <c r="I522" s="21" t="s">
        <v>4773</v>
      </c>
      <c r="J522" s="2074">
        <f>G522</f>
        <v>1500000</v>
      </c>
      <c r="K522" s="2074">
        <f t="shared" si="61"/>
        <v>0</v>
      </c>
      <c r="L522" s="2104"/>
    </row>
    <row r="523" spans="1:12" ht="30" customHeight="1" x14ac:dyDescent="0.2">
      <c r="A523" s="2138">
        <v>331</v>
      </c>
      <c r="B523" s="2104" t="s">
        <v>339</v>
      </c>
      <c r="C523" s="2105" t="s">
        <v>371</v>
      </c>
      <c r="D523" s="2062">
        <v>290000000</v>
      </c>
      <c r="E523" s="2101">
        <v>0.06</v>
      </c>
      <c r="F523" s="2062">
        <f t="shared" ref="F523:F527" si="62">D523*E523</f>
        <v>17400000</v>
      </c>
      <c r="G523" s="2062">
        <v>17400000</v>
      </c>
      <c r="H523" s="2062" t="s">
        <v>4462</v>
      </c>
      <c r="I523" s="2062" t="s">
        <v>1840</v>
      </c>
      <c r="J523" s="2062">
        <f>G523</f>
        <v>17400000</v>
      </c>
      <c r="K523" s="2062">
        <f t="shared" si="61"/>
        <v>0</v>
      </c>
      <c r="L523" s="2133"/>
    </row>
    <row r="524" spans="1:12" ht="30" customHeight="1" x14ac:dyDescent="0.2">
      <c r="A524" s="2103">
        <v>332</v>
      </c>
      <c r="B524" s="2068" t="s">
        <v>370</v>
      </c>
      <c r="C524" s="2084" t="s">
        <v>371</v>
      </c>
      <c r="D524" s="2074">
        <v>30000000</v>
      </c>
      <c r="E524" s="2077">
        <v>0.05</v>
      </c>
      <c r="F524" s="2074">
        <f t="shared" si="62"/>
        <v>1500000</v>
      </c>
      <c r="G524" s="2074">
        <v>1500000</v>
      </c>
      <c r="H524" s="2074" t="s">
        <v>3865</v>
      </c>
      <c r="I524" s="21" t="s">
        <v>3575</v>
      </c>
      <c r="J524" s="2078">
        <f>G524</f>
        <v>1500000</v>
      </c>
      <c r="K524" s="2078">
        <f t="shared" si="61"/>
        <v>0</v>
      </c>
      <c r="L524" s="2104"/>
    </row>
    <row r="525" spans="1:12" ht="30" customHeight="1" x14ac:dyDescent="0.2">
      <c r="A525" s="7654">
        <v>333</v>
      </c>
      <c r="B525" s="7652" t="s">
        <v>888</v>
      </c>
      <c r="C525" s="7723" t="s">
        <v>889</v>
      </c>
      <c r="D525" s="2074">
        <v>320000000</v>
      </c>
      <c r="E525" s="2101">
        <v>0.05</v>
      </c>
      <c r="F525" s="2074">
        <f t="shared" si="62"/>
        <v>16000000</v>
      </c>
      <c r="G525" s="7563">
        <v>21000000</v>
      </c>
      <c r="H525" s="7563" t="s">
        <v>4299</v>
      </c>
      <c r="I525" s="7561" t="s">
        <v>1323</v>
      </c>
      <c r="J525" s="7482">
        <f>G525</f>
        <v>21000000</v>
      </c>
      <c r="K525" s="7482">
        <f>(F525+F526)-J525</f>
        <v>0</v>
      </c>
      <c r="L525" s="7818"/>
    </row>
    <row r="526" spans="1:12" ht="30" customHeight="1" x14ac:dyDescent="0.2">
      <c r="A526" s="7655"/>
      <c r="B526" s="7653"/>
      <c r="C526" s="7724"/>
      <c r="D526" s="2074">
        <v>100000000</v>
      </c>
      <c r="E526" s="2101">
        <v>0.05</v>
      </c>
      <c r="F526" s="2074">
        <f t="shared" si="62"/>
        <v>5000000</v>
      </c>
      <c r="G526" s="7564"/>
      <c r="H526" s="7564"/>
      <c r="I526" s="7562"/>
      <c r="J526" s="7482"/>
      <c r="K526" s="7482"/>
      <c r="L526" s="7819"/>
    </row>
    <row r="527" spans="1:12" ht="30" customHeight="1" x14ac:dyDescent="0.2">
      <c r="A527" s="2063">
        <v>335</v>
      </c>
      <c r="B527" s="19" t="s">
        <v>1276</v>
      </c>
      <c r="C527" s="2105" t="s">
        <v>889</v>
      </c>
      <c r="D527" s="2074">
        <v>15000000</v>
      </c>
      <c r="E527" s="2101">
        <v>0.05</v>
      </c>
      <c r="F527" s="2074">
        <f t="shared" si="62"/>
        <v>750000</v>
      </c>
      <c r="G527" s="2074">
        <v>750000</v>
      </c>
      <c r="H527" s="2074" t="s">
        <v>4462</v>
      </c>
      <c r="I527" s="21" t="s">
        <v>2747</v>
      </c>
      <c r="J527" s="2074">
        <f>G527</f>
        <v>750000</v>
      </c>
      <c r="K527" s="2074">
        <f>F527-J527</f>
        <v>0</v>
      </c>
      <c r="L527" s="2133" t="s">
        <v>3388</v>
      </c>
    </row>
    <row r="528" spans="1:12" ht="30" customHeight="1" x14ac:dyDescent="0.2">
      <c r="A528" s="2103">
        <v>336</v>
      </c>
      <c r="B528" s="2068" t="s">
        <v>2576</v>
      </c>
      <c r="C528" s="2084" t="s">
        <v>889</v>
      </c>
      <c r="D528" s="2074">
        <v>210000000</v>
      </c>
      <c r="E528" s="2101">
        <v>0.05</v>
      </c>
      <c r="F528" s="2074">
        <f>D528*E528</f>
        <v>10500000</v>
      </c>
      <c r="G528" s="2074">
        <v>10500000</v>
      </c>
      <c r="H528" s="2074" t="s">
        <v>4310</v>
      </c>
      <c r="I528" s="21" t="s">
        <v>3408</v>
      </c>
      <c r="J528" s="2074">
        <f>G528</f>
        <v>10500000</v>
      </c>
      <c r="K528" s="2074">
        <f>F528-J528</f>
        <v>0</v>
      </c>
      <c r="L528" s="2104"/>
    </row>
    <row r="529" spans="1:12" ht="30" customHeight="1" x14ac:dyDescent="0.2">
      <c r="A529" s="7654">
        <v>337</v>
      </c>
      <c r="B529" s="7652" t="s">
        <v>1304</v>
      </c>
      <c r="C529" s="7723" t="s">
        <v>889</v>
      </c>
      <c r="D529" s="2074">
        <v>80000000</v>
      </c>
      <c r="E529" s="2101">
        <v>7.0000000000000007E-2</v>
      </c>
      <c r="F529" s="2074">
        <f t="shared" ref="F529:F549" si="63">D529*E529</f>
        <v>5600000.0000000009</v>
      </c>
      <c r="G529" s="7482">
        <v>19600000</v>
      </c>
      <c r="H529" s="7563" t="s">
        <v>1193</v>
      </c>
      <c r="I529" s="7857" t="s">
        <v>4382</v>
      </c>
      <c r="J529" s="7563">
        <f>G529</f>
        <v>19600000</v>
      </c>
      <c r="K529" s="7563">
        <f>G529-J529</f>
        <v>0</v>
      </c>
      <c r="L529" s="2104"/>
    </row>
    <row r="530" spans="1:12" ht="30" customHeight="1" x14ac:dyDescent="0.2">
      <c r="A530" s="7655"/>
      <c r="B530" s="7653"/>
      <c r="C530" s="7724"/>
      <c r="D530" s="2306">
        <v>200000000</v>
      </c>
      <c r="E530" s="2322">
        <v>0.06</v>
      </c>
      <c r="F530" s="2306">
        <f t="shared" si="63"/>
        <v>12000000</v>
      </c>
      <c r="G530" s="7482"/>
      <c r="H530" s="7564"/>
      <c r="I530" s="7857"/>
      <c r="J530" s="7564"/>
      <c r="K530" s="7564"/>
      <c r="L530" s="2303"/>
    </row>
    <row r="531" spans="1:12" ht="30" customHeight="1" x14ac:dyDescent="0.2">
      <c r="A531" s="7654"/>
      <c r="B531" s="7652" t="s">
        <v>1677</v>
      </c>
      <c r="C531" s="7723" t="s">
        <v>889</v>
      </c>
      <c r="D531" s="3251">
        <v>235500000</v>
      </c>
      <c r="E531" s="2101">
        <v>0.05</v>
      </c>
      <c r="F531" s="2074">
        <f t="shared" si="63"/>
        <v>11775000</v>
      </c>
      <c r="G531" s="2059"/>
      <c r="H531" s="2061"/>
      <c r="I531" s="2061"/>
      <c r="J531" s="2061"/>
      <c r="K531" s="1604"/>
      <c r="L531" s="2113"/>
    </row>
    <row r="532" spans="1:12" ht="30" customHeight="1" x14ac:dyDescent="0.2">
      <c r="A532" s="7656"/>
      <c r="B532" s="7665"/>
      <c r="C532" s="7747"/>
      <c r="D532" s="3247">
        <v>300000000</v>
      </c>
      <c r="E532" s="3249">
        <v>7.0000000000000007E-2</v>
      </c>
      <c r="F532" s="3247">
        <f t="shared" si="63"/>
        <v>21000000.000000004</v>
      </c>
      <c r="G532" s="2059"/>
      <c r="H532" s="2061"/>
      <c r="I532" s="2061"/>
      <c r="J532" s="2061"/>
      <c r="K532" s="1604"/>
      <c r="L532" s="2113"/>
    </row>
    <row r="533" spans="1:12" ht="30" customHeight="1" x14ac:dyDescent="0.2">
      <c r="A533" s="7656"/>
      <c r="B533" s="7665"/>
      <c r="C533" s="7747"/>
      <c r="D533" s="3247">
        <v>30000000</v>
      </c>
      <c r="E533" s="3249">
        <v>7.0000000000000007E-2</v>
      </c>
      <c r="F533" s="3247">
        <f t="shared" si="63"/>
        <v>2100000</v>
      </c>
      <c r="G533" s="2059"/>
      <c r="H533" s="2061"/>
      <c r="I533" s="2061"/>
      <c r="J533" s="2061"/>
      <c r="K533" s="1604"/>
      <c r="L533" s="2113"/>
    </row>
    <row r="534" spans="1:12" ht="30" customHeight="1" x14ac:dyDescent="0.2">
      <c r="A534" s="7656"/>
      <c r="B534" s="7665"/>
      <c r="C534" s="7747"/>
      <c r="D534" s="3248">
        <v>20000000</v>
      </c>
      <c r="E534" s="3250">
        <v>7.0000000000000007E-2</v>
      </c>
      <c r="F534" s="3248">
        <f>D534*E534</f>
        <v>1400000.0000000002</v>
      </c>
      <c r="G534" s="2059"/>
      <c r="H534" s="2061"/>
      <c r="I534" s="2061"/>
      <c r="J534" s="2061"/>
      <c r="K534" s="1604"/>
      <c r="L534" s="2113"/>
    </row>
    <row r="535" spans="1:12" ht="30" customHeight="1" x14ac:dyDescent="0.2">
      <c r="A535" s="7656"/>
      <c r="B535" s="7665"/>
      <c r="C535" s="7747"/>
      <c r="D535" s="3248">
        <v>12000000</v>
      </c>
      <c r="E535" s="3250">
        <v>7.0000000000000007E-2</v>
      </c>
      <c r="F535" s="3248">
        <f>D535*E535</f>
        <v>840000.00000000012</v>
      </c>
      <c r="G535" s="2059"/>
      <c r="H535" s="2061"/>
      <c r="I535" s="2061"/>
      <c r="J535" s="2061"/>
      <c r="K535" s="1604"/>
      <c r="L535" s="2113"/>
    </row>
    <row r="536" spans="1:12" ht="30" customHeight="1" x14ac:dyDescent="0.2">
      <c r="A536" s="7656"/>
      <c r="B536" s="7665"/>
      <c r="C536" s="7747"/>
      <c r="D536" s="3248">
        <f>SUM(D532:D535)</f>
        <v>362000000</v>
      </c>
      <c r="E536" s="3250">
        <v>7.0000000000000007E-2</v>
      </c>
      <c r="F536" s="3248">
        <f>D536*E536</f>
        <v>25340000.000000004</v>
      </c>
      <c r="G536" s="2059"/>
      <c r="H536" s="2061"/>
      <c r="I536" s="2061"/>
      <c r="J536" s="2061"/>
      <c r="K536" s="1604"/>
      <c r="L536" s="2113"/>
    </row>
    <row r="537" spans="1:12" ht="30" customHeight="1" x14ac:dyDescent="0.2">
      <c r="A537" s="7656"/>
      <c r="B537" s="7665"/>
      <c r="C537" s="7747"/>
      <c r="D537" s="8015">
        <f>D531+D536</f>
        <v>597500000</v>
      </c>
      <c r="E537" s="8016"/>
      <c r="F537" s="3248">
        <f>F531+F536</f>
        <v>37115000</v>
      </c>
      <c r="G537" s="2059"/>
      <c r="H537" s="2061"/>
      <c r="I537" s="2061"/>
      <c r="J537" s="2061"/>
      <c r="K537" s="1604"/>
      <c r="L537" s="2113"/>
    </row>
    <row r="538" spans="1:12" ht="30" customHeight="1" x14ac:dyDescent="0.2">
      <c r="A538" s="7656"/>
      <c r="B538" s="7665"/>
      <c r="C538" s="7747"/>
      <c r="D538" s="3235">
        <v>45000000</v>
      </c>
      <c r="E538" s="3224">
        <v>7.0000000000000007E-2</v>
      </c>
      <c r="F538" s="3235">
        <f>D538*E538</f>
        <v>3150000.0000000005</v>
      </c>
      <c r="G538" s="2059"/>
      <c r="H538" s="2061"/>
      <c r="I538" s="2061"/>
      <c r="J538" s="2061"/>
      <c r="K538" s="1604"/>
      <c r="L538" s="2113"/>
    </row>
    <row r="539" spans="1:12" ht="30" customHeight="1" x14ac:dyDescent="0.2">
      <c r="A539" s="7656"/>
      <c r="B539" s="7665"/>
      <c r="C539" s="7747"/>
      <c r="D539" s="3235">
        <v>100000000</v>
      </c>
      <c r="E539" s="3224">
        <v>7.0000000000000007E-2</v>
      </c>
      <c r="F539" s="3235">
        <f>D539*E539</f>
        <v>7000000.0000000009</v>
      </c>
      <c r="G539" s="7732" t="s">
        <v>3791</v>
      </c>
      <c r="H539" s="7733"/>
      <c r="I539" s="7733"/>
      <c r="J539" s="7733"/>
      <c r="K539" s="7734"/>
      <c r="L539" s="2113"/>
    </row>
    <row r="540" spans="1:12" ht="30" customHeight="1" x14ac:dyDescent="0.2">
      <c r="A540" s="7656"/>
      <c r="B540" s="7665"/>
      <c r="C540" s="7747"/>
      <c r="D540" s="3235">
        <v>80000000</v>
      </c>
      <c r="E540" s="3224">
        <v>7.0000000000000007E-2</v>
      </c>
      <c r="F540" s="3235">
        <f t="shared" ref="F540:F541" si="64">D540*E540</f>
        <v>5600000.0000000009</v>
      </c>
      <c r="G540" s="7732" t="s">
        <v>3792</v>
      </c>
      <c r="H540" s="7733"/>
      <c r="I540" s="7733"/>
      <c r="J540" s="7733"/>
      <c r="K540" s="7734"/>
      <c r="L540" s="2113"/>
    </row>
    <row r="541" spans="1:12" ht="30" customHeight="1" x14ac:dyDescent="0.2">
      <c r="A541" s="7656"/>
      <c r="B541" s="7665"/>
      <c r="C541" s="7747"/>
      <c r="D541" s="3235">
        <v>55000000</v>
      </c>
      <c r="E541" s="3224">
        <v>7.0000000000000007E-2</v>
      </c>
      <c r="F541" s="3235">
        <f t="shared" si="64"/>
        <v>3850000.0000000005</v>
      </c>
      <c r="G541" s="7732" t="s">
        <v>3793</v>
      </c>
      <c r="H541" s="7733"/>
      <c r="I541" s="7733"/>
      <c r="J541" s="7733"/>
      <c r="K541" s="7734"/>
      <c r="L541" s="2113"/>
    </row>
    <row r="542" spans="1:12" ht="30" customHeight="1" x14ac:dyDescent="0.2">
      <c r="A542" s="7656"/>
      <c r="B542" s="7665"/>
      <c r="C542" s="7747"/>
      <c r="D542" s="7858">
        <f>D537+D538+D539+D540+D541</f>
        <v>877500000</v>
      </c>
      <c r="E542" s="7860"/>
      <c r="F542" s="3235">
        <f>F537+F538+F539+F540+F541</f>
        <v>56715000</v>
      </c>
      <c r="G542" s="7806" t="s">
        <v>3673</v>
      </c>
      <c r="H542" s="7807"/>
      <c r="I542" s="7807"/>
      <c r="J542" s="7807"/>
      <c r="K542" s="7808"/>
      <c r="L542" s="2113"/>
    </row>
    <row r="543" spans="1:12" ht="30" customHeight="1" x14ac:dyDescent="0.2">
      <c r="A543" s="7656"/>
      <c r="B543" s="7665"/>
      <c r="C543" s="7747"/>
      <c r="D543" s="3236">
        <v>150000000</v>
      </c>
      <c r="E543" s="3231">
        <v>7.0000000000000007E-2</v>
      </c>
      <c r="F543" s="3236">
        <f>D543*E543</f>
        <v>10500000.000000002</v>
      </c>
      <c r="G543" s="7732" t="s">
        <v>4200</v>
      </c>
      <c r="H543" s="7733"/>
      <c r="I543" s="7733"/>
      <c r="J543" s="7733"/>
      <c r="K543" s="7734"/>
      <c r="L543" s="2113"/>
    </row>
    <row r="544" spans="1:12" ht="30" customHeight="1" x14ac:dyDescent="0.2">
      <c r="A544" s="7656"/>
      <c r="B544" s="7665"/>
      <c r="C544" s="7747"/>
      <c r="D544" s="3236">
        <v>100000000</v>
      </c>
      <c r="E544" s="3231">
        <v>7.0000000000000007E-2</v>
      </c>
      <c r="F544" s="3236">
        <f>D544*E544</f>
        <v>7000000.0000000009</v>
      </c>
      <c r="G544" s="7732" t="s">
        <v>4430</v>
      </c>
      <c r="H544" s="7733"/>
      <c r="I544" s="7733"/>
      <c r="J544" s="7733"/>
      <c r="K544" s="7734"/>
      <c r="L544" s="2113"/>
    </row>
    <row r="545" spans="1:17" ht="30" customHeight="1" x14ac:dyDescent="0.2">
      <c r="A545" s="7656"/>
      <c r="B545" s="7665"/>
      <c r="C545" s="7747"/>
      <c r="D545" s="8004">
        <f>D542+D543+D544</f>
        <v>1127500000</v>
      </c>
      <c r="E545" s="8005"/>
      <c r="F545" s="3236">
        <f>F542+F543+F544</f>
        <v>74215000</v>
      </c>
      <c r="G545" s="8085" t="s">
        <v>3882</v>
      </c>
      <c r="H545" s="8086"/>
      <c r="I545" s="8086"/>
      <c r="J545" s="8086"/>
      <c r="K545" s="8087"/>
      <c r="L545" s="2113"/>
    </row>
    <row r="546" spans="1:17" ht="30" customHeight="1" x14ac:dyDescent="0.2">
      <c r="A546" s="7656"/>
      <c r="B546" s="7665"/>
      <c r="C546" s="7747"/>
      <c r="D546" s="744">
        <v>70000000</v>
      </c>
      <c r="E546" s="3252">
        <v>7.0000000000000007E-2</v>
      </c>
      <c r="F546" s="744">
        <f>D546*E546</f>
        <v>4900000.0000000009</v>
      </c>
      <c r="G546" s="2300">
        <v>4215000</v>
      </c>
      <c r="H546" s="2300" t="s">
        <v>1193</v>
      </c>
      <c r="I546" s="2300" t="s">
        <v>1720</v>
      </c>
      <c r="J546" s="2300">
        <f>G546</f>
        <v>4215000</v>
      </c>
      <c r="K546" s="2300">
        <v>0</v>
      </c>
      <c r="L546" s="2326" t="s">
        <v>4378</v>
      </c>
    </row>
    <row r="547" spans="1:17" ht="30" customHeight="1" x14ac:dyDescent="0.2">
      <c r="A547" s="7656"/>
      <c r="B547" s="7665"/>
      <c r="C547" s="7747"/>
      <c r="D547" s="8212">
        <f>D545+D546</f>
        <v>1197500000</v>
      </c>
      <c r="E547" s="8213"/>
      <c r="F547" s="744">
        <f>F545+F546</f>
        <v>79115000</v>
      </c>
      <c r="G547" s="8187" t="s">
        <v>4366</v>
      </c>
      <c r="H547" s="8188"/>
      <c r="I547" s="8188"/>
      <c r="J547" s="8188"/>
      <c r="K547" s="8189"/>
      <c r="L547" s="2326"/>
    </row>
    <row r="548" spans="1:17" ht="30" customHeight="1" x14ac:dyDescent="0.2">
      <c r="A548" s="7655"/>
      <c r="B548" s="7653"/>
      <c r="C548" s="7724"/>
      <c r="D548" s="3218"/>
      <c r="E548" s="3214"/>
      <c r="F548" s="3218"/>
      <c r="G548" s="2062"/>
      <c r="H548" s="2062"/>
      <c r="I548" s="2062" t="s">
        <v>1720</v>
      </c>
      <c r="J548" s="2062">
        <f>G548</f>
        <v>0</v>
      </c>
      <c r="K548" s="2062">
        <f>F542-J548</f>
        <v>56715000</v>
      </c>
      <c r="L548" s="2113"/>
    </row>
    <row r="549" spans="1:17" ht="30" customHeight="1" x14ac:dyDescent="0.2">
      <c r="A549" s="2139">
        <v>339</v>
      </c>
      <c r="B549" s="2107" t="s">
        <v>170</v>
      </c>
      <c r="C549" s="2084" t="s">
        <v>1306</v>
      </c>
      <c r="D549" s="2062">
        <v>200000000</v>
      </c>
      <c r="E549" s="2101">
        <v>7.0000000000000007E-2</v>
      </c>
      <c r="F549" s="2062">
        <f t="shared" si="63"/>
        <v>14000000.000000002</v>
      </c>
      <c r="G549" s="233"/>
      <c r="H549" s="233"/>
      <c r="I549" s="1388"/>
      <c r="J549" s="233"/>
      <c r="K549" s="387"/>
      <c r="L549" s="2127"/>
      <c r="M549" s="386"/>
      <c r="N549" s="386"/>
      <c r="O549" s="386"/>
      <c r="P549" s="386"/>
      <c r="Q549" s="386"/>
    </row>
    <row r="550" spans="1:17" ht="30" customHeight="1" x14ac:dyDescent="0.2">
      <c r="A550" s="7654">
        <v>340</v>
      </c>
      <c r="B550" s="7652" t="s">
        <v>67</v>
      </c>
      <c r="C550" s="7723" t="s">
        <v>1138</v>
      </c>
      <c r="D550" s="2074">
        <v>85000000</v>
      </c>
      <c r="E550" s="2101">
        <v>0.05</v>
      </c>
      <c r="F550" s="2074">
        <f>D550*E550</f>
        <v>4250000</v>
      </c>
      <c r="G550" s="2062">
        <v>4250000</v>
      </c>
      <c r="H550" s="2062" t="s">
        <v>4299</v>
      </c>
      <c r="I550" s="2108" t="s">
        <v>4307</v>
      </c>
      <c r="J550" s="2062">
        <f t="shared" ref="J550:J562" si="65">G550</f>
        <v>4250000</v>
      </c>
      <c r="K550" s="2060">
        <f>F550-J550</f>
        <v>0</v>
      </c>
      <c r="L550" s="2116" t="s">
        <v>3952</v>
      </c>
      <c r="M550" s="386"/>
      <c r="N550" s="386"/>
      <c r="O550" s="386"/>
      <c r="P550" s="386"/>
      <c r="Q550" s="386"/>
    </row>
    <row r="551" spans="1:17" ht="30" customHeight="1" x14ac:dyDescent="0.2">
      <c r="A551" s="7656"/>
      <c r="B551" s="7665"/>
      <c r="C551" s="7747"/>
      <c r="D551" s="2792">
        <v>4250000</v>
      </c>
      <c r="E551" s="2801">
        <v>0.05</v>
      </c>
      <c r="F551" s="2792">
        <f>D551*E551</f>
        <v>212500</v>
      </c>
      <c r="G551" s="7732" t="s">
        <v>4284</v>
      </c>
      <c r="H551" s="7733"/>
      <c r="I551" s="7733"/>
      <c r="J551" s="7734"/>
      <c r="K551" s="2799"/>
      <c r="L551" s="2798"/>
      <c r="M551" s="386"/>
      <c r="N551" s="386"/>
      <c r="O551" s="386"/>
      <c r="P551" s="386"/>
      <c r="Q551" s="386"/>
    </row>
    <row r="552" spans="1:17" ht="30" customHeight="1" x14ac:dyDescent="0.2">
      <c r="A552" s="7656"/>
      <c r="B552" s="7665"/>
      <c r="C552" s="7747"/>
      <c r="D552" s="2792">
        <v>18250000</v>
      </c>
      <c r="E552" s="2801">
        <v>0.05</v>
      </c>
      <c r="F552" s="2792">
        <f t="shared" ref="F552:F553" si="66">D552*E552</f>
        <v>912500</v>
      </c>
      <c r="G552" s="7732" t="s">
        <v>4800</v>
      </c>
      <c r="H552" s="7733"/>
      <c r="I552" s="7733"/>
      <c r="J552" s="7734"/>
      <c r="K552" s="2799"/>
      <c r="L552" s="2798"/>
      <c r="M552" s="386"/>
      <c r="N552" s="386"/>
      <c r="O552" s="386"/>
      <c r="P552" s="386"/>
      <c r="Q552" s="386"/>
    </row>
    <row r="553" spans="1:17" ht="30" customHeight="1" x14ac:dyDescent="0.2">
      <c r="A553" s="7656"/>
      <c r="B553" s="7665"/>
      <c r="C553" s="7747"/>
      <c r="D553" s="2792">
        <v>3500000</v>
      </c>
      <c r="E553" s="2801">
        <v>0.05</v>
      </c>
      <c r="F553" s="2792">
        <f t="shared" si="66"/>
        <v>175000</v>
      </c>
      <c r="G553" s="7732" t="s">
        <v>4801</v>
      </c>
      <c r="H553" s="7733"/>
      <c r="I553" s="7733"/>
      <c r="J553" s="7734"/>
      <c r="K553" s="2799"/>
      <c r="L553" s="2798"/>
      <c r="M553" s="386"/>
      <c r="N553" s="386"/>
      <c r="O553" s="386"/>
      <c r="P553" s="386"/>
      <c r="Q553" s="386"/>
    </row>
    <row r="554" spans="1:17" ht="30" customHeight="1" x14ac:dyDescent="0.2">
      <c r="A554" s="7655"/>
      <c r="B554" s="7653"/>
      <c r="C554" s="7724"/>
      <c r="D554" s="2807">
        <f>SUM(D550:D553)</f>
        <v>111000000</v>
      </c>
      <c r="E554" s="896">
        <v>0.05</v>
      </c>
      <c r="F554" s="2807">
        <f>D554*E554</f>
        <v>5550000</v>
      </c>
      <c r="G554" s="7732" t="s">
        <v>3316</v>
      </c>
      <c r="H554" s="7733"/>
      <c r="I554" s="7733"/>
      <c r="J554" s="7734"/>
      <c r="K554" s="2799"/>
      <c r="L554" s="2798"/>
      <c r="M554" s="386"/>
      <c r="N554" s="386"/>
      <c r="O554" s="386"/>
      <c r="P554" s="386"/>
      <c r="Q554" s="386"/>
    </row>
    <row r="555" spans="1:17" ht="30" customHeight="1" x14ac:dyDescent="0.2">
      <c r="A555" s="2065">
        <v>341</v>
      </c>
      <c r="B555" s="2068" t="s">
        <v>1357</v>
      </c>
      <c r="C555" s="2084"/>
      <c r="D555" s="2074">
        <v>150000000</v>
      </c>
      <c r="E555" s="2101">
        <f>F555/D555</f>
        <v>4.6666666666666669E-2</v>
      </c>
      <c r="F555" s="2074">
        <v>7000000</v>
      </c>
      <c r="G555" s="2074">
        <v>7000000</v>
      </c>
      <c r="H555" s="2074" t="s">
        <v>4310</v>
      </c>
      <c r="I555" s="2089" t="s">
        <v>4326</v>
      </c>
      <c r="J555" s="2074">
        <f t="shared" si="65"/>
        <v>7000000</v>
      </c>
      <c r="K555" s="2099">
        <f>G555-J555</f>
        <v>0</v>
      </c>
      <c r="L555" s="2127"/>
      <c r="M555" s="386"/>
      <c r="N555" s="386"/>
      <c r="O555" s="386"/>
      <c r="P555" s="386"/>
      <c r="Q555" s="386"/>
    </row>
    <row r="556" spans="1:17" ht="30" customHeight="1" x14ac:dyDescent="0.2">
      <c r="A556" s="2180">
        <v>342</v>
      </c>
      <c r="B556" s="2189" t="s">
        <v>71</v>
      </c>
      <c r="C556" s="345" t="s">
        <v>2363</v>
      </c>
      <c r="D556" s="2182">
        <v>70000000</v>
      </c>
      <c r="E556" s="2186">
        <v>0.05</v>
      </c>
      <c r="F556" s="2182">
        <f>D556*E556</f>
        <v>3500000</v>
      </c>
      <c r="G556" s="2074">
        <v>4960000</v>
      </c>
      <c r="H556" s="2074" t="s">
        <v>4310</v>
      </c>
      <c r="I556" s="2089" t="s">
        <v>3413</v>
      </c>
      <c r="J556" s="2074">
        <f t="shared" si="65"/>
        <v>4960000</v>
      </c>
      <c r="K556" s="2099">
        <f>F556-J556</f>
        <v>-1460000</v>
      </c>
      <c r="L556" s="2127" t="s">
        <v>4325</v>
      </c>
      <c r="M556" s="386"/>
      <c r="N556" s="386"/>
      <c r="O556" s="386"/>
      <c r="P556" s="386"/>
      <c r="Q556" s="386"/>
    </row>
    <row r="557" spans="1:17" ht="30" customHeight="1" x14ac:dyDescent="0.2">
      <c r="A557" s="1028">
        <v>343</v>
      </c>
      <c r="B557" s="19" t="s">
        <v>1365</v>
      </c>
      <c r="C557" s="2105" t="s">
        <v>1796</v>
      </c>
      <c r="D557" s="2062">
        <v>8000000</v>
      </c>
      <c r="E557" s="2101">
        <v>0.04</v>
      </c>
      <c r="F557" s="2062">
        <f>D557*E557</f>
        <v>320000</v>
      </c>
      <c r="G557" s="2062">
        <v>320000</v>
      </c>
      <c r="H557" s="2062" t="s">
        <v>4769</v>
      </c>
      <c r="I557" s="2062" t="s">
        <v>1366</v>
      </c>
      <c r="J557" s="2062">
        <f t="shared" si="65"/>
        <v>320000</v>
      </c>
      <c r="K557" s="2060">
        <f>F557-J557</f>
        <v>0</v>
      </c>
      <c r="L557" s="2098"/>
      <c r="M557" s="386"/>
      <c r="N557" s="386"/>
      <c r="O557" s="386"/>
      <c r="P557" s="386"/>
      <c r="Q557" s="386"/>
    </row>
    <row r="558" spans="1:17" ht="30" customHeight="1" x14ac:dyDescent="0.2">
      <c r="A558" s="2065">
        <v>344</v>
      </c>
      <c r="B558" s="2068" t="s">
        <v>1373</v>
      </c>
      <c r="C558" s="2084"/>
      <c r="D558" s="2079"/>
      <c r="E558" s="2082"/>
      <c r="F558" s="2079"/>
      <c r="G558" s="2074">
        <v>6500000</v>
      </c>
      <c r="H558" s="2074" t="s">
        <v>4361</v>
      </c>
      <c r="I558" s="2089" t="s">
        <v>4369</v>
      </c>
      <c r="J558" s="2074">
        <f t="shared" si="65"/>
        <v>6500000</v>
      </c>
      <c r="K558" s="2100">
        <f>F558-J558</f>
        <v>-6500000</v>
      </c>
      <c r="L558" s="2127"/>
      <c r="M558" s="386"/>
      <c r="N558" s="386"/>
      <c r="O558" s="386"/>
      <c r="P558" s="386"/>
      <c r="Q558" s="386"/>
    </row>
    <row r="559" spans="1:17" ht="30" customHeight="1" x14ac:dyDescent="0.2">
      <c r="A559" s="2065">
        <v>345</v>
      </c>
      <c r="B559" s="2068" t="s">
        <v>2080</v>
      </c>
      <c r="C559" s="2084" t="s">
        <v>1299</v>
      </c>
      <c r="D559" s="2074">
        <v>60000000</v>
      </c>
      <c r="E559" s="2101">
        <v>7.0000000000000007E-2</v>
      </c>
      <c r="F559" s="2074">
        <f>D559*E559</f>
        <v>4200000</v>
      </c>
      <c r="G559" s="2074">
        <v>4200000</v>
      </c>
      <c r="H559" s="2074" t="s">
        <v>3003</v>
      </c>
      <c r="I559" s="2089" t="s">
        <v>4126</v>
      </c>
      <c r="J559" s="2074">
        <f t="shared" si="65"/>
        <v>4200000</v>
      </c>
      <c r="K559" s="2099">
        <f>G559-J559</f>
        <v>0</v>
      </c>
      <c r="L559" s="2127"/>
      <c r="M559" s="386"/>
      <c r="N559" s="386"/>
      <c r="O559" s="386"/>
      <c r="P559" s="386"/>
      <c r="Q559" s="386"/>
    </row>
    <row r="560" spans="1:17" ht="30" customHeight="1" x14ac:dyDescent="0.2">
      <c r="A560" s="2065">
        <v>346</v>
      </c>
      <c r="B560" s="2068" t="s">
        <v>1380</v>
      </c>
      <c r="C560" s="2084" t="s">
        <v>1172</v>
      </c>
      <c r="D560" s="2074">
        <v>5000000</v>
      </c>
      <c r="E560" s="2101">
        <v>0.05</v>
      </c>
      <c r="F560" s="2074">
        <f>D560*E560</f>
        <v>250000</v>
      </c>
      <c r="G560" s="2074">
        <v>250000</v>
      </c>
      <c r="H560" s="2074" t="s">
        <v>4449</v>
      </c>
      <c r="I560" s="2089" t="s">
        <v>3984</v>
      </c>
      <c r="J560" s="2074">
        <f t="shared" si="65"/>
        <v>250000</v>
      </c>
      <c r="K560" s="2099">
        <f t="shared" ref="K560:K568" si="67">F560-J560</f>
        <v>0</v>
      </c>
      <c r="L560" s="2127"/>
      <c r="M560" s="386"/>
      <c r="N560" s="386"/>
      <c r="O560" s="386"/>
      <c r="P560" s="386"/>
      <c r="Q560" s="386"/>
    </row>
    <row r="561" spans="1:17" ht="30" customHeight="1" x14ac:dyDescent="0.2">
      <c r="A561" s="2065">
        <v>347</v>
      </c>
      <c r="B561" s="2068" t="s">
        <v>178</v>
      </c>
      <c r="C561" s="2084" t="s">
        <v>1796</v>
      </c>
      <c r="D561" s="2074">
        <v>130000000</v>
      </c>
      <c r="E561" s="2101">
        <v>0.05</v>
      </c>
      <c r="F561" s="2074">
        <f>D561*E561</f>
        <v>6500000</v>
      </c>
      <c r="G561" s="2074">
        <v>6500000</v>
      </c>
      <c r="H561" s="2074" t="s">
        <v>4769</v>
      </c>
      <c r="I561" s="2089" t="s">
        <v>3951</v>
      </c>
      <c r="J561" s="2074">
        <f t="shared" si="65"/>
        <v>6500000</v>
      </c>
      <c r="K561" s="2099">
        <f t="shared" si="67"/>
        <v>0</v>
      </c>
      <c r="L561" s="2127"/>
      <c r="M561" s="386"/>
      <c r="N561" s="386"/>
      <c r="O561" s="386"/>
      <c r="P561" s="386"/>
      <c r="Q561" s="386"/>
    </row>
    <row r="562" spans="1:17" ht="30" customHeight="1" x14ac:dyDescent="0.2">
      <c r="A562" s="2103">
        <v>348</v>
      </c>
      <c r="B562" s="19" t="s">
        <v>1408</v>
      </c>
      <c r="C562" s="2105" t="s">
        <v>1306</v>
      </c>
      <c r="D562" s="2062">
        <v>50000000</v>
      </c>
      <c r="E562" s="2101">
        <v>0.04</v>
      </c>
      <c r="F562" s="2062">
        <f>D562*E562</f>
        <v>2000000</v>
      </c>
      <c r="G562" s="2062">
        <v>2000000</v>
      </c>
      <c r="H562" s="2062" t="s">
        <v>4761</v>
      </c>
      <c r="I562" s="2089" t="s">
        <v>3906</v>
      </c>
      <c r="J562" s="2074">
        <f t="shared" si="65"/>
        <v>2000000</v>
      </c>
      <c r="K562" s="2099">
        <f t="shared" si="67"/>
        <v>0</v>
      </c>
      <c r="L562" s="2127"/>
      <c r="M562" s="386"/>
      <c r="N562" s="386"/>
      <c r="O562" s="386"/>
      <c r="P562" s="386"/>
      <c r="Q562" s="386"/>
    </row>
    <row r="563" spans="1:17" ht="30" customHeight="1" x14ac:dyDescent="0.2">
      <c r="A563" s="2142">
        <v>349</v>
      </c>
      <c r="B563" s="19" t="s">
        <v>1526</v>
      </c>
      <c r="C563" s="378"/>
      <c r="D563" s="7470" t="s">
        <v>4320</v>
      </c>
      <c r="E563" s="7493"/>
      <c r="F563" s="7510"/>
      <c r="G563" s="2074">
        <v>192000</v>
      </c>
      <c r="H563" s="2074" t="s">
        <v>4310</v>
      </c>
      <c r="I563" s="2089" t="s">
        <v>4321</v>
      </c>
      <c r="J563" s="2179">
        <f>G563</f>
        <v>192000</v>
      </c>
      <c r="K563" s="2178">
        <v>0</v>
      </c>
      <c r="L563" s="2127" t="s">
        <v>4322</v>
      </c>
      <c r="M563" s="386"/>
      <c r="N563" s="386"/>
      <c r="O563" s="386"/>
      <c r="P563" s="386"/>
      <c r="Q563" s="386"/>
    </row>
    <row r="564" spans="1:17" ht="30" customHeight="1" x14ac:dyDescent="0.2">
      <c r="A564" s="2065">
        <v>350</v>
      </c>
      <c r="B564" s="2068" t="s">
        <v>1554</v>
      </c>
      <c r="C564" s="2084"/>
      <c r="D564" s="2074">
        <v>110000000</v>
      </c>
      <c r="E564" s="7898" t="s">
        <v>1556</v>
      </c>
      <c r="F564" s="7899"/>
      <c r="G564" s="2074"/>
      <c r="H564" s="2074"/>
      <c r="I564" s="2089" t="s">
        <v>3469</v>
      </c>
      <c r="J564" s="2074">
        <f t="shared" ref="J564:J573" si="68">G564</f>
        <v>0</v>
      </c>
      <c r="K564" s="2100">
        <f t="shared" si="67"/>
        <v>0</v>
      </c>
      <c r="L564" s="2127"/>
      <c r="M564" s="386"/>
      <c r="N564" s="386"/>
      <c r="O564" s="386"/>
      <c r="P564" s="386"/>
      <c r="Q564" s="386"/>
    </row>
    <row r="565" spans="1:17" ht="30" customHeight="1" x14ac:dyDescent="0.2">
      <c r="A565" s="2103"/>
      <c r="B565" s="19" t="s">
        <v>1558</v>
      </c>
      <c r="C565" s="2105" t="s">
        <v>1172</v>
      </c>
      <c r="D565" s="2062">
        <v>680000000</v>
      </c>
      <c r="E565" s="2101">
        <v>7.0000000000000007E-2</v>
      </c>
      <c r="F565" s="2062">
        <f t="shared" ref="F565:F574" si="69">D565*E565</f>
        <v>47600000.000000007</v>
      </c>
      <c r="G565" s="2062">
        <v>47600000</v>
      </c>
      <c r="H565" s="2062" t="s">
        <v>4395</v>
      </c>
      <c r="I565" s="2062" t="s">
        <v>2460</v>
      </c>
      <c r="J565" s="2062">
        <f t="shared" si="68"/>
        <v>47600000</v>
      </c>
      <c r="K565" s="2099">
        <f t="shared" si="67"/>
        <v>0</v>
      </c>
      <c r="L565" s="2116"/>
      <c r="M565" s="386"/>
      <c r="N565" s="386"/>
      <c r="O565" s="386"/>
      <c r="P565" s="386"/>
      <c r="Q565" s="386"/>
    </row>
    <row r="566" spans="1:17" ht="30" customHeight="1" x14ac:dyDescent="0.2">
      <c r="A566" s="2065">
        <v>352</v>
      </c>
      <c r="B566" s="2068" t="s">
        <v>1561</v>
      </c>
      <c r="C566" s="2084" t="s">
        <v>1081</v>
      </c>
      <c r="D566" s="2074">
        <v>50000000</v>
      </c>
      <c r="E566" s="2077">
        <v>7.0000000000000007E-2</v>
      </c>
      <c r="F566" s="2074">
        <f t="shared" si="69"/>
        <v>3500000.0000000005</v>
      </c>
      <c r="G566" s="2074">
        <v>3500000</v>
      </c>
      <c r="H566" s="2074" t="s">
        <v>4299</v>
      </c>
      <c r="I566" s="21" t="s">
        <v>3517</v>
      </c>
      <c r="J566" s="2074">
        <f t="shared" si="68"/>
        <v>3500000</v>
      </c>
      <c r="K566" s="2099">
        <f t="shared" si="67"/>
        <v>0</v>
      </c>
      <c r="L566" s="2127"/>
      <c r="M566" s="386"/>
      <c r="N566" s="386"/>
      <c r="O566" s="386"/>
      <c r="P566" s="386"/>
      <c r="Q566" s="386"/>
    </row>
    <row r="567" spans="1:17" ht="30" customHeight="1" x14ac:dyDescent="0.2">
      <c r="A567" s="7879">
        <v>353</v>
      </c>
      <c r="B567" s="7717" t="s">
        <v>1565</v>
      </c>
      <c r="C567" s="2105" t="s">
        <v>1172</v>
      </c>
      <c r="D567" s="2074">
        <v>50000000</v>
      </c>
      <c r="E567" s="2101">
        <v>0.05</v>
      </c>
      <c r="F567" s="2074">
        <f t="shared" si="69"/>
        <v>2500000</v>
      </c>
      <c r="G567" s="2074">
        <v>2500000</v>
      </c>
      <c r="H567" s="2074" t="s">
        <v>1193</v>
      </c>
      <c r="I567" s="2089" t="s">
        <v>3718</v>
      </c>
      <c r="J567" s="2074">
        <f t="shared" si="68"/>
        <v>2500000</v>
      </c>
      <c r="K567" s="2099">
        <f t="shared" si="67"/>
        <v>0</v>
      </c>
      <c r="L567" s="2127"/>
      <c r="M567" s="386"/>
      <c r="N567" s="386"/>
      <c r="O567" s="386"/>
      <c r="P567" s="386"/>
      <c r="Q567" s="386"/>
    </row>
    <row r="568" spans="1:17" ht="30" customHeight="1" x14ac:dyDescent="0.2">
      <c r="A568" s="7879"/>
      <c r="B568" s="7717"/>
      <c r="C568" s="2105" t="s">
        <v>1299</v>
      </c>
      <c r="D568" s="2074">
        <v>20000000</v>
      </c>
      <c r="E568" s="2101">
        <v>0.05</v>
      </c>
      <c r="F568" s="2074">
        <f t="shared" si="69"/>
        <v>1000000</v>
      </c>
      <c r="G568" s="1455">
        <v>1000000</v>
      </c>
      <c r="H568" s="1455" t="s">
        <v>3003</v>
      </c>
      <c r="I568" s="1455" t="s">
        <v>3718</v>
      </c>
      <c r="J568" s="1455">
        <f t="shared" si="68"/>
        <v>1000000</v>
      </c>
      <c r="K568" s="2099">
        <f t="shared" si="67"/>
        <v>0</v>
      </c>
      <c r="L568" s="2127"/>
      <c r="M568" s="386"/>
      <c r="N568" s="386"/>
      <c r="O568" s="386"/>
      <c r="P568" s="386"/>
      <c r="Q568" s="386"/>
    </row>
    <row r="569" spans="1:17" ht="30" customHeight="1" x14ac:dyDescent="0.2">
      <c r="A569" s="7654">
        <v>355</v>
      </c>
      <c r="B569" s="7652" t="s">
        <v>1582</v>
      </c>
      <c r="C569" s="7723" t="s">
        <v>2644</v>
      </c>
      <c r="D569" s="2074">
        <v>115000000</v>
      </c>
      <c r="E569" s="2101">
        <v>0.05</v>
      </c>
      <c r="F569" s="2074">
        <f t="shared" si="69"/>
        <v>5750000</v>
      </c>
      <c r="G569" s="2074">
        <v>5750000</v>
      </c>
      <c r="H569" s="2074" t="s">
        <v>4331</v>
      </c>
      <c r="I569" s="472" t="s">
        <v>3411</v>
      </c>
      <c r="J569" s="2074">
        <f t="shared" si="68"/>
        <v>5750000</v>
      </c>
      <c r="K569" s="2099">
        <f>F569-J569</f>
        <v>0</v>
      </c>
      <c r="L569" s="2127"/>
      <c r="M569" s="386"/>
      <c r="N569" s="386"/>
      <c r="O569" s="386"/>
      <c r="P569" s="386"/>
      <c r="Q569" s="386"/>
    </row>
    <row r="570" spans="1:17" ht="30" customHeight="1" x14ac:dyDescent="0.2">
      <c r="A570" s="7656"/>
      <c r="B570" s="7665"/>
      <c r="C570" s="7747"/>
      <c r="D570" s="3359">
        <v>100000000</v>
      </c>
      <c r="E570" s="3368">
        <v>0.05</v>
      </c>
      <c r="F570" s="3359">
        <f t="shared" si="69"/>
        <v>5000000</v>
      </c>
      <c r="G570" s="7563"/>
      <c r="H570" s="7563"/>
      <c r="I570" s="7889"/>
      <c r="J570" s="7563"/>
      <c r="K570" s="7816"/>
      <c r="L570" s="3366" t="s">
        <v>5236</v>
      </c>
      <c r="M570" s="386"/>
      <c r="N570" s="386"/>
      <c r="O570" s="386"/>
      <c r="P570" s="386"/>
      <c r="Q570" s="386"/>
    </row>
    <row r="571" spans="1:17" ht="30" customHeight="1" x14ac:dyDescent="0.2">
      <c r="A571" s="7656"/>
      <c r="B571" s="7665"/>
      <c r="C571" s="7747"/>
      <c r="D571" s="3359">
        <v>50000000</v>
      </c>
      <c r="E571" s="3368">
        <v>0.05</v>
      </c>
      <c r="F571" s="3359">
        <f t="shared" si="69"/>
        <v>2500000</v>
      </c>
      <c r="G571" s="7586"/>
      <c r="H571" s="7586"/>
      <c r="I571" s="8036"/>
      <c r="J571" s="7586"/>
      <c r="K571" s="7882"/>
      <c r="L571" s="3366" t="s">
        <v>5237</v>
      </c>
      <c r="M571" s="386"/>
      <c r="N571" s="386"/>
      <c r="O571" s="386"/>
      <c r="P571" s="386"/>
      <c r="Q571" s="386"/>
    </row>
    <row r="572" spans="1:17" ht="30" customHeight="1" x14ac:dyDescent="0.2">
      <c r="A572" s="7655"/>
      <c r="B572" s="7653"/>
      <c r="C572" s="7724"/>
      <c r="D572" s="3372">
        <f>SUM(D569:D571)</f>
        <v>265000000</v>
      </c>
      <c r="E572" s="896">
        <v>0.05</v>
      </c>
      <c r="F572" s="3372">
        <f>D572*E572</f>
        <v>13250000</v>
      </c>
      <c r="G572" s="7564"/>
      <c r="H572" s="7564"/>
      <c r="I572" s="7890"/>
      <c r="J572" s="7564"/>
      <c r="K572" s="7817"/>
      <c r="L572" s="3366"/>
      <c r="M572" s="386"/>
      <c r="N572" s="386"/>
      <c r="O572" s="386"/>
      <c r="P572" s="386"/>
      <c r="Q572" s="386"/>
    </row>
    <row r="573" spans="1:17" ht="30" customHeight="1" x14ac:dyDescent="0.2">
      <c r="A573" s="7654">
        <v>356</v>
      </c>
      <c r="B573" s="7652" t="s">
        <v>1590</v>
      </c>
      <c r="C573" s="7723"/>
      <c r="D573" s="2074">
        <v>60000000</v>
      </c>
      <c r="E573" s="2101">
        <v>0.04</v>
      </c>
      <c r="F573" s="2074">
        <f t="shared" si="69"/>
        <v>2400000</v>
      </c>
      <c r="G573" s="7563">
        <v>2800000</v>
      </c>
      <c r="H573" s="7563" t="s">
        <v>4331</v>
      </c>
      <c r="I573" s="7889" t="s">
        <v>3924</v>
      </c>
      <c r="J573" s="7563">
        <f t="shared" si="68"/>
        <v>2800000</v>
      </c>
      <c r="K573" s="7816">
        <f>(F573+F574)-J573</f>
        <v>0</v>
      </c>
      <c r="L573" s="7816"/>
      <c r="M573" s="386"/>
      <c r="N573" s="386"/>
      <c r="O573" s="386"/>
      <c r="P573" s="386"/>
      <c r="Q573" s="386"/>
    </row>
    <row r="574" spans="1:17" ht="30" customHeight="1" x14ac:dyDescent="0.2">
      <c r="A574" s="7655"/>
      <c r="B574" s="7653"/>
      <c r="C574" s="7724"/>
      <c r="D574" s="2074">
        <v>10000000</v>
      </c>
      <c r="E574" s="2101">
        <v>0.04</v>
      </c>
      <c r="F574" s="2074">
        <f t="shared" si="69"/>
        <v>400000</v>
      </c>
      <c r="G574" s="7564"/>
      <c r="H574" s="7564"/>
      <c r="I574" s="7890"/>
      <c r="J574" s="7564"/>
      <c r="K574" s="7817"/>
      <c r="L574" s="7817"/>
      <c r="M574" s="386"/>
      <c r="N574" s="386"/>
      <c r="O574" s="386"/>
      <c r="P574" s="386"/>
      <c r="Q574" s="386"/>
    </row>
    <row r="575" spans="1:17" ht="30" customHeight="1" x14ac:dyDescent="0.2">
      <c r="A575" s="2065">
        <v>357</v>
      </c>
      <c r="B575" s="2068" t="s">
        <v>1592</v>
      </c>
      <c r="C575" s="2084"/>
      <c r="D575" s="2074">
        <v>70000000</v>
      </c>
      <c r="E575" s="40"/>
      <c r="F575" s="2079"/>
      <c r="G575" s="2074"/>
      <c r="H575" s="2074"/>
      <c r="I575" s="472"/>
      <c r="J575" s="2074"/>
      <c r="K575" s="2100"/>
      <c r="L575" s="2127"/>
      <c r="M575" s="386"/>
      <c r="N575" s="386"/>
      <c r="O575" s="386"/>
      <c r="P575" s="386"/>
      <c r="Q575" s="386"/>
    </row>
    <row r="576" spans="1:17" ht="30" customHeight="1" x14ac:dyDescent="0.2">
      <c r="A576" s="1028">
        <v>358</v>
      </c>
      <c r="B576" s="2104" t="s">
        <v>1597</v>
      </c>
      <c r="C576" s="2105"/>
      <c r="D576" s="2088"/>
      <c r="E576" s="40"/>
      <c r="F576" s="2088"/>
      <c r="G576" s="2062"/>
      <c r="H576" s="2062"/>
      <c r="I576" s="1029" t="s">
        <v>1598</v>
      </c>
      <c r="J576" s="2062">
        <f>G576</f>
        <v>0</v>
      </c>
      <c r="K576" s="1030">
        <f>F576-J576</f>
        <v>0</v>
      </c>
      <c r="L576" s="2127" t="s">
        <v>4130</v>
      </c>
      <c r="M576" s="386"/>
      <c r="N576" s="386"/>
      <c r="O576" s="386"/>
      <c r="P576" s="386"/>
      <c r="Q576" s="386"/>
    </row>
    <row r="577" spans="1:17" ht="30" customHeight="1" x14ac:dyDescent="0.2">
      <c r="A577" s="7654">
        <v>359</v>
      </c>
      <c r="B577" s="7652" t="s">
        <v>1599</v>
      </c>
      <c r="C577" s="7723"/>
      <c r="D577" s="7677"/>
      <c r="E577" s="7691"/>
      <c r="F577" s="7677"/>
      <c r="G577" s="2074"/>
      <c r="H577" s="2074"/>
      <c r="I577" s="472"/>
      <c r="J577" s="7563">
        <f>G577+G578</f>
        <v>0</v>
      </c>
      <c r="K577" s="7841">
        <f>F577-J577</f>
        <v>0</v>
      </c>
      <c r="L577" s="7816"/>
      <c r="M577" s="386"/>
      <c r="N577" s="386"/>
      <c r="O577" s="386"/>
      <c r="P577" s="386"/>
      <c r="Q577" s="386"/>
    </row>
    <row r="578" spans="1:17" ht="30" customHeight="1" x14ac:dyDescent="0.2">
      <c r="A578" s="7655"/>
      <c r="B578" s="7653"/>
      <c r="C578" s="7724"/>
      <c r="D578" s="7678"/>
      <c r="E578" s="7693"/>
      <c r="F578" s="7678"/>
      <c r="G578" s="2074"/>
      <c r="H578" s="2074"/>
      <c r="I578" s="472"/>
      <c r="J578" s="7564"/>
      <c r="K578" s="7842"/>
      <c r="L578" s="7817"/>
      <c r="M578" s="386"/>
      <c r="N578" s="386"/>
      <c r="O578" s="386"/>
      <c r="P578" s="386"/>
      <c r="Q578" s="386"/>
    </row>
    <row r="579" spans="1:17" ht="30" customHeight="1" x14ac:dyDescent="0.2">
      <c r="A579" s="7879">
        <v>360</v>
      </c>
      <c r="B579" s="7717" t="s">
        <v>1614</v>
      </c>
      <c r="C579" s="7873" t="s">
        <v>889</v>
      </c>
      <c r="D579" s="2179">
        <v>290000000</v>
      </c>
      <c r="E579" s="2186">
        <v>0.05</v>
      </c>
      <c r="F579" s="2179">
        <f>D579*E579</f>
        <v>14500000</v>
      </c>
      <c r="G579" s="2296"/>
      <c r="H579" s="2296"/>
      <c r="I579" s="2296"/>
      <c r="J579" s="7482">
        <f>G579+G580</f>
        <v>0</v>
      </c>
      <c r="K579" s="7499">
        <f>(F579+F580)-J579</f>
        <v>27100000</v>
      </c>
      <c r="L579" s="7888" t="s">
        <v>4290</v>
      </c>
      <c r="M579" s="386"/>
      <c r="N579" s="386"/>
      <c r="O579" s="386"/>
      <c r="P579" s="386"/>
      <c r="Q579" s="386"/>
    </row>
    <row r="580" spans="1:17" ht="30" customHeight="1" x14ac:dyDescent="0.2">
      <c r="A580" s="7879"/>
      <c r="B580" s="7717"/>
      <c r="C580" s="7873"/>
      <c r="D580" s="2179">
        <v>210000000</v>
      </c>
      <c r="E580" s="2186">
        <v>0.06</v>
      </c>
      <c r="F580" s="2179">
        <f>D580*E580</f>
        <v>12600000</v>
      </c>
      <c r="G580" s="2296"/>
      <c r="H580" s="2296"/>
      <c r="I580" s="2296"/>
      <c r="J580" s="7482"/>
      <c r="K580" s="7499"/>
      <c r="L580" s="7888"/>
      <c r="M580" s="386"/>
      <c r="N580" s="386"/>
      <c r="O580" s="386"/>
      <c r="P580" s="386"/>
      <c r="Q580" s="386"/>
    </row>
    <row r="581" spans="1:17" ht="30" customHeight="1" x14ac:dyDescent="0.2">
      <c r="A581" s="7879"/>
      <c r="B581" s="7717"/>
      <c r="C581" s="7873"/>
      <c r="D581" s="2179">
        <v>150000000</v>
      </c>
      <c r="E581" s="2186"/>
      <c r="F581" s="2179"/>
      <c r="G581" s="2296"/>
      <c r="H581" s="2296"/>
      <c r="I581" s="2296"/>
      <c r="J581" s="2179"/>
      <c r="K581" s="2178"/>
      <c r="L581" s="2192" t="s">
        <v>4291</v>
      </c>
      <c r="M581" s="386"/>
      <c r="N581" s="386"/>
      <c r="O581" s="386"/>
      <c r="P581" s="386"/>
      <c r="Q581" s="386"/>
    </row>
    <row r="582" spans="1:17" ht="30" customHeight="1" x14ac:dyDescent="0.2">
      <c r="A582" s="7654">
        <v>361</v>
      </c>
      <c r="B582" s="7652" t="s">
        <v>1612</v>
      </c>
      <c r="C582" s="7723"/>
      <c r="D582" s="7563">
        <v>3045000000</v>
      </c>
      <c r="E582" s="7659"/>
      <c r="F582" s="7563">
        <v>95800000</v>
      </c>
      <c r="G582" s="2145">
        <v>39000000</v>
      </c>
      <c r="H582" s="7470" t="s">
        <v>4178</v>
      </c>
      <c r="I582" s="7510"/>
      <c r="J582" s="7563">
        <f>G582+G583++G584+G585+G586+G587+G588</f>
        <v>95800000</v>
      </c>
      <c r="K582" s="7816">
        <f>F582-J582</f>
        <v>0</v>
      </c>
      <c r="L582" s="2115"/>
      <c r="M582" s="386"/>
      <c r="N582" s="386"/>
      <c r="O582" s="386"/>
      <c r="P582" s="386"/>
      <c r="Q582" s="386"/>
    </row>
    <row r="583" spans="1:17" ht="30" customHeight="1" x14ac:dyDescent="0.2">
      <c r="A583" s="7656"/>
      <c r="B583" s="7665"/>
      <c r="C583" s="7747"/>
      <c r="D583" s="7586"/>
      <c r="E583" s="7676"/>
      <c r="F583" s="7586"/>
      <c r="G583" s="2179">
        <v>1000000</v>
      </c>
      <c r="H583" s="2179" t="s">
        <v>4310</v>
      </c>
      <c r="I583" s="2179" t="s">
        <v>2467</v>
      </c>
      <c r="J583" s="7586"/>
      <c r="K583" s="7882"/>
      <c r="L583" s="2126"/>
      <c r="M583" s="386"/>
      <c r="N583" s="386"/>
      <c r="O583" s="386"/>
      <c r="P583" s="386"/>
      <c r="Q583" s="386"/>
    </row>
    <row r="584" spans="1:17" ht="30" customHeight="1" x14ac:dyDescent="0.2">
      <c r="A584" s="7656"/>
      <c r="B584" s="7665"/>
      <c r="C584" s="7747"/>
      <c r="D584" s="7586"/>
      <c r="E584" s="7676"/>
      <c r="F584" s="7586"/>
      <c r="G584" s="2182">
        <v>10000000</v>
      </c>
      <c r="H584" s="2182" t="s">
        <v>1193</v>
      </c>
      <c r="I584" s="472" t="s">
        <v>2291</v>
      </c>
      <c r="J584" s="7586"/>
      <c r="K584" s="7882"/>
      <c r="L584" s="2329" t="s">
        <v>2370</v>
      </c>
      <c r="M584" s="386"/>
      <c r="N584" s="386"/>
      <c r="O584" s="386"/>
      <c r="P584" s="386"/>
      <c r="Q584" s="386"/>
    </row>
    <row r="585" spans="1:17" ht="30" customHeight="1" x14ac:dyDescent="0.2">
      <c r="A585" s="7656"/>
      <c r="B585" s="7665"/>
      <c r="C585" s="7747"/>
      <c r="D585" s="7586"/>
      <c r="E585" s="7676"/>
      <c r="F585" s="7586"/>
      <c r="G585" s="2074">
        <v>10000000</v>
      </c>
      <c r="H585" s="2074" t="s">
        <v>1193</v>
      </c>
      <c r="I585" s="472" t="s">
        <v>2291</v>
      </c>
      <c r="J585" s="7586"/>
      <c r="K585" s="7882"/>
      <c r="L585" s="2329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7656"/>
      <c r="B586" s="7665"/>
      <c r="C586" s="7747"/>
      <c r="D586" s="7586"/>
      <c r="E586" s="7676"/>
      <c r="F586" s="7586"/>
      <c r="G586" s="2332">
        <v>5000000</v>
      </c>
      <c r="H586" s="2332" t="s">
        <v>4426</v>
      </c>
      <c r="I586" s="2332" t="s">
        <v>2467</v>
      </c>
      <c r="J586" s="7586"/>
      <c r="K586" s="7882"/>
      <c r="L586" s="848"/>
      <c r="M586" s="386"/>
      <c r="N586" s="386"/>
      <c r="O586" s="386"/>
      <c r="P586" s="386"/>
      <c r="Q586" s="386"/>
    </row>
    <row r="587" spans="1:17" ht="30" customHeight="1" x14ac:dyDescent="0.2">
      <c r="A587" s="7656"/>
      <c r="B587" s="7665"/>
      <c r="C587" s="7747"/>
      <c r="D587" s="7586"/>
      <c r="E587" s="7676"/>
      <c r="F587" s="7586"/>
      <c r="G587" s="2074">
        <v>10800000</v>
      </c>
      <c r="H587" s="2074" t="s">
        <v>4449</v>
      </c>
      <c r="I587" s="472" t="s">
        <v>1613</v>
      </c>
      <c r="J587" s="7586"/>
      <c r="K587" s="7882"/>
      <c r="L587" s="2576" t="s">
        <v>4625</v>
      </c>
      <c r="M587" s="386"/>
      <c r="N587" s="386"/>
      <c r="O587" s="386"/>
      <c r="P587" s="386"/>
      <c r="Q587" s="386"/>
    </row>
    <row r="588" spans="1:17" ht="30" customHeight="1" x14ac:dyDescent="0.2">
      <c r="A588" s="7656"/>
      <c r="B588" s="7665"/>
      <c r="C588" s="7747"/>
      <c r="D588" s="7586"/>
      <c r="E588" s="7676"/>
      <c r="F588" s="7586"/>
      <c r="G588" s="2074">
        <v>20000000</v>
      </c>
      <c r="H588" s="2074" t="s">
        <v>1017</v>
      </c>
      <c r="I588" s="472" t="s">
        <v>1613</v>
      </c>
      <c r="J588" s="7586"/>
      <c r="K588" s="7882"/>
      <c r="L588" s="2576" t="s">
        <v>4626</v>
      </c>
      <c r="M588" s="386"/>
      <c r="N588" s="386"/>
      <c r="O588" s="386"/>
      <c r="P588" s="386"/>
      <c r="Q588" s="386"/>
    </row>
    <row r="589" spans="1:17" ht="30" customHeight="1" x14ac:dyDescent="0.2">
      <c r="A589" s="7656"/>
      <c r="B589" s="7665"/>
      <c r="C589" s="7747"/>
      <c r="D589" s="7586"/>
      <c r="E589" s="7676"/>
      <c r="F589" s="7586"/>
      <c r="G589" s="2074"/>
      <c r="H589" s="2074"/>
      <c r="I589" s="472"/>
      <c r="J589" s="7586"/>
      <c r="K589" s="7882"/>
      <c r="L589" s="848"/>
      <c r="M589" s="386"/>
      <c r="N589" s="386"/>
      <c r="O589" s="386"/>
      <c r="P589" s="386"/>
      <c r="Q589" s="386"/>
    </row>
    <row r="590" spans="1:17" ht="30" customHeight="1" x14ac:dyDescent="0.2">
      <c r="A590" s="7656"/>
      <c r="B590" s="7665"/>
      <c r="C590" s="7747"/>
      <c r="D590" s="7586"/>
      <c r="E590" s="7676"/>
      <c r="F590" s="7586"/>
      <c r="G590" s="2074"/>
      <c r="H590" s="2074"/>
      <c r="I590" s="472"/>
      <c r="J590" s="7586"/>
      <c r="K590" s="7882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7655"/>
      <c r="B591" s="7653"/>
      <c r="C591" s="7724"/>
      <c r="D591" s="7564"/>
      <c r="E591" s="7660"/>
      <c r="F591" s="7564"/>
      <c r="G591" s="2074"/>
      <c r="H591" s="2074"/>
      <c r="I591" s="472"/>
      <c r="J591" s="7564"/>
      <c r="K591" s="7817"/>
      <c r="L591" s="898"/>
      <c r="M591" s="386"/>
      <c r="N591" s="386"/>
      <c r="O591" s="386"/>
      <c r="P591" s="386"/>
      <c r="Q591" s="386"/>
    </row>
    <row r="592" spans="1:17" ht="30" customHeight="1" x14ac:dyDescent="0.2">
      <c r="A592" s="7654"/>
      <c r="B592" s="7652" t="s">
        <v>4179</v>
      </c>
      <c r="C592" s="7723"/>
      <c r="D592" s="7563">
        <v>30000000</v>
      </c>
      <c r="E592" s="7659">
        <v>6.5000000000000002E-2</v>
      </c>
      <c r="F592" s="7563">
        <f>D592*E592</f>
        <v>1950000</v>
      </c>
      <c r="G592" s="7563">
        <v>1950000</v>
      </c>
      <c r="H592" s="7563" t="s">
        <v>2473</v>
      </c>
      <c r="I592" s="7563" t="s">
        <v>2369</v>
      </c>
      <c r="J592" s="7563">
        <f>G592</f>
        <v>1950000</v>
      </c>
      <c r="K592" s="7816">
        <f>F592-J592</f>
        <v>0</v>
      </c>
      <c r="L592" s="2673" t="s">
        <v>4180</v>
      </c>
      <c r="M592" s="2673"/>
      <c r="N592" s="2673"/>
      <c r="O592" s="2673"/>
      <c r="P592" s="386"/>
      <c r="Q592" s="386"/>
    </row>
    <row r="593" spans="1:17" ht="30" customHeight="1" x14ac:dyDescent="0.2">
      <c r="A593" s="7656"/>
      <c r="B593" s="7665"/>
      <c r="C593" s="7747"/>
      <c r="D593" s="7586"/>
      <c r="E593" s="7676"/>
      <c r="F593" s="7586"/>
      <c r="G593" s="7586"/>
      <c r="H593" s="7586"/>
      <c r="I593" s="7586"/>
      <c r="J593" s="7586"/>
      <c r="K593" s="7882"/>
      <c r="L593" s="2673" t="s">
        <v>4181</v>
      </c>
      <c r="M593" s="2673"/>
      <c r="N593" s="2673"/>
      <c r="O593" s="2673"/>
      <c r="P593" s="386"/>
      <c r="Q593" s="386"/>
    </row>
    <row r="594" spans="1:17" ht="30" customHeight="1" x14ac:dyDescent="0.2">
      <c r="A594" s="7655"/>
      <c r="B594" s="7653"/>
      <c r="C594" s="7724"/>
      <c r="D594" s="7564"/>
      <c r="E594" s="7660"/>
      <c r="F594" s="7564"/>
      <c r="G594" s="7564"/>
      <c r="H594" s="7564"/>
      <c r="I594" s="7564"/>
      <c r="J594" s="7564"/>
      <c r="K594" s="7817"/>
      <c r="L594" s="2673" t="s">
        <v>4182</v>
      </c>
      <c r="M594" s="2673"/>
      <c r="N594" s="2673"/>
      <c r="O594" s="2673"/>
      <c r="P594" s="386"/>
      <c r="Q594" s="386"/>
    </row>
    <row r="595" spans="1:17" ht="30" customHeight="1" x14ac:dyDescent="0.2">
      <c r="A595" s="2103">
        <v>362</v>
      </c>
      <c r="B595" s="19" t="s">
        <v>1619</v>
      </c>
      <c r="C595" s="2105" t="s">
        <v>1652</v>
      </c>
      <c r="D595" s="2074">
        <v>360000000</v>
      </c>
      <c r="E595" s="2101">
        <v>4.4999999999999998E-2</v>
      </c>
      <c r="F595" s="2074">
        <v>16500000</v>
      </c>
      <c r="G595" s="2074">
        <v>16500000</v>
      </c>
      <c r="H595" s="2074" t="s">
        <v>1193</v>
      </c>
      <c r="I595" s="472" t="s">
        <v>1620</v>
      </c>
      <c r="J595" s="2074">
        <f t="shared" ref="J595:J608" si="70">G595</f>
        <v>16500000</v>
      </c>
      <c r="K595" s="2099">
        <f t="shared" ref="K595:K608" si="71">F595-J595</f>
        <v>0</v>
      </c>
      <c r="L595" s="2673" t="s">
        <v>3451</v>
      </c>
      <c r="M595" s="2673"/>
      <c r="N595" s="2673"/>
      <c r="O595" s="2673"/>
      <c r="P595" s="386"/>
      <c r="Q595" s="386"/>
    </row>
    <row r="596" spans="1:17" ht="30" customHeight="1" x14ac:dyDescent="0.2">
      <c r="A596" s="2065">
        <v>363</v>
      </c>
      <c r="B596" s="2068" t="s">
        <v>1641</v>
      </c>
      <c r="C596" s="2084"/>
      <c r="D596" s="2079"/>
      <c r="E596" s="40"/>
      <c r="F596" s="2079"/>
      <c r="G596" s="2074">
        <v>1400000</v>
      </c>
      <c r="H596" s="2074" t="s">
        <v>4361</v>
      </c>
      <c r="I596" s="472" t="s">
        <v>1621</v>
      </c>
      <c r="J596" s="2074">
        <f t="shared" si="70"/>
        <v>1400000</v>
      </c>
      <c r="K596" s="2099">
        <f t="shared" si="71"/>
        <v>-1400000</v>
      </c>
      <c r="L596" s="2127"/>
      <c r="M596" s="386"/>
      <c r="N596" s="386"/>
      <c r="O596" s="386"/>
      <c r="P596" s="386"/>
      <c r="Q596" s="386"/>
    </row>
    <row r="597" spans="1:17" ht="30" customHeight="1" x14ac:dyDescent="0.2">
      <c r="A597" s="2065">
        <v>364</v>
      </c>
      <c r="B597" s="2068" t="s">
        <v>1637</v>
      </c>
      <c r="C597" s="2084"/>
      <c r="D597" s="2079"/>
      <c r="E597" s="40"/>
      <c r="F597" s="2079"/>
      <c r="G597" s="2074"/>
      <c r="H597" s="2074"/>
      <c r="I597" s="472" t="s">
        <v>4039</v>
      </c>
      <c r="J597" s="2074">
        <f t="shared" si="70"/>
        <v>0</v>
      </c>
      <c r="K597" s="2100">
        <f t="shared" si="71"/>
        <v>0</v>
      </c>
      <c r="L597" s="2127"/>
      <c r="M597" s="386"/>
      <c r="N597" s="386"/>
      <c r="O597" s="386"/>
      <c r="P597" s="386"/>
      <c r="Q597" s="386"/>
    </row>
    <row r="598" spans="1:17" ht="30" customHeight="1" x14ac:dyDescent="0.2">
      <c r="A598" s="2103">
        <v>365</v>
      </c>
      <c r="B598" s="2104" t="s">
        <v>1639</v>
      </c>
      <c r="C598" s="2105" t="s">
        <v>1718</v>
      </c>
      <c r="D598" s="2074">
        <v>250000000</v>
      </c>
      <c r="E598" s="2101">
        <v>0.05</v>
      </c>
      <c r="F598" s="2074">
        <f>D598*E598</f>
        <v>12500000</v>
      </c>
      <c r="G598" s="2062">
        <v>12500000</v>
      </c>
      <c r="H598" s="2062" t="s">
        <v>4402</v>
      </c>
      <c r="I598" s="2062" t="s">
        <v>2808</v>
      </c>
      <c r="J598" s="2062">
        <f t="shared" si="70"/>
        <v>12500000</v>
      </c>
      <c r="K598" s="2099">
        <f t="shared" si="71"/>
        <v>0</v>
      </c>
      <c r="L598" s="2116"/>
      <c r="M598" s="386"/>
      <c r="N598" s="386"/>
      <c r="O598" s="386"/>
      <c r="P598" s="386"/>
      <c r="Q598" s="386"/>
    </row>
    <row r="599" spans="1:17" ht="30" customHeight="1" x14ac:dyDescent="0.2">
      <c r="A599" s="7654">
        <v>366</v>
      </c>
      <c r="B599" s="7652" t="s">
        <v>4684</v>
      </c>
      <c r="C599" s="7723" t="s">
        <v>1107</v>
      </c>
      <c r="D599" s="8026">
        <v>70000000</v>
      </c>
      <c r="E599" s="7659">
        <v>6.3E-2</v>
      </c>
      <c r="F599" s="7563">
        <v>4400000</v>
      </c>
      <c r="G599" s="2074">
        <v>4400000</v>
      </c>
      <c r="H599" s="2074" t="s">
        <v>4310</v>
      </c>
      <c r="I599" s="472" t="s">
        <v>3773</v>
      </c>
      <c r="J599" s="2074">
        <f t="shared" si="70"/>
        <v>4400000</v>
      </c>
      <c r="K599" s="2099">
        <f t="shared" si="71"/>
        <v>0</v>
      </c>
      <c r="L599" s="2127" t="s">
        <v>3952</v>
      </c>
      <c r="M599" s="386"/>
      <c r="N599" s="386"/>
      <c r="O599" s="386"/>
      <c r="P599" s="386"/>
      <c r="Q599" s="386"/>
    </row>
    <row r="600" spans="1:17" ht="30" customHeight="1" x14ac:dyDescent="0.2">
      <c r="A600" s="7656"/>
      <c r="B600" s="7665"/>
      <c r="C600" s="7747"/>
      <c r="D600" s="8027"/>
      <c r="E600" s="7660"/>
      <c r="F600" s="7564"/>
      <c r="G600" s="2773">
        <v>4400000</v>
      </c>
      <c r="H600" s="2773" t="s">
        <v>4778</v>
      </c>
      <c r="I600" s="472" t="s">
        <v>4781</v>
      </c>
      <c r="J600" s="2773">
        <f t="shared" si="70"/>
        <v>4400000</v>
      </c>
      <c r="K600" s="2777">
        <f>F599-J600</f>
        <v>0</v>
      </c>
      <c r="L600" s="2779" t="s">
        <v>4437</v>
      </c>
      <c r="M600" s="386"/>
      <c r="N600" s="386"/>
      <c r="O600" s="386"/>
      <c r="P600" s="386"/>
      <c r="Q600" s="386"/>
    </row>
    <row r="601" spans="1:17" ht="30" customHeight="1" x14ac:dyDescent="0.2">
      <c r="A601" s="7656"/>
      <c r="B601" s="7665"/>
      <c r="C601" s="7747"/>
      <c r="D601" s="2807">
        <v>96900000</v>
      </c>
      <c r="E601" s="2793"/>
      <c r="F601" s="2792"/>
      <c r="G601" s="2792"/>
      <c r="H601" s="2792"/>
      <c r="I601" s="472"/>
      <c r="J601" s="2792"/>
      <c r="K601" s="2799"/>
      <c r="L601" s="2810" t="s">
        <v>4796</v>
      </c>
      <c r="M601" s="386"/>
      <c r="N601" s="386"/>
      <c r="O601" s="386"/>
      <c r="P601" s="386"/>
      <c r="Q601" s="386"/>
    </row>
    <row r="602" spans="1:17" ht="30" customHeight="1" x14ac:dyDescent="0.2">
      <c r="A602" s="7656"/>
      <c r="B602" s="7665"/>
      <c r="C602" s="7747"/>
      <c r="D602" s="2676">
        <v>7100000</v>
      </c>
      <c r="E602" s="2801"/>
      <c r="F602" s="2792"/>
      <c r="G602" s="2656"/>
      <c r="H602" s="2656"/>
      <c r="I602" s="472"/>
      <c r="J602" s="2656"/>
      <c r="K602" s="2662"/>
      <c r="L602" s="2810" t="s">
        <v>4685</v>
      </c>
      <c r="M602" s="386"/>
      <c r="N602" s="386"/>
      <c r="O602" s="386"/>
      <c r="P602" s="386"/>
      <c r="Q602" s="386"/>
    </row>
    <row r="603" spans="1:17" ht="30" customHeight="1" x14ac:dyDescent="0.2">
      <c r="A603" s="7656"/>
      <c r="B603" s="7665"/>
      <c r="C603" s="7747"/>
      <c r="D603" s="2676">
        <v>3000000</v>
      </c>
      <c r="E603" s="2663"/>
      <c r="F603" s="2656"/>
      <c r="G603" s="2656"/>
      <c r="H603" s="2656"/>
      <c r="I603" s="472"/>
      <c r="J603" s="2656"/>
      <c r="K603" s="2662"/>
      <c r="L603" s="2810" t="s">
        <v>4686</v>
      </c>
      <c r="M603" s="386"/>
      <c r="N603" s="386"/>
      <c r="O603" s="386"/>
      <c r="P603" s="386"/>
      <c r="Q603" s="386"/>
    </row>
    <row r="604" spans="1:17" ht="30" customHeight="1" x14ac:dyDescent="0.2">
      <c r="A604" s="7656"/>
      <c r="B604" s="7665"/>
      <c r="C604" s="7747"/>
      <c r="D604" s="2676">
        <v>10000000</v>
      </c>
      <c r="E604" s="2663"/>
      <c r="F604" s="2656"/>
      <c r="G604" s="2656"/>
      <c r="H604" s="2656"/>
      <c r="I604" s="472"/>
      <c r="J604" s="2656"/>
      <c r="K604" s="2662"/>
      <c r="L604" s="2810" t="s">
        <v>4688</v>
      </c>
      <c r="M604" s="386"/>
      <c r="N604" s="386"/>
      <c r="O604" s="386"/>
      <c r="P604" s="386"/>
      <c r="Q604" s="386"/>
    </row>
    <row r="605" spans="1:17" ht="30" customHeight="1" x14ac:dyDescent="0.2">
      <c r="A605" s="7656"/>
      <c r="B605" s="7665"/>
      <c r="C605" s="7747"/>
      <c r="D605" s="2676">
        <v>10000000</v>
      </c>
      <c r="E605" s="2663"/>
      <c r="F605" s="2656"/>
      <c r="G605" s="2656"/>
      <c r="H605" s="2656"/>
      <c r="I605" s="472"/>
      <c r="J605" s="2656"/>
      <c r="K605" s="2662"/>
      <c r="L605" s="2810" t="s">
        <v>4687</v>
      </c>
      <c r="M605" s="386"/>
      <c r="N605" s="386"/>
      <c r="O605" s="386"/>
      <c r="P605" s="386"/>
      <c r="Q605" s="386"/>
    </row>
    <row r="606" spans="1:17" ht="30" customHeight="1" x14ac:dyDescent="0.2">
      <c r="A606" s="7656"/>
      <c r="B606" s="7665"/>
      <c r="C606" s="7747"/>
      <c r="D606" s="2676">
        <v>8000000</v>
      </c>
      <c r="E606" s="2663"/>
      <c r="F606" s="2656"/>
      <c r="G606" s="2656"/>
      <c r="H606" s="2656"/>
      <c r="I606" s="472"/>
      <c r="J606" s="2656"/>
      <c r="K606" s="2662"/>
      <c r="L606" s="2810" t="s">
        <v>4689</v>
      </c>
      <c r="M606" s="386"/>
      <c r="N606" s="386"/>
      <c r="O606" s="386"/>
      <c r="P606" s="386"/>
      <c r="Q606" s="386"/>
    </row>
    <row r="607" spans="1:17" ht="30" customHeight="1" x14ac:dyDescent="0.2">
      <c r="A607" s="7655"/>
      <c r="B607" s="7653"/>
      <c r="C607" s="7724"/>
      <c r="D607" s="2807">
        <f>SUM(D599:D606)</f>
        <v>205000000</v>
      </c>
      <c r="E607" s="2488"/>
      <c r="F607" s="2478"/>
      <c r="G607" s="2478"/>
      <c r="H607" s="2478"/>
      <c r="I607" s="472"/>
      <c r="J607" s="2478"/>
      <c r="K607" s="2487"/>
      <c r="L607" s="2673" t="s">
        <v>4690</v>
      </c>
      <c r="M607" s="386"/>
      <c r="N607" s="386"/>
      <c r="O607" s="386"/>
      <c r="P607" s="386"/>
      <c r="Q607" s="386"/>
    </row>
    <row r="608" spans="1:17" ht="30" customHeight="1" x14ac:dyDescent="0.2">
      <c r="A608" s="2065">
        <v>367</v>
      </c>
      <c r="B608" s="2068" t="s">
        <v>1666</v>
      </c>
      <c r="C608" s="2084"/>
      <c r="D608" s="2074">
        <v>25000000</v>
      </c>
      <c r="E608" s="2101">
        <v>0.05</v>
      </c>
      <c r="F608" s="2074">
        <f>D608*E608</f>
        <v>1250000</v>
      </c>
      <c r="G608" s="2074">
        <v>1250000</v>
      </c>
      <c r="H608" s="2074" t="s">
        <v>1193</v>
      </c>
      <c r="I608" s="472" t="s">
        <v>4050</v>
      </c>
      <c r="J608" s="2074">
        <f t="shared" si="70"/>
        <v>1250000</v>
      </c>
      <c r="K608" s="2099">
        <f t="shared" si="71"/>
        <v>0</v>
      </c>
      <c r="L608" s="2127"/>
      <c r="M608" s="386"/>
      <c r="N608" s="386"/>
      <c r="O608" s="386"/>
      <c r="P608" s="386"/>
      <c r="Q608" s="386"/>
    </row>
    <row r="609" spans="1:17" ht="30" customHeight="1" x14ac:dyDescent="0.2">
      <c r="A609" s="7879">
        <v>368</v>
      </c>
      <c r="B609" s="7717" t="s">
        <v>1793</v>
      </c>
      <c r="C609" s="7873" t="s">
        <v>392</v>
      </c>
      <c r="D609" s="2524">
        <v>800000000</v>
      </c>
      <c r="E609" s="2539">
        <v>7.0000000000000007E-2</v>
      </c>
      <c r="F609" s="2524">
        <f>D609*E609</f>
        <v>56000000.000000007</v>
      </c>
      <c r="G609" s="2524">
        <v>38000000</v>
      </c>
      <c r="H609" s="39" t="s">
        <v>4299</v>
      </c>
      <c r="I609" s="1029" t="s">
        <v>2579</v>
      </c>
      <c r="J609" s="2524">
        <f>G609</f>
        <v>38000000</v>
      </c>
      <c r="K609" s="2522">
        <f>F609-J609</f>
        <v>18000000.000000007</v>
      </c>
      <c r="L609" s="7811" t="s">
        <v>4639</v>
      </c>
      <c r="M609" s="386"/>
      <c r="N609" s="386"/>
      <c r="O609" s="386"/>
      <c r="P609" s="386"/>
      <c r="Q609" s="386"/>
    </row>
    <row r="610" spans="1:17" ht="30" customHeight="1" x14ac:dyDescent="0.2">
      <c r="A610" s="7879"/>
      <c r="B610" s="7717"/>
      <c r="C610" s="7873"/>
      <c r="D610" s="895">
        <v>818000000</v>
      </c>
      <c r="E610" s="2437">
        <v>7.0000000000000007E-2</v>
      </c>
      <c r="F610" s="895">
        <f>D610*E610</f>
        <v>57260000.000000007</v>
      </c>
      <c r="G610" s="2528"/>
      <c r="H610" s="2534"/>
      <c r="I610" s="2540"/>
      <c r="J610" s="2528"/>
      <c r="K610" s="2537"/>
      <c r="L610" s="7812"/>
      <c r="M610" s="386"/>
      <c r="N610" s="386"/>
      <c r="O610" s="386"/>
      <c r="P610" s="386"/>
      <c r="Q610" s="386"/>
    </row>
    <row r="611" spans="1:17" ht="30" customHeight="1" x14ac:dyDescent="0.2">
      <c r="A611" s="7654">
        <v>369</v>
      </c>
      <c r="B611" s="7652" t="s">
        <v>1676</v>
      </c>
      <c r="C611" s="7723" t="s">
        <v>1652</v>
      </c>
      <c r="D611" s="2074">
        <v>250000000</v>
      </c>
      <c r="E611" s="2077">
        <v>0.05</v>
      </c>
      <c r="F611" s="2074">
        <f t="shared" ref="F611:F616" si="72">D611*E611</f>
        <v>12500000</v>
      </c>
      <c r="G611" s="7563">
        <v>27800000</v>
      </c>
      <c r="H611" s="7563" t="s">
        <v>4385</v>
      </c>
      <c r="I611" s="7563" t="s">
        <v>4386</v>
      </c>
      <c r="J611" s="7563">
        <f>G611</f>
        <v>27800000</v>
      </c>
      <c r="K611" s="7563">
        <f>(F611+F612+F613+F614)-J611</f>
        <v>0</v>
      </c>
      <c r="L611" s="2127"/>
      <c r="M611" s="386"/>
      <c r="N611" s="386"/>
      <c r="O611" s="386"/>
      <c r="P611" s="386"/>
      <c r="Q611" s="386"/>
    </row>
    <row r="612" spans="1:17" ht="30" customHeight="1" x14ac:dyDescent="0.2">
      <c r="A612" s="7656"/>
      <c r="B612" s="7665"/>
      <c r="C612" s="7747"/>
      <c r="D612" s="2074">
        <v>150000000</v>
      </c>
      <c r="E612" s="2077">
        <v>0.06</v>
      </c>
      <c r="F612" s="2074">
        <f t="shared" si="72"/>
        <v>9000000</v>
      </c>
      <c r="G612" s="7586"/>
      <c r="H612" s="7586"/>
      <c r="I612" s="7586"/>
      <c r="J612" s="7586"/>
      <c r="K612" s="7586"/>
      <c r="L612" s="2115" t="s">
        <v>3884</v>
      </c>
      <c r="M612" s="386"/>
      <c r="N612" s="386"/>
      <c r="O612" s="386"/>
      <c r="P612" s="386"/>
      <c r="Q612" s="386"/>
    </row>
    <row r="613" spans="1:17" ht="30" customHeight="1" x14ac:dyDescent="0.2">
      <c r="A613" s="7656"/>
      <c r="B613" s="7665"/>
      <c r="C613" s="7747"/>
      <c r="D613" s="2074">
        <v>50000000</v>
      </c>
      <c r="E613" s="2077">
        <v>0.06</v>
      </c>
      <c r="F613" s="2074">
        <f t="shared" si="72"/>
        <v>3000000</v>
      </c>
      <c r="G613" s="7586"/>
      <c r="H613" s="7586"/>
      <c r="I613" s="7586"/>
      <c r="J613" s="7586"/>
      <c r="K613" s="7586"/>
      <c r="L613" s="2115" t="s">
        <v>3885</v>
      </c>
      <c r="M613" s="386"/>
      <c r="N613" s="386"/>
      <c r="O613" s="386"/>
      <c r="P613" s="386"/>
      <c r="Q613" s="386"/>
    </row>
    <row r="614" spans="1:17" ht="30" customHeight="1" x14ac:dyDescent="0.2">
      <c r="A614" s="7655"/>
      <c r="B614" s="7653"/>
      <c r="C614" s="7724"/>
      <c r="D614" s="2074">
        <v>55000000</v>
      </c>
      <c r="E614" s="2077">
        <v>0.06</v>
      </c>
      <c r="F614" s="2074">
        <f t="shared" si="72"/>
        <v>3300000</v>
      </c>
      <c r="G614" s="7564"/>
      <c r="H614" s="7564"/>
      <c r="I614" s="7564"/>
      <c r="J614" s="7564"/>
      <c r="K614" s="7564"/>
      <c r="L614" s="2115"/>
      <c r="M614" s="386"/>
      <c r="N614" s="386"/>
      <c r="O614" s="386"/>
      <c r="P614" s="386"/>
      <c r="Q614" s="386"/>
    </row>
    <row r="615" spans="1:17" ht="30" customHeight="1" x14ac:dyDescent="0.2">
      <c r="A615" s="2063">
        <v>370</v>
      </c>
      <c r="B615" s="2106" t="s">
        <v>1696</v>
      </c>
      <c r="C615" s="2084" t="s">
        <v>3323</v>
      </c>
      <c r="D615" s="2074">
        <v>200000000</v>
      </c>
      <c r="E615" s="2101">
        <v>0.05</v>
      </c>
      <c r="F615" s="2074">
        <f t="shared" si="72"/>
        <v>10000000</v>
      </c>
      <c r="G615" s="2074">
        <v>10000000</v>
      </c>
      <c r="H615" s="2074" t="s">
        <v>4361</v>
      </c>
      <c r="I615" s="472" t="s">
        <v>4370</v>
      </c>
      <c r="J615" s="2074">
        <f t="shared" ref="J615:J626" si="73">G615</f>
        <v>10000000</v>
      </c>
      <c r="K615" s="2099">
        <f>F615-J615</f>
        <v>0</v>
      </c>
      <c r="L615" s="2809" t="s">
        <v>3952</v>
      </c>
      <c r="M615" s="386"/>
      <c r="N615" s="386"/>
      <c r="O615" s="386"/>
      <c r="P615" s="386"/>
      <c r="Q615" s="386"/>
    </row>
    <row r="616" spans="1:17" ht="30" customHeight="1" x14ac:dyDescent="0.2">
      <c r="A616" s="7654">
        <v>371</v>
      </c>
      <c r="B616" s="7652" t="s">
        <v>1698</v>
      </c>
      <c r="C616" s="7723" t="s">
        <v>942</v>
      </c>
      <c r="D616" s="7563">
        <v>50000000</v>
      </c>
      <c r="E616" s="7659">
        <v>0.04</v>
      </c>
      <c r="F616" s="7563">
        <f t="shared" si="72"/>
        <v>2000000</v>
      </c>
      <c r="G616" s="2179">
        <v>2000000</v>
      </c>
      <c r="H616" s="2179" t="s">
        <v>4310</v>
      </c>
      <c r="I616" s="1029" t="s">
        <v>1720</v>
      </c>
      <c r="J616" s="2179">
        <f t="shared" si="73"/>
        <v>2000000</v>
      </c>
      <c r="K616" s="2178">
        <f>F616-J616</f>
        <v>0</v>
      </c>
      <c r="L616" s="2127" t="s">
        <v>3952</v>
      </c>
      <c r="M616" s="386"/>
      <c r="N616" s="386"/>
      <c r="O616" s="386"/>
      <c r="P616" s="386"/>
      <c r="Q616" s="386"/>
    </row>
    <row r="617" spans="1:17" ht="30" customHeight="1" x14ac:dyDescent="0.2">
      <c r="A617" s="7656"/>
      <c r="B617" s="7653"/>
      <c r="C617" s="7724"/>
      <c r="D617" s="7564"/>
      <c r="E617" s="7660"/>
      <c r="F617" s="7564"/>
      <c r="G617" s="2773">
        <v>2000000</v>
      </c>
      <c r="H617" s="2773" t="s">
        <v>4778</v>
      </c>
      <c r="I617" s="472" t="s">
        <v>1720</v>
      </c>
      <c r="J617" s="2773">
        <f>G617</f>
        <v>2000000</v>
      </c>
      <c r="K617" s="2777">
        <f>F616-J617</f>
        <v>0</v>
      </c>
      <c r="L617" s="2779" t="s">
        <v>4437</v>
      </c>
      <c r="M617" s="386"/>
      <c r="N617" s="386"/>
      <c r="O617" s="386"/>
      <c r="P617" s="386"/>
      <c r="Q617" s="386"/>
    </row>
    <row r="618" spans="1:17" ht="30" customHeight="1" x14ac:dyDescent="0.2">
      <c r="A618" s="2065">
        <v>372</v>
      </c>
      <c r="B618" s="2068" t="s">
        <v>1706</v>
      </c>
      <c r="C618" s="2084"/>
      <c r="D618" s="2079"/>
      <c r="E618" s="40"/>
      <c r="F618" s="2079"/>
      <c r="G618" s="2074"/>
      <c r="H618" s="2074"/>
      <c r="I618" s="472"/>
      <c r="J618" s="2074">
        <f t="shared" si="73"/>
        <v>0</v>
      </c>
      <c r="K618" s="2100"/>
      <c r="L618" s="2127"/>
      <c r="M618" s="386"/>
      <c r="N618" s="386"/>
      <c r="O618" s="386"/>
      <c r="P618" s="386"/>
      <c r="Q618" s="386"/>
    </row>
    <row r="619" spans="1:17" ht="30" customHeight="1" x14ac:dyDescent="0.2">
      <c r="A619" s="7654"/>
      <c r="B619" s="7652" t="s">
        <v>1725</v>
      </c>
      <c r="C619" s="7723" t="s">
        <v>1718</v>
      </c>
      <c r="D619" s="2062">
        <v>20000000</v>
      </c>
      <c r="E619" s="2101">
        <v>0.05</v>
      </c>
      <c r="F619" s="2062">
        <f>D619*E619</f>
        <v>1000000</v>
      </c>
      <c r="G619" s="2062">
        <v>1000000</v>
      </c>
      <c r="H619" s="2062" t="s">
        <v>4402</v>
      </c>
      <c r="I619" s="2062" t="s">
        <v>3486</v>
      </c>
      <c r="J619" s="2062">
        <f t="shared" si="73"/>
        <v>1000000</v>
      </c>
      <c r="K619" s="2060">
        <f>F619-J619</f>
        <v>0</v>
      </c>
      <c r="L619" s="2127"/>
      <c r="M619" s="386"/>
      <c r="N619" s="386"/>
      <c r="O619" s="386"/>
      <c r="P619" s="386"/>
      <c r="Q619" s="386"/>
    </row>
    <row r="620" spans="1:17" ht="30" customHeight="1" x14ac:dyDescent="0.2">
      <c r="A620" s="7655"/>
      <c r="B620" s="7653"/>
      <c r="C620" s="7724"/>
      <c r="D620" s="2170">
        <v>10000000</v>
      </c>
      <c r="E620" s="2407">
        <v>0.05</v>
      </c>
      <c r="F620" s="2403">
        <f>D620*E620</f>
        <v>500000</v>
      </c>
      <c r="G620" s="2170"/>
      <c r="H620" s="2170"/>
      <c r="I620" s="2171"/>
      <c r="J620" s="2170"/>
      <c r="K620" s="2172"/>
      <c r="L620" s="2175" t="s">
        <v>4282</v>
      </c>
      <c r="M620" s="386"/>
      <c r="N620" s="386"/>
      <c r="O620" s="386"/>
      <c r="P620" s="386"/>
      <c r="Q620" s="386"/>
    </row>
    <row r="621" spans="1:17" ht="30" customHeight="1" x14ac:dyDescent="0.2">
      <c r="A621" s="2065">
        <v>374</v>
      </c>
      <c r="B621" s="2068" t="s">
        <v>1727</v>
      </c>
      <c r="C621" s="2084"/>
      <c r="D621" s="2079"/>
      <c r="E621" s="2082"/>
      <c r="F621" s="2079"/>
      <c r="G621" s="2074"/>
      <c r="H621" s="2074"/>
      <c r="I621" s="472"/>
      <c r="J621" s="2074">
        <f t="shared" si="73"/>
        <v>0</v>
      </c>
      <c r="K621" s="2100">
        <f t="shared" ref="K621:K627" si="74">F621-J621</f>
        <v>0</v>
      </c>
      <c r="L621" s="2127"/>
      <c r="M621" s="386"/>
      <c r="N621" s="386"/>
      <c r="O621" s="386"/>
      <c r="P621" s="386"/>
      <c r="Q621" s="386"/>
    </row>
    <row r="622" spans="1:17" ht="30" customHeight="1" x14ac:dyDescent="0.2">
      <c r="A622" s="7654">
        <v>375</v>
      </c>
      <c r="B622" s="7652" t="s">
        <v>1735</v>
      </c>
      <c r="C622" s="7723"/>
      <c r="D622" s="7563">
        <v>900000000</v>
      </c>
      <c r="E622" s="7659">
        <v>7.0000000000000007E-2</v>
      </c>
      <c r="F622" s="7563">
        <f>D622*E622</f>
        <v>63000000.000000007</v>
      </c>
      <c r="G622" s="2074">
        <v>50000000</v>
      </c>
      <c r="H622" s="2074" t="s">
        <v>4395</v>
      </c>
      <c r="I622" s="472" t="s">
        <v>4403</v>
      </c>
      <c r="J622" s="7563">
        <f>G622+G623</f>
        <v>63000000</v>
      </c>
      <c r="K622" s="7816">
        <f t="shared" si="74"/>
        <v>0</v>
      </c>
      <c r="L622" s="2542" t="s">
        <v>4608</v>
      </c>
      <c r="M622" s="386"/>
      <c r="N622" s="386"/>
      <c r="O622" s="386"/>
      <c r="P622" s="386"/>
      <c r="Q622" s="386"/>
    </row>
    <row r="623" spans="1:17" ht="30" customHeight="1" x14ac:dyDescent="0.2">
      <c r="A623" s="7655"/>
      <c r="B623" s="7653"/>
      <c r="C623" s="7724"/>
      <c r="D623" s="7564"/>
      <c r="E623" s="7660"/>
      <c r="F623" s="7564"/>
      <c r="G623" s="2337">
        <v>13000000</v>
      </c>
      <c r="H623" s="2337" t="s">
        <v>4402</v>
      </c>
      <c r="I623" s="472" t="s">
        <v>4403</v>
      </c>
      <c r="J623" s="7564"/>
      <c r="K623" s="7817"/>
      <c r="L623" s="2344"/>
      <c r="M623" s="386"/>
      <c r="N623" s="386"/>
      <c r="O623" s="386"/>
      <c r="P623" s="386"/>
      <c r="Q623" s="386"/>
    </row>
    <row r="624" spans="1:17" ht="30" customHeight="1" x14ac:dyDescent="0.2">
      <c r="A624" s="2065">
        <v>376</v>
      </c>
      <c r="B624" s="2068" t="s">
        <v>3580</v>
      </c>
      <c r="C624" s="2084" t="s">
        <v>262</v>
      </c>
      <c r="D624" s="2074">
        <v>50000000</v>
      </c>
      <c r="E624" s="2101">
        <v>0.06</v>
      </c>
      <c r="F624" s="2074">
        <f>D624*E624</f>
        <v>3000000</v>
      </c>
      <c r="G624" s="2074">
        <v>3000000</v>
      </c>
      <c r="H624" s="2074" t="s">
        <v>4449</v>
      </c>
      <c r="I624" s="472" t="s">
        <v>1743</v>
      </c>
      <c r="J624" s="2074">
        <f t="shared" si="73"/>
        <v>3000000</v>
      </c>
      <c r="K624" s="2099">
        <f t="shared" si="74"/>
        <v>0</v>
      </c>
      <c r="L624" s="2127"/>
      <c r="M624" s="386"/>
      <c r="N624" s="386"/>
      <c r="O624" s="386"/>
      <c r="P624" s="386"/>
      <c r="Q624" s="386"/>
    </row>
    <row r="625" spans="1:17" ht="30" customHeight="1" x14ac:dyDescent="0.2">
      <c r="A625" s="2065">
        <v>377</v>
      </c>
      <c r="B625" s="2068" t="s">
        <v>1752</v>
      </c>
      <c r="C625" s="2084" t="s">
        <v>1652</v>
      </c>
      <c r="D625" s="2074">
        <v>153000000</v>
      </c>
      <c r="E625" s="2101">
        <v>7.0000000000000007E-2</v>
      </c>
      <c r="F625" s="2074">
        <f>D625*E625</f>
        <v>10710000.000000002</v>
      </c>
      <c r="G625" s="2074">
        <v>10710000</v>
      </c>
      <c r="H625" s="2074" t="s">
        <v>4426</v>
      </c>
      <c r="I625" s="472" t="s">
        <v>1952</v>
      </c>
      <c r="J625" s="2074">
        <f t="shared" si="73"/>
        <v>10710000</v>
      </c>
      <c r="K625" s="2099">
        <f t="shared" si="74"/>
        <v>0</v>
      </c>
      <c r="L625" s="2127"/>
      <c r="M625" s="386"/>
      <c r="N625" s="386"/>
      <c r="O625" s="386"/>
      <c r="P625" s="386"/>
      <c r="Q625" s="386"/>
    </row>
    <row r="626" spans="1:17" ht="30" customHeight="1" x14ac:dyDescent="0.2">
      <c r="A626" s="2065">
        <v>378</v>
      </c>
      <c r="B626" s="2068" t="s">
        <v>1790</v>
      </c>
      <c r="C626" s="2084" t="s">
        <v>889</v>
      </c>
      <c r="D626" s="2074">
        <v>300000000</v>
      </c>
      <c r="E626" s="2101">
        <v>5.0999999999999997E-2</v>
      </c>
      <c r="F626" s="2074">
        <v>15500000</v>
      </c>
      <c r="G626" s="2074">
        <v>15500000</v>
      </c>
      <c r="H626" s="2074" t="s">
        <v>4331</v>
      </c>
      <c r="I626" s="472" t="s">
        <v>3062</v>
      </c>
      <c r="J626" s="2074">
        <f t="shared" si="73"/>
        <v>15500000</v>
      </c>
      <c r="K626" s="2099">
        <f t="shared" si="74"/>
        <v>0</v>
      </c>
      <c r="L626" s="2127"/>
      <c r="M626" s="386"/>
      <c r="N626" s="386"/>
      <c r="O626" s="386"/>
      <c r="P626" s="386"/>
      <c r="Q626" s="386"/>
    </row>
    <row r="627" spans="1:17" ht="30" customHeight="1" x14ac:dyDescent="0.2">
      <c r="A627" s="7654">
        <v>379</v>
      </c>
      <c r="B627" s="7652" t="s">
        <v>1753</v>
      </c>
      <c r="C627" s="7723" t="s">
        <v>372</v>
      </c>
      <c r="D627" s="7563">
        <v>50000000</v>
      </c>
      <c r="E627" s="7659">
        <v>0.04</v>
      </c>
      <c r="F627" s="7563">
        <f>D627*E627</f>
        <v>2000000</v>
      </c>
      <c r="G627" s="7563">
        <v>2000000</v>
      </c>
      <c r="H627" s="7563" t="s">
        <v>4426</v>
      </c>
      <c r="I627" s="7889" t="s">
        <v>4429</v>
      </c>
      <c r="J627" s="7563">
        <f>G627+G628</f>
        <v>2000000</v>
      </c>
      <c r="K627" s="7816">
        <f t="shared" si="74"/>
        <v>0</v>
      </c>
      <c r="L627" s="7816"/>
      <c r="M627" s="386"/>
      <c r="N627" s="386"/>
      <c r="O627" s="386"/>
      <c r="P627" s="386"/>
      <c r="Q627" s="386"/>
    </row>
    <row r="628" spans="1:17" ht="30" customHeight="1" x14ac:dyDescent="0.2">
      <c r="A628" s="7655"/>
      <c r="B628" s="7653"/>
      <c r="C628" s="7724"/>
      <c r="D628" s="7564"/>
      <c r="E628" s="7660"/>
      <c r="F628" s="7564"/>
      <c r="G628" s="7564"/>
      <c r="H628" s="7564"/>
      <c r="I628" s="7890"/>
      <c r="J628" s="7564"/>
      <c r="K628" s="7817"/>
      <c r="L628" s="7817"/>
      <c r="M628" s="386"/>
      <c r="N628" s="386"/>
      <c r="O628" s="386"/>
      <c r="P628" s="386"/>
      <c r="Q628" s="386"/>
    </row>
    <row r="629" spans="1:17" ht="30" customHeight="1" x14ac:dyDescent="0.2">
      <c r="A629" s="7654">
        <v>380</v>
      </c>
      <c r="B629" s="7652" t="s">
        <v>1795</v>
      </c>
      <c r="C629" s="7723" t="s">
        <v>1100</v>
      </c>
      <c r="D629" s="7563">
        <v>10000000</v>
      </c>
      <c r="E629" s="7659">
        <v>0.05</v>
      </c>
      <c r="F629" s="7563">
        <f>D629*E629</f>
        <v>500000</v>
      </c>
      <c r="G629" s="2409">
        <v>370000</v>
      </c>
      <c r="H629" s="7563" t="s">
        <v>4475</v>
      </c>
      <c r="I629" s="7889" t="s">
        <v>4505</v>
      </c>
      <c r="J629" s="2074">
        <f>G629</f>
        <v>370000</v>
      </c>
      <c r="K629" s="2099">
        <v>0</v>
      </c>
      <c r="L629" s="7811" t="s">
        <v>1326</v>
      </c>
      <c r="M629" s="386"/>
      <c r="N629" s="386"/>
      <c r="O629" s="386"/>
      <c r="P629" s="386"/>
      <c r="Q629" s="386"/>
    </row>
    <row r="630" spans="1:17" ht="30" customHeight="1" x14ac:dyDescent="0.2">
      <c r="A630" s="7655"/>
      <c r="B630" s="7653"/>
      <c r="C630" s="7724"/>
      <c r="D630" s="7564"/>
      <c r="E630" s="7660"/>
      <c r="F630" s="7564"/>
      <c r="G630" s="2409">
        <v>10000000</v>
      </c>
      <c r="H630" s="7564"/>
      <c r="I630" s="7890"/>
      <c r="J630" s="2074">
        <f>G630</f>
        <v>10000000</v>
      </c>
      <c r="K630" s="2099">
        <v>0</v>
      </c>
      <c r="L630" s="7812"/>
      <c r="M630" s="386"/>
      <c r="N630" s="386"/>
      <c r="O630" s="386"/>
      <c r="P630" s="386"/>
      <c r="Q630" s="386"/>
    </row>
    <row r="631" spans="1:17" ht="30" customHeight="1" x14ac:dyDescent="0.2">
      <c r="A631" s="2065">
        <v>381</v>
      </c>
      <c r="B631" s="2068" t="s">
        <v>1797</v>
      </c>
      <c r="C631" s="2084" t="s">
        <v>889</v>
      </c>
      <c r="D631" s="2074">
        <v>50000000</v>
      </c>
      <c r="E631" s="2101">
        <v>0.05</v>
      </c>
      <c r="F631" s="2074">
        <f>D631*E631</f>
        <v>2500000</v>
      </c>
      <c r="G631" s="2074">
        <v>2500000</v>
      </c>
      <c r="H631" s="2074" t="s">
        <v>4310</v>
      </c>
      <c r="I631" s="472" t="s">
        <v>3516</v>
      </c>
      <c r="J631" s="2074">
        <f>G631</f>
        <v>2500000</v>
      </c>
      <c r="K631" s="2099">
        <f>F631-J631</f>
        <v>0</v>
      </c>
      <c r="L631" s="2127"/>
      <c r="M631" s="386"/>
      <c r="N631" s="386"/>
      <c r="O631" s="386"/>
      <c r="P631" s="386"/>
      <c r="Q631" s="386"/>
    </row>
    <row r="632" spans="1:17" ht="30" customHeight="1" x14ac:dyDescent="0.2">
      <c r="A632" s="2065">
        <v>382</v>
      </c>
      <c r="B632" s="2068" t="s">
        <v>1812</v>
      </c>
      <c r="C632" s="2084" t="s">
        <v>262</v>
      </c>
      <c r="D632" s="2074">
        <v>150000000</v>
      </c>
      <c r="E632" s="2101"/>
      <c r="F632" s="2074"/>
      <c r="G632" s="2074"/>
      <c r="H632" s="2074"/>
      <c r="I632" s="472"/>
      <c r="J632" s="2074"/>
      <c r="K632" s="2099"/>
      <c r="L632" s="2127"/>
      <c r="M632" s="386"/>
      <c r="N632" s="386"/>
      <c r="O632" s="386"/>
      <c r="P632" s="386"/>
      <c r="Q632" s="386"/>
    </row>
    <row r="633" spans="1:17" ht="30" customHeight="1" x14ac:dyDescent="0.2">
      <c r="A633" s="2065">
        <v>383</v>
      </c>
      <c r="B633" s="2068" t="s">
        <v>1823</v>
      </c>
      <c r="C633" s="2084" t="s">
        <v>262</v>
      </c>
      <c r="D633" s="2074">
        <v>10000000</v>
      </c>
      <c r="E633" s="2101">
        <v>7.0000000000000007E-2</v>
      </c>
      <c r="F633" s="2074">
        <f t="shared" ref="F633:F646" si="75">D633*E633</f>
        <v>700000.00000000012</v>
      </c>
      <c r="G633" s="2074">
        <v>700000</v>
      </c>
      <c r="H633" s="2074" t="s">
        <v>4449</v>
      </c>
      <c r="I633" s="472" t="s">
        <v>2928</v>
      </c>
      <c r="J633" s="2074">
        <f>G633</f>
        <v>700000</v>
      </c>
      <c r="K633" s="2099">
        <f>F633-J633</f>
        <v>0</v>
      </c>
      <c r="L633" s="2127"/>
      <c r="M633" s="386"/>
      <c r="N633" s="386"/>
      <c r="O633" s="386"/>
      <c r="P633" s="386"/>
      <c r="Q633" s="386"/>
    </row>
    <row r="634" spans="1:17" ht="30" customHeight="1" x14ac:dyDescent="0.2">
      <c r="A634" s="624">
        <v>384</v>
      </c>
      <c r="B634" s="2068" t="s">
        <v>1861</v>
      </c>
      <c r="C634" s="2084" t="s">
        <v>262</v>
      </c>
      <c r="D634" s="2074">
        <v>150000000</v>
      </c>
      <c r="E634" s="2101">
        <v>7.0000000000000007E-2</v>
      </c>
      <c r="F634" s="2074">
        <f t="shared" si="75"/>
        <v>10500000.000000002</v>
      </c>
      <c r="G634" s="2074">
        <v>10500000</v>
      </c>
      <c r="H634" s="2074" t="s">
        <v>4475</v>
      </c>
      <c r="I634" s="472" t="s">
        <v>1960</v>
      </c>
      <c r="J634" s="2074">
        <f>G634</f>
        <v>10500000</v>
      </c>
      <c r="K634" s="2099">
        <f>F634-J634</f>
        <v>0</v>
      </c>
      <c r="L634" s="2127"/>
      <c r="M634" s="386"/>
      <c r="N634" s="386"/>
      <c r="O634" s="386"/>
      <c r="P634" s="386"/>
      <c r="Q634" s="386"/>
    </row>
    <row r="635" spans="1:17" ht="30" customHeight="1" x14ac:dyDescent="0.2">
      <c r="A635" s="2065">
        <v>385</v>
      </c>
      <c r="B635" s="2068" t="s">
        <v>1877</v>
      </c>
      <c r="C635" s="2084" t="s">
        <v>371</v>
      </c>
      <c r="D635" s="2074">
        <v>12000000</v>
      </c>
      <c r="E635" s="2101">
        <v>0.05</v>
      </c>
      <c r="F635" s="2074">
        <f t="shared" si="75"/>
        <v>600000</v>
      </c>
      <c r="G635" s="2074">
        <v>600000</v>
      </c>
      <c r="H635" s="2074" t="s">
        <v>4449</v>
      </c>
      <c r="I635" s="472" t="s">
        <v>2855</v>
      </c>
      <c r="J635" s="2074">
        <f>G635</f>
        <v>600000</v>
      </c>
      <c r="K635" s="2099">
        <f>F635-J635</f>
        <v>0</v>
      </c>
      <c r="L635" s="2127" t="s">
        <v>1878</v>
      </c>
      <c r="M635" s="386"/>
      <c r="N635" s="386"/>
      <c r="O635" s="386"/>
      <c r="P635" s="386"/>
      <c r="Q635" s="386"/>
    </row>
    <row r="636" spans="1:17" ht="30" customHeight="1" x14ac:dyDescent="0.2">
      <c r="A636" s="7654">
        <v>386</v>
      </c>
      <c r="B636" s="7652" t="s">
        <v>3092</v>
      </c>
      <c r="C636" s="7723" t="s">
        <v>1306</v>
      </c>
      <c r="D636" s="2073">
        <v>200000000</v>
      </c>
      <c r="E636" s="2075">
        <v>7.0000000000000007E-2</v>
      </c>
      <c r="F636" s="2073">
        <f t="shared" si="75"/>
        <v>14000000.000000002</v>
      </c>
      <c r="G636" s="2074">
        <v>14000000</v>
      </c>
      <c r="H636" s="7563" t="s">
        <v>4475</v>
      </c>
      <c r="I636" s="7889" t="s">
        <v>1943</v>
      </c>
      <c r="J636" s="2073">
        <f>G636</f>
        <v>14000000</v>
      </c>
      <c r="K636" s="2098">
        <f>F636-J636</f>
        <v>0</v>
      </c>
      <c r="L636" s="2098"/>
      <c r="M636" s="386"/>
      <c r="N636" s="386"/>
      <c r="O636" s="386"/>
      <c r="P636" s="386"/>
      <c r="Q636" s="386"/>
    </row>
    <row r="637" spans="1:17" ht="30" customHeight="1" x14ac:dyDescent="0.2">
      <c r="A637" s="7656"/>
      <c r="B637" s="7665"/>
      <c r="C637" s="7747"/>
      <c r="D637" s="7494" t="s">
        <v>4474</v>
      </c>
      <c r="E637" s="7495"/>
      <c r="F637" s="7768"/>
      <c r="G637" s="2386">
        <v>6000000</v>
      </c>
      <c r="H637" s="7564"/>
      <c r="I637" s="7890"/>
      <c r="J637" s="7563">
        <f>G637+G638+G639</f>
        <v>110000000</v>
      </c>
      <c r="K637" s="7816">
        <f>110000000-J637</f>
        <v>0</v>
      </c>
      <c r="L637" s="2393"/>
      <c r="M637" s="386"/>
      <c r="N637" s="386"/>
      <c r="O637" s="386"/>
      <c r="P637" s="386"/>
      <c r="Q637" s="386"/>
    </row>
    <row r="638" spans="1:17" ht="30" customHeight="1" x14ac:dyDescent="0.2">
      <c r="A638" s="7656"/>
      <c r="B638" s="7665"/>
      <c r="C638" s="7747"/>
      <c r="D638" s="7877"/>
      <c r="E638" s="7524"/>
      <c r="F638" s="7878"/>
      <c r="G638" s="2386">
        <v>100000000</v>
      </c>
      <c r="H638" s="2386" t="s">
        <v>3865</v>
      </c>
      <c r="I638" s="472" t="s">
        <v>1943</v>
      </c>
      <c r="J638" s="7586"/>
      <c r="K638" s="7882"/>
      <c r="L638" s="2393"/>
      <c r="M638" s="386"/>
      <c r="N638" s="386"/>
      <c r="O638" s="386"/>
      <c r="P638" s="386"/>
      <c r="Q638" s="386"/>
    </row>
    <row r="639" spans="1:17" ht="30" customHeight="1" x14ac:dyDescent="0.2">
      <c r="A639" s="7655"/>
      <c r="B639" s="7665"/>
      <c r="C639" s="7747"/>
      <c r="D639" s="7769"/>
      <c r="E639" s="7805"/>
      <c r="F639" s="7770"/>
      <c r="G639" s="2386">
        <v>4000000</v>
      </c>
      <c r="H639" s="2386" t="s">
        <v>3865</v>
      </c>
      <c r="I639" s="472" t="s">
        <v>4476</v>
      </c>
      <c r="J639" s="7564"/>
      <c r="K639" s="7817"/>
      <c r="L639" s="2393"/>
      <c r="M639" s="386"/>
      <c r="N639" s="386"/>
      <c r="O639" s="386"/>
      <c r="P639" s="386"/>
      <c r="Q639" s="386"/>
    </row>
    <row r="640" spans="1:17" ht="30" customHeight="1" x14ac:dyDescent="0.2">
      <c r="A640" s="2498"/>
      <c r="B640" s="7653"/>
      <c r="C640" s="7724"/>
      <c r="D640" s="7470" t="s">
        <v>4603</v>
      </c>
      <c r="E640" s="7493"/>
      <c r="F640" s="7510"/>
      <c r="G640" s="2496">
        <v>15000000</v>
      </c>
      <c r="H640" s="2496" t="s">
        <v>4596</v>
      </c>
      <c r="I640" s="472" t="s">
        <v>4602</v>
      </c>
      <c r="J640" s="2496">
        <f>G640</f>
        <v>15000000</v>
      </c>
      <c r="K640" s="2505"/>
      <c r="L640" s="2504"/>
      <c r="M640" s="386"/>
      <c r="N640" s="386"/>
      <c r="O640" s="386"/>
      <c r="P640" s="386"/>
      <c r="Q640" s="386"/>
    </row>
    <row r="641" spans="1:17" ht="30" customHeight="1" x14ac:dyDescent="0.2">
      <c r="A641" s="2380"/>
      <c r="B641" s="2382" t="s">
        <v>3092</v>
      </c>
      <c r="C641" s="2600" t="s">
        <v>3302</v>
      </c>
      <c r="D641" s="2385">
        <v>100000000</v>
      </c>
      <c r="E641" s="2387">
        <v>7.0000000000000007E-2</v>
      </c>
      <c r="F641" s="2385">
        <f>D641*E641</f>
        <v>7000000.0000000009</v>
      </c>
      <c r="G641" s="2386"/>
      <c r="H641" s="2386"/>
      <c r="I641" s="472"/>
      <c r="J641" s="2386"/>
      <c r="K641" s="2394"/>
      <c r="L641" s="2399" t="s">
        <v>4477</v>
      </c>
      <c r="M641" s="386"/>
      <c r="N641" s="386"/>
      <c r="O641" s="386"/>
      <c r="P641" s="386"/>
      <c r="Q641" s="386"/>
    </row>
    <row r="642" spans="1:17" ht="30" customHeight="1" x14ac:dyDescent="0.2">
      <c r="A642" s="7654">
        <v>387</v>
      </c>
      <c r="B642" s="7652" t="s">
        <v>1923</v>
      </c>
      <c r="C642" s="7723"/>
      <c r="D642" s="2062">
        <v>60000000</v>
      </c>
      <c r="E642" s="2101">
        <v>0.04</v>
      </c>
      <c r="F642" s="2062">
        <f t="shared" si="75"/>
        <v>2400000</v>
      </c>
      <c r="G642" s="7985" t="s">
        <v>4640</v>
      </c>
      <c r="H642" s="7986"/>
      <c r="I642" s="7986"/>
      <c r="J642" s="8131"/>
      <c r="K642" s="2060">
        <f>F642-J642</f>
        <v>2400000</v>
      </c>
      <c r="L642" s="2098"/>
      <c r="M642" s="386"/>
      <c r="N642" s="386"/>
      <c r="O642" s="386"/>
      <c r="P642" s="386"/>
      <c r="Q642" s="386"/>
    </row>
    <row r="643" spans="1:17" ht="30" customHeight="1" x14ac:dyDescent="0.2">
      <c r="A643" s="7656"/>
      <c r="B643" s="7665"/>
      <c r="C643" s="7747"/>
      <c r="D643" s="2595"/>
      <c r="E643" s="2606"/>
      <c r="F643" s="2595"/>
      <c r="G643" s="7985" t="s">
        <v>4672</v>
      </c>
      <c r="H643" s="7986"/>
      <c r="I643" s="7986"/>
      <c r="J643" s="8131"/>
      <c r="K643" s="2604"/>
      <c r="L643" s="2604"/>
      <c r="M643" s="386"/>
      <c r="N643" s="386"/>
      <c r="O643" s="386"/>
      <c r="P643" s="386"/>
      <c r="Q643" s="386"/>
    </row>
    <row r="644" spans="1:17" ht="30" customHeight="1" x14ac:dyDescent="0.2">
      <c r="A644" s="7655"/>
      <c r="B644" s="7653"/>
      <c r="C644" s="7724"/>
      <c r="D644" s="2595"/>
      <c r="E644" s="2606"/>
      <c r="F644" s="2595"/>
      <c r="G644" s="7985" t="s">
        <v>4673</v>
      </c>
      <c r="H644" s="7986"/>
      <c r="I644" s="7986"/>
      <c r="J644" s="8131"/>
      <c r="K644" s="2604"/>
      <c r="L644" s="2604"/>
      <c r="M644" s="386"/>
      <c r="N644" s="386"/>
      <c r="O644" s="386"/>
      <c r="P644" s="386"/>
      <c r="Q644" s="386"/>
    </row>
    <row r="645" spans="1:17" ht="30" customHeight="1" x14ac:dyDescent="0.2">
      <c r="A645" s="2596"/>
      <c r="B645" s="13" t="s">
        <v>1923</v>
      </c>
      <c r="C645" s="2619"/>
      <c r="D645" s="2594">
        <v>75000000</v>
      </c>
      <c r="E645" s="435">
        <v>0.04</v>
      </c>
      <c r="F645" s="2594">
        <f>D645*E645</f>
        <v>3000000</v>
      </c>
      <c r="G645" s="2620"/>
      <c r="H645" s="2621"/>
      <c r="I645" s="2621"/>
      <c r="J645" s="2622"/>
      <c r="K645" s="2623"/>
      <c r="L645" s="2623"/>
      <c r="M645" s="386"/>
      <c r="N645" s="386"/>
      <c r="O645" s="386"/>
      <c r="P645" s="386"/>
      <c r="Q645" s="386"/>
    </row>
    <row r="646" spans="1:17" ht="30" customHeight="1" x14ac:dyDescent="0.2">
      <c r="A646" s="7879"/>
      <c r="B646" s="7717" t="s">
        <v>1953</v>
      </c>
      <c r="C646" s="7873" t="s">
        <v>3302</v>
      </c>
      <c r="D646" s="7482">
        <v>150000000</v>
      </c>
      <c r="E646" s="7870">
        <v>0.05</v>
      </c>
      <c r="F646" s="7482">
        <f t="shared" si="75"/>
        <v>7500000</v>
      </c>
      <c r="G646" s="7772">
        <v>7500000</v>
      </c>
      <c r="H646" s="7772" t="s">
        <v>2125</v>
      </c>
      <c r="I646" s="7772" t="s">
        <v>4581</v>
      </c>
      <c r="J646" s="7772">
        <f>G646</f>
        <v>7500000</v>
      </c>
      <c r="K646" s="7816">
        <f>G646-J646</f>
        <v>0</v>
      </c>
      <c r="L646" s="2134" t="s">
        <v>3300</v>
      </c>
      <c r="M646" s="386"/>
      <c r="N646" s="386"/>
      <c r="O646" s="386"/>
      <c r="P646" s="386"/>
      <c r="Q646" s="386"/>
    </row>
    <row r="647" spans="1:17" ht="30" customHeight="1" x14ac:dyDescent="0.2">
      <c r="A647" s="7879"/>
      <c r="B647" s="7717"/>
      <c r="C647" s="7873"/>
      <c r="D647" s="7482"/>
      <c r="E647" s="7870"/>
      <c r="F647" s="7482"/>
      <c r="G647" s="7773"/>
      <c r="H647" s="7773"/>
      <c r="I647" s="7773"/>
      <c r="J647" s="7773"/>
      <c r="K647" s="7817"/>
      <c r="L647" s="2127" t="s">
        <v>3301</v>
      </c>
      <c r="M647" s="386"/>
      <c r="N647" s="386"/>
      <c r="O647" s="386"/>
      <c r="P647" s="386"/>
      <c r="Q647" s="386"/>
    </row>
    <row r="648" spans="1:17" ht="30" customHeight="1" x14ac:dyDescent="0.2">
      <c r="A648" s="2065">
        <v>390</v>
      </c>
      <c r="B648" s="2068" t="s">
        <v>1996</v>
      </c>
      <c r="C648" s="2084" t="s">
        <v>889</v>
      </c>
      <c r="D648" s="2074">
        <v>5000000</v>
      </c>
      <c r="E648" s="2077">
        <v>0.05</v>
      </c>
      <c r="F648" s="2074">
        <f>D648*E648</f>
        <v>250000</v>
      </c>
      <c r="G648" s="2074">
        <v>250000</v>
      </c>
      <c r="H648" s="2074" t="s">
        <v>4310</v>
      </c>
      <c r="I648" s="472" t="s">
        <v>2533</v>
      </c>
      <c r="J648" s="2074">
        <f>G648</f>
        <v>250000</v>
      </c>
      <c r="K648" s="2099">
        <f>F648-J648</f>
        <v>0</v>
      </c>
      <c r="L648" s="2127"/>
      <c r="M648" s="386"/>
      <c r="N648" s="386"/>
      <c r="O648" s="386"/>
      <c r="P648" s="386"/>
      <c r="Q648" s="386"/>
    </row>
    <row r="649" spans="1:17" ht="30" customHeight="1" x14ac:dyDescent="0.2">
      <c r="A649" s="7879">
        <v>391</v>
      </c>
      <c r="B649" s="7717" t="s">
        <v>2003</v>
      </c>
      <c r="C649" s="7873" t="s">
        <v>3390</v>
      </c>
      <c r="D649" s="7482">
        <v>1000000000</v>
      </c>
      <c r="E649" s="7870">
        <v>0.05</v>
      </c>
      <c r="F649" s="7482">
        <f>D649*E649</f>
        <v>50000000</v>
      </c>
      <c r="G649" s="7563">
        <v>50000000</v>
      </c>
      <c r="H649" s="7563" t="s">
        <v>2125</v>
      </c>
      <c r="I649" s="7563" t="s">
        <v>2279</v>
      </c>
      <c r="J649" s="7563">
        <f>G649</f>
        <v>50000000</v>
      </c>
      <c r="K649" s="7563">
        <f>F649-J649</f>
        <v>0</v>
      </c>
      <c r="L649" s="7811"/>
      <c r="M649" s="386"/>
      <c r="N649" s="386"/>
      <c r="O649" s="386"/>
      <c r="P649" s="386"/>
      <c r="Q649" s="386"/>
    </row>
    <row r="650" spans="1:17" ht="30" customHeight="1" x14ac:dyDescent="0.2">
      <c r="A650" s="7879"/>
      <c r="B650" s="7717"/>
      <c r="C650" s="7873"/>
      <c r="D650" s="7482"/>
      <c r="E650" s="7870"/>
      <c r="F650" s="7482"/>
      <c r="G650" s="7564"/>
      <c r="H650" s="7564"/>
      <c r="I650" s="7564"/>
      <c r="J650" s="7564"/>
      <c r="K650" s="7564"/>
      <c r="L650" s="7812"/>
      <c r="M650" s="386"/>
      <c r="N650" s="386"/>
      <c r="O650" s="386"/>
      <c r="P650" s="386"/>
      <c r="Q650" s="386"/>
    </row>
    <row r="651" spans="1:17" ht="30" customHeight="1" x14ac:dyDescent="0.2">
      <c r="A651" s="2065">
        <v>392</v>
      </c>
      <c r="B651" s="2068" t="s">
        <v>2048</v>
      </c>
      <c r="C651" s="2084" t="s">
        <v>1294</v>
      </c>
      <c r="D651" s="2074">
        <v>50000000</v>
      </c>
      <c r="E651" s="2101">
        <v>0.05</v>
      </c>
      <c r="F651" s="2074">
        <f>D651*E651</f>
        <v>2500000</v>
      </c>
      <c r="G651" s="2074">
        <v>2500000</v>
      </c>
      <c r="H651" s="2074" t="s">
        <v>4619</v>
      </c>
      <c r="I651" s="472" t="s">
        <v>3047</v>
      </c>
      <c r="J651" s="2074">
        <f>G651</f>
        <v>2500000</v>
      </c>
      <c r="K651" s="2099">
        <f>F651-J651</f>
        <v>0</v>
      </c>
      <c r="L651" s="2127"/>
      <c r="M651" s="386"/>
      <c r="N651" s="386"/>
      <c r="O651" s="386"/>
      <c r="P651" s="386"/>
      <c r="Q651" s="386"/>
    </row>
    <row r="652" spans="1:17" ht="30" customHeight="1" x14ac:dyDescent="0.2">
      <c r="A652" s="2434"/>
      <c r="B652" s="19" t="s">
        <v>2040</v>
      </c>
      <c r="C652" s="2433"/>
      <c r="D652" s="2426">
        <v>70000000</v>
      </c>
      <c r="E652" s="2432">
        <v>0.05</v>
      </c>
      <c r="F652" s="2427">
        <f>D652*E652</f>
        <v>3500000</v>
      </c>
      <c r="G652" s="2427">
        <v>3500000</v>
      </c>
      <c r="H652" s="2427" t="s">
        <v>1017</v>
      </c>
      <c r="I652" s="2427" t="s">
        <v>3537</v>
      </c>
      <c r="J652" s="2427">
        <f>G652</f>
        <v>3500000</v>
      </c>
      <c r="K652" s="2425">
        <f>F652-J652</f>
        <v>0</v>
      </c>
      <c r="L652" s="2127"/>
      <c r="M652" s="386"/>
      <c r="N652" s="386"/>
      <c r="O652" s="386"/>
      <c r="P652" s="386"/>
      <c r="Q652" s="386"/>
    </row>
    <row r="653" spans="1:17" ht="30" customHeight="1" x14ac:dyDescent="0.2">
      <c r="A653" s="7656"/>
      <c r="B653" s="2131" t="s">
        <v>2052</v>
      </c>
      <c r="C653" s="8024" t="s">
        <v>1306</v>
      </c>
      <c r="D653" s="2136">
        <v>600000000</v>
      </c>
      <c r="E653" s="2436">
        <v>0.06</v>
      </c>
      <c r="F653" s="2136">
        <f>D653*E653</f>
        <v>36000000</v>
      </c>
      <c r="G653" s="7586"/>
      <c r="H653" s="7586"/>
      <c r="I653" s="8036"/>
      <c r="J653" s="7586"/>
      <c r="K653" s="2099"/>
      <c r="L653" s="2127"/>
      <c r="M653" s="386"/>
      <c r="N653" s="386"/>
      <c r="O653" s="386"/>
      <c r="P653" s="386"/>
      <c r="Q653" s="386"/>
    </row>
    <row r="654" spans="1:17" ht="30" customHeight="1" x14ac:dyDescent="0.2">
      <c r="A654" s="7656"/>
      <c r="B654" s="2131" t="s">
        <v>2049</v>
      </c>
      <c r="C654" s="8024"/>
      <c r="D654" s="2136">
        <v>310000000</v>
      </c>
      <c r="E654" s="679">
        <v>0.06</v>
      </c>
      <c r="F654" s="2136">
        <f t="shared" ref="F654:F658" si="76">D654*E654</f>
        <v>18600000</v>
      </c>
      <c r="G654" s="7586"/>
      <c r="H654" s="7586"/>
      <c r="I654" s="8036"/>
      <c r="J654" s="7586"/>
      <c r="K654" s="2099"/>
      <c r="L654" s="2127"/>
      <c r="M654" s="386"/>
      <c r="N654" s="386"/>
      <c r="O654" s="386"/>
      <c r="P654" s="386"/>
      <c r="Q654" s="386"/>
    </row>
    <row r="655" spans="1:17" ht="30" customHeight="1" x14ac:dyDescent="0.2">
      <c r="A655" s="7656"/>
      <c r="B655" s="2131" t="s">
        <v>2053</v>
      </c>
      <c r="C655" s="8024"/>
      <c r="D655" s="2136">
        <v>50000000</v>
      </c>
      <c r="E655" s="679">
        <v>0.06</v>
      </c>
      <c r="F655" s="2136">
        <f t="shared" si="76"/>
        <v>3000000</v>
      </c>
      <c r="G655" s="7586"/>
      <c r="H655" s="7586"/>
      <c r="I655" s="8036"/>
      <c r="J655" s="7586"/>
      <c r="K655" s="2099"/>
      <c r="L655" s="2127"/>
      <c r="M655" s="386"/>
      <c r="N655" s="386"/>
      <c r="O655" s="386"/>
      <c r="P655" s="386"/>
      <c r="Q655" s="386"/>
    </row>
    <row r="656" spans="1:17" ht="30" customHeight="1" x14ac:dyDescent="0.2">
      <c r="A656" s="7656"/>
      <c r="B656" s="2131" t="s">
        <v>2050</v>
      </c>
      <c r="C656" s="8024"/>
      <c r="D656" s="2136">
        <v>110000000</v>
      </c>
      <c r="E656" s="679">
        <v>0.06</v>
      </c>
      <c r="F656" s="2136">
        <f t="shared" si="76"/>
        <v>6600000</v>
      </c>
      <c r="G656" s="7586"/>
      <c r="H656" s="7586"/>
      <c r="I656" s="8036"/>
      <c r="J656" s="7586"/>
      <c r="K656" s="2099"/>
      <c r="L656" s="2127"/>
      <c r="M656" s="386"/>
      <c r="N656" s="386"/>
      <c r="O656" s="386"/>
      <c r="P656" s="386"/>
      <c r="Q656" s="386"/>
    </row>
    <row r="657" spans="1:17" ht="30" customHeight="1" x14ac:dyDescent="0.2">
      <c r="A657" s="7656"/>
      <c r="B657" s="2131" t="s">
        <v>2051</v>
      </c>
      <c r="C657" s="8025"/>
      <c r="D657" s="2136">
        <v>100000000</v>
      </c>
      <c r="E657" s="679">
        <v>0.06</v>
      </c>
      <c r="F657" s="2136">
        <f t="shared" si="76"/>
        <v>6000000</v>
      </c>
      <c r="G657" s="7564"/>
      <c r="H657" s="7564"/>
      <c r="I657" s="7890"/>
      <c r="J657" s="7564"/>
      <c r="K657" s="2099"/>
      <c r="L657" s="2127"/>
      <c r="M657" s="386"/>
      <c r="N657" s="386"/>
      <c r="O657" s="386"/>
      <c r="P657" s="386"/>
      <c r="Q657" s="386"/>
    </row>
    <row r="658" spans="1:17" ht="30" customHeight="1" x14ac:dyDescent="0.2">
      <c r="A658" s="7656"/>
      <c r="B658" s="1790" t="s">
        <v>4588</v>
      </c>
      <c r="C658" s="2517"/>
      <c r="D658" s="2518">
        <v>50000000</v>
      </c>
      <c r="E658" s="2515">
        <v>0.06</v>
      </c>
      <c r="F658" s="2518">
        <f t="shared" si="76"/>
        <v>3000000</v>
      </c>
      <c r="G658" s="7732" t="s">
        <v>4590</v>
      </c>
      <c r="H658" s="7733"/>
      <c r="I658" s="7733"/>
      <c r="J658" s="7734"/>
      <c r="K658" s="2507"/>
      <c r="L658" s="2510"/>
      <c r="M658" s="386"/>
      <c r="N658" s="386"/>
      <c r="O658" s="386"/>
      <c r="P658" s="386"/>
      <c r="Q658" s="386"/>
    </row>
    <row r="659" spans="1:17" ht="30" customHeight="1" x14ac:dyDescent="0.2">
      <c r="A659" s="7656"/>
      <c r="B659" s="8021" t="s">
        <v>3423</v>
      </c>
      <c r="C659" s="8023" t="s">
        <v>1306</v>
      </c>
      <c r="D659" s="8001">
        <f>SUM(D653:D658)</f>
        <v>1220000000</v>
      </c>
      <c r="E659" s="8083"/>
      <c r="F659" s="8001">
        <f>SUM(F653:F658)</f>
        <v>73200000</v>
      </c>
      <c r="G659" s="8193" t="s">
        <v>4589</v>
      </c>
      <c r="H659" s="8194"/>
      <c r="I659" s="8194"/>
      <c r="J659" s="8195"/>
      <c r="K659" s="7816">
        <f>F659-J659</f>
        <v>73200000</v>
      </c>
      <c r="L659" s="7816"/>
      <c r="M659" s="386"/>
      <c r="N659" s="386"/>
      <c r="O659" s="386"/>
      <c r="P659" s="386"/>
      <c r="Q659" s="386"/>
    </row>
    <row r="660" spans="1:17" ht="30" customHeight="1" x14ac:dyDescent="0.2">
      <c r="A660" s="7655"/>
      <c r="B660" s="8022"/>
      <c r="C660" s="8025"/>
      <c r="D660" s="8002"/>
      <c r="E660" s="8084"/>
      <c r="F660" s="8002"/>
      <c r="G660" s="8196"/>
      <c r="H660" s="8197"/>
      <c r="I660" s="8197"/>
      <c r="J660" s="8198"/>
      <c r="K660" s="7817"/>
      <c r="L660" s="7817"/>
      <c r="M660" s="386"/>
      <c r="N660" s="386"/>
      <c r="O660" s="386"/>
      <c r="P660" s="386"/>
      <c r="Q660" s="386"/>
    </row>
    <row r="661" spans="1:17" ht="30" customHeight="1" x14ac:dyDescent="0.2">
      <c r="A661" s="2103"/>
      <c r="B661" s="2104" t="s">
        <v>2069</v>
      </c>
      <c r="C661" s="2105"/>
      <c r="D661" s="2062">
        <v>200000000</v>
      </c>
      <c r="E661" s="2101">
        <v>7.0000000000000007E-2</v>
      </c>
      <c r="F661" s="2062">
        <f t="shared" ref="F661:F665" si="77">D661*E661</f>
        <v>14000000.000000002</v>
      </c>
      <c r="G661" s="2074">
        <v>14000000</v>
      </c>
      <c r="H661" s="2074" t="s">
        <v>4778</v>
      </c>
      <c r="I661" s="472" t="s">
        <v>1076</v>
      </c>
      <c r="J661" s="2062">
        <f>G661</f>
        <v>14000000</v>
      </c>
      <c r="K661" s="2060">
        <f>F661-J661</f>
        <v>0</v>
      </c>
      <c r="L661" s="2098"/>
      <c r="M661" s="386"/>
      <c r="N661" s="386"/>
      <c r="O661" s="386"/>
      <c r="P661" s="386"/>
      <c r="Q661" s="386"/>
    </row>
    <row r="662" spans="1:17" ht="30" customHeight="1" x14ac:dyDescent="0.2">
      <c r="A662" s="2065"/>
      <c r="B662" s="2068" t="s">
        <v>2089</v>
      </c>
      <c r="C662" s="2084"/>
      <c r="D662" s="2074">
        <v>13000000</v>
      </c>
      <c r="E662" s="2101">
        <v>0.05</v>
      </c>
      <c r="F662" s="2074">
        <f t="shared" si="77"/>
        <v>650000</v>
      </c>
      <c r="G662" s="2074">
        <v>650000</v>
      </c>
      <c r="H662" s="2074" t="s">
        <v>2473</v>
      </c>
      <c r="I662" s="472" t="s">
        <v>2984</v>
      </c>
      <c r="J662" s="2074">
        <f>G662</f>
        <v>650000</v>
      </c>
      <c r="K662" s="2099">
        <f>F662-J662</f>
        <v>0</v>
      </c>
      <c r="L662" s="2127"/>
      <c r="M662" s="386"/>
      <c r="N662" s="386"/>
      <c r="O662" s="386"/>
      <c r="P662" s="386"/>
      <c r="Q662" s="386"/>
    </row>
    <row r="663" spans="1:17" ht="30" customHeight="1" x14ac:dyDescent="0.2">
      <c r="A663" s="2065"/>
      <c r="B663" s="2068" t="s">
        <v>2128</v>
      </c>
      <c r="C663" s="2084" t="s">
        <v>1287</v>
      </c>
      <c r="D663" s="2074">
        <v>50000000</v>
      </c>
      <c r="E663" s="2101">
        <v>0.04</v>
      </c>
      <c r="F663" s="2074">
        <f t="shared" si="77"/>
        <v>2000000</v>
      </c>
      <c r="G663" s="2074">
        <v>2000000</v>
      </c>
      <c r="H663" s="2074" t="s">
        <v>3865</v>
      </c>
      <c r="I663" s="472" t="s">
        <v>2169</v>
      </c>
      <c r="J663" s="2074">
        <f>G663</f>
        <v>2000000</v>
      </c>
      <c r="K663" s="2099">
        <f>F663-G663</f>
        <v>0</v>
      </c>
      <c r="L663" s="2127"/>
      <c r="M663" s="386"/>
      <c r="N663" s="386"/>
      <c r="O663" s="386"/>
      <c r="P663" s="386"/>
      <c r="Q663" s="386"/>
    </row>
    <row r="664" spans="1:17" ht="30" customHeight="1" x14ac:dyDescent="0.2">
      <c r="A664" s="2063"/>
      <c r="B664" s="2106" t="s">
        <v>2129</v>
      </c>
      <c r="C664" s="2084" t="s">
        <v>372</v>
      </c>
      <c r="D664" s="2073">
        <v>100000000</v>
      </c>
      <c r="E664" s="2075">
        <v>0.05</v>
      </c>
      <c r="F664" s="2073">
        <f t="shared" si="77"/>
        <v>5000000</v>
      </c>
      <c r="G664" s="2078">
        <v>5000000</v>
      </c>
      <c r="H664" s="2078" t="s">
        <v>4449</v>
      </c>
      <c r="I664" s="1663" t="s">
        <v>3581</v>
      </c>
      <c r="J664" s="2073">
        <f>G664</f>
        <v>5000000</v>
      </c>
      <c r="K664" s="2098">
        <f>F664-J664</f>
        <v>0</v>
      </c>
      <c r="L664" s="2098"/>
      <c r="M664" s="386"/>
      <c r="N664" s="386"/>
      <c r="O664" s="386"/>
      <c r="P664" s="386"/>
      <c r="Q664" s="386"/>
    </row>
    <row r="665" spans="1:17" s="1539" customFormat="1" ht="30" customHeight="1" x14ac:dyDescent="0.2">
      <c r="A665" s="2103"/>
      <c r="B665" s="2104" t="s">
        <v>2208</v>
      </c>
      <c r="C665" s="2105" t="s">
        <v>1306</v>
      </c>
      <c r="D665" s="2062">
        <v>30000000</v>
      </c>
      <c r="E665" s="2101">
        <v>0.05</v>
      </c>
      <c r="F665" s="2062">
        <f t="shared" si="77"/>
        <v>1500000</v>
      </c>
      <c r="G665" s="2062">
        <v>1500000</v>
      </c>
      <c r="H665" s="2062" t="s">
        <v>4596</v>
      </c>
      <c r="I665" s="2062" t="s">
        <v>3204</v>
      </c>
      <c r="J665" s="2062">
        <f>G665</f>
        <v>1500000</v>
      </c>
      <c r="K665" s="2062">
        <f>F665-J665</f>
        <v>0</v>
      </c>
      <c r="L665" s="2127"/>
      <c r="M665" s="387"/>
      <c r="N665" s="387"/>
      <c r="O665" s="387"/>
      <c r="P665" s="387"/>
      <c r="Q665" s="387"/>
    </row>
    <row r="666" spans="1:17" ht="30" customHeight="1" x14ac:dyDescent="0.2">
      <c r="A666" s="2065"/>
      <c r="B666" s="2068" t="s">
        <v>2292</v>
      </c>
      <c r="C666" s="2084"/>
      <c r="D666" s="2079"/>
      <c r="E666" s="40"/>
      <c r="F666" s="2079"/>
      <c r="G666" s="2074"/>
      <c r="H666" s="2074"/>
      <c r="I666" s="472"/>
      <c r="J666" s="2074">
        <f t="shared" ref="J666:J675" si="78">G666</f>
        <v>0</v>
      </c>
      <c r="K666" s="2100"/>
      <c r="L666" s="2127" t="s">
        <v>2079</v>
      </c>
      <c r="M666" s="386"/>
      <c r="N666" s="386"/>
      <c r="O666" s="386"/>
      <c r="P666" s="386"/>
      <c r="Q666" s="386"/>
    </row>
    <row r="667" spans="1:17" ht="30" customHeight="1" x14ac:dyDescent="0.2">
      <c r="A667" s="2065"/>
      <c r="B667" s="2571" t="s">
        <v>2303</v>
      </c>
      <c r="C667" s="2572"/>
      <c r="D667" s="2569">
        <v>100000000</v>
      </c>
      <c r="E667" s="2574">
        <v>4.4999999999999998E-2</v>
      </c>
      <c r="F667" s="2569">
        <f>D667*E667</f>
        <v>4500000</v>
      </c>
      <c r="G667" s="2569">
        <v>9000000</v>
      </c>
      <c r="H667" s="2569"/>
      <c r="I667" s="472" t="s">
        <v>2304</v>
      </c>
      <c r="J667" s="2569">
        <f t="shared" si="78"/>
        <v>9000000</v>
      </c>
      <c r="K667" s="2573">
        <f>F667-J667</f>
        <v>-4500000</v>
      </c>
      <c r="L667" s="2575" t="s">
        <v>4622</v>
      </c>
      <c r="M667" s="386"/>
      <c r="N667" s="386"/>
      <c r="O667" s="386"/>
      <c r="P667" s="386"/>
      <c r="Q667" s="386"/>
    </row>
    <row r="668" spans="1:17" ht="30" customHeight="1" x14ac:dyDescent="0.2">
      <c r="A668" s="2065"/>
      <c r="B668" s="2068" t="s">
        <v>2344</v>
      </c>
      <c r="C668" s="2084" t="s">
        <v>1306</v>
      </c>
      <c r="D668" s="2074">
        <v>25000000</v>
      </c>
      <c r="E668" s="2101">
        <v>0.04</v>
      </c>
      <c r="F668" s="2074">
        <f>D668*E668</f>
        <v>1000000</v>
      </c>
      <c r="G668" s="2074">
        <v>1000000</v>
      </c>
      <c r="H668" s="2074" t="s">
        <v>4462</v>
      </c>
      <c r="I668" s="472" t="s">
        <v>2346</v>
      </c>
      <c r="J668" s="2074">
        <f t="shared" si="78"/>
        <v>1000000</v>
      </c>
      <c r="K668" s="2099">
        <f>F668-J668</f>
        <v>0</v>
      </c>
      <c r="L668" s="2127"/>
      <c r="M668" s="386"/>
      <c r="N668" s="386"/>
      <c r="O668" s="386"/>
      <c r="P668" s="386"/>
      <c r="Q668" s="386"/>
    </row>
    <row r="669" spans="1:17" ht="30" customHeight="1" x14ac:dyDescent="0.2">
      <c r="A669" s="2065"/>
      <c r="B669" s="2068" t="s">
        <v>2385</v>
      </c>
      <c r="C669" s="2084"/>
      <c r="D669" s="2079"/>
      <c r="E669" s="40"/>
      <c r="F669" s="2079"/>
      <c r="G669" s="2074"/>
      <c r="H669" s="2074"/>
      <c r="I669" s="472"/>
      <c r="J669" s="2074">
        <f t="shared" si="78"/>
        <v>0</v>
      </c>
      <c r="K669" s="2100">
        <f>F669-J669</f>
        <v>0</v>
      </c>
      <c r="L669" s="2127"/>
      <c r="M669" s="386"/>
      <c r="N669" s="386"/>
      <c r="O669" s="386"/>
      <c r="P669" s="386"/>
      <c r="Q669" s="386"/>
    </row>
    <row r="670" spans="1:17" ht="30" customHeight="1" x14ac:dyDescent="0.2">
      <c r="A670" s="7654"/>
      <c r="B670" s="7652" t="s">
        <v>2388</v>
      </c>
      <c r="C670" s="7723" t="s">
        <v>1172</v>
      </c>
      <c r="D670" s="2729">
        <v>25000000</v>
      </c>
      <c r="E670" s="2740">
        <v>0.05</v>
      </c>
      <c r="F670" s="2729">
        <f>D670*E670</f>
        <v>1250000</v>
      </c>
      <c r="G670" s="7563">
        <v>2000000</v>
      </c>
      <c r="H670" s="7563" t="s">
        <v>4596</v>
      </c>
      <c r="I670" s="7889" t="s">
        <v>4604</v>
      </c>
      <c r="J670" s="7563">
        <f>G670</f>
        <v>2000000</v>
      </c>
      <c r="K670" s="7816"/>
      <c r="L670" s="2127" t="s">
        <v>4748</v>
      </c>
      <c r="M670" s="386"/>
      <c r="N670" s="386"/>
      <c r="O670" s="386"/>
      <c r="P670" s="386"/>
      <c r="Q670" s="386"/>
    </row>
    <row r="671" spans="1:17" ht="30" customHeight="1" x14ac:dyDescent="0.2">
      <c r="A671" s="7656"/>
      <c r="B671" s="7665"/>
      <c r="C671" s="7747"/>
      <c r="D671" s="2731">
        <v>40000000</v>
      </c>
      <c r="E671" s="2740">
        <v>0.05</v>
      </c>
      <c r="F671" s="2731">
        <f>D671*E671</f>
        <v>2000000</v>
      </c>
      <c r="G671" s="7564"/>
      <c r="H671" s="7564"/>
      <c r="I671" s="7890"/>
      <c r="J671" s="7564"/>
      <c r="K671" s="7817"/>
      <c r="L671" s="2741" t="s">
        <v>4749</v>
      </c>
      <c r="M671" s="386"/>
      <c r="N671" s="386"/>
      <c r="O671" s="386"/>
      <c r="P671" s="386"/>
      <c r="Q671" s="386"/>
    </row>
    <row r="672" spans="1:17" ht="30" customHeight="1" x14ac:dyDescent="0.2">
      <c r="A672" s="7656"/>
      <c r="B672" s="7665"/>
      <c r="C672" s="7747"/>
      <c r="D672" s="2731">
        <v>43000000</v>
      </c>
      <c r="E672" s="2740">
        <v>0.05</v>
      </c>
      <c r="F672" s="2731">
        <f>D672*E672</f>
        <v>2150000</v>
      </c>
      <c r="G672" s="7732" t="s">
        <v>4750</v>
      </c>
      <c r="H672" s="7733"/>
      <c r="I672" s="7733"/>
      <c r="J672" s="7734"/>
      <c r="K672" s="2738"/>
      <c r="L672" s="2741"/>
      <c r="M672" s="386"/>
      <c r="N672" s="386"/>
      <c r="O672" s="386"/>
      <c r="P672" s="386"/>
      <c r="Q672" s="386"/>
    </row>
    <row r="673" spans="1:17" ht="30" customHeight="1" x14ac:dyDescent="0.2">
      <c r="A673" s="7656"/>
      <c r="B673" s="7665"/>
      <c r="C673" s="7747"/>
      <c r="D673" s="2736">
        <v>110000000</v>
      </c>
      <c r="E673" s="435">
        <v>0.05</v>
      </c>
      <c r="F673" s="2736">
        <f>D673*E673</f>
        <v>5500000</v>
      </c>
      <c r="G673" s="7732" t="s">
        <v>4751</v>
      </c>
      <c r="H673" s="7733"/>
      <c r="I673" s="7733"/>
      <c r="J673" s="7734"/>
      <c r="K673" s="2738"/>
      <c r="L673" s="2741"/>
      <c r="M673" s="386"/>
      <c r="N673" s="386"/>
      <c r="O673" s="386"/>
      <c r="P673" s="386"/>
      <c r="Q673" s="386"/>
    </row>
    <row r="674" spans="1:17" ht="30" customHeight="1" x14ac:dyDescent="0.2">
      <c r="A674" s="7655"/>
      <c r="B674" s="7653"/>
      <c r="C674" s="7724"/>
      <c r="D674" s="2731"/>
      <c r="E674" s="2740"/>
      <c r="F674" s="2731"/>
      <c r="G674" s="2730"/>
      <c r="H674" s="2730"/>
      <c r="I674" s="2742"/>
      <c r="J674" s="2730"/>
      <c r="K674" s="2738"/>
      <c r="L674" s="2741"/>
      <c r="M674" s="386"/>
      <c r="N674" s="386"/>
      <c r="O674" s="386"/>
      <c r="P674" s="386"/>
      <c r="Q674" s="386"/>
    </row>
    <row r="675" spans="1:17" ht="30" customHeight="1" x14ac:dyDescent="0.2">
      <c r="A675" s="7654"/>
      <c r="B675" s="7652" t="s">
        <v>2647</v>
      </c>
      <c r="C675" s="7873" t="s">
        <v>1652</v>
      </c>
      <c r="D675" s="2074">
        <v>100000000</v>
      </c>
      <c r="E675" s="2101">
        <v>0.05</v>
      </c>
      <c r="F675" s="2074">
        <f t="shared" ref="F675:F684" si="79">D675*E675</f>
        <v>5000000</v>
      </c>
      <c r="G675" s="7563">
        <v>16000000</v>
      </c>
      <c r="H675" s="7563" t="s">
        <v>1193</v>
      </c>
      <c r="I675" s="7563" t="s">
        <v>4118</v>
      </c>
      <c r="J675" s="7563">
        <f t="shared" si="78"/>
        <v>16000000</v>
      </c>
      <c r="K675" s="7816">
        <f>(F675+F676)-J675</f>
        <v>0</v>
      </c>
      <c r="L675" s="7811"/>
      <c r="M675" s="386"/>
      <c r="N675" s="386"/>
      <c r="O675" s="386"/>
      <c r="P675" s="386"/>
      <c r="Q675" s="386"/>
    </row>
    <row r="676" spans="1:17" ht="30" customHeight="1" x14ac:dyDescent="0.2">
      <c r="A676" s="7656"/>
      <c r="B676" s="7665"/>
      <c r="C676" s="7873"/>
      <c r="D676" s="2074">
        <v>220000000</v>
      </c>
      <c r="E676" s="2101">
        <v>0.05</v>
      </c>
      <c r="F676" s="2074">
        <f t="shared" si="79"/>
        <v>11000000</v>
      </c>
      <c r="G676" s="7564"/>
      <c r="H676" s="7564"/>
      <c r="I676" s="7564"/>
      <c r="J676" s="7564"/>
      <c r="K676" s="7817"/>
      <c r="L676" s="7812"/>
      <c r="M676" s="386"/>
      <c r="N676" s="386"/>
      <c r="O676" s="386"/>
      <c r="P676" s="386"/>
      <c r="Q676" s="386"/>
    </row>
    <row r="677" spans="1:17" ht="30" customHeight="1" x14ac:dyDescent="0.2">
      <c r="A677" s="7656"/>
      <c r="B677" s="7665"/>
      <c r="C677" s="7723" t="s">
        <v>3390</v>
      </c>
      <c r="D677" s="7563">
        <v>1000000000</v>
      </c>
      <c r="E677" s="7659">
        <v>6.5000000000000002E-2</v>
      </c>
      <c r="F677" s="7563">
        <f>D677*E677</f>
        <v>65000000</v>
      </c>
      <c r="G677" s="7563">
        <v>65000000</v>
      </c>
      <c r="H677" s="7563" t="s">
        <v>3003</v>
      </c>
      <c r="I677" s="7563" t="s">
        <v>4505</v>
      </c>
      <c r="J677" s="7563">
        <f>G677+G678</f>
        <v>65000000</v>
      </c>
      <c r="K677" s="7816">
        <f>F677-J677</f>
        <v>0</v>
      </c>
      <c r="L677" s="2116"/>
      <c r="M677" s="386"/>
      <c r="N677" s="386"/>
      <c r="O677" s="386"/>
      <c r="P677" s="386"/>
      <c r="Q677" s="386"/>
    </row>
    <row r="678" spans="1:17" ht="30" customHeight="1" x14ac:dyDescent="0.2">
      <c r="A678" s="7655"/>
      <c r="B678" s="7653"/>
      <c r="C678" s="7724"/>
      <c r="D678" s="7564"/>
      <c r="E678" s="7660"/>
      <c r="F678" s="7564"/>
      <c r="G678" s="7564"/>
      <c r="H678" s="7564"/>
      <c r="I678" s="7564"/>
      <c r="J678" s="7564"/>
      <c r="K678" s="7817"/>
      <c r="L678" s="2127" t="s">
        <v>3690</v>
      </c>
      <c r="M678" s="386"/>
      <c r="N678" s="386"/>
      <c r="O678" s="386"/>
      <c r="P678" s="386"/>
      <c r="Q678" s="386"/>
    </row>
    <row r="679" spans="1:17" ht="30" customHeight="1" x14ac:dyDescent="0.2">
      <c r="A679" s="2065"/>
      <c r="B679" s="2068" t="s">
        <v>2407</v>
      </c>
      <c r="C679" s="2084"/>
      <c r="D679" s="2074">
        <v>20000000</v>
      </c>
      <c r="E679" s="2101">
        <v>0.05</v>
      </c>
      <c r="F679" s="2074">
        <f t="shared" si="79"/>
        <v>1000000</v>
      </c>
      <c r="G679" s="2074">
        <v>1000000</v>
      </c>
      <c r="H679" s="2074" t="s">
        <v>4540</v>
      </c>
      <c r="I679" s="472" t="s">
        <v>4124</v>
      </c>
      <c r="J679" s="2074">
        <f>G679</f>
        <v>1000000</v>
      </c>
      <c r="K679" s="2099">
        <f>F679-J679</f>
        <v>0</v>
      </c>
      <c r="L679" s="2127"/>
      <c r="M679" s="386"/>
      <c r="N679" s="386"/>
      <c r="O679" s="386"/>
      <c r="P679" s="386"/>
      <c r="Q679" s="386"/>
    </row>
    <row r="680" spans="1:17" ht="30" customHeight="1" x14ac:dyDescent="0.2">
      <c r="A680" s="2103"/>
      <c r="B680" s="19" t="s">
        <v>2471</v>
      </c>
      <c r="C680" s="2105" t="s">
        <v>889</v>
      </c>
      <c r="D680" s="2074">
        <v>57120000</v>
      </c>
      <c r="E680" s="2101">
        <v>0.06</v>
      </c>
      <c r="F680" s="2074">
        <f t="shared" si="79"/>
        <v>3427200</v>
      </c>
      <c r="G680" s="2062"/>
      <c r="H680" s="2062"/>
      <c r="I680" s="233" t="s">
        <v>4041</v>
      </c>
      <c r="J680" s="2062">
        <f>G680</f>
        <v>0</v>
      </c>
      <c r="K680" s="2473">
        <f>F680-J680</f>
        <v>3427200</v>
      </c>
      <c r="L680" s="2127" t="s">
        <v>4042</v>
      </c>
      <c r="M680" s="386"/>
      <c r="N680" s="386"/>
      <c r="O680" s="386"/>
      <c r="P680" s="386"/>
      <c r="Q680" s="386"/>
    </row>
    <row r="681" spans="1:17" ht="30" customHeight="1" x14ac:dyDescent="0.2">
      <c r="A681" s="7654"/>
      <c r="B681" s="7652" t="s">
        <v>2517</v>
      </c>
      <c r="C681" s="7723" t="s">
        <v>1080</v>
      </c>
      <c r="D681" s="2731">
        <v>134700000</v>
      </c>
      <c r="E681" s="2740">
        <v>0.05</v>
      </c>
      <c r="F681" s="2731">
        <f t="shared" si="79"/>
        <v>6735000</v>
      </c>
      <c r="G681" s="7991" t="s">
        <v>4736</v>
      </c>
      <c r="H681" s="7992"/>
      <c r="I681" s="7992"/>
      <c r="J681" s="7993"/>
      <c r="K681" s="2062">
        <f>F681-J681</f>
        <v>6735000</v>
      </c>
      <c r="L681" s="2127"/>
      <c r="M681" s="386"/>
      <c r="N681" s="386"/>
      <c r="O681" s="386"/>
      <c r="P681" s="386"/>
      <c r="Q681" s="386"/>
    </row>
    <row r="682" spans="1:17" ht="30" customHeight="1" x14ac:dyDescent="0.2">
      <c r="A682" s="7656"/>
      <c r="B682" s="7665"/>
      <c r="C682" s="7747"/>
      <c r="D682" s="2792">
        <v>6735000</v>
      </c>
      <c r="E682" s="2801">
        <v>0.05</v>
      </c>
      <c r="F682" s="2792">
        <f t="shared" si="79"/>
        <v>336750</v>
      </c>
      <c r="G682" s="7997"/>
      <c r="H682" s="7998"/>
      <c r="I682" s="7998"/>
      <c r="J682" s="7999"/>
      <c r="K682" s="2791"/>
      <c r="L682" s="2797"/>
      <c r="M682" s="386"/>
      <c r="N682" s="386"/>
      <c r="O682" s="386"/>
      <c r="P682" s="386"/>
      <c r="Q682" s="386"/>
    </row>
    <row r="683" spans="1:17" ht="30" customHeight="1" x14ac:dyDescent="0.2">
      <c r="A683" s="7656"/>
      <c r="B683" s="7665"/>
      <c r="C683" s="7747"/>
      <c r="D683" s="2792">
        <v>100000000</v>
      </c>
      <c r="E683" s="2801">
        <v>0.05</v>
      </c>
      <c r="F683" s="2792">
        <f t="shared" si="79"/>
        <v>5000000</v>
      </c>
      <c r="G683" s="7732" t="s">
        <v>4793</v>
      </c>
      <c r="H683" s="7733"/>
      <c r="I683" s="7733"/>
      <c r="J683" s="7734"/>
      <c r="K683" s="2791"/>
      <c r="L683" s="2797"/>
      <c r="M683" s="386"/>
      <c r="N683" s="386"/>
      <c r="O683" s="386"/>
      <c r="P683" s="386"/>
      <c r="Q683" s="386"/>
    </row>
    <row r="684" spans="1:17" ht="30" customHeight="1" x14ac:dyDescent="0.2">
      <c r="A684" s="7656"/>
      <c r="B684" s="7665"/>
      <c r="C684" s="7747"/>
      <c r="D684" s="2792">
        <v>8565000</v>
      </c>
      <c r="E684" s="2801">
        <v>0.05</v>
      </c>
      <c r="F684" s="2792">
        <f t="shared" si="79"/>
        <v>428250</v>
      </c>
      <c r="G684" s="7732" t="s">
        <v>4794</v>
      </c>
      <c r="H684" s="7733"/>
      <c r="I684" s="7733"/>
      <c r="J684" s="7734"/>
      <c r="K684" s="2791"/>
      <c r="L684" s="2797"/>
      <c r="M684" s="386"/>
      <c r="N684" s="386"/>
      <c r="O684" s="386"/>
      <c r="P684" s="386"/>
      <c r="Q684" s="386"/>
    </row>
    <row r="685" spans="1:17" ht="30" customHeight="1" x14ac:dyDescent="0.2">
      <c r="A685" s="7656"/>
      <c r="B685" s="7665"/>
      <c r="C685" s="7747"/>
      <c r="D685" s="1854">
        <f>SUM(D681:D684)</f>
        <v>250000000</v>
      </c>
      <c r="E685" s="896">
        <v>0.05</v>
      </c>
      <c r="F685" s="1854">
        <f>D685*E685</f>
        <v>12500000</v>
      </c>
      <c r="G685" s="7732" t="s">
        <v>4737</v>
      </c>
      <c r="H685" s="7733"/>
      <c r="I685" s="7733"/>
      <c r="J685" s="7734"/>
      <c r="K685" s="2073"/>
      <c r="L685" s="2115"/>
      <c r="M685" s="386"/>
      <c r="N685" s="386"/>
      <c r="O685" s="386"/>
      <c r="P685" s="386"/>
      <c r="Q685" s="386"/>
    </row>
    <row r="686" spans="1:17" ht="30" customHeight="1" x14ac:dyDescent="0.2">
      <c r="A686" s="7654"/>
      <c r="B686" s="7652" t="s">
        <v>2551</v>
      </c>
      <c r="C686" s="7723"/>
      <c r="D686" s="2074">
        <v>10000000</v>
      </c>
      <c r="E686" s="2101"/>
      <c r="F686" s="2074"/>
      <c r="G686" s="2074"/>
      <c r="H686" s="2074"/>
      <c r="I686" s="472"/>
      <c r="J686" s="2074"/>
      <c r="K686" s="2099"/>
      <c r="L686" s="2127" t="s">
        <v>2552</v>
      </c>
      <c r="M686" s="386"/>
      <c r="N686" s="386"/>
      <c r="O686" s="386"/>
      <c r="P686" s="386"/>
      <c r="Q686" s="386"/>
    </row>
    <row r="687" spans="1:17" ht="30" customHeight="1" x14ac:dyDescent="0.2">
      <c r="A687" s="7655"/>
      <c r="B687" s="7653"/>
      <c r="C687" s="7724"/>
      <c r="D687" s="2074">
        <v>5000000</v>
      </c>
      <c r="E687" s="2101"/>
      <c r="F687" s="2074"/>
      <c r="G687" s="2074"/>
      <c r="H687" s="2074"/>
      <c r="I687" s="472"/>
      <c r="J687" s="2074"/>
      <c r="K687" s="2099"/>
      <c r="L687" s="2115" t="s">
        <v>3870</v>
      </c>
      <c r="M687" s="386"/>
      <c r="N687" s="386"/>
      <c r="O687" s="386"/>
      <c r="P687" s="386"/>
      <c r="Q687" s="386"/>
    </row>
    <row r="688" spans="1:17" ht="30" customHeight="1" x14ac:dyDescent="0.2">
      <c r="A688" s="2682"/>
      <c r="B688" s="2683" t="s">
        <v>2573</v>
      </c>
      <c r="C688" s="2687" t="s">
        <v>1172</v>
      </c>
      <c r="D688" s="2680">
        <v>60000000</v>
      </c>
      <c r="E688" s="2681">
        <v>5.5E-2</v>
      </c>
      <c r="F688" s="2680">
        <f t="shared" ref="F688" si="80">D688*E688</f>
        <v>3300000</v>
      </c>
      <c r="G688" s="2680">
        <v>3300000</v>
      </c>
      <c r="H688" s="2679" t="s">
        <v>4436</v>
      </c>
      <c r="I688" s="2694" t="s">
        <v>3986</v>
      </c>
      <c r="J688" s="2680">
        <f>G688</f>
        <v>3300000</v>
      </c>
      <c r="K688" s="2690">
        <v>0</v>
      </c>
      <c r="L688" s="2691" t="s">
        <v>3522</v>
      </c>
      <c r="M688" s="386"/>
      <c r="N688" s="386"/>
      <c r="O688" s="386"/>
      <c r="P688" s="386"/>
      <c r="Q688" s="386"/>
    </row>
    <row r="689" spans="1:17" ht="30" customHeight="1" x14ac:dyDescent="0.2">
      <c r="A689" s="7654"/>
      <c r="B689" s="7703" t="s">
        <v>2714</v>
      </c>
      <c r="C689" s="7723" t="s">
        <v>262</v>
      </c>
      <c r="D689" s="7563">
        <v>186000000</v>
      </c>
      <c r="E689" s="7659">
        <v>5.5E-2</v>
      </c>
      <c r="F689" s="7563">
        <f>D689*E689</f>
        <v>10230000</v>
      </c>
      <c r="G689" s="7563">
        <v>10922000</v>
      </c>
      <c r="H689" s="7563" t="s">
        <v>4436</v>
      </c>
      <c r="I689" s="7889" t="s">
        <v>3986</v>
      </c>
      <c r="J689" s="7563">
        <f>G689</f>
        <v>10922000</v>
      </c>
      <c r="K689" s="7816">
        <v>0</v>
      </c>
      <c r="L689" s="2115" t="s">
        <v>4260</v>
      </c>
      <c r="M689" s="386"/>
      <c r="N689" s="386"/>
      <c r="O689" s="386"/>
      <c r="P689" s="386"/>
      <c r="Q689" s="386"/>
    </row>
    <row r="690" spans="1:17" ht="30" customHeight="1" x14ac:dyDescent="0.2">
      <c r="A690" s="7656"/>
      <c r="B690" s="7704"/>
      <c r="C690" s="7747"/>
      <c r="D690" s="7586"/>
      <c r="E690" s="7676"/>
      <c r="F690" s="7586"/>
      <c r="G690" s="7586"/>
      <c r="H690" s="7586"/>
      <c r="I690" s="8036"/>
      <c r="J690" s="7586"/>
      <c r="K690" s="7882"/>
      <c r="L690" s="2115" t="s">
        <v>3952</v>
      </c>
      <c r="M690" s="386"/>
      <c r="N690" s="386"/>
      <c r="O690" s="386"/>
      <c r="P690" s="386"/>
      <c r="Q690" s="386"/>
    </row>
    <row r="691" spans="1:17" ht="30" customHeight="1" x14ac:dyDescent="0.2">
      <c r="A691" s="7656"/>
      <c r="B691" s="7704"/>
      <c r="C691" s="7747"/>
      <c r="D691" s="7564"/>
      <c r="E691" s="7660"/>
      <c r="F691" s="7564"/>
      <c r="G691" s="7586"/>
      <c r="H691" s="7586"/>
      <c r="I691" s="8036"/>
      <c r="J691" s="7586"/>
      <c r="K691" s="7882"/>
      <c r="L691" s="2115" t="s">
        <v>4260</v>
      </c>
      <c r="M691" s="386"/>
      <c r="N691" s="386"/>
      <c r="O691" s="386"/>
      <c r="P691" s="386"/>
      <c r="Q691" s="386"/>
    </row>
    <row r="692" spans="1:17" ht="30" customHeight="1" x14ac:dyDescent="0.2">
      <c r="A692" s="7656"/>
      <c r="B692" s="7704"/>
      <c r="C692" s="7747"/>
      <c r="D692" s="2074">
        <v>10000000</v>
      </c>
      <c r="E692" s="2077">
        <v>5.5E-2</v>
      </c>
      <c r="F692" s="2074">
        <f t="shared" ref="F692:F698" si="81">D692*E692</f>
        <v>550000</v>
      </c>
      <c r="G692" s="7586"/>
      <c r="H692" s="7586"/>
      <c r="I692" s="8036"/>
      <c r="J692" s="7586"/>
      <c r="K692" s="7882"/>
      <c r="L692" s="2115" t="s">
        <v>4194</v>
      </c>
      <c r="M692" s="386"/>
      <c r="N692" s="386"/>
      <c r="O692" s="386"/>
      <c r="P692" s="386"/>
      <c r="Q692" s="386"/>
    </row>
    <row r="693" spans="1:17" ht="30" customHeight="1" x14ac:dyDescent="0.2">
      <c r="A693" s="7656"/>
      <c r="B693" s="7704"/>
      <c r="C693" s="7747"/>
      <c r="D693" s="2074">
        <v>4000000</v>
      </c>
      <c r="E693" s="2077">
        <v>5.5E-2</v>
      </c>
      <c r="F693" s="2182">
        <f t="shared" si="81"/>
        <v>220000</v>
      </c>
      <c r="G693" s="7564"/>
      <c r="H693" s="7564"/>
      <c r="I693" s="7890"/>
      <c r="J693" s="7564"/>
      <c r="K693" s="7817"/>
      <c r="L693" s="2115" t="s">
        <v>4112</v>
      </c>
      <c r="M693" s="386"/>
      <c r="N693" s="386"/>
      <c r="O693" s="386"/>
      <c r="P693" s="386"/>
      <c r="Q693" s="386"/>
    </row>
    <row r="694" spans="1:17" ht="30" customHeight="1" x14ac:dyDescent="0.2">
      <c r="A694" s="7656"/>
      <c r="B694" s="7704"/>
      <c r="C694" s="7747"/>
      <c r="D694" s="2692">
        <v>200000000</v>
      </c>
      <c r="E694" s="2693">
        <v>5.5E-2</v>
      </c>
      <c r="F694" s="2692">
        <f t="shared" si="81"/>
        <v>11000000</v>
      </c>
      <c r="G694" s="7946" t="s">
        <v>3882</v>
      </c>
      <c r="H694" s="7947"/>
      <c r="I694" s="7947"/>
      <c r="J694" s="7948"/>
      <c r="K694" s="2349"/>
      <c r="L694" s="2115" t="s">
        <v>2685</v>
      </c>
      <c r="M694" s="386"/>
      <c r="N694" s="386"/>
      <c r="O694" s="386"/>
      <c r="P694" s="386"/>
      <c r="Q694" s="386"/>
    </row>
    <row r="695" spans="1:17" ht="30" customHeight="1" x14ac:dyDescent="0.2">
      <c r="A695" s="7656"/>
      <c r="B695" s="7704"/>
      <c r="C695" s="7747"/>
      <c r="D695" s="2478">
        <v>19000000</v>
      </c>
      <c r="E695" s="2477">
        <v>5.5E-2</v>
      </c>
      <c r="F695" s="2478">
        <f t="shared" si="81"/>
        <v>1045000</v>
      </c>
      <c r="G695" s="7732" t="s">
        <v>4560</v>
      </c>
      <c r="H695" s="7733"/>
      <c r="I695" s="7733"/>
      <c r="J695" s="7734"/>
      <c r="K695" s="2349"/>
      <c r="L695" s="2486"/>
      <c r="M695" s="386"/>
      <c r="N695" s="386"/>
      <c r="O695" s="386"/>
      <c r="P695" s="386"/>
      <c r="Q695" s="386"/>
    </row>
    <row r="696" spans="1:17" ht="30" customHeight="1" x14ac:dyDescent="0.2">
      <c r="A696" s="7656"/>
      <c r="B696" s="7704"/>
      <c r="C696" s="7747"/>
      <c r="D696" s="2625">
        <v>9000000</v>
      </c>
      <c r="E696" s="2626">
        <v>5.5E-2</v>
      </c>
      <c r="F696" s="2625">
        <f t="shared" si="81"/>
        <v>495000</v>
      </c>
      <c r="G696" s="7732" t="s">
        <v>4652</v>
      </c>
      <c r="H696" s="7733"/>
      <c r="I696" s="7733"/>
      <c r="J696" s="7734"/>
      <c r="K696" s="2349"/>
      <c r="L696" s="2639"/>
      <c r="M696" s="386"/>
      <c r="N696" s="386"/>
      <c r="O696" s="386"/>
      <c r="P696" s="386"/>
      <c r="Q696" s="386"/>
    </row>
    <row r="697" spans="1:17" ht="30" customHeight="1" x14ac:dyDescent="0.2">
      <c r="A697" s="7656"/>
      <c r="B697" s="7704"/>
      <c r="C697" s="7747"/>
      <c r="D697" s="2680">
        <v>2000000</v>
      </c>
      <c r="E697" s="2681">
        <v>5.5E-2</v>
      </c>
      <c r="F697" s="2680">
        <f t="shared" si="81"/>
        <v>110000</v>
      </c>
      <c r="G697" s="7732" t="s">
        <v>4698</v>
      </c>
      <c r="H697" s="7733"/>
      <c r="I697" s="7733"/>
      <c r="J697" s="7734"/>
      <c r="K697" s="2349"/>
      <c r="L697" s="2688"/>
      <c r="M697" s="386"/>
      <c r="N697" s="386"/>
      <c r="O697" s="386"/>
      <c r="P697" s="386"/>
      <c r="Q697" s="386"/>
    </row>
    <row r="698" spans="1:17" ht="30" customHeight="1" x14ac:dyDescent="0.2">
      <c r="A698" s="7656"/>
      <c r="B698" s="7704"/>
      <c r="C698" s="7747"/>
      <c r="D698" s="294">
        <f>D694+D695+D696+D697</f>
        <v>230000000</v>
      </c>
      <c r="E698" s="2724">
        <v>5.5E-2</v>
      </c>
      <c r="F698" s="294">
        <f t="shared" si="81"/>
        <v>12650000</v>
      </c>
      <c r="G698" s="8201" t="s">
        <v>3217</v>
      </c>
      <c r="H698" s="8202"/>
      <c r="I698" s="8202"/>
      <c r="J698" s="8203"/>
      <c r="K698" s="2349"/>
      <c r="L698" s="2486"/>
      <c r="M698" s="386"/>
      <c r="N698" s="386"/>
      <c r="O698" s="386"/>
      <c r="P698" s="386"/>
      <c r="Q698" s="386"/>
    </row>
    <row r="699" spans="1:17" ht="30" customHeight="1" x14ac:dyDescent="0.2">
      <c r="A699" s="7655"/>
      <c r="B699" s="7705"/>
      <c r="C699" s="7724"/>
      <c r="D699" s="2680"/>
      <c r="E699" s="2681"/>
      <c r="F699" s="2680"/>
      <c r="G699" s="2684"/>
      <c r="H699" s="2685"/>
      <c r="I699" s="2685"/>
      <c r="J699" s="2686"/>
      <c r="K699" s="2349"/>
      <c r="L699" s="2639"/>
      <c r="M699" s="386"/>
      <c r="N699" s="386"/>
      <c r="O699" s="386"/>
      <c r="P699" s="386"/>
      <c r="Q699" s="386"/>
    </row>
    <row r="700" spans="1:17" ht="30" customHeight="1" x14ac:dyDescent="0.2">
      <c r="A700" s="2065"/>
      <c r="B700" s="2068" t="s">
        <v>2609</v>
      </c>
      <c r="C700" s="2084"/>
      <c r="D700" s="2079"/>
      <c r="E700" s="40"/>
      <c r="F700" s="2079"/>
      <c r="G700" s="2074">
        <v>300000</v>
      </c>
      <c r="H700" s="2074" t="s">
        <v>4449</v>
      </c>
      <c r="I700" s="472" t="s">
        <v>4460</v>
      </c>
      <c r="J700" s="2074">
        <f>G700</f>
        <v>300000</v>
      </c>
      <c r="K700" s="2100">
        <f>F700-J700</f>
        <v>-300000</v>
      </c>
      <c r="L700" s="2127"/>
      <c r="M700" s="386"/>
      <c r="N700" s="386"/>
      <c r="O700" s="386"/>
      <c r="P700" s="386"/>
      <c r="Q700" s="386"/>
    </row>
    <row r="701" spans="1:17" ht="30" customHeight="1" x14ac:dyDescent="0.2">
      <c r="A701" s="7654"/>
      <c r="B701" s="7652" t="s">
        <v>3818</v>
      </c>
      <c r="C701" s="7723" t="s">
        <v>5081</v>
      </c>
      <c r="D701" s="3229">
        <v>4215000000</v>
      </c>
      <c r="E701" s="3242">
        <v>0.05</v>
      </c>
      <c r="F701" s="3229">
        <f>D701*E701</f>
        <v>210750000</v>
      </c>
      <c r="G701" s="2179">
        <v>10000000</v>
      </c>
      <c r="H701" s="2179" t="s">
        <v>4299</v>
      </c>
      <c r="I701" s="1029" t="s">
        <v>3894</v>
      </c>
      <c r="J701" s="3136">
        <f>G701</f>
        <v>10000000</v>
      </c>
      <c r="K701" s="2178">
        <v>0</v>
      </c>
      <c r="L701" s="2190" t="s">
        <v>4308</v>
      </c>
      <c r="M701" s="386"/>
      <c r="N701" s="386"/>
      <c r="O701" s="386"/>
      <c r="P701" s="386"/>
      <c r="Q701" s="386"/>
    </row>
    <row r="702" spans="1:17" ht="30" customHeight="1" x14ac:dyDescent="0.2">
      <c r="A702" s="7656"/>
      <c r="B702" s="7665"/>
      <c r="C702" s="7747"/>
      <c r="D702" s="3229">
        <v>2000000000</v>
      </c>
      <c r="E702" s="3242">
        <v>7.0000000000000007E-2</v>
      </c>
      <c r="F702" s="3229">
        <f t="shared" ref="F702:F705" si="82">D702*E702</f>
        <v>140000000</v>
      </c>
      <c r="G702" s="3141">
        <v>100000000</v>
      </c>
      <c r="H702" s="3141" t="s">
        <v>4778</v>
      </c>
      <c r="I702" s="921" t="s">
        <v>4783</v>
      </c>
      <c r="J702" s="1382">
        <f>G702</f>
        <v>100000000</v>
      </c>
      <c r="K702" s="8199"/>
      <c r="L702" s="7888" t="s">
        <v>5079</v>
      </c>
      <c r="M702" s="386"/>
      <c r="N702" s="386"/>
      <c r="O702" s="386"/>
      <c r="P702" s="386"/>
      <c r="Q702" s="386"/>
    </row>
    <row r="703" spans="1:17" ht="30" customHeight="1" x14ac:dyDescent="0.2">
      <c r="A703" s="7656"/>
      <c r="B703" s="7665"/>
      <c r="C703" s="7747"/>
      <c r="D703" s="3229">
        <v>3785000000</v>
      </c>
      <c r="E703" s="3242">
        <v>0.06</v>
      </c>
      <c r="F703" s="3229">
        <f t="shared" si="82"/>
        <v>227100000</v>
      </c>
      <c r="G703" s="3141">
        <v>100000000</v>
      </c>
      <c r="H703" s="3141" t="s">
        <v>4659</v>
      </c>
      <c r="I703" s="921" t="s">
        <v>4783</v>
      </c>
      <c r="J703" s="1382">
        <f>G703</f>
        <v>100000000</v>
      </c>
      <c r="K703" s="8199"/>
      <c r="L703" s="7888"/>
      <c r="M703" s="386"/>
      <c r="N703" s="386"/>
      <c r="O703" s="386"/>
      <c r="P703" s="386"/>
      <c r="Q703" s="386"/>
    </row>
    <row r="704" spans="1:17" ht="30" customHeight="1" x14ac:dyDescent="0.2">
      <c r="A704" s="7656"/>
      <c r="B704" s="7665"/>
      <c r="C704" s="7747"/>
      <c r="D704" s="3237">
        <v>2915000000</v>
      </c>
      <c r="E704" s="3243">
        <v>0.08</v>
      </c>
      <c r="F704" s="3237">
        <f t="shared" si="82"/>
        <v>233200000</v>
      </c>
      <c r="G704" s="2179">
        <v>50000000</v>
      </c>
      <c r="H704" s="2179" t="s">
        <v>4786</v>
      </c>
      <c r="I704" s="2179" t="s">
        <v>3894</v>
      </c>
      <c r="J704" s="7482">
        <f>G704+G705</f>
        <v>100000000</v>
      </c>
      <c r="K704" s="7499">
        <f>F710-J704</f>
        <v>843150000</v>
      </c>
      <c r="L704" s="2116" t="s">
        <v>5080</v>
      </c>
      <c r="M704" s="386"/>
      <c r="N704" s="386"/>
      <c r="O704" s="386"/>
      <c r="P704" s="386"/>
      <c r="Q704" s="386"/>
    </row>
    <row r="705" spans="1:17" ht="30" customHeight="1" x14ac:dyDescent="0.2">
      <c r="A705" s="7656"/>
      <c r="B705" s="7665"/>
      <c r="C705" s="7747"/>
      <c r="D705" s="3237">
        <v>690000000</v>
      </c>
      <c r="E705" s="3243">
        <v>0.08</v>
      </c>
      <c r="F705" s="3237">
        <f t="shared" si="82"/>
        <v>55200000</v>
      </c>
      <c r="G705" s="2179">
        <v>50000000</v>
      </c>
      <c r="H705" s="2179" t="s">
        <v>4839</v>
      </c>
      <c r="I705" s="2179" t="s">
        <v>2686</v>
      </c>
      <c r="J705" s="7482"/>
      <c r="K705" s="7499"/>
      <c r="L705" s="2116" t="s">
        <v>5080</v>
      </c>
      <c r="M705" s="386"/>
      <c r="N705" s="386"/>
      <c r="O705" s="386"/>
      <c r="P705" s="386"/>
      <c r="Q705" s="386"/>
    </row>
    <row r="706" spans="1:17" ht="30" customHeight="1" x14ac:dyDescent="0.2">
      <c r="A706" s="7656"/>
      <c r="B706" s="7665"/>
      <c r="C706" s="7747"/>
      <c r="D706" s="3238">
        <v>925000000</v>
      </c>
      <c r="E706" s="3243">
        <v>0.08</v>
      </c>
      <c r="F706" s="3238">
        <f>D706*E706</f>
        <v>74000000</v>
      </c>
      <c r="G706" s="7732" t="s">
        <v>5171</v>
      </c>
      <c r="H706" s="7733"/>
      <c r="I706" s="7734"/>
      <c r="J706" s="2074"/>
      <c r="K706" s="2099"/>
      <c r="L706" s="2099"/>
      <c r="M706" s="386"/>
      <c r="N706" s="386"/>
      <c r="O706" s="386"/>
      <c r="P706" s="386"/>
      <c r="Q706" s="386"/>
    </row>
    <row r="707" spans="1:17" ht="30" customHeight="1" x14ac:dyDescent="0.2">
      <c r="A707" s="7656"/>
      <c r="B707" s="7665"/>
      <c r="C707" s="7747"/>
      <c r="D707" s="8004">
        <f>SUM(D701:D706)</f>
        <v>14530000000</v>
      </c>
      <c r="E707" s="8005"/>
      <c r="F707" s="3232">
        <f>SUM(F701:F706)</f>
        <v>940250000</v>
      </c>
      <c r="G707" s="7991" t="s">
        <v>5140</v>
      </c>
      <c r="H707" s="7992"/>
      <c r="I707" s="7992"/>
      <c r="J707" s="7993"/>
      <c r="K707" s="3221"/>
      <c r="L707" s="3219"/>
      <c r="M707" s="386"/>
      <c r="N707" s="386"/>
      <c r="O707" s="386"/>
      <c r="P707" s="386"/>
      <c r="Q707" s="386"/>
    </row>
    <row r="708" spans="1:17" ht="30" customHeight="1" x14ac:dyDescent="0.2">
      <c r="A708" s="7656"/>
      <c r="B708" s="7665"/>
      <c r="C708" s="7747"/>
      <c r="D708" s="8004" t="s">
        <v>5141</v>
      </c>
      <c r="E708" s="8005"/>
      <c r="F708" s="3232">
        <v>1600000</v>
      </c>
      <c r="G708" s="7994"/>
      <c r="H708" s="7995"/>
      <c r="I708" s="7995"/>
      <c r="J708" s="7996"/>
      <c r="K708" s="3221"/>
      <c r="L708" s="3219"/>
      <c r="M708" s="386"/>
      <c r="N708" s="386"/>
      <c r="O708" s="386"/>
      <c r="P708" s="386"/>
      <c r="Q708" s="386"/>
    </row>
    <row r="709" spans="1:17" ht="30" customHeight="1" x14ac:dyDescent="0.2">
      <c r="A709" s="7656"/>
      <c r="B709" s="7665"/>
      <c r="C709" s="7747"/>
      <c r="D709" s="8004" t="s">
        <v>5142</v>
      </c>
      <c r="E709" s="8005"/>
      <c r="F709" s="3232">
        <v>1300000</v>
      </c>
      <c r="G709" s="7994"/>
      <c r="H709" s="7995"/>
      <c r="I709" s="7995"/>
      <c r="J709" s="7996"/>
      <c r="K709" s="3221"/>
      <c r="L709" s="3219"/>
      <c r="M709" s="386"/>
      <c r="N709" s="386"/>
      <c r="O709" s="386"/>
      <c r="P709" s="386"/>
      <c r="Q709" s="386"/>
    </row>
    <row r="710" spans="1:17" ht="30" customHeight="1" x14ac:dyDescent="0.2">
      <c r="A710" s="7656"/>
      <c r="B710" s="7665"/>
      <c r="C710" s="7747"/>
      <c r="D710" s="8004" t="s">
        <v>5143</v>
      </c>
      <c r="E710" s="8005"/>
      <c r="F710" s="3232">
        <f>SUM(F707:F709)</f>
        <v>943150000</v>
      </c>
      <c r="G710" s="7994"/>
      <c r="H710" s="7995"/>
      <c r="I710" s="7995"/>
      <c r="J710" s="7996"/>
      <c r="K710" s="3221"/>
      <c r="L710" s="3219"/>
      <c r="M710" s="386"/>
      <c r="N710" s="386"/>
      <c r="O710" s="386"/>
      <c r="P710" s="386"/>
      <c r="Q710" s="386"/>
    </row>
    <row r="711" spans="1:17" ht="30" customHeight="1" x14ac:dyDescent="0.2">
      <c r="A711" s="7656"/>
      <c r="B711" s="7665"/>
      <c r="C711" s="7747"/>
      <c r="D711" s="8004" t="s">
        <v>5167</v>
      </c>
      <c r="E711" s="8005"/>
      <c r="F711" s="3276">
        <v>6850000</v>
      </c>
      <c r="G711" s="7994"/>
      <c r="H711" s="7995"/>
      <c r="I711" s="7995"/>
      <c r="J711" s="7996"/>
      <c r="K711" s="3270"/>
      <c r="L711" s="3269"/>
      <c r="M711" s="386"/>
      <c r="N711" s="386"/>
      <c r="O711" s="386"/>
      <c r="P711" s="386"/>
      <c r="Q711" s="386"/>
    </row>
    <row r="712" spans="1:17" ht="30" customHeight="1" x14ac:dyDescent="0.2">
      <c r="A712" s="7656"/>
      <c r="B712" s="7665"/>
      <c r="C712" s="7747"/>
      <c r="D712" s="8004" t="s">
        <v>5168</v>
      </c>
      <c r="E712" s="8005"/>
      <c r="F712" s="3276">
        <f>F710+F711</f>
        <v>950000000</v>
      </c>
      <c r="G712" s="7997"/>
      <c r="H712" s="7998"/>
      <c r="I712" s="7998"/>
      <c r="J712" s="7999"/>
      <c r="K712" s="3270"/>
      <c r="L712" s="3269"/>
      <c r="M712" s="386"/>
      <c r="N712" s="386"/>
      <c r="O712" s="386"/>
      <c r="P712" s="386"/>
      <c r="Q712" s="386"/>
    </row>
    <row r="713" spans="1:17" ht="30" customHeight="1" x14ac:dyDescent="0.2">
      <c r="A713" s="7656"/>
      <c r="B713" s="7665"/>
      <c r="C713" s="7747"/>
      <c r="D713" s="3136">
        <v>850000000</v>
      </c>
      <c r="E713" s="3144">
        <v>0.08</v>
      </c>
      <c r="F713" s="3136">
        <f>D713*E713</f>
        <v>68000000</v>
      </c>
      <c r="G713" s="7732" t="s">
        <v>5170</v>
      </c>
      <c r="H713" s="7733"/>
      <c r="I713" s="7733"/>
      <c r="J713" s="7734"/>
      <c r="K713" s="3147"/>
      <c r="L713" s="3138"/>
      <c r="M713" s="386"/>
      <c r="N713" s="386"/>
      <c r="O713" s="386"/>
      <c r="P713" s="386"/>
      <c r="Q713" s="386"/>
    </row>
    <row r="714" spans="1:17" ht="30" customHeight="1" x14ac:dyDescent="0.2">
      <c r="A714" s="7655"/>
      <c r="B714" s="7653"/>
      <c r="C714" s="7724"/>
      <c r="D714" s="8061">
        <f>D707+D713</f>
        <v>15380000000</v>
      </c>
      <c r="E714" s="8091"/>
      <c r="F714" s="2653">
        <f>F707+F713</f>
        <v>1008250000</v>
      </c>
      <c r="G714" s="7732" t="s">
        <v>5144</v>
      </c>
      <c r="H714" s="7733"/>
      <c r="I714" s="7733"/>
      <c r="J714" s="7734"/>
      <c r="K714" s="3147"/>
      <c r="L714" s="3138"/>
      <c r="M714" s="386"/>
      <c r="N714" s="386"/>
      <c r="O714" s="386"/>
      <c r="P714" s="386"/>
      <c r="Q714" s="386"/>
    </row>
    <row r="715" spans="1:17" ht="30" customHeight="1" x14ac:dyDescent="0.2">
      <c r="A715" s="7654"/>
      <c r="B715" s="7652" t="s">
        <v>2622</v>
      </c>
      <c r="C715" s="7723"/>
      <c r="D715" s="7563">
        <v>160000000</v>
      </c>
      <c r="E715" s="7659">
        <v>0.05</v>
      </c>
      <c r="F715" s="7563">
        <f>D715*E715</f>
        <v>8000000</v>
      </c>
      <c r="G715" s="7563">
        <v>7200000</v>
      </c>
      <c r="H715" s="7563" t="s">
        <v>4361</v>
      </c>
      <c r="I715" s="7889" t="s">
        <v>4364</v>
      </c>
      <c r="J715" s="7563">
        <f>G715+G717</f>
        <v>8000000</v>
      </c>
      <c r="K715" s="7816">
        <f>F715-J715</f>
        <v>0</v>
      </c>
      <c r="L715" s="2127"/>
      <c r="M715" s="386"/>
      <c r="N715" s="386"/>
      <c r="O715" s="386"/>
      <c r="P715" s="386"/>
      <c r="Q715" s="386"/>
    </row>
    <row r="716" spans="1:17" ht="30" customHeight="1" x14ac:dyDescent="0.2">
      <c r="A716" s="7656"/>
      <c r="B716" s="7665"/>
      <c r="C716" s="7747"/>
      <c r="D716" s="7586"/>
      <c r="E716" s="7676"/>
      <c r="F716" s="7586"/>
      <c r="G716" s="7564"/>
      <c r="H716" s="7564"/>
      <c r="I716" s="7890"/>
      <c r="J716" s="7586"/>
      <c r="K716" s="7882"/>
      <c r="L716" s="2127" t="s">
        <v>4004</v>
      </c>
      <c r="M716" s="386"/>
      <c r="N716" s="386"/>
      <c r="O716" s="386"/>
      <c r="P716" s="386"/>
      <c r="Q716" s="386"/>
    </row>
    <row r="717" spans="1:17" ht="30" customHeight="1" x14ac:dyDescent="0.2">
      <c r="A717" s="7655"/>
      <c r="B717" s="7653"/>
      <c r="C717" s="7724"/>
      <c r="D717" s="7564"/>
      <c r="E717" s="7660"/>
      <c r="F717" s="7564"/>
      <c r="G717" s="2300">
        <v>800000</v>
      </c>
      <c r="H717" s="2300" t="s">
        <v>4402</v>
      </c>
      <c r="I717" s="2300" t="s">
        <v>1728</v>
      </c>
      <c r="J717" s="7564"/>
      <c r="K717" s="7817"/>
      <c r="L717" s="2127" t="s">
        <v>4216</v>
      </c>
      <c r="M717" s="386"/>
      <c r="N717" s="386"/>
      <c r="O717" s="386"/>
      <c r="P717" s="386"/>
      <c r="Q717" s="386"/>
    </row>
    <row r="718" spans="1:17" ht="30" customHeight="1" x14ac:dyDescent="0.2">
      <c r="A718" s="2103"/>
      <c r="B718" s="2104" t="s">
        <v>2639</v>
      </c>
      <c r="C718" s="2084" t="s">
        <v>1172</v>
      </c>
      <c r="D718" s="2074">
        <v>80000000</v>
      </c>
      <c r="E718" s="2101">
        <v>0.05</v>
      </c>
      <c r="F718" s="2074">
        <f>D718*E718</f>
        <v>4000000</v>
      </c>
      <c r="G718" s="2074">
        <v>4000000</v>
      </c>
      <c r="H718" s="2074" t="s">
        <v>1193</v>
      </c>
      <c r="I718" s="472" t="s">
        <v>4020</v>
      </c>
      <c r="J718" s="2074">
        <f t="shared" ref="J718:J735" si="83">G718</f>
        <v>4000000</v>
      </c>
      <c r="K718" s="2099">
        <f t="shared" ref="K718:K736" si="84">F718-J718</f>
        <v>0</v>
      </c>
      <c r="L718" s="2127" t="s">
        <v>3688</v>
      </c>
      <c r="M718" s="386"/>
      <c r="N718" s="386"/>
      <c r="O718" s="386"/>
      <c r="P718" s="386"/>
      <c r="Q718" s="386"/>
    </row>
    <row r="719" spans="1:17" ht="30" customHeight="1" x14ac:dyDescent="0.2">
      <c r="A719" s="2103"/>
      <c r="B719" s="2104" t="s">
        <v>4021</v>
      </c>
      <c r="C719" s="2084" t="s">
        <v>1172</v>
      </c>
      <c r="D719" s="2074">
        <v>100000000</v>
      </c>
      <c r="E719" s="2101">
        <v>0.05</v>
      </c>
      <c r="F719" s="2074">
        <f>D719*E719</f>
        <v>5000000</v>
      </c>
      <c r="G719" s="2074">
        <v>5000000</v>
      </c>
      <c r="H719" s="2074" t="s">
        <v>1193</v>
      </c>
      <c r="I719" s="472" t="s">
        <v>4063</v>
      </c>
      <c r="J719" s="2074">
        <f>G719</f>
        <v>5000000</v>
      </c>
      <c r="K719" s="2099">
        <f>F719-J719</f>
        <v>0</v>
      </c>
      <c r="L719" s="2127"/>
      <c r="M719" s="386"/>
      <c r="N719" s="386"/>
      <c r="O719" s="386"/>
      <c r="P719" s="386"/>
      <c r="Q719" s="386"/>
    </row>
    <row r="720" spans="1:17" ht="30" customHeight="1" x14ac:dyDescent="0.2">
      <c r="A720" s="2103"/>
      <c r="B720" s="2104" t="s">
        <v>3997</v>
      </c>
      <c r="C720" s="2105" t="s">
        <v>1652</v>
      </c>
      <c r="D720" s="2062">
        <v>25000000</v>
      </c>
      <c r="E720" s="2101">
        <v>0.04</v>
      </c>
      <c r="F720" s="2062">
        <f>D720*E720</f>
        <v>1000000</v>
      </c>
      <c r="G720" s="2062"/>
      <c r="H720" s="2062"/>
      <c r="I720" s="1029" t="s">
        <v>3998</v>
      </c>
      <c r="J720" s="2062">
        <f t="shared" si="83"/>
        <v>0</v>
      </c>
      <c r="K720" s="2060">
        <f t="shared" si="84"/>
        <v>1000000</v>
      </c>
      <c r="L720" s="2127"/>
      <c r="M720" s="386"/>
      <c r="N720" s="386"/>
      <c r="O720" s="386"/>
      <c r="P720" s="386"/>
      <c r="Q720" s="386"/>
    </row>
    <row r="721" spans="1:17" ht="30" customHeight="1" x14ac:dyDescent="0.2">
      <c r="A721" s="7654"/>
      <c r="B721" s="7661" t="s">
        <v>2692</v>
      </c>
      <c r="C721" s="7723" t="s">
        <v>371</v>
      </c>
      <c r="D721" s="2524">
        <v>200000000</v>
      </c>
      <c r="E721" s="2539">
        <v>7.0000000000000007E-2</v>
      </c>
      <c r="F721" s="1855">
        <f>D721*E721</f>
        <v>14000000.000000002</v>
      </c>
      <c r="G721" s="8092"/>
      <c r="H721" s="8093"/>
      <c r="I721" s="8093"/>
      <c r="J721" s="8094"/>
      <c r="K721" s="7499"/>
      <c r="L721" s="2127"/>
      <c r="M721" s="386"/>
      <c r="N721" s="386"/>
      <c r="O721" s="386"/>
      <c r="P721" s="386"/>
      <c r="Q721" s="386"/>
    </row>
    <row r="722" spans="1:17" ht="30" customHeight="1" x14ac:dyDescent="0.2">
      <c r="A722" s="7656"/>
      <c r="B722" s="7662"/>
      <c r="C722" s="7747"/>
      <c r="D722" s="2704">
        <v>14000000</v>
      </c>
      <c r="E722" s="2713">
        <v>7.0000000000000007E-2</v>
      </c>
      <c r="F722" s="1855">
        <f t="shared" ref="F722:F726" si="85">D722*E722</f>
        <v>980000.00000000012</v>
      </c>
      <c r="G722" s="8092" t="s">
        <v>4284</v>
      </c>
      <c r="H722" s="8093"/>
      <c r="I722" s="8093"/>
      <c r="J722" s="8094"/>
      <c r="K722" s="7499"/>
      <c r="L722" s="2719"/>
      <c r="M722" s="386"/>
      <c r="N722" s="386"/>
      <c r="O722" s="386"/>
      <c r="P722" s="386"/>
      <c r="Q722" s="386"/>
    </row>
    <row r="723" spans="1:17" ht="30" customHeight="1" x14ac:dyDescent="0.2">
      <c r="A723" s="7656"/>
      <c r="B723" s="7662"/>
      <c r="C723" s="7747"/>
      <c r="D723" s="2704">
        <v>100000000</v>
      </c>
      <c r="E723" s="2713">
        <v>7.0000000000000007E-2</v>
      </c>
      <c r="F723" s="2701">
        <f t="shared" si="85"/>
        <v>7000000.0000000009</v>
      </c>
      <c r="G723" s="8092" t="s">
        <v>4713</v>
      </c>
      <c r="H723" s="8093"/>
      <c r="I723" s="8093"/>
      <c r="J723" s="8094"/>
      <c r="K723" s="7499"/>
      <c r="L723" s="2726" t="s">
        <v>4715</v>
      </c>
      <c r="M723" s="386"/>
      <c r="N723" s="386"/>
      <c r="O723" s="386"/>
      <c r="P723" s="386"/>
      <c r="Q723" s="386"/>
    </row>
    <row r="724" spans="1:17" ht="30" customHeight="1" x14ac:dyDescent="0.2">
      <c r="A724" s="7656"/>
      <c r="B724" s="7662"/>
      <c r="C724" s="7747"/>
      <c r="D724" s="2704">
        <v>145000000</v>
      </c>
      <c r="E724" s="2713">
        <v>7.0000000000000007E-2</v>
      </c>
      <c r="F724" s="2701">
        <f t="shared" si="85"/>
        <v>10150000.000000002</v>
      </c>
      <c r="G724" s="8092" t="s">
        <v>4798</v>
      </c>
      <c r="H724" s="8093"/>
      <c r="I724" s="8093"/>
      <c r="J724" s="8094"/>
      <c r="K724" s="7499"/>
      <c r="L724" s="1114"/>
      <c r="M724" s="386"/>
      <c r="N724" s="386"/>
      <c r="O724" s="386"/>
      <c r="P724" s="386"/>
      <c r="Q724" s="386"/>
    </row>
    <row r="725" spans="1:17" ht="30" customHeight="1" x14ac:dyDescent="0.2">
      <c r="A725" s="7656"/>
      <c r="B725" s="7662"/>
      <c r="C725" s="7747"/>
      <c r="D725" s="2704">
        <v>6000000</v>
      </c>
      <c r="E725" s="2713">
        <v>7.0000000000000007E-2</v>
      </c>
      <c r="F725" s="2701">
        <f t="shared" si="85"/>
        <v>420000.00000000006</v>
      </c>
      <c r="G725" s="8092" t="s">
        <v>4717</v>
      </c>
      <c r="H725" s="8093"/>
      <c r="I725" s="8093"/>
      <c r="J725" s="8094"/>
      <c r="K725" s="7499"/>
      <c r="L725" s="2726" t="s">
        <v>4718</v>
      </c>
      <c r="M725" s="386"/>
      <c r="N725" s="386"/>
      <c r="O725" s="386"/>
      <c r="P725" s="386"/>
      <c r="Q725" s="386"/>
    </row>
    <row r="726" spans="1:17" ht="30" customHeight="1" x14ac:dyDescent="0.2">
      <c r="A726" s="7656"/>
      <c r="B726" s="7662"/>
      <c r="C726" s="7747"/>
      <c r="D726" s="2704">
        <v>35000000</v>
      </c>
      <c r="E726" s="2713">
        <v>7.0000000000000007E-2</v>
      </c>
      <c r="F726" s="2701">
        <f t="shared" si="85"/>
        <v>2450000.0000000005</v>
      </c>
      <c r="G726" s="8092" t="s">
        <v>4799</v>
      </c>
      <c r="H726" s="8093"/>
      <c r="I726" s="8093"/>
      <c r="J726" s="8094"/>
      <c r="K726" s="7499"/>
      <c r="L726" s="1114"/>
      <c r="M726" s="386"/>
      <c r="N726" s="386"/>
      <c r="O726" s="386"/>
      <c r="P726" s="386"/>
      <c r="Q726" s="386"/>
    </row>
    <row r="727" spans="1:17" ht="30" customHeight="1" x14ac:dyDescent="0.2">
      <c r="A727" s="7656"/>
      <c r="B727" s="7662"/>
      <c r="C727" s="7747"/>
      <c r="D727" s="2704">
        <v>500000000</v>
      </c>
      <c r="E727" s="2706">
        <v>7.0000000000000007E-2</v>
      </c>
      <c r="F727" s="2721"/>
      <c r="G727" s="8204" t="s">
        <v>4714</v>
      </c>
      <c r="H727" s="8205"/>
      <c r="I727" s="8205"/>
      <c r="J727" s="8206"/>
      <c r="K727" s="7499"/>
      <c r="L727" s="2719"/>
      <c r="M727" s="386"/>
      <c r="N727" s="386"/>
      <c r="O727" s="386"/>
      <c r="P727" s="386"/>
      <c r="Q727" s="386"/>
    </row>
    <row r="728" spans="1:17" ht="30" customHeight="1" x14ac:dyDescent="0.2">
      <c r="A728" s="7656"/>
      <c r="B728" s="7662"/>
      <c r="C728" s="7747"/>
      <c r="D728" s="2722">
        <v>500000000</v>
      </c>
      <c r="E728" s="2723">
        <v>7.0000000000000007E-2</v>
      </c>
      <c r="F728" s="2722">
        <f>D728*E728</f>
        <v>35000000</v>
      </c>
      <c r="G728" s="8190" t="s">
        <v>4716</v>
      </c>
      <c r="H728" s="8191"/>
      <c r="I728" s="8191"/>
      <c r="J728" s="8192"/>
      <c r="K728" s="7499"/>
      <c r="L728" s="387"/>
      <c r="M728" s="386"/>
      <c r="N728" s="386"/>
      <c r="O728" s="386"/>
      <c r="P728" s="386"/>
      <c r="Q728" s="386"/>
    </row>
    <row r="729" spans="1:17" ht="30" customHeight="1" x14ac:dyDescent="0.2">
      <c r="A729" s="7654"/>
      <c r="B729" s="7661" t="s">
        <v>4699</v>
      </c>
      <c r="C729" s="7723" t="s">
        <v>371</v>
      </c>
      <c r="D729" s="7563">
        <v>400000000</v>
      </c>
      <c r="E729" s="7659">
        <v>7.0000000000000007E-2</v>
      </c>
      <c r="F729" s="7563">
        <f>D729*E729</f>
        <v>28000000.000000004</v>
      </c>
      <c r="G729" s="8136" t="s">
        <v>4702</v>
      </c>
      <c r="H729" s="8137"/>
      <c r="I729" s="8137"/>
      <c r="J729" s="8138"/>
      <c r="K729" s="2690"/>
      <c r="L729" s="2689" t="s">
        <v>4700</v>
      </c>
      <c r="M729" s="386"/>
      <c r="N729" s="386"/>
      <c r="O729" s="386"/>
      <c r="P729" s="386"/>
      <c r="Q729" s="386"/>
    </row>
    <row r="730" spans="1:17" ht="30" customHeight="1" x14ac:dyDescent="0.2">
      <c r="A730" s="7655"/>
      <c r="B730" s="7663"/>
      <c r="C730" s="7724"/>
      <c r="D730" s="7564"/>
      <c r="E730" s="7660"/>
      <c r="F730" s="7564"/>
      <c r="G730" s="8092" t="s">
        <v>4703</v>
      </c>
      <c r="H730" s="8093"/>
      <c r="I730" s="8093"/>
      <c r="J730" s="8094"/>
      <c r="K730" s="2690"/>
      <c r="L730" s="2689" t="s">
        <v>4701</v>
      </c>
      <c r="M730" s="386"/>
      <c r="N730" s="386"/>
      <c r="O730" s="386"/>
      <c r="P730" s="386"/>
      <c r="Q730" s="386"/>
    </row>
    <row r="731" spans="1:17" ht="30" customHeight="1" x14ac:dyDescent="0.2">
      <c r="A731" s="2103"/>
      <c r="B731" s="2104" t="s">
        <v>2702</v>
      </c>
      <c r="C731" s="2084" t="s">
        <v>262</v>
      </c>
      <c r="D731" s="2074">
        <v>30000000</v>
      </c>
      <c r="E731" s="2101">
        <v>0.05</v>
      </c>
      <c r="F731" s="2074">
        <f t="shared" ref="F731:F736" si="86">D731*E731</f>
        <v>1500000</v>
      </c>
      <c r="G731" s="2062">
        <v>1500000</v>
      </c>
      <c r="H731" s="2062" t="s">
        <v>4402</v>
      </c>
      <c r="I731" s="2062" t="s">
        <v>3536</v>
      </c>
      <c r="J731" s="2062">
        <f t="shared" si="83"/>
        <v>1500000</v>
      </c>
      <c r="K731" s="2099">
        <f t="shared" si="84"/>
        <v>0</v>
      </c>
      <c r="L731" s="2127"/>
      <c r="M731" s="386"/>
      <c r="N731" s="386"/>
      <c r="O731" s="386"/>
      <c r="P731" s="386"/>
      <c r="Q731" s="386"/>
    </row>
    <row r="732" spans="1:17" ht="30" customHeight="1" x14ac:dyDescent="0.2">
      <c r="A732" s="2103"/>
      <c r="B732" s="2104" t="s">
        <v>2727</v>
      </c>
      <c r="C732" s="2084" t="s">
        <v>392</v>
      </c>
      <c r="D732" s="2074">
        <v>140000000</v>
      </c>
      <c r="E732" s="2101">
        <v>7.0000000000000007E-2</v>
      </c>
      <c r="F732" s="2074">
        <f t="shared" si="86"/>
        <v>9800000.0000000019</v>
      </c>
      <c r="G732" s="2062">
        <v>9800000</v>
      </c>
      <c r="H732" s="2062" t="s">
        <v>1193</v>
      </c>
      <c r="I732" s="2062" t="s">
        <v>4380</v>
      </c>
      <c r="J732" s="2062">
        <f t="shared" si="83"/>
        <v>9800000</v>
      </c>
      <c r="K732" s="2099">
        <f t="shared" si="84"/>
        <v>0</v>
      </c>
      <c r="L732" s="2127" t="s">
        <v>3392</v>
      </c>
      <c r="M732" s="386"/>
      <c r="N732" s="386"/>
      <c r="O732" s="386"/>
      <c r="P732" s="386"/>
      <c r="Q732" s="386"/>
    </row>
    <row r="733" spans="1:17" ht="30" customHeight="1" x14ac:dyDescent="0.2">
      <c r="A733" s="2103"/>
      <c r="B733" s="2104" t="s">
        <v>2735</v>
      </c>
      <c r="C733" s="2084" t="s">
        <v>889</v>
      </c>
      <c r="D733" s="2074">
        <v>85000000</v>
      </c>
      <c r="E733" s="2101">
        <v>0.05</v>
      </c>
      <c r="F733" s="2074">
        <f t="shared" si="86"/>
        <v>4250000</v>
      </c>
      <c r="G733" s="2062">
        <v>4250000</v>
      </c>
      <c r="H733" s="2062" t="s">
        <v>4331</v>
      </c>
      <c r="I733" s="1029" t="s">
        <v>3529</v>
      </c>
      <c r="J733" s="2062">
        <f t="shared" si="83"/>
        <v>4250000</v>
      </c>
      <c r="K733" s="2099">
        <f t="shared" si="84"/>
        <v>0</v>
      </c>
      <c r="L733" s="2127"/>
      <c r="M733" s="386"/>
      <c r="N733" s="386"/>
      <c r="O733" s="386"/>
      <c r="P733" s="386"/>
      <c r="Q733" s="386"/>
    </row>
    <row r="734" spans="1:17" ht="30" customHeight="1" x14ac:dyDescent="0.2">
      <c r="A734" s="2103"/>
      <c r="B734" s="2104" t="s">
        <v>3534</v>
      </c>
      <c r="C734" s="2084" t="s">
        <v>372</v>
      </c>
      <c r="D734" s="2074">
        <v>50000000</v>
      </c>
      <c r="E734" s="2101">
        <v>0.05</v>
      </c>
      <c r="F734" s="2074">
        <f t="shared" si="86"/>
        <v>2500000</v>
      </c>
      <c r="G734" s="2062">
        <v>2500000</v>
      </c>
      <c r="H734" s="2062" t="s">
        <v>4449</v>
      </c>
      <c r="I734" s="2062" t="s">
        <v>4091</v>
      </c>
      <c r="J734" s="2062">
        <f t="shared" si="83"/>
        <v>2500000</v>
      </c>
      <c r="K734" s="2099">
        <f t="shared" si="84"/>
        <v>0</v>
      </c>
      <c r="L734" s="2127"/>
      <c r="M734" s="386"/>
      <c r="N734" s="386"/>
      <c r="O734" s="386"/>
      <c r="P734" s="386"/>
      <c r="Q734" s="386"/>
    </row>
    <row r="735" spans="1:17" ht="30" customHeight="1" x14ac:dyDescent="0.2">
      <c r="A735" s="2103"/>
      <c r="B735" s="2104" t="s">
        <v>2738</v>
      </c>
      <c r="C735" s="2084" t="s">
        <v>372</v>
      </c>
      <c r="D735" s="2074">
        <v>25000000</v>
      </c>
      <c r="E735" s="2101">
        <v>0.05</v>
      </c>
      <c r="F735" s="2074">
        <f t="shared" si="86"/>
        <v>1250000</v>
      </c>
      <c r="G735" s="2062">
        <v>1250000</v>
      </c>
      <c r="H735" s="2062" t="s">
        <v>4426</v>
      </c>
      <c r="I735" s="2062" t="s">
        <v>4017</v>
      </c>
      <c r="J735" s="2062">
        <f t="shared" si="83"/>
        <v>1250000</v>
      </c>
      <c r="K735" s="2099">
        <f t="shared" si="84"/>
        <v>0</v>
      </c>
      <c r="L735" s="2127"/>
      <c r="M735" s="386"/>
      <c r="N735" s="386"/>
      <c r="O735" s="386"/>
      <c r="P735" s="386"/>
      <c r="Q735" s="386"/>
    </row>
    <row r="736" spans="1:17" ht="30" customHeight="1" x14ac:dyDescent="0.2">
      <c r="A736" s="7654"/>
      <c r="B736" s="7652" t="s">
        <v>2767</v>
      </c>
      <c r="C736" s="7723"/>
      <c r="D736" s="7563">
        <v>300000000</v>
      </c>
      <c r="E736" s="7659">
        <v>5.5E-2</v>
      </c>
      <c r="F736" s="7563">
        <f t="shared" si="86"/>
        <v>16500000</v>
      </c>
      <c r="G736" s="7563">
        <v>16500000</v>
      </c>
      <c r="H736" s="7563" t="s">
        <v>4385</v>
      </c>
      <c r="I736" s="7563" t="s">
        <v>3477</v>
      </c>
      <c r="J736" s="7563">
        <f>G736+G737</f>
        <v>16500000</v>
      </c>
      <c r="K736" s="7816">
        <f t="shared" si="84"/>
        <v>0</v>
      </c>
      <c r="L736" s="7811" t="s">
        <v>2768</v>
      </c>
      <c r="M736" s="386"/>
      <c r="N736" s="386"/>
      <c r="O736" s="386"/>
      <c r="P736" s="386"/>
      <c r="Q736" s="386"/>
    </row>
    <row r="737" spans="1:17" ht="30" customHeight="1" x14ac:dyDescent="0.2">
      <c r="A737" s="7655"/>
      <c r="B737" s="7653"/>
      <c r="C737" s="7724"/>
      <c r="D737" s="7564"/>
      <c r="E737" s="7660"/>
      <c r="F737" s="7564"/>
      <c r="G737" s="7564"/>
      <c r="H737" s="7564"/>
      <c r="I737" s="7564"/>
      <c r="J737" s="7564"/>
      <c r="K737" s="7817"/>
      <c r="L737" s="7812"/>
      <c r="M737" s="386"/>
      <c r="N737" s="386"/>
      <c r="O737" s="386"/>
      <c r="P737" s="386"/>
      <c r="Q737" s="386"/>
    </row>
    <row r="738" spans="1:17" ht="30" customHeight="1" x14ac:dyDescent="0.2">
      <c r="A738" s="2103"/>
      <c r="B738" s="2104" t="s">
        <v>2799</v>
      </c>
      <c r="C738" s="2084"/>
      <c r="D738" s="2074">
        <v>85000000</v>
      </c>
      <c r="E738" s="2101"/>
      <c r="F738" s="2074"/>
      <c r="G738" s="2062"/>
      <c r="H738" s="2062"/>
      <c r="I738" s="2062"/>
      <c r="J738" s="2062"/>
      <c r="K738" s="2099"/>
      <c r="L738" s="2127" t="s">
        <v>2800</v>
      </c>
      <c r="M738" s="386"/>
      <c r="N738" s="386"/>
      <c r="O738" s="386"/>
      <c r="P738" s="386"/>
      <c r="Q738" s="386"/>
    </row>
    <row r="739" spans="1:17" ht="30" customHeight="1" x14ac:dyDescent="0.2">
      <c r="A739" s="2103"/>
      <c r="B739" s="2104" t="s">
        <v>2802</v>
      </c>
      <c r="C739" s="2084" t="s">
        <v>359</v>
      </c>
      <c r="D739" s="2074">
        <v>20000000</v>
      </c>
      <c r="E739" s="2101">
        <v>0.05</v>
      </c>
      <c r="F739" s="2074">
        <f>D739*E739</f>
        <v>1000000</v>
      </c>
      <c r="G739" s="2062">
        <v>1000000</v>
      </c>
      <c r="H739" s="2062" t="s">
        <v>4449</v>
      </c>
      <c r="I739" s="2062" t="s">
        <v>3556</v>
      </c>
      <c r="J739" s="2062">
        <f>G739</f>
        <v>1000000</v>
      </c>
      <c r="K739" s="2099">
        <f>F739-J739</f>
        <v>0</v>
      </c>
      <c r="L739" s="2127"/>
      <c r="M739" s="386"/>
      <c r="N739" s="386"/>
      <c r="O739" s="386"/>
      <c r="P739" s="386"/>
      <c r="Q739" s="386"/>
    </row>
    <row r="740" spans="1:17" ht="30" customHeight="1" x14ac:dyDescent="0.2">
      <c r="A740" s="2063"/>
      <c r="B740" s="2106" t="s">
        <v>2904</v>
      </c>
      <c r="C740" s="2105" t="s">
        <v>1081</v>
      </c>
      <c r="D740" s="2062">
        <v>40000000</v>
      </c>
      <c r="E740" s="2101">
        <v>0.04</v>
      </c>
      <c r="F740" s="2062">
        <f>D740*E740</f>
        <v>1600000</v>
      </c>
      <c r="G740" s="2062">
        <v>1600000</v>
      </c>
      <c r="H740" s="2062" t="s">
        <v>4310</v>
      </c>
      <c r="I740" s="2062" t="s">
        <v>4314</v>
      </c>
      <c r="J740" s="2062">
        <f>G740</f>
        <v>1600000</v>
      </c>
      <c r="K740" s="2099">
        <f>F740-J740</f>
        <v>0</v>
      </c>
      <c r="L740" s="2127" t="s">
        <v>3952</v>
      </c>
      <c r="M740" s="386"/>
      <c r="N740" s="386"/>
      <c r="O740" s="386"/>
      <c r="P740" s="386"/>
      <c r="Q740" s="386"/>
    </row>
    <row r="741" spans="1:17" ht="30" customHeight="1" x14ac:dyDescent="0.2">
      <c r="A741" s="2103"/>
      <c r="B741" s="2104" t="s">
        <v>2834</v>
      </c>
      <c r="C741" s="2084" t="s">
        <v>2849</v>
      </c>
      <c r="D741" s="2074">
        <v>20000000</v>
      </c>
      <c r="E741" s="2077">
        <v>0.05</v>
      </c>
      <c r="F741" s="2074">
        <f>D741*E741</f>
        <v>1000000</v>
      </c>
      <c r="G741" s="2062">
        <v>1000000</v>
      </c>
      <c r="H741" s="2062" t="s">
        <v>3865</v>
      </c>
      <c r="I741" s="2062" t="s">
        <v>4472</v>
      </c>
      <c r="J741" s="2062">
        <f>G741</f>
        <v>1000000</v>
      </c>
      <c r="K741" s="2099">
        <f>G741-J741</f>
        <v>0</v>
      </c>
      <c r="L741" s="2127" t="s">
        <v>2835</v>
      </c>
      <c r="M741" s="386"/>
      <c r="N741" s="386"/>
      <c r="O741" s="386"/>
      <c r="P741" s="386"/>
      <c r="Q741" s="386"/>
    </row>
    <row r="742" spans="1:17" ht="30" customHeight="1" x14ac:dyDescent="0.2">
      <c r="A742" s="7654"/>
      <c r="B742" s="1547" t="s">
        <v>2867</v>
      </c>
      <c r="C742" s="7975" t="s">
        <v>2898</v>
      </c>
      <c r="D742" s="8007">
        <v>70000000</v>
      </c>
      <c r="E742" s="8017">
        <v>0.05</v>
      </c>
      <c r="F742" s="8020">
        <f>D742*E742</f>
        <v>3500000</v>
      </c>
      <c r="G742" s="7482" t="s">
        <v>4521</v>
      </c>
      <c r="H742" s="7482"/>
      <c r="I742" s="7482"/>
      <c r="J742" s="7563"/>
      <c r="K742" s="7816">
        <f>(F742+F745+F746+1800000)-J742-12000000</f>
        <v>7300000</v>
      </c>
      <c r="L742" s="2115"/>
      <c r="M742" s="386"/>
      <c r="N742" s="386"/>
      <c r="O742" s="386"/>
      <c r="P742" s="386"/>
      <c r="Q742" s="386"/>
    </row>
    <row r="743" spans="1:17" ht="30" customHeight="1" x14ac:dyDescent="0.2">
      <c r="A743" s="7656"/>
      <c r="B743" s="1548"/>
      <c r="C743" s="7978"/>
      <c r="D743" s="8008"/>
      <c r="E743" s="8018"/>
      <c r="F743" s="8020"/>
      <c r="G743" s="7482"/>
      <c r="H743" s="7482"/>
      <c r="I743" s="7482"/>
      <c r="J743" s="7586"/>
      <c r="K743" s="7882"/>
      <c r="L743" s="2126" t="s">
        <v>2901</v>
      </c>
      <c r="M743" s="386"/>
      <c r="N743" s="386"/>
      <c r="O743" s="386"/>
      <c r="P743" s="386"/>
      <c r="Q743" s="386"/>
    </row>
    <row r="744" spans="1:17" ht="30" customHeight="1" x14ac:dyDescent="0.2">
      <c r="A744" s="7655"/>
      <c r="B744" s="1549"/>
      <c r="C744" s="7976"/>
      <c r="D744" s="8009"/>
      <c r="E744" s="8019"/>
      <c r="F744" s="8020"/>
      <c r="G744" s="7482"/>
      <c r="H744" s="7482"/>
      <c r="I744" s="7482"/>
      <c r="J744" s="7586"/>
      <c r="K744" s="7882"/>
      <c r="L744" s="2126" t="s">
        <v>2900</v>
      </c>
      <c r="M744" s="386"/>
      <c r="N744" s="386"/>
      <c r="O744" s="386"/>
      <c r="P744" s="386"/>
      <c r="Q744" s="386"/>
    </row>
    <row r="745" spans="1:17" ht="30" customHeight="1" x14ac:dyDescent="0.2">
      <c r="A745" s="7654"/>
      <c r="B745" s="7973" t="s">
        <v>2899</v>
      </c>
      <c r="C745" s="7975" t="s">
        <v>402</v>
      </c>
      <c r="D745" s="2137">
        <v>190000000</v>
      </c>
      <c r="E745" s="1216">
        <v>4.4999999999999998E-2</v>
      </c>
      <c r="F745" s="2137">
        <v>8600000</v>
      </c>
      <c r="G745" s="178"/>
      <c r="H745" s="178"/>
      <c r="I745" s="178"/>
      <c r="J745" s="7586"/>
      <c r="K745" s="7882"/>
      <c r="L745" s="2126"/>
      <c r="M745" s="386"/>
      <c r="N745" s="386"/>
      <c r="O745" s="386"/>
      <c r="P745" s="386"/>
      <c r="Q745" s="386"/>
    </row>
    <row r="746" spans="1:17" ht="30" customHeight="1" x14ac:dyDescent="0.2">
      <c r="A746" s="7655"/>
      <c r="B746" s="7974"/>
      <c r="C746" s="7976"/>
      <c r="D746" s="2137">
        <v>90000000</v>
      </c>
      <c r="E746" s="1216">
        <v>0.06</v>
      </c>
      <c r="F746" s="2137">
        <f>D746*E746</f>
        <v>5400000</v>
      </c>
      <c r="G746" s="7"/>
      <c r="H746" s="7"/>
      <c r="I746" s="7"/>
      <c r="J746" s="7564"/>
      <c r="K746" s="7817"/>
      <c r="L746" s="2126"/>
      <c r="M746" s="386"/>
      <c r="N746" s="386"/>
      <c r="O746" s="386"/>
      <c r="P746" s="386"/>
      <c r="Q746" s="386"/>
    </row>
    <row r="747" spans="1:17" ht="30" customHeight="1" x14ac:dyDescent="0.2">
      <c r="A747" s="2655"/>
      <c r="B747" s="2670" t="s">
        <v>2899</v>
      </c>
      <c r="C747" s="2671" t="s">
        <v>1718</v>
      </c>
      <c r="D747" s="2675">
        <v>400000000</v>
      </c>
      <c r="E747" s="1216">
        <v>7.0000000000000007E-2</v>
      </c>
      <c r="F747" s="2675">
        <f>D747*E747</f>
        <v>28000000.000000004</v>
      </c>
      <c r="G747" s="7"/>
      <c r="H747" s="7"/>
      <c r="I747" s="1965"/>
      <c r="J747" s="2656"/>
      <c r="K747" s="2662"/>
      <c r="L747" s="2672" t="s">
        <v>4694</v>
      </c>
      <c r="M747" s="386"/>
      <c r="N747" s="386"/>
      <c r="O747" s="386"/>
      <c r="P747" s="386"/>
      <c r="Q747" s="386"/>
    </row>
    <row r="748" spans="1:17" ht="30" customHeight="1" x14ac:dyDescent="0.2">
      <c r="A748" s="2655"/>
      <c r="B748" s="2670" t="s">
        <v>4692</v>
      </c>
      <c r="C748" s="2671" t="s">
        <v>2278</v>
      </c>
      <c r="D748" s="2675">
        <v>100000000</v>
      </c>
      <c r="E748" s="1216">
        <v>7.0000000000000007E-2</v>
      </c>
      <c r="F748" s="2675">
        <f>D748*E748</f>
        <v>7000000.0000000009</v>
      </c>
      <c r="G748" s="7"/>
      <c r="H748" s="7"/>
      <c r="I748" s="1965"/>
      <c r="J748" s="2656"/>
      <c r="K748" s="2662"/>
      <c r="L748" s="2672" t="s">
        <v>4693</v>
      </c>
      <c r="M748" s="386"/>
      <c r="N748" s="386"/>
      <c r="O748" s="386"/>
      <c r="P748" s="386"/>
      <c r="Q748" s="386"/>
    </row>
    <row r="749" spans="1:17" ht="30" customHeight="1" x14ac:dyDescent="0.2">
      <c r="A749" s="2103"/>
      <c r="B749" s="2122" t="s">
        <v>2206</v>
      </c>
      <c r="C749" s="2123" t="s">
        <v>1306</v>
      </c>
      <c r="D749" s="2137">
        <v>150000000</v>
      </c>
      <c r="E749" s="1216">
        <v>0.05</v>
      </c>
      <c r="F749" s="2137">
        <f>D749*E749</f>
        <v>7500000</v>
      </c>
      <c r="G749" s="2074">
        <v>7500000</v>
      </c>
      <c r="H749" s="2074" t="s">
        <v>2125</v>
      </c>
      <c r="I749" s="2089" t="s">
        <v>4539</v>
      </c>
      <c r="J749" s="2074">
        <f>G749</f>
        <v>7500000</v>
      </c>
      <c r="K749" s="2099">
        <f>F749-J749</f>
        <v>0</v>
      </c>
      <c r="L749" s="2116"/>
      <c r="M749" s="386"/>
      <c r="N749" s="386"/>
      <c r="O749" s="386"/>
      <c r="P749" s="386"/>
      <c r="Q749" s="386"/>
    </row>
    <row r="750" spans="1:17" ht="30" customHeight="1" x14ac:dyDescent="0.2">
      <c r="A750" s="2103"/>
      <c r="B750" s="2104"/>
      <c r="C750" s="2084"/>
      <c r="D750" s="2074"/>
      <c r="E750" s="2101"/>
      <c r="F750" s="2074"/>
      <c r="G750" s="2074"/>
      <c r="H750" s="2074"/>
      <c r="I750" s="2089"/>
      <c r="J750" s="2074"/>
      <c r="K750" s="2099"/>
      <c r="L750" s="2127"/>
      <c r="M750" s="386"/>
      <c r="N750" s="386"/>
      <c r="O750" s="386"/>
      <c r="P750" s="386"/>
      <c r="Q750" s="386"/>
    </row>
    <row r="751" spans="1:17" ht="30" customHeight="1" x14ac:dyDescent="0.2">
      <c r="A751" s="2103"/>
      <c r="B751" s="19" t="s">
        <v>180</v>
      </c>
      <c r="C751" s="2084" t="s">
        <v>2849</v>
      </c>
      <c r="D751" s="2074">
        <v>100000000</v>
      </c>
      <c r="E751" s="2101"/>
      <c r="F751" s="2074"/>
      <c r="G751" s="2062">
        <v>4000000</v>
      </c>
      <c r="H751" s="2062" t="s">
        <v>4395</v>
      </c>
      <c r="I751" s="2062" t="s">
        <v>930</v>
      </c>
      <c r="J751" s="2062">
        <f>G751</f>
        <v>4000000</v>
      </c>
      <c r="K751" s="2099">
        <f t="shared" ref="K751:K758" si="87">F751-J751</f>
        <v>-4000000</v>
      </c>
      <c r="L751" s="2127"/>
      <c r="M751" s="386"/>
      <c r="N751" s="386"/>
      <c r="O751" s="386"/>
      <c r="P751" s="386"/>
      <c r="Q751" s="386"/>
    </row>
    <row r="752" spans="1:17" ht="30" customHeight="1" x14ac:dyDescent="0.2">
      <c r="A752" s="2664"/>
      <c r="B752" s="19" t="s">
        <v>4695</v>
      </c>
      <c r="C752" s="2659" t="s">
        <v>989</v>
      </c>
      <c r="D752" s="2656">
        <v>50000000</v>
      </c>
      <c r="E752" s="2663">
        <v>0.05</v>
      </c>
      <c r="F752" s="2656">
        <f>D752*E752</f>
        <v>2500000</v>
      </c>
      <c r="G752" s="2656">
        <v>2500000</v>
      </c>
      <c r="H752" s="2656" t="s">
        <v>4761</v>
      </c>
      <c r="I752" s="2660" t="s">
        <v>4764</v>
      </c>
      <c r="J752" s="2656">
        <f>G752</f>
        <v>2500000</v>
      </c>
      <c r="K752" s="2662">
        <f>F752-J752</f>
        <v>0</v>
      </c>
      <c r="L752" s="2700" t="s">
        <v>4696</v>
      </c>
      <c r="M752" s="386"/>
      <c r="N752" s="386"/>
      <c r="O752" s="386"/>
      <c r="P752" s="386"/>
      <c r="Q752" s="386"/>
    </row>
    <row r="753" spans="1:17" ht="30" customHeight="1" x14ac:dyDescent="0.2">
      <c r="A753" s="2103"/>
      <c r="B753" s="2104" t="s">
        <v>2873</v>
      </c>
      <c r="C753" s="2084" t="s">
        <v>1172</v>
      </c>
      <c r="D753" s="2074">
        <v>40000000</v>
      </c>
      <c r="E753" s="2101">
        <v>0.05</v>
      </c>
      <c r="F753" s="2074">
        <f>D753*E753</f>
        <v>2000000</v>
      </c>
      <c r="G753" s="2074">
        <v>2000000</v>
      </c>
      <c r="H753" s="2074" t="s">
        <v>1193</v>
      </c>
      <c r="I753" s="2089" t="s">
        <v>4078</v>
      </c>
      <c r="J753" s="2074">
        <f>G753</f>
        <v>2000000</v>
      </c>
      <c r="K753" s="2099">
        <f t="shared" si="87"/>
        <v>0</v>
      </c>
      <c r="L753" s="2127"/>
      <c r="M753" s="386"/>
      <c r="N753" s="386"/>
      <c r="O753" s="386"/>
      <c r="P753" s="386"/>
      <c r="Q753" s="386"/>
    </row>
    <row r="754" spans="1:17" ht="30" customHeight="1" x14ac:dyDescent="0.2">
      <c r="A754" s="2103"/>
      <c r="B754" s="2104" t="s">
        <v>2878</v>
      </c>
      <c r="C754" s="2084" t="s">
        <v>1718</v>
      </c>
      <c r="D754" s="2074">
        <v>25000000</v>
      </c>
      <c r="E754" s="2101">
        <v>0.04</v>
      </c>
      <c r="F754" s="2074">
        <f>D754*E754</f>
        <v>1000000</v>
      </c>
      <c r="G754" s="2074">
        <v>1000000</v>
      </c>
      <c r="H754" s="2074" t="s">
        <v>4426</v>
      </c>
      <c r="I754" s="2089" t="s">
        <v>4062</v>
      </c>
      <c r="J754" s="2074">
        <f>G754</f>
        <v>1000000</v>
      </c>
      <c r="K754" s="2099">
        <f t="shared" si="87"/>
        <v>0</v>
      </c>
      <c r="L754" s="2127"/>
      <c r="M754" s="386"/>
      <c r="N754" s="386"/>
      <c r="O754" s="386"/>
      <c r="P754" s="386"/>
      <c r="Q754" s="386"/>
    </row>
    <row r="755" spans="1:17" ht="30" customHeight="1" x14ac:dyDescent="0.2">
      <c r="A755" s="2103"/>
      <c r="B755" s="2104" t="s">
        <v>2932</v>
      </c>
      <c r="C755" s="2084"/>
      <c r="D755" s="2074">
        <v>50000000</v>
      </c>
      <c r="E755" s="2101">
        <v>0.05</v>
      </c>
      <c r="F755" s="2074">
        <f>D755*E755</f>
        <v>2500000</v>
      </c>
      <c r="G755" s="2074">
        <v>2500000</v>
      </c>
      <c r="H755" s="2074" t="s">
        <v>4402</v>
      </c>
      <c r="I755" s="2089" t="s">
        <v>4092</v>
      </c>
      <c r="J755" s="2074">
        <f t="shared" ref="J755:J758" si="88">G755</f>
        <v>2500000</v>
      </c>
      <c r="K755" s="2099">
        <f t="shared" si="87"/>
        <v>0</v>
      </c>
      <c r="L755" s="2127"/>
      <c r="M755" s="386"/>
      <c r="N755" s="386"/>
      <c r="O755" s="386"/>
      <c r="P755" s="386"/>
      <c r="Q755" s="386"/>
    </row>
    <row r="756" spans="1:17" ht="30" customHeight="1" x14ac:dyDescent="0.2">
      <c r="A756" s="2301"/>
      <c r="B756" s="19" t="s">
        <v>2938</v>
      </c>
      <c r="C756" s="2787" t="s">
        <v>1138</v>
      </c>
      <c r="D756" s="2783">
        <v>10000000</v>
      </c>
      <c r="E756" s="2786">
        <v>0.05</v>
      </c>
      <c r="F756" s="2783">
        <f>D756*E756</f>
        <v>500000</v>
      </c>
      <c r="G756" s="2783">
        <v>500000</v>
      </c>
      <c r="H756" s="2783" t="s">
        <v>1193</v>
      </c>
      <c r="I756" s="2783" t="s">
        <v>3430</v>
      </c>
      <c r="J756" s="2783">
        <f t="shared" si="88"/>
        <v>500000</v>
      </c>
      <c r="K756" s="2785">
        <f t="shared" si="87"/>
        <v>0</v>
      </c>
      <c r="L756" s="2127" t="s">
        <v>3952</v>
      </c>
      <c r="M756" s="386"/>
      <c r="N756" s="386"/>
      <c r="O756" s="386"/>
      <c r="P756" s="386"/>
      <c r="Q756" s="386"/>
    </row>
    <row r="757" spans="1:17" ht="30" customHeight="1" x14ac:dyDescent="0.2">
      <c r="A757" s="2103"/>
      <c r="B757" s="2303" t="s">
        <v>2943</v>
      </c>
      <c r="C757" s="2084"/>
      <c r="D757" s="2079"/>
      <c r="E757" s="2312"/>
      <c r="F757" s="2079"/>
      <c r="G757" s="2074"/>
      <c r="H757" s="2074"/>
      <c r="I757" s="2089"/>
      <c r="J757" s="2074">
        <f t="shared" si="88"/>
        <v>0</v>
      </c>
      <c r="K757" s="2100">
        <f t="shared" si="87"/>
        <v>0</v>
      </c>
      <c r="L757" s="2127"/>
      <c r="M757" s="386"/>
      <c r="N757" s="386"/>
      <c r="O757" s="386"/>
      <c r="P757" s="386"/>
      <c r="Q757" s="386"/>
    </row>
    <row r="758" spans="1:17" ht="30" customHeight="1" x14ac:dyDescent="0.2">
      <c r="A758" s="7654"/>
      <c r="B758" s="7652" t="s">
        <v>3037</v>
      </c>
      <c r="C758" s="7723" t="s">
        <v>1306</v>
      </c>
      <c r="D758" s="2074">
        <v>30000000</v>
      </c>
      <c r="E758" s="2101">
        <v>0.05</v>
      </c>
      <c r="F758" s="2074">
        <f t="shared" ref="F758:F763" si="89">D758*E758</f>
        <v>1500000</v>
      </c>
      <c r="G758" s="2062">
        <v>1500000</v>
      </c>
      <c r="H758" s="2062" t="s">
        <v>4596</v>
      </c>
      <c r="I758" s="2062" t="s">
        <v>3719</v>
      </c>
      <c r="J758" s="2062">
        <f t="shared" si="88"/>
        <v>1500000</v>
      </c>
      <c r="K758" s="2099">
        <f t="shared" si="87"/>
        <v>0</v>
      </c>
      <c r="L758" s="2127" t="s">
        <v>3393</v>
      </c>
      <c r="M758" s="386"/>
      <c r="N758" s="386"/>
      <c r="O758" s="386"/>
      <c r="P758" s="386"/>
      <c r="Q758" s="386"/>
    </row>
    <row r="759" spans="1:17" ht="30" customHeight="1" x14ac:dyDescent="0.2">
      <c r="A759" s="7656"/>
      <c r="B759" s="7665"/>
      <c r="C759" s="7747"/>
      <c r="D759" s="2404">
        <v>15000000</v>
      </c>
      <c r="E759" s="2407">
        <v>0.05</v>
      </c>
      <c r="F759" s="2404">
        <f t="shared" si="89"/>
        <v>750000</v>
      </c>
      <c r="G759" s="7470" t="s">
        <v>4492</v>
      </c>
      <c r="H759" s="7493"/>
      <c r="I759" s="7493"/>
      <c r="J759" s="7510"/>
      <c r="K759" s="2406"/>
      <c r="L759" s="2408"/>
      <c r="M759" s="386"/>
      <c r="N759" s="386"/>
      <c r="O759" s="386"/>
      <c r="P759" s="386"/>
      <c r="Q759" s="386"/>
    </row>
    <row r="760" spans="1:17" ht="30" customHeight="1" x14ac:dyDescent="0.2">
      <c r="A760" s="7655"/>
      <c r="B760" s="7653"/>
      <c r="C760" s="7724"/>
      <c r="D760" s="2404">
        <v>15000000</v>
      </c>
      <c r="E760" s="2407">
        <v>0.05</v>
      </c>
      <c r="F760" s="2404">
        <f t="shared" si="89"/>
        <v>750000</v>
      </c>
      <c r="G760" s="7470" t="s">
        <v>4493</v>
      </c>
      <c r="H760" s="7493"/>
      <c r="I760" s="7493"/>
      <c r="J760" s="7510"/>
      <c r="K760" s="2406"/>
      <c r="L760" s="2408" t="s">
        <v>4683</v>
      </c>
      <c r="M760" s="386"/>
      <c r="N760" s="386"/>
      <c r="O760" s="386"/>
      <c r="P760" s="386"/>
      <c r="Q760" s="386"/>
    </row>
    <row r="761" spans="1:17" ht="30" customHeight="1" x14ac:dyDescent="0.2">
      <c r="A761" s="2103"/>
      <c r="B761" s="2104" t="s">
        <v>3040</v>
      </c>
      <c r="C761" s="2084"/>
      <c r="D761" s="2074">
        <f>1000000000+19000000</f>
        <v>1019000000</v>
      </c>
      <c r="E761" s="2101">
        <v>7.0000000000000007E-2</v>
      </c>
      <c r="F761" s="2074">
        <f t="shared" si="89"/>
        <v>71330000</v>
      </c>
      <c r="G761" s="2074"/>
      <c r="H761" s="2074"/>
      <c r="I761" s="2089" t="s">
        <v>4088</v>
      </c>
      <c r="J761" s="2074">
        <f>G761</f>
        <v>0</v>
      </c>
      <c r="K761" s="2099">
        <v>0</v>
      </c>
      <c r="L761" s="2127" t="s">
        <v>4089</v>
      </c>
      <c r="M761" s="386"/>
      <c r="N761" s="386"/>
      <c r="O761" s="386"/>
      <c r="P761" s="386"/>
      <c r="Q761" s="386"/>
    </row>
    <row r="762" spans="1:17" ht="30" customHeight="1" x14ac:dyDescent="0.2">
      <c r="A762" s="2103"/>
      <c r="B762" s="2104" t="s">
        <v>3071</v>
      </c>
      <c r="C762" s="2084" t="s">
        <v>889</v>
      </c>
      <c r="D762" s="2074">
        <v>100000000</v>
      </c>
      <c r="E762" s="2101">
        <v>0.05</v>
      </c>
      <c r="F762" s="2074">
        <f t="shared" si="89"/>
        <v>5000000</v>
      </c>
      <c r="G762" s="2074">
        <v>5000000</v>
      </c>
      <c r="H762" s="2074" t="s">
        <v>4331</v>
      </c>
      <c r="I762" s="2089" t="s">
        <v>3966</v>
      </c>
      <c r="J762" s="2074">
        <f>G762</f>
        <v>5000000</v>
      </c>
      <c r="K762" s="2099">
        <f>F762-J762</f>
        <v>0</v>
      </c>
      <c r="L762" s="7806"/>
      <c r="M762" s="7807"/>
      <c r="N762" s="7807"/>
      <c r="O762" s="7807"/>
      <c r="P762" s="7808"/>
      <c r="Q762" s="386"/>
    </row>
    <row r="763" spans="1:17" ht="30" customHeight="1" x14ac:dyDescent="0.2">
      <c r="A763" s="7654"/>
      <c r="B763" s="7652" t="s">
        <v>3764</v>
      </c>
      <c r="C763" s="7723"/>
      <c r="D763" s="7563">
        <v>30000000</v>
      </c>
      <c r="E763" s="7659">
        <v>7.0000000000000007E-2</v>
      </c>
      <c r="F763" s="7563">
        <f t="shared" si="89"/>
        <v>2100000</v>
      </c>
      <c r="G763" s="7563">
        <v>2100000</v>
      </c>
      <c r="H763" s="7563" t="s">
        <v>4761</v>
      </c>
      <c r="I763" s="7563" t="s">
        <v>4141</v>
      </c>
      <c r="J763" s="7563">
        <f>G763</f>
        <v>2100000</v>
      </c>
      <c r="K763" s="7816">
        <f>F763-J763</f>
        <v>0</v>
      </c>
      <c r="L763" s="7811"/>
      <c r="M763" s="386"/>
      <c r="N763" s="386"/>
      <c r="O763" s="386"/>
      <c r="P763" s="386"/>
      <c r="Q763" s="386"/>
    </row>
    <row r="764" spans="1:17" ht="30" customHeight="1" x14ac:dyDescent="0.2">
      <c r="A764" s="7655"/>
      <c r="B764" s="7653"/>
      <c r="C764" s="7724"/>
      <c r="D764" s="7564"/>
      <c r="E764" s="7660"/>
      <c r="F764" s="7564"/>
      <c r="G764" s="7564"/>
      <c r="H764" s="7564"/>
      <c r="I764" s="7564"/>
      <c r="J764" s="7564"/>
      <c r="K764" s="7817"/>
      <c r="L764" s="7812"/>
      <c r="M764" s="386"/>
      <c r="N764" s="386"/>
      <c r="O764" s="386"/>
      <c r="P764" s="386"/>
      <c r="Q764" s="386"/>
    </row>
    <row r="765" spans="1:17" ht="30" customHeight="1" x14ac:dyDescent="0.2">
      <c r="A765" s="7654"/>
      <c r="B765" s="7652" t="s">
        <v>3954</v>
      </c>
      <c r="C765" s="7723"/>
      <c r="D765" s="2074">
        <v>200000000</v>
      </c>
      <c r="E765" s="2077">
        <v>0.05</v>
      </c>
      <c r="F765" s="2074">
        <f>D765*E765</f>
        <v>10000000</v>
      </c>
      <c r="G765" s="2062">
        <v>10000000</v>
      </c>
      <c r="H765" s="2062" t="s">
        <v>4761</v>
      </c>
      <c r="I765" s="2062" t="s">
        <v>4147</v>
      </c>
      <c r="J765" s="2062">
        <f>G765</f>
        <v>10000000</v>
      </c>
      <c r="K765" s="2099">
        <f>F765-J765</f>
        <v>0</v>
      </c>
      <c r="L765" s="2116"/>
      <c r="M765" s="386"/>
      <c r="N765" s="386"/>
      <c r="O765" s="386"/>
      <c r="P765" s="386"/>
      <c r="Q765" s="386"/>
    </row>
    <row r="766" spans="1:17" ht="30" customHeight="1" x14ac:dyDescent="0.2">
      <c r="A766" s="7655"/>
      <c r="B766" s="7653"/>
      <c r="C766" s="7724"/>
      <c r="D766" s="2762">
        <v>100000000</v>
      </c>
      <c r="E766" s="2763"/>
      <c r="F766" s="2762"/>
      <c r="G766" s="2761"/>
      <c r="H766" s="2761"/>
      <c r="I766" s="2761"/>
      <c r="J766" s="2761"/>
      <c r="K766" s="2767"/>
      <c r="L766" s="2768" t="s">
        <v>4763</v>
      </c>
      <c r="M766" s="386"/>
      <c r="N766" s="386"/>
      <c r="O766" s="386"/>
      <c r="P766" s="386"/>
      <c r="Q766" s="386"/>
    </row>
    <row r="767" spans="1:17" ht="30" customHeight="1" x14ac:dyDescent="0.2">
      <c r="A767" s="7654"/>
      <c r="B767" s="7652" t="s">
        <v>3159</v>
      </c>
      <c r="C767" s="7723" t="s">
        <v>989</v>
      </c>
      <c r="D767" s="2074">
        <v>50000000</v>
      </c>
      <c r="E767" s="2077">
        <v>0.05</v>
      </c>
      <c r="F767" s="2074">
        <f>D767*E767</f>
        <v>2500000</v>
      </c>
      <c r="G767" s="2062">
        <v>2500000</v>
      </c>
      <c r="H767" s="2062" t="s">
        <v>1193</v>
      </c>
      <c r="I767" s="2062" t="s">
        <v>4379</v>
      </c>
      <c r="J767" s="2062">
        <f>G767</f>
        <v>2500000</v>
      </c>
      <c r="K767" s="2099">
        <f>F767-J767</f>
        <v>0</v>
      </c>
      <c r="L767" s="2116" t="s">
        <v>4779</v>
      </c>
      <c r="M767" s="386"/>
      <c r="N767" s="386"/>
      <c r="O767" s="386"/>
      <c r="P767" s="386"/>
      <c r="Q767" s="386"/>
    </row>
    <row r="768" spans="1:17" ht="30" customHeight="1" x14ac:dyDescent="0.2">
      <c r="A768" s="7655"/>
      <c r="B768" s="7653"/>
      <c r="C768" s="7724"/>
      <c r="D768" s="2762">
        <v>50000000</v>
      </c>
      <c r="E768" s="2763">
        <v>0.05</v>
      </c>
      <c r="F768" s="2762">
        <f>D768*E768</f>
        <v>2500000</v>
      </c>
      <c r="G768" s="2761">
        <v>2500000</v>
      </c>
      <c r="H768" s="2761" t="s">
        <v>4778</v>
      </c>
      <c r="I768" s="2761" t="s">
        <v>4379</v>
      </c>
      <c r="J768" s="2761">
        <f>G768</f>
        <v>2500000</v>
      </c>
      <c r="K768" s="2767">
        <f>F768-J768</f>
        <v>0</v>
      </c>
      <c r="L768" s="2768" t="s">
        <v>4780</v>
      </c>
      <c r="M768" s="386"/>
      <c r="N768" s="386"/>
      <c r="O768" s="386"/>
      <c r="P768" s="386"/>
      <c r="Q768" s="386"/>
    </row>
    <row r="769" spans="1:17" ht="30" customHeight="1" x14ac:dyDescent="0.2">
      <c r="A769" s="146"/>
      <c r="B769" s="2087" t="s">
        <v>3164</v>
      </c>
      <c r="C769" s="2659" t="s">
        <v>3323</v>
      </c>
      <c r="D769" s="2074">
        <v>400000000</v>
      </c>
      <c r="E769" s="2101">
        <v>0.04</v>
      </c>
      <c r="F769" s="2074">
        <f>D769*E769</f>
        <v>16000000</v>
      </c>
      <c r="G769" s="2062"/>
      <c r="H769" s="2062"/>
      <c r="I769" s="2062"/>
      <c r="J769" s="2062"/>
      <c r="K769" s="2099"/>
      <c r="L769" s="2127"/>
      <c r="M769" s="386"/>
      <c r="N769" s="386"/>
      <c r="O769" s="386"/>
      <c r="P769" s="386"/>
      <c r="Q769" s="386"/>
    </row>
    <row r="770" spans="1:17" ht="30" customHeight="1" x14ac:dyDescent="0.2">
      <c r="A770" s="7654"/>
      <c r="B770" s="7661" t="s">
        <v>825</v>
      </c>
      <c r="C770" s="7703"/>
      <c r="D770" s="2264"/>
      <c r="E770" s="2199"/>
      <c r="F770" s="2263"/>
      <c r="G770" s="2199">
        <v>20000000</v>
      </c>
      <c r="H770" s="2199" t="s">
        <v>4331</v>
      </c>
      <c r="I770" s="2199" t="s">
        <v>855</v>
      </c>
      <c r="J770" s="2199">
        <f t="shared" ref="J770:J780" si="90">G770</f>
        <v>20000000</v>
      </c>
      <c r="K770" s="2196"/>
      <c r="L770" s="2127" t="s">
        <v>3867</v>
      </c>
      <c r="M770" s="386"/>
      <c r="N770" s="386"/>
      <c r="O770" s="386"/>
      <c r="P770" s="386"/>
      <c r="Q770" s="386"/>
    </row>
    <row r="771" spans="1:17" ht="30" customHeight="1" x14ac:dyDescent="0.2">
      <c r="A771" s="7655"/>
      <c r="B771" s="7663"/>
      <c r="C771" s="7705"/>
      <c r="D771" s="2572"/>
      <c r="E771" s="2569"/>
      <c r="F771" s="2570"/>
      <c r="G771" s="2569"/>
      <c r="H771" s="2569"/>
      <c r="I771" s="2569"/>
      <c r="J771" s="2569"/>
      <c r="K771" s="2573"/>
      <c r="L771" s="2575" t="s">
        <v>4628</v>
      </c>
      <c r="M771" s="386"/>
      <c r="N771" s="386"/>
      <c r="O771" s="386"/>
      <c r="P771" s="386"/>
      <c r="Q771" s="386"/>
    </row>
    <row r="772" spans="1:17" ht="30" customHeight="1" x14ac:dyDescent="0.2">
      <c r="A772" s="399"/>
      <c r="B772" s="2087" t="s">
        <v>3215</v>
      </c>
      <c r="C772" s="2084" t="s">
        <v>3216</v>
      </c>
      <c r="D772" s="2074">
        <v>120000000</v>
      </c>
      <c r="E772" s="2208">
        <v>0.04</v>
      </c>
      <c r="F772" s="2074">
        <f>D772*E772</f>
        <v>4800000</v>
      </c>
      <c r="G772" s="2211">
        <v>4800000</v>
      </c>
      <c r="H772" s="2211" t="s">
        <v>4596</v>
      </c>
      <c r="I772" s="2211" t="s">
        <v>1946</v>
      </c>
      <c r="J772" s="2211">
        <f t="shared" si="90"/>
        <v>4800000</v>
      </c>
      <c r="K772" s="2099">
        <f t="shared" ref="K772:K780" si="91">F772-J772</f>
        <v>0</v>
      </c>
      <c r="L772" s="2127"/>
      <c r="M772" s="386"/>
      <c r="N772" s="386"/>
      <c r="O772" s="386"/>
      <c r="P772" s="386"/>
      <c r="Q772" s="386"/>
    </row>
    <row r="773" spans="1:17" ht="30" customHeight="1" x14ac:dyDescent="0.2">
      <c r="A773" s="146"/>
      <c r="B773" s="2087" t="s">
        <v>3218</v>
      </c>
      <c r="C773" s="2084" t="s">
        <v>3219</v>
      </c>
      <c r="D773" s="2074">
        <v>100000000</v>
      </c>
      <c r="E773" s="2101">
        <v>0.05</v>
      </c>
      <c r="F773" s="2074">
        <f>D773*E773</f>
        <v>5000000</v>
      </c>
      <c r="G773" s="2062">
        <v>5000000</v>
      </c>
      <c r="H773" s="2062" t="s">
        <v>4310</v>
      </c>
      <c r="I773" s="2062" t="s">
        <v>3520</v>
      </c>
      <c r="J773" s="2062">
        <f t="shared" si="90"/>
        <v>5000000</v>
      </c>
      <c r="K773" s="2099">
        <f t="shared" si="91"/>
        <v>0</v>
      </c>
      <c r="L773" s="2127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7" t="s">
        <v>3221</v>
      </c>
      <c r="C774" s="2084" t="s">
        <v>1796</v>
      </c>
      <c r="D774" s="2074">
        <v>50000000</v>
      </c>
      <c r="E774" s="2101">
        <v>0.05</v>
      </c>
      <c r="F774" s="2074">
        <f>D774*E774</f>
        <v>2500000</v>
      </c>
      <c r="G774" s="2062">
        <v>2500000</v>
      </c>
      <c r="H774" s="2062" t="s">
        <v>4775</v>
      </c>
      <c r="I774" s="2062" t="s">
        <v>4777</v>
      </c>
      <c r="J774" s="2062">
        <f t="shared" si="90"/>
        <v>2500000</v>
      </c>
      <c r="K774" s="2099">
        <f t="shared" si="91"/>
        <v>0</v>
      </c>
      <c r="L774" s="2127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154" t="s">
        <v>3224</v>
      </c>
      <c r="C775" s="2166"/>
      <c r="D775" s="2166"/>
      <c r="E775" s="40"/>
      <c r="F775" s="2151"/>
      <c r="G775" s="2156">
        <v>5000000</v>
      </c>
      <c r="H775" s="2156" t="s">
        <v>4436</v>
      </c>
      <c r="I775" s="2156" t="s">
        <v>3226</v>
      </c>
      <c r="J775" s="2156">
        <f t="shared" si="90"/>
        <v>5000000</v>
      </c>
      <c r="K775" s="2158">
        <f t="shared" si="91"/>
        <v>-5000000</v>
      </c>
      <c r="L775" s="2177" t="s">
        <v>3230</v>
      </c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087" t="s">
        <v>3257</v>
      </c>
      <c r="C776" s="2084" t="s">
        <v>402</v>
      </c>
      <c r="D776" s="2074">
        <v>40000000</v>
      </c>
      <c r="E776" s="2101">
        <v>0.05</v>
      </c>
      <c r="F776" s="2074">
        <f>D776*E776</f>
        <v>2000000</v>
      </c>
      <c r="G776" s="2332">
        <v>2000000</v>
      </c>
      <c r="H776" s="2332" t="s">
        <v>4402</v>
      </c>
      <c r="I776" s="54" t="s">
        <v>4418</v>
      </c>
      <c r="J776" s="2332">
        <f t="shared" si="90"/>
        <v>2000000</v>
      </c>
      <c r="K776" s="2352">
        <f t="shared" si="91"/>
        <v>0</v>
      </c>
      <c r="L776" s="2127"/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7" t="s">
        <v>3293</v>
      </c>
      <c r="C777" s="2087"/>
      <c r="D777" s="2074">
        <v>15000000</v>
      </c>
      <c r="E777" s="2101">
        <v>0.05</v>
      </c>
      <c r="F777" s="2074">
        <f>D777*E777</f>
        <v>750000</v>
      </c>
      <c r="G777" s="2062">
        <v>750000</v>
      </c>
      <c r="H777" s="2062" t="s">
        <v>4775</v>
      </c>
      <c r="I777" s="2062" t="s">
        <v>3949</v>
      </c>
      <c r="J777" s="2062">
        <f t="shared" si="90"/>
        <v>750000</v>
      </c>
      <c r="K777" s="2099">
        <f t="shared" si="91"/>
        <v>0</v>
      </c>
      <c r="L777" s="2127" t="s">
        <v>3868</v>
      </c>
      <c r="M777" s="386"/>
      <c r="N777" s="386"/>
      <c r="O777" s="386"/>
      <c r="P777" s="386"/>
      <c r="Q777" s="386"/>
    </row>
    <row r="778" spans="1:17" ht="30" customHeight="1" x14ac:dyDescent="0.2">
      <c r="A778" s="2103"/>
      <c r="B778" s="3" t="s">
        <v>3296</v>
      </c>
      <c r="C778" s="2084" t="s">
        <v>942</v>
      </c>
      <c r="D778" s="2074">
        <v>150000000</v>
      </c>
      <c r="E778" s="2101">
        <v>0.05</v>
      </c>
      <c r="F778" s="2074">
        <f>D778*E778</f>
        <v>7500000</v>
      </c>
      <c r="G778" s="2062">
        <v>7500000</v>
      </c>
      <c r="H778" s="2062" t="s">
        <v>4310</v>
      </c>
      <c r="I778" s="2062" t="s">
        <v>3887</v>
      </c>
      <c r="J778" s="2062">
        <f t="shared" si="90"/>
        <v>7500000</v>
      </c>
      <c r="K778" s="2099">
        <f t="shared" si="91"/>
        <v>0</v>
      </c>
      <c r="L778" s="2127"/>
      <c r="M778" s="386"/>
      <c r="N778" s="386"/>
      <c r="O778" s="386"/>
      <c r="P778" s="386"/>
      <c r="Q778" s="386"/>
    </row>
    <row r="779" spans="1:17" ht="30" customHeight="1" x14ac:dyDescent="0.2">
      <c r="A779" s="2103"/>
      <c r="B779" s="3" t="s">
        <v>3308</v>
      </c>
      <c r="C779" s="2084" t="s">
        <v>3323</v>
      </c>
      <c r="D779" s="2074">
        <v>20000000</v>
      </c>
      <c r="E779" s="2101">
        <v>0.05</v>
      </c>
      <c r="F779" s="2074">
        <f>D779*E779</f>
        <v>1000000</v>
      </c>
      <c r="G779" s="2062">
        <v>1000000</v>
      </c>
      <c r="H779" s="2062" t="s">
        <v>4299</v>
      </c>
      <c r="I779" s="2062" t="s">
        <v>3901</v>
      </c>
      <c r="J779" s="2062">
        <f t="shared" si="90"/>
        <v>1000000</v>
      </c>
      <c r="K779" s="2099">
        <f t="shared" si="91"/>
        <v>0</v>
      </c>
      <c r="L779" s="2127" t="s">
        <v>3309</v>
      </c>
      <c r="M779" s="386"/>
      <c r="N779" s="386"/>
      <c r="O779" s="386"/>
      <c r="P779" s="386"/>
      <c r="Q779" s="386"/>
    </row>
    <row r="780" spans="1:17" ht="30" customHeight="1" x14ac:dyDescent="0.2">
      <c r="A780" s="2103"/>
      <c r="B780" s="3" t="s">
        <v>4305</v>
      </c>
      <c r="C780" s="2084" t="s">
        <v>889</v>
      </c>
      <c r="D780" s="2074">
        <v>200000000</v>
      </c>
      <c r="E780" s="2101">
        <v>0.05</v>
      </c>
      <c r="F780" s="2074">
        <f>D780*E780</f>
        <v>10000000</v>
      </c>
      <c r="G780" s="2062">
        <v>10000000</v>
      </c>
      <c r="H780" s="2062" t="s">
        <v>4299</v>
      </c>
      <c r="I780" s="2062" t="s">
        <v>4306</v>
      </c>
      <c r="J780" s="2062">
        <f t="shared" si="90"/>
        <v>10000000</v>
      </c>
      <c r="K780" s="2185">
        <f t="shared" si="91"/>
        <v>0</v>
      </c>
      <c r="L780" s="2127"/>
      <c r="M780" s="386"/>
      <c r="N780" s="386"/>
      <c r="O780" s="386"/>
      <c r="P780" s="386"/>
      <c r="Q780" s="386"/>
    </row>
    <row r="781" spans="1:17" ht="30" customHeight="1" x14ac:dyDescent="0.2">
      <c r="A781" s="2103"/>
      <c r="B781" s="3" t="s">
        <v>3332</v>
      </c>
      <c r="C781" s="2087"/>
      <c r="D781" s="2117"/>
      <c r="E781" s="40"/>
      <c r="F781" s="2079"/>
      <c r="G781" s="2062"/>
      <c r="H781" s="2062"/>
      <c r="I781" s="2062"/>
      <c r="J781" s="2062">
        <f t="shared" ref="J781:J788" si="92">G781</f>
        <v>0</v>
      </c>
      <c r="K781" s="2100"/>
      <c r="L781" s="2127"/>
      <c r="M781" s="386"/>
      <c r="N781" s="386"/>
      <c r="O781" s="386"/>
      <c r="P781" s="386"/>
      <c r="Q781" s="386"/>
    </row>
    <row r="782" spans="1:17" ht="30" customHeight="1" x14ac:dyDescent="0.2">
      <c r="A782" s="7654"/>
      <c r="B782" s="7661" t="s">
        <v>3395</v>
      </c>
      <c r="C782" s="2084" t="s">
        <v>889</v>
      </c>
      <c r="D782" s="2074">
        <v>1000000000</v>
      </c>
      <c r="E782" s="2101">
        <v>0.06</v>
      </c>
      <c r="F782" s="2074">
        <f>D782*E782</f>
        <v>60000000</v>
      </c>
      <c r="G782" s="2074"/>
      <c r="H782" s="2074"/>
      <c r="I782" s="2089" t="s">
        <v>3940</v>
      </c>
      <c r="J782" s="2074">
        <f t="shared" si="92"/>
        <v>0</v>
      </c>
      <c r="K782" s="2099">
        <v>0</v>
      </c>
      <c r="L782" s="2127" t="s">
        <v>3722</v>
      </c>
      <c r="M782" s="386"/>
      <c r="N782" s="386"/>
      <c r="O782" s="386"/>
      <c r="P782" s="386"/>
      <c r="Q782" s="386"/>
    </row>
    <row r="783" spans="1:17" ht="30" customHeight="1" x14ac:dyDescent="0.2">
      <c r="A783" s="7655"/>
      <c r="B783" s="7663"/>
      <c r="C783" s="2084" t="s">
        <v>1298</v>
      </c>
      <c r="D783" s="2074">
        <v>500000000</v>
      </c>
      <c r="E783" s="2101">
        <v>6.5000000000000002E-2</v>
      </c>
      <c r="F783" s="2074">
        <f>D783*E783</f>
        <v>32500000</v>
      </c>
      <c r="G783" s="2074">
        <v>32500000</v>
      </c>
      <c r="H783" s="2074" t="s">
        <v>2125</v>
      </c>
      <c r="I783" s="2089" t="s">
        <v>3940</v>
      </c>
      <c r="J783" s="2074">
        <f t="shared" si="92"/>
        <v>32500000</v>
      </c>
      <c r="K783" s="2099">
        <f>F783-J783</f>
        <v>0</v>
      </c>
      <c r="L783" s="2127"/>
      <c r="M783" s="386"/>
      <c r="N783" s="386"/>
      <c r="O783" s="386"/>
      <c r="P783" s="386"/>
      <c r="Q783" s="386"/>
    </row>
    <row r="784" spans="1:17" ht="30" customHeight="1" x14ac:dyDescent="0.2">
      <c r="A784" s="2103"/>
      <c r="B784" s="3" t="s">
        <v>3514</v>
      </c>
      <c r="C784" s="2084"/>
      <c r="D784" s="2316">
        <v>120000000</v>
      </c>
      <c r="E784" s="2348">
        <v>0.05</v>
      </c>
      <c r="F784" s="2316">
        <f>D784*E784</f>
        <v>6000000</v>
      </c>
      <c r="G784" s="2316">
        <v>6000000</v>
      </c>
      <c r="H784" s="2316" t="s">
        <v>4361</v>
      </c>
      <c r="I784" s="2317" t="s">
        <v>678</v>
      </c>
      <c r="J784" s="2316">
        <f t="shared" si="92"/>
        <v>6000000</v>
      </c>
      <c r="K784" s="2349">
        <f>F784-J784</f>
        <v>0</v>
      </c>
      <c r="L784" s="2127"/>
      <c r="M784" s="386"/>
      <c r="N784" s="386"/>
      <c r="O784" s="386"/>
      <c r="P784" s="386"/>
      <c r="Q784" s="386"/>
    </row>
    <row r="785" spans="1:17" ht="30" customHeight="1" x14ac:dyDescent="0.2">
      <c r="A785" s="2063"/>
      <c r="B785" s="2086" t="s">
        <v>3424</v>
      </c>
      <c r="C785" s="2092"/>
      <c r="D785" s="2080"/>
      <c r="E785" s="2081"/>
      <c r="F785" s="2080"/>
      <c r="G785" s="2078"/>
      <c r="H785" s="2078"/>
      <c r="I785" s="2102" t="s">
        <v>3425</v>
      </c>
      <c r="J785" s="2078">
        <f t="shared" si="92"/>
        <v>0</v>
      </c>
      <c r="K785" s="1113"/>
      <c r="L785" s="2115"/>
      <c r="M785" s="386"/>
      <c r="N785" s="386"/>
      <c r="O785" s="386"/>
      <c r="P785" s="386"/>
      <c r="Q785" s="386"/>
    </row>
    <row r="786" spans="1:17" s="1539" customFormat="1" ht="30" customHeight="1" x14ac:dyDescent="0.2">
      <c r="A786" s="2103"/>
      <c r="B786" s="3" t="s">
        <v>3455</v>
      </c>
      <c r="C786" s="2105" t="s">
        <v>3483</v>
      </c>
      <c r="D786" s="2062">
        <v>25000000</v>
      </c>
      <c r="E786" s="2101">
        <v>0.05</v>
      </c>
      <c r="F786" s="2062">
        <f t="shared" ref="F786:F793" si="93">D786*E786</f>
        <v>1250000</v>
      </c>
      <c r="G786" s="2062">
        <v>1250000</v>
      </c>
      <c r="H786" s="2062" t="s">
        <v>4402</v>
      </c>
      <c r="I786" s="2062" t="s">
        <v>3992</v>
      </c>
      <c r="J786" s="2062">
        <f t="shared" si="92"/>
        <v>1250000</v>
      </c>
      <c r="K786" s="2060">
        <f>F786-J786</f>
        <v>0</v>
      </c>
      <c r="L786" s="2127" t="s">
        <v>3456</v>
      </c>
      <c r="M786" s="387"/>
      <c r="N786" s="387"/>
      <c r="O786" s="387"/>
      <c r="P786" s="387"/>
      <c r="Q786" s="387"/>
    </row>
    <row r="787" spans="1:17" s="184" customFormat="1" ht="30" customHeight="1" x14ac:dyDescent="0.2">
      <c r="A787" s="2103"/>
      <c r="B787" s="3" t="s">
        <v>3459</v>
      </c>
      <c r="C787" s="2105"/>
      <c r="D787" s="2088">
        <v>600000000</v>
      </c>
      <c r="E787" s="40">
        <v>0.06</v>
      </c>
      <c r="F787" s="2088">
        <f t="shared" si="93"/>
        <v>36000000</v>
      </c>
      <c r="G787" s="2088"/>
      <c r="H787" s="2088"/>
      <c r="I787" s="2088" t="s">
        <v>1401</v>
      </c>
      <c r="J787" s="2088">
        <f t="shared" si="92"/>
        <v>0</v>
      </c>
      <c r="K787" s="1030">
        <f>F787-J787</f>
        <v>36000000</v>
      </c>
      <c r="L787" s="2127"/>
      <c r="M787" s="386"/>
      <c r="N787" s="386"/>
      <c r="O787" s="386"/>
      <c r="P787" s="386"/>
      <c r="Q787" s="386"/>
    </row>
    <row r="788" spans="1:17" s="184" customFormat="1" ht="30" customHeight="1" x14ac:dyDescent="0.2">
      <c r="A788" s="7654"/>
      <c r="B788" s="8132" t="s">
        <v>3460</v>
      </c>
      <c r="C788" s="8134"/>
      <c r="D788" s="2548">
        <v>140000000</v>
      </c>
      <c r="E788" s="2549">
        <v>0.04</v>
      </c>
      <c r="F788" s="2548">
        <f t="shared" si="93"/>
        <v>5600000</v>
      </c>
      <c r="G788" s="8145">
        <v>7600000</v>
      </c>
      <c r="H788" s="8145" t="s">
        <v>4402</v>
      </c>
      <c r="I788" s="8145" t="s">
        <v>4850</v>
      </c>
      <c r="J788" s="8145">
        <f t="shared" si="92"/>
        <v>7600000</v>
      </c>
      <c r="K788" s="8207">
        <f>(F788+F789)-J788</f>
        <v>1200000</v>
      </c>
      <c r="L788" s="2116" t="s">
        <v>4075</v>
      </c>
      <c r="M788" s="386"/>
      <c r="N788" s="386"/>
      <c r="O788" s="386"/>
      <c r="P788" s="386"/>
      <c r="Q788" s="386"/>
    </row>
    <row r="789" spans="1:17" s="184" customFormat="1" ht="30" customHeight="1" x14ac:dyDescent="0.2">
      <c r="A789" s="7655"/>
      <c r="B789" s="8133"/>
      <c r="C789" s="8135"/>
      <c r="D789" s="2548">
        <v>80000000</v>
      </c>
      <c r="E789" s="2549">
        <v>0.04</v>
      </c>
      <c r="F789" s="2548">
        <f t="shared" si="93"/>
        <v>3200000</v>
      </c>
      <c r="G789" s="8147"/>
      <c r="H789" s="8147"/>
      <c r="I789" s="8147"/>
      <c r="J789" s="8147"/>
      <c r="K789" s="8208"/>
      <c r="L789" s="2116" t="s">
        <v>4416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2103"/>
      <c r="B790" s="3" t="s">
        <v>3480</v>
      </c>
      <c r="C790" s="2105" t="s">
        <v>372</v>
      </c>
      <c r="D790" s="2062">
        <v>85000000</v>
      </c>
      <c r="E790" s="2101">
        <v>7.0000000000000007E-2</v>
      </c>
      <c r="F790" s="2062">
        <f t="shared" si="93"/>
        <v>5950000.0000000009</v>
      </c>
      <c r="G790" s="2062">
        <v>5950000</v>
      </c>
      <c r="H790" s="2062" t="s">
        <v>4436</v>
      </c>
      <c r="I790" s="2062" t="s">
        <v>4448</v>
      </c>
      <c r="J790" s="2062">
        <f>G790</f>
        <v>5950000</v>
      </c>
      <c r="K790" s="2060">
        <f>F790-J790</f>
        <v>0</v>
      </c>
      <c r="L790" s="2127"/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3"/>
      <c r="B791" s="3" t="s">
        <v>3482</v>
      </c>
      <c r="C791" s="2105" t="s">
        <v>3483</v>
      </c>
      <c r="D791" s="2062">
        <v>70000000</v>
      </c>
      <c r="E791" s="2101">
        <v>0.05</v>
      </c>
      <c r="F791" s="2062">
        <f t="shared" si="93"/>
        <v>3500000</v>
      </c>
      <c r="G791" s="2062">
        <v>3500000</v>
      </c>
      <c r="H791" s="2062" t="s">
        <v>4426</v>
      </c>
      <c r="I791" s="2062" t="s">
        <v>4428</v>
      </c>
      <c r="J791" s="2062">
        <f>G791</f>
        <v>3500000</v>
      </c>
      <c r="K791" s="2060">
        <f>F791-J791</f>
        <v>0</v>
      </c>
      <c r="L791" s="2127" t="s">
        <v>3484</v>
      </c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3"/>
      <c r="B792" s="3" t="s">
        <v>3979</v>
      </c>
      <c r="C792" s="2105" t="s">
        <v>889</v>
      </c>
      <c r="D792" s="2062">
        <v>20000000</v>
      </c>
      <c r="E792" s="2101">
        <v>0.05</v>
      </c>
      <c r="F792" s="2062">
        <f t="shared" si="93"/>
        <v>1000000</v>
      </c>
      <c r="G792" s="2062"/>
      <c r="H792" s="2062"/>
      <c r="I792" s="2062" t="s">
        <v>3980</v>
      </c>
      <c r="J792" s="2062">
        <f>G792</f>
        <v>0</v>
      </c>
      <c r="K792" s="2060">
        <f>F792-J792</f>
        <v>1000000</v>
      </c>
      <c r="L792" s="2127" t="s">
        <v>3981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3"/>
      <c r="B793" s="3" t="s">
        <v>2952</v>
      </c>
      <c r="C793" s="2105" t="s">
        <v>402</v>
      </c>
      <c r="D793" s="2062">
        <v>150000000</v>
      </c>
      <c r="E793" s="2101">
        <v>0.06</v>
      </c>
      <c r="F793" s="2062">
        <f t="shared" si="93"/>
        <v>9000000</v>
      </c>
      <c r="G793" s="2062">
        <v>9000000</v>
      </c>
      <c r="H793" s="2062" t="s">
        <v>1193</v>
      </c>
      <c r="I793" s="2062" t="s">
        <v>3963</v>
      </c>
      <c r="J793" s="2062">
        <f>G793</f>
        <v>9000000</v>
      </c>
      <c r="K793" s="2062">
        <f>F793-J793</f>
        <v>0</v>
      </c>
      <c r="L793" s="2127"/>
      <c r="M793" s="386"/>
      <c r="N793" s="386"/>
      <c r="O793" s="386"/>
      <c r="P793" s="386"/>
      <c r="Q793" s="386"/>
    </row>
    <row r="794" spans="1:17" s="9" customFormat="1" ht="30" customHeight="1" x14ac:dyDescent="0.2">
      <c r="A794" s="2121"/>
      <c r="B794" s="2104" t="s">
        <v>153</v>
      </c>
      <c r="C794" s="2105"/>
      <c r="D794" s="2062">
        <v>10000000</v>
      </c>
      <c r="E794" s="2101">
        <v>0.05</v>
      </c>
      <c r="F794" s="2062">
        <f>D794*E794</f>
        <v>500000</v>
      </c>
      <c r="G794" s="2062"/>
      <c r="H794" s="2062"/>
      <c r="I794" s="2062"/>
      <c r="J794" s="2062"/>
      <c r="K794" s="2062"/>
      <c r="L794" s="2127" t="s">
        <v>3545</v>
      </c>
      <c r="M794" s="387"/>
      <c r="N794" s="387"/>
      <c r="O794" s="387"/>
      <c r="P794" s="387"/>
      <c r="Q794" s="387"/>
    </row>
    <row r="795" spans="1:17" s="1659" customFormat="1" ht="30" customHeight="1" x14ac:dyDescent="0.2">
      <c r="A795" s="2121"/>
      <c r="B795" s="2104" t="s">
        <v>3554</v>
      </c>
      <c r="C795" s="2084" t="s">
        <v>372</v>
      </c>
      <c r="D795" s="2062">
        <v>10000000</v>
      </c>
      <c r="E795" s="2101">
        <v>0.05</v>
      </c>
      <c r="F795" s="2062">
        <f>D795*E795</f>
        <v>500000</v>
      </c>
      <c r="G795" s="2074">
        <v>500000</v>
      </c>
      <c r="H795" s="2074" t="s">
        <v>4449</v>
      </c>
      <c r="I795" s="2089" t="s">
        <v>3555</v>
      </c>
      <c r="J795" s="2074">
        <f>G795</f>
        <v>500000</v>
      </c>
      <c r="K795" s="2074">
        <f>F795-J795</f>
        <v>0</v>
      </c>
      <c r="L795" s="2116"/>
      <c r="M795" s="386"/>
      <c r="N795" s="386"/>
      <c r="O795" s="386"/>
      <c r="P795" s="386"/>
      <c r="Q795" s="386"/>
    </row>
    <row r="796" spans="1:17" s="1659" customFormat="1" ht="30" customHeight="1" x14ac:dyDescent="0.2">
      <c r="A796" s="2362"/>
      <c r="B796" s="2368" t="s">
        <v>4442</v>
      </c>
      <c r="C796" s="2360" t="s">
        <v>4223</v>
      </c>
      <c r="D796" s="2355">
        <v>100000000</v>
      </c>
      <c r="E796" s="2968">
        <v>0.05</v>
      </c>
      <c r="F796" s="2355">
        <f>D796*E796</f>
        <v>5000000</v>
      </c>
      <c r="G796" s="2355">
        <v>5000000</v>
      </c>
      <c r="H796" s="2355" t="s">
        <v>4462</v>
      </c>
      <c r="I796" s="2355" t="s">
        <v>2788</v>
      </c>
      <c r="J796" s="2357">
        <f>G796</f>
        <v>5000000</v>
      </c>
      <c r="K796" s="2357">
        <f>F796-J796</f>
        <v>0</v>
      </c>
      <c r="L796" s="847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121"/>
      <c r="B797" s="2104" t="s">
        <v>3566</v>
      </c>
      <c r="C797" s="2105"/>
      <c r="D797" s="2062">
        <v>6000000</v>
      </c>
      <c r="E797" s="2101">
        <f>F797/D797</f>
        <v>0.05</v>
      </c>
      <c r="F797" s="2062">
        <v>300000</v>
      </c>
      <c r="G797" s="2062"/>
      <c r="H797" s="2062"/>
      <c r="I797" s="2062" t="s">
        <v>3567</v>
      </c>
      <c r="J797" s="2062">
        <f>G797</f>
        <v>0</v>
      </c>
      <c r="K797" s="2062">
        <f>F797-J797</f>
        <v>300000</v>
      </c>
      <c r="L797" s="1660" t="s">
        <v>3568</v>
      </c>
      <c r="M797" s="386"/>
      <c r="N797" s="386"/>
      <c r="O797" s="386"/>
      <c r="P797" s="386"/>
      <c r="Q797" s="386"/>
    </row>
    <row r="798" spans="1:17" s="1659" customFormat="1" ht="30" customHeight="1" x14ac:dyDescent="0.2">
      <c r="A798" s="7703"/>
      <c r="B798" s="7652" t="s">
        <v>3590</v>
      </c>
      <c r="C798" s="7723" t="s">
        <v>2278</v>
      </c>
      <c r="D798" s="7563">
        <v>870000000</v>
      </c>
      <c r="E798" s="7659">
        <v>7.0999999999999994E-2</v>
      </c>
      <c r="F798" s="7563">
        <v>62000000</v>
      </c>
      <c r="G798" s="2062">
        <v>50000000</v>
      </c>
      <c r="H798" s="2450" t="s">
        <v>4475</v>
      </c>
      <c r="I798" s="2450" t="s">
        <v>3441</v>
      </c>
      <c r="J798" s="7563">
        <f>G798+G799</f>
        <v>62000000</v>
      </c>
      <c r="K798" s="7563">
        <f>F798-J798</f>
        <v>0</v>
      </c>
      <c r="L798" s="2116"/>
      <c r="M798" s="386"/>
      <c r="N798" s="386"/>
      <c r="O798" s="386"/>
      <c r="P798" s="386"/>
      <c r="Q798" s="386"/>
    </row>
    <row r="799" spans="1:17" s="1659" customFormat="1" ht="30" customHeight="1" x14ac:dyDescent="0.2">
      <c r="A799" s="7704"/>
      <c r="B799" s="7665"/>
      <c r="C799" s="7747"/>
      <c r="D799" s="7586"/>
      <c r="E799" s="7676"/>
      <c r="F799" s="7586"/>
      <c r="G799" s="2411">
        <v>12000000</v>
      </c>
      <c r="H799" s="2411" t="s">
        <v>4475</v>
      </c>
      <c r="I799" s="2409" t="s">
        <v>3441</v>
      </c>
      <c r="J799" s="7564"/>
      <c r="K799" s="7564"/>
      <c r="L799" s="2421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7704"/>
      <c r="B800" s="7665"/>
      <c r="C800" s="7747"/>
      <c r="D800" s="2335">
        <v>150000000</v>
      </c>
      <c r="E800" s="2333">
        <v>7.0999999999999994E-2</v>
      </c>
      <c r="F800" s="2332">
        <f>D800*E800</f>
        <v>10649999.999999998</v>
      </c>
      <c r="G800" s="2335"/>
      <c r="H800" s="2335"/>
      <c r="I800" s="2335"/>
      <c r="J800" s="2335"/>
      <c r="K800" s="2335"/>
      <c r="L800" s="2340" t="s">
        <v>4419</v>
      </c>
      <c r="M800" s="386"/>
      <c r="N800" s="386"/>
      <c r="O800" s="386"/>
      <c r="P800" s="386"/>
      <c r="Q800" s="386"/>
    </row>
    <row r="801" spans="1:17" s="1659" customFormat="1" ht="30" customHeight="1" x14ac:dyDescent="0.2">
      <c r="A801" s="7705"/>
      <c r="B801" s="7653"/>
      <c r="C801" s="7724"/>
      <c r="D801" s="2045">
        <f>D798+D800+1000000</f>
        <v>1021000000</v>
      </c>
      <c r="E801" s="2046">
        <v>7.0999999999999994E-2</v>
      </c>
      <c r="F801" s="1854">
        <v>72500000</v>
      </c>
      <c r="G801" s="2335"/>
      <c r="H801" s="2335"/>
      <c r="I801" s="2335"/>
      <c r="J801" s="2335"/>
      <c r="K801" s="2335"/>
      <c r="L801" s="2340" t="s">
        <v>4417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7703"/>
      <c r="B802" s="7652" t="s">
        <v>3597</v>
      </c>
      <c r="C802" s="7723" t="s">
        <v>889</v>
      </c>
      <c r="D802" s="7563">
        <v>200000000</v>
      </c>
      <c r="E802" s="7659">
        <v>0.05</v>
      </c>
      <c r="F802" s="7563">
        <f>D802*E802</f>
        <v>10000000</v>
      </c>
      <c r="G802" s="7563">
        <v>10000000</v>
      </c>
      <c r="H802" s="7563" t="s">
        <v>4361</v>
      </c>
      <c r="I802" s="7563" t="s">
        <v>3598</v>
      </c>
      <c r="J802" s="7563">
        <f>G802</f>
        <v>10000000</v>
      </c>
      <c r="K802" s="7563">
        <f>F802-J802</f>
        <v>0</v>
      </c>
      <c r="L802" s="2116"/>
      <c r="M802" s="386"/>
      <c r="N802" s="386"/>
      <c r="O802" s="386"/>
      <c r="P802" s="386"/>
      <c r="Q802" s="386"/>
    </row>
    <row r="803" spans="1:17" s="1659" customFormat="1" ht="30" customHeight="1" x14ac:dyDescent="0.2">
      <c r="A803" s="7705"/>
      <c r="B803" s="7653"/>
      <c r="C803" s="7724"/>
      <c r="D803" s="7564"/>
      <c r="E803" s="7660"/>
      <c r="F803" s="7564"/>
      <c r="G803" s="7564"/>
      <c r="H803" s="7564"/>
      <c r="I803" s="7564"/>
      <c r="J803" s="7564"/>
      <c r="K803" s="7564"/>
      <c r="L803" s="2116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2121"/>
      <c r="B804" s="2104" t="s">
        <v>3612</v>
      </c>
      <c r="C804" s="2105" t="s">
        <v>2278</v>
      </c>
      <c r="D804" s="2062">
        <v>100000000</v>
      </c>
      <c r="E804" s="2101">
        <v>0.05</v>
      </c>
      <c r="F804" s="2062">
        <f t="shared" ref="F804:F810" si="94">D804*E804</f>
        <v>5000000</v>
      </c>
      <c r="G804" s="2062">
        <v>5000000</v>
      </c>
      <c r="H804" s="2062" t="s">
        <v>1017</v>
      </c>
      <c r="I804" s="2062" t="s">
        <v>4125</v>
      </c>
      <c r="J804" s="2062">
        <f>G804</f>
        <v>5000000</v>
      </c>
      <c r="K804" s="2062">
        <f>F804-J804</f>
        <v>0</v>
      </c>
      <c r="L804" s="2116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7703"/>
      <c r="B805" s="7652" t="s">
        <v>4055</v>
      </c>
      <c r="C805" s="7723" t="s">
        <v>2278</v>
      </c>
      <c r="D805" s="2062">
        <v>130000000</v>
      </c>
      <c r="E805" s="2101">
        <v>0.05</v>
      </c>
      <c r="F805" s="2062">
        <f t="shared" si="94"/>
        <v>6500000</v>
      </c>
      <c r="G805" s="2062">
        <v>6500000</v>
      </c>
      <c r="H805" s="2062" t="s">
        <v>2473</v>
      </c>
      <c r="I805" s="2062" t="s">
        <v>3776</v>
      </c>
      <c r="J805" s="2062">
        <f>G805</f>
        <v>6500000</v>
      </c>
      <c r="K805" s="2062">
        <f>F805-J805</f>
        <v>0</v>
      </c>
      <c r="L805" s="2116" t="s">
        <v>4520</v>
      </c>
      <c r="M805" s="386"/>
      <c r="N805" s="386"/>
      <c r="O805" s="386"/>
      <c r="P805" s="386"/>
      <c r="Q805" s="386"/>
    </row>
    <row r="806" spans="1:17" s="1659" customFormat="1" ht="30" customHeight="1" x14ac:dyDescent="0.2">
      <c r="A806" s="7704"/>
      <c r="B806" s="7665"/>
      <c r="C806" s="7747"/>
      <c r="D806" s="2427">
        <v>70000000</v>
      </c>
      <c r="E806" s="2432">
        <v>0.05</v>
      </c>
      <c r="F806" s="2427">
        <f t="shared" si="94"/>
        <v>3500000</v>
      </c>
      <c r="G806" s="7470" t="s">
        <v>4697</v>
      </c>
      <c r="H806" s="7493"/>
      <c r="I806" s="7493"/>
      <c r="J806" s="7493"/>
      <c r="K806" s="7510"/>
      <c r="L806" s="2431" t="s">
        <v>4519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7705"/>
      <c r="B807" s="7653"/>
      <c r="C807" s="7724"/>
      <c r="D807" s="1854">
        <v>200000000</v>
      </c>
      <c r="E807" s="896">
        <v>0.05</v>
      </c>
      <c r="F807" s="1854">
        <f t="shared" si="94"/>
        <v>10000000</v>
      </c>
      <c r="G807" s="2427"/>
      <c r="H807" s="2427"/>
      <c r="I807" s="2427"/>
      <c r="J807" s="2429"/>
      <c r="K807" s="2429"/>
      <c r="L807" s="2431" t="s">
        <v>2685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7703"/>
      <c r="B808" s="7652" t="s">
        <v>3674</v>
      </c>
      <c r="C808" s="7723"/>
      <c r="D808" s="2062">
        <v>1140000000</v>
      </c>
      <c r="E808" s="2101">
        <v>7.0000000000000007E-2</v>
      </c>
      <c r="F808" s="2062">
        <f t="shared" si="94"/>
        <v>79800000.000000015</v>
      </c>
      <c r="G808" s="2062"/>
      <c r="H808" s="2062"/>
      <c r="I808" s="2062" t="s">
        <v>1613</v>
      </c>
      <c r="J808" s="7563">
        <f>G808+G809</f>
        <v>0</v>
      </c>
      <c r="K808" s="7563">
        <f>F809-J808</f>
        <v>91000000.000000015</v>
      </c>
      <c r="L808" s="2116" t="s">
        <v>3919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7705"/>
      <c r="B809" s="7653"/>
      <c r="C809" s="7724"/>
      <c r="D809" s="1854">
        <v>1300000000</v>
      </c>
      <c r="E809" s="896">
        <v>7.0000000000000007E-2</v>
      </c>
      <c r="F809" s="1854">
        <f t="shared" si="94"/>
        <v>91000000.000000015</v>
      </c>
      <c r="G809" s="2062"/>
      <c r="H809" s="2062"/>
      <c r="I809" s="2062" t="s">
        <v>1613</v>
      </c>
      <c r="J809" s="7564"/>
      <c r="K809" s="7564"/>
      <c r="L809" s="2116" t="s">
        <v>3709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2121"/>
      <c r="B810" s="2104" t="s">
        <v>3707</v>
      </c>
      <c r="C810" s="2105" t="s">
        <v>3390</v>
      </c>
      <c r="D810" s="2062">
        <v>10000000</v>
      </c>
      <c r="E810" s="2101">
        <v>0.05</v>
      </c>
      <c r="F810" s="2062">
        <f t="shared" si="94"/>
        <v>500000</v>
      </c>
      <c r="G810" s="2062">
        <v>500000</v>
      </c>
      <c r="H810" s="2062" t="s">
        <v>2125</v>
      </c>
      <c r="I810" s="2062" t="s">
        <v>4154</v>
      </c>
      <c r="J810" s="2062">
        <f>G810</f>
        <v>500000</v>
      </c>
      <c r="K810" s="2062">
        <f>F810-J810</f>
        <v>0</v>
      </c>
      <c r="L810" s="2116"/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1"/>
      <c r="B811" s="2104" t="s">
        <v>3710</v>
      </c>
      <c r="C811" s="2105" t="s">
        <v>1652</v>
      </c>
      <c r="D811" s="2062">
        <v>58000000</v>
      </c>
      <c r="E811" s="2101"/>
      <c r="F811" s="2062"/>
      <c r="G811" s="2062"/>
      <c r="H811" s="2062"/>
      <c r="I811" s="2062"/>
      <c r="J811" s="2062"/>
      <c r="K811" s="2062"/>
      <c r="L811" s="2116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1"/>
      <c r="B812" s="2104" t="s">
        <v>3742</v>
      </c>
      <c r="C812" s="2105" t="s">
        <v>1300</v>
      </c>
      <c r="D812" s="2062">
        <v>100000000</v>
      </c>
      <c r="E812" s="2101">
        <v>0.05</v>
      </c>
      <c r="F812" s="2062">
        <f>D812*E812</f>
        <v>5000000</v>
      </c>
      <c r="G812" s="2062">
        <v>3870000</v>
      </c>
      <c r="H812" s="2062" t="s">
        <v>4475</v>
      </c>
      <c r="I812" s="2062" t="s">
        <v>4052</v>
      </c>
      <c r="J812" s="2062">
        <f>G812</f>
        <v>3870000</v>
      </c>
      <c r="K812" s="2062">
        <f>F812-J812</f>
        <v>1130000</v>
      </c>
      <c r="L812" s="2116" t="s">
        <v>4054</v>
      </c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1"/>
      <c r="B813" s="2104" t="s">
        <v>3743</v>
      </c>
      <c r="C813" s="2375" t="s">
        <v>4447</v>
      </c>
      <c r="D813" s="2074">
        <v>96000000</v>
      </c>
      <c r="E813" s="2077">
        <v>0.05</v>
      </c>
      <c r="F813" s="2074">
        <v>5000000</v>
      </c>
      <c r="G813" s="2062">
        <v>3870000</v>
      </c>
      <c r="H813" s="2062" t="s">
        <v>4475</v>
      </c>
      <c r="I813" s="2062" t="s">
        <v>4053</v>
      </c>
      <c r="J813" s="2062">
        <f>G813</f>
        <v>3870000</v>
      </c>
      <c r="K813" s="2062">
        <f>F813-J813</f>
        <v>1130000</v>
      </c>
      <c r="L813" s="2116" t="s">
        <v>4054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1"/>
      <c r="B814" s="2104" t="s">
        <v>3869</v>
      </c>
      <c r="C814" s="2105" t="s">
        <v>3219</v>
      </c>
      <c r="D814" s="2074">
        <v>100000000</v>
      </c>
      <c r="E814" s="2077">
        <v>0.06</v>
      </c>
      <c r="F814" s="2074">
        <f>D814*E814</f>
        <v>6000000</v>
      </c>
      <c r="G814" s="2074"/>
      <c r="H814" s="2074"/>
      <c r="I814" s="2089"/>
      <c r="J814" s="2074"/>
      <c r="K814" s="2074"/>
      <c r="L814" s="2116" t="s">
        <v>3872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1"/>
      <c r="B815" s="2104" t="s">
        <v>3871</v>
      </c>
      <c r="C815" s="2105" t="s">
        <v>3390</v>
      </c>
      <c r="D815" s="2062">
        <v>50000000</v>
      </c>
      <c r="E815" s="2077">
        <v>0.05</v>
      </c>
      <c r="F815" s="2074">
        <f>D815*E815</f>
        <v>2500000</v>
      </c>
      <c r="G815" s="2074"/>
      <c r="H815" s="2074"/>
      <c r="I815" s="2089"/>
      <c r="J815" s="2074"/>
      <c r="K815" s="2074"/>
      <c r="L815" s="2116"/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1"/>
      <c r="B816" s="2104" t="s">
        <v>3890</v>
      </c>
      <c r="C816" s="2105"/>
      <c r="D816" s="2088"/>
      <c r="E816" s="2088"/>
      <c r="F816" s="2088"/>
      <c r="G816" s="2074"/>
      <c r="H816" s="2074"/>
      <c r="I816" s="2089" t="s">
        <v>3891</v>
      </c>
      <c r="J816" s="2074">
        <f>G816</f>
        <v>0</v>
      </c>
      <c r="K816" s="2074">
        <f>F816-J816</f>
        <v>0</v>
      </c>
      <c r="L816" s="2116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7703"/>
      <c r="B817" s="7652" t="s">
        <v>3895</v>
      </c>
      <c r="C817" s="7723" t="s">
        <v>4105</v>
      </c>
      <c r="D817" s="2062">
        <v>120000000</v>
      </c>
      <c r="E817" s="2077">
        <v>0.05</v>
      </c>
      <c r="F817" s="2074">
        <f>D817*E817</f>
        <v>6000000</v>
      </c>
      <c r="G817" s="2179">
        <v>6000000</v>
      </c>
      <c r="H817" s="2179" t="s">
        <v>4310</v>
      </c>
      <c r="I817" s="2179" t="s">
        <v>4313</v>
      </c>
      <c r="J817" s="2179">
        <f>G817</f>
        <v>6000000</v>
      </c>
      <c r="K817" s="2074">
        <f>F817-J817</f>
        <v>0</v>
      </c>
      <c r="L817" s="2116" t="s">
        <v>3897</v>
      </c>
      <c r="M817" s="386"/>
      <c r="N817" s="386"/>
      <c r="O817" s="386"/>
      <c r="P817" s="386"/>
      <c r="Q817" s="386"/>
    </row>
    <row r="818" spans="1:17" s="1659" customFormat="1" ht="30" customHeight="1" x14ac:dyDescent="0.2">
      <c r="A818" s="7705"/>
      <c r="B818" s="7653"/>
      <c r="C818" s="7724"/>
      <c r="D818" s="2074">
        <v>30000000</v>
      </c>
      <c r="E818" s="2077">
        <v>7.0000000000000007E-2</v>
      </c>
      <c r="F818" s="2074">
        <f>D818*E818</f>
        <v>2100000</v>
      </c>
      <c r="G818" s="7"/>
      <c r="H818" s="7"/>
      <c r="I818" s="1965"/>
      <c r="J818" s="7"/>
      <c r="K818" s="2074"/>
      <c r="L818" s="2022" t="s">
        <v>4215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2121"/>
      <c r="B819" s="110" t="s">
        <v>3931</v>
      </c>
      <c r="C819" s="2084"/>
      <c r="D819" s="2079"/>
      <c r="E819" s="2082"/>
      <c r="F819" s="2079"/>
      <c r="G819" s="2074"/>
      <c r="H819" s="2074"/>
      <c r="I819" s="2089" t="s">
        <v>3933</v>
      </c>
      <c r="J819" s="2074">
        <f>G819</f>
        <v>0</v>
      </c>
      <c r="K819" s="2074"/>
      <c r="L819" s="2116"/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1"/>
      <c r="B820" s="110" t="s">
        <v>3935</v>
      </c>
      <c r="C820" s="2084"/>
      <c r="D820" s="2079"/>
      <c r="E820" s="2082"/>
      <c r="F820" s="2079"/>
      <c r="G820" s="2074"/>
      <c r="H820" s="2074"/>
      <c r="I820" s="2089" t="s">
        <v>3936</v>
      </c>
      <c r="J820" s="2074">
        <f>G820</f>
        <v>0</v>
      </c>
      <c r="K820" s="2074"/>
      <c r="L820" s="2116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1"/>
      <c r="B821" s="2104" t="s">
        <v>3956</v>
      </c>
      <c r="C821" s="2084" t="s">
        <v>3390</v>
      </c>
      <c r="D821" s="2074">
        <v>50000000</v>
      </c>
      <c r="E821" s="2077">
        <v>0.05</v>
      </c>
      <c r="F821" s="2074">
        <f>D821*E821</f>
        <v>2500000</v>
      </c>
      <c r="G821" s="2074">
        <v>2500000</v>
      </c>
      <c r="H821" s="2074" t="s">
        <v>4596</v>
      </c>
      <c r="I821" s="2089" t="s">
        <v>4600</v>
      </c>
      <c r="J821" s="2074">
        <f>G821</f>
        <v>2500000</v>
      </c>
      <c r="K821" s="2074">
        <f>F821-J821</f>
        <v>0</v>
      </c>
      <c r="L821" s="2116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1"/>
      <c r="B822" s="2104" t="s">
        <v>3961</v>
      </c>
      <c r="C822" s="2084"/>
      <c r="D822" s="2074">
        <f>25000000+10000000+10000000+250000+2500000+1500000+500000</f>
        <v>49750000</v>
      </c>
      <c r="E822" s="2077"/>
      <c r="F822" s="2074"/>
      <c r="G822" s="2074"/>
      <c r="H822" s="2074"/>
      <c r="I822" s="2089"/>
      <c r="J822" s="2074"/>
      <c r="K822" s="2074"/>
      <c r="L822" s="2116" t="s">
        <v>3962</v>
      </c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1"/>
      <c r="B823" s="2104" t="s">
        <v>3964</v>
      </c>
      <c r="C823" s="2084" t="s">
        <v>1652</v>
      </c>
      <c r="D823" s="2074">
        <v>58000000</v>
      </c>
      <c r="E823" s="2077">
        <v>0.05</v>
      </c>
      <c r="F823" s="2074">
        <f>D823*E823</f>
        <v>2900000</v>
      </c>
      <c r="G823" s="2074">
        <v>2900000</v>
      </c>
      <c r="H823" s="2074" t="s">
        <v>4402</v>
      </c>
      <c r="I823" s="2089" t="s">
        <v>4407</v>
      </c>
      <c r="J823" s="2074">
        <f>G823</f>
        <v>2900000</v>
      </c>
      <c r="K823" s="2074">
        <f>F823-J823</f>
        <v>0</v>
      </c>
      <c r="L823" s="2116"/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1"/>
      <c r="B824" s="2104" t="s">
        <v>896</v>
      </c>
      <c r="C824" s="2084"/>
      <c r="D824" s="2074">
        <v>130000000</v>
      </c>
      <c r="E824" s="2077">
        <v>0.05</v>
      </c>
      <c r="F824" s="2074">
        <f>D824*E824</f>
        <v>6500000</v>
      </c>
      <c r="G824" s="2074">
        <v>6500000</v>
      </c>
      <c r="H824" s="2074" t="s">
        <v>1193</v>
      </c>
      <c r="I824" s="2089" t="s">
        <v>3987</v>
      </c>
      <c r="J824" s="2074">
        <f>G824</f>
        <v>6500000</v>
      </c>
      <c r="K824" s="2074">
        <f>F824-J824</f>
        <v>0</v>
      </c>
      <c r="L824" s="2116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1"/>
      <c r="B825" s="2104" t="s">
        <v>2305</v>
      </c>
      <c r="C825" s="2084"/>
      <c r="D825" s="2079"/>
      <c r="E825" s="2082"/>
      <c r="F825" s="2079"/>
      <c r="G825" s="2074"/>
      <c r="H825" s="2074"/>
      <c r="I825" s="2089" t="s">
        <v>3994</v>
      </c>
      <c r="J825" s="2074">
        <f>G825</f>
        <v>0</v>
      </c>
      <c r="K825" s="2074"/>
      <c r="L825" s="2116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1"/>
      <c r="B826" s="2417" t="s">
        <v>4014</v>
      </c>
      <c r="C826" s="2414"/>
      <c r="D826" s="2412">
        <v>100000000</v>
      </c>
      <c r="E826" s="2413">
        <v>0.06</v>
      </c>
      <c r="F826" s="2412">
        <f>D826*E826</f>
        <v>6000000</v>
      </c>
      <c r="G826" s="233">
        <v>6000000</v>
      </c>
      <c r="H826" s="2409" t="s">
        <v>4475</v>
      </c>
      <c r="I826" s="2409" t="s">
        <v>4512</v>
      </c>
      <c r="J826" s="2409">
        <f>G826</f>
        <v>6000000</v>
      </c>
      <c r="K826" s="2412">
        <f>F826-J826</f>
        <v>0</v>
      </c>
      <c r="L826" s="2165" t="s">
        <v>4015</v>
      </c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1"/>
      <c r="B827" s="2104" t="s">
        <v>4025</v>
      </c>
      <c r="C827" s="2084"/>
      <c r="D827" s="2074">
        <v>110000000</v>
      </c>
      <c r="E827" s="2077">
        <v>0.04</v>
      </c>
      <c r="F827" s="2074">
        <f>D827*E827</f>
        <v>4400000</v>
      </c>
      <c r="G827" s="2074">
        <v>4400000</v>
      </c>
      <c r="H827" s="2074" t="s">
        <v>4402</v>
      </c>
      <c r="I827" s="2089" t="s">
        <v>3469</v>
      </c>
      <c r="J827" s="2074">
        <f>G827</f>
        <v>4400000</v>
      </c>
      <c r="K827" s="2074">
        <f>F827-J827</f>
        <v>0</v>
      </c>
      <c r="L827" s="2116" t="s">
        <v>4026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1"/>
      <c r="B828" s="2104" t="s">
        <v>1455</v>
      </c>
      <c r="C828" s="2084"/>
      <c r="D828" s="2074">
        <v>50000000</v>
      </c>
      <c r="E828" s="2077">
        <v>0.05</v>
      </c>
      <c r="F828" s="2074">
        <f>D828*E828</f>
        <v>2500000</v>
      </c>
      <c r="G828" s="233"/>
      <c r="H828" s="233"/>
      <c r="I828" s="233"/>
      <c r="J828" s="233"/>
      <c r="K828" s="2074"/>
      <c r="L828" s="2116" t="s">
        <v>4033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55"/>
      <c r="B829" s="2162" t="s">
        <v>4037</v>
      </c>
      <c r="C829" s="2153"/>
      <c r="D829" s="2150">
        <v>21000000</v>
      </c>
      <c r="E829" s="2764"/>
      <c r="F829" s="2150"/>
      <c r="G829" s="2150"/>
      <c r="H829" s="2150"/>
      <c r="I829" s="2150"/>
      <c r="J829" s="2150"/>
      <c r="K829" s="2152"/>
      <c r="L829" s="2023" t="s">
        <v>4219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7703"/>
      <c r="B830" s="7652" t="s">
        <v>4046</v>
      </c>
      <c r="C830" s="2584" t="s">
        <v>2644</v>
      </c>
      <c r="D830" s="2141">
        <v>47000000</v>
      </c>
      <c r="E830" s="2579">
        <v>0.05</v>
      </c>
      <c r="F830" s="2141">
        <f>D830*E830</f>
        <v>2350000</v>
      </c>
      <c r="G830" s="2141">
        <v>2350000</v>
      </c>
      <c r="H830" s="2141" t="s">
        <v>4361</v>
      </c>
      <c r="I830" s="2141" t="s">
        <v>4047</v>
      </c>
      <c r="J830" s="2141">
        <f t="shared" ref="J830:J835" si="95">G830</f>
        <v>2350000</v>
      </c>
      <c r="K830" s="2141">
        <f>F830-J830</f>
        <v>0</v>
      </c>
      <c r="L830" s="2167"/>
      <c r="M830" s="386"/>
      <c r="N830" s="386"/>
      <c r="O830" s="386"/>
      <c r="P830" s="386"/>
      <c r="Q830" s="386"/>
    </row>
    <row r="831" spans="1:17" s="1659" customFormat="1" ht="30" customHeight="1" x14ac:dyDescent="0.2">
      <c r="A831" s="7705"/>
      <c r="B831" s="7653"/>
      <c r="C831" s="2580" t="s">
        <v>990</v>
      </c>
      <c r="D831" s="2581">
        <v>90000000</v>
      </c>
      <c r="E831" s="2579">
        <v>0.05</v>
      </c>
      <c r="F831" s="2582">
        <f>D831*E831</f>
        <v>4500000</v>
      </c>
      <c r="G831" s="2578">
        <v>4500000</v>
      </c>
      <c r="H831" s="2578" t="s">
        <v>4761</v>
      </c>
      <c r="I831" s="2581" t="s">
        <v>4766</v>
      </c>
      <c r="J831" s="2578">
        <f t="shared" si="95"/>
        <v>4500000</v>
      </c>
      <c r="K831" s="2578">
        <f>F831-J831</f>
        <v>0</v>
      </c>
      <c r="L831" s="2585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2121"/>
      <c r="B832" s="2144" t="s">
        <v>4079</v>
      </c>
      <c r="C832" s="2084" t="s">
        <v>1652</v>
      </c>
      <c r="D832" s="2089">
        <v>100000000</v>
      </c>
      <c r="E832" s="2147">
        <v>0.05</v>
      </c>
      <c r="F832" s="2090">
        <f>D832*E832</f>
        <v>5000000</v>
      </c>
      <c r="G832" s="2074"/>
      <c r="H832" s="2074"/>
      <c r="I832" s="2089" t="s">
        <v>4080</v>
      </c>
      <c r="J832" s="2074">
        <f t="shared" si="95"/>
        <v>0</v>
      </c>
      <c r="K832" s="2074">
        <f>F832-J832</f>
        <v>5000000</v>
      </c>
      <c r="L832" s="2116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1"/>
      <c r="B833" s="2104" t="s">
        <v>4083</v>
      </c>
      <c r="C833" s="2084"/>
      <c r="D833" s="452"/>
      <c r="E833" s="2082"/>
      <c r="F833" s="597"/>
      <c r="G833" s="2074"/>
      <c r="H833" s="2074"/>
      <c r="I833" s="937">
        <v>5423044873</v>
      </c>
      <c r="J833" s="2074">
        <f t="shared" si="95"/>
        <v>0</v>
      </c>
      <c r="K833" s="2079"/>
      <c r="L833" s="2116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7703"/>
      <c r="B834" s="7652" t="s">
        <v>4100</v>
      </c>
      <c r="C834" s="7723" t="s">
        <v>1796</v>
      </c>
      <c r="D834" s="2089">
        <v>11000000</v>
      </c>
      <c r="E834" s="2077">
        <v>0.05</v>
      </c>
      <c r="F834" s="2090">
        <f>D834*E834</f>
        <v>550000</v>
      </c>
      <c r="G834" s="2074">
        <v>550000</v>
      </c>
      <c r="H834" s="2074" t="s">
        <v>4402</v>
      </c>
      <c r="I834" s="2765" t="s">
        <v>4770</v>
      </c>
      <c r="J834" s="2074">
        <f t="shared" si="95"/>
        <v>550000</v>
      </c>
      <c r="K834" s="2074">
        <f>F834-J834</f>
        <v>0</v>
      </c>
      <c r="L834" s="2116" t="s">
        <v>4772</v>
      </c>
      <c r="M834" s="386"/>
      <c r="N834" s="386"/>
      <c r="O834" s="386"/>
      <c r="P834" s="386"/>
      <c r="Q834" s="386"/>
    </row>
    <row r="835" spans="1:17" s="1659" customFormat="1" ht="30" customHeight="1" x14ac:dyDescent="0.2">
      <c r="A835" s="7705"/>
      <c r="B835" s="7653"/>
      <c r="C835" s="7724"/>
      <c r="D835" s="2765">
        <v>11000000</v>
      </c>
      <c r="E835" s="2763">
        <v>0.05</v>
      </c>
      <c r="F835" s="2766">
        <f>D835*E835</f>
        <v>550000</v>
      </c>
      <c r="G835" s="2762">
        <v>550000</v>
      </c>
      <c r="H835" s="2762" t="s">
        <v>4769</v>
      </c>
      <c r="I835" s="2765" t="s">
        <v>4770</v>
      </c>
      <c r="J835" s="2762">
        <f t="shared" si="95"/>
        <v>550000</v>
      </c>
      <c r="K835" s="2762">
        <f>F835-J835</f>
        <v>0</v>
      </c>
      <c r="L835" s="2768" t="s">
        <v>4771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2121"/>
      <c r="B836" s="2104" t="s">
        <v>4114</v>
      </c>
      <c r="C836" s="2084" t="s">
        <v>1172</v>
      </c>
      <c r="D836" s="2089">
        <v>50000000</v>
      </c>
      <c r="E836" s="2077">
        <v>0.05</v>
      </c>
      <c r="F836" s="2090">
        <f>D836*E836</f>
        <v>2500000</v>
      </c>
      <c r="G836" s="2074"/>
      <c r="H836" s="2074"/>
      <c r="I836" s="2089"/>
      <c r="J836" s="2074"/>
      <c r="K836" s="2074"/>
      <c r="L836" s="2116"/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1"/>
      <c r="B837" s="2104" t="s">
        <v>4115</v>
      </c>
      <c r="C837" s="2084"/>
      <c r="D837" s="2089">
        <v>5000000</v>
      </c>
      <c r="E837" s="2077"/>
      <c r="F837" s="2090"/>
      <c r="G837" s="2074"/>
      <c r="H837" s="2074"/>
      <c r="I837" s="2089"/>
      <c r="J837" s="2074"/>
      <c r="K837" s="2074"/>
      <c r="L837" s="2116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1"/>
      <c r="B838" s="2104" t="s">
        <v>4116</v>
      </c>
      <c r="C838" s="2084" t="s">
        <v>1172</v>
      </c>
      <c r="D838" s="2089">
        <v>70000000</v>
      </c>
      <c r="E838" s="2077">
        <v>0.06</v>
      </c>
      <c r="F838" s="2090">
        <f>D838*E838</f>
        <v>4200000</v>
      </c>
      <c r="G838" s="2074"/>
      <c r="H838" s="2074"/>
      <c r="I838" s="2089"/>
      <c r="J838" s="2074"/>
      <c r="K838" s="2074"/>
      <c r="L838" s="2116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1"/>
      <c r="B839" s="2104" t="s">
        <v>4131</v>
      </c>
      <c r="C839" s="2084"/>
      <c r="D839" s="2089">
        <v>45000000</v>
      </c>
      <c r="E839" s="2077">
        <v>0.05</v>
      </c>
      <c r="F839" s="2090">
        <f>D839*E839</f>
        <v>2250000</v>
      </c>
      <c r="G839" s="233"/>
      <c r="H839" s="233"/>
      <c r="I839" s="233"/>
      <c r="J839" s="233"/>
      <c r="K839" s="2074"/>
      <c r="L839" s="2165" t="s">
        <v>4132</v>
      </c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1"/>
      <c r="B840" s="2104" t="s">
        <v>4242</v>
      </c>
      <c r="C840" s="2084"/>
      <c r="D840" s="2089">
        <v>60000000</v>
      </c>
      <c r="E840" s="2077">
        <v>0.05</v>
      </c>
      <c r="F840" s="2090">
        <f>D840*E840</f>
        <v>3000000</v>
      </c>
      <c r="G840" s="2074">
        <v>3000000</v>
      </c>
      <c r="H840" s="2074" t="s">
        <v>3003</v>
      </c>
      <c r="I840" s="2089" t="s">
        <v>4555</v>
      </c>
      <c r="J840" s="2074">
        <f>G840</f>
        <v>3000000</v>
      </c>
      <c r="K840" s="2074">
        <f>F840-J840</f>
        <v>0</v>
      </c>
      <c r="L840" s="2116" t="s">
        <v>4133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1"/>
      <c r="B841" s="2104" t="s">
        <v>4243</v>
      </c>
      <c r="C841" s="2084"/>
      <c r="D841" s="2089">
        <v>10000000</v>
      </c>
      <c r="E841" s="2077"/>
      <c r="F841" s="2090"/>
      <c r="G841" s="2074"/>
      <c r="H841" s="2074"/>
      <c r="I841" s="2089"/>
      <c r="J841" s="2074"/>
      <c r="K841" s="2074"/>
      <c r="L841" s="2116" t="s">
        <v>4244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1"/>
      <c r="B842" s="2104" t="s">
        <v>4139</v>
      </c>
      <c r="C842" s="2084"/>
      <c r="D842" s="2089">
        <v>10000000</v>
      </c>
      <c r="E842" s="2077"/>
      <c r="F842" s="2090"/>
      <c r="G842" s="2074"/>
      <c r="H842" s="2074"/>
      <c r="I842" s="2089"/>
      <c r="J842" s="2074"/>
      <c r="K842" s="2074"/>
      <c r="L842" s="7732" t="s">
        <v>4140</v>
      </c>
      <c r="M842" s="7733"/>
      <c r="N842" s="7733"/>
      <c r="O842" s="7734"/>
      <c r="P842" s="386"/>
      <c r="Q842" s="386"/>
    </row>
    <row r="843" spans="1:17" s="1659" customFormat="1" ht="30" customHeight="1" x14ac:dyDescent="0.2">
      <c r="A843" s="2121"/>
      <c r="B843" s="2104" t="s">
        <v>4142</v>
      </c>
      <c r="C843" s="2084"/>
      <c r="D843" s="2089">
        <v>200000000</v>
      </c>
      <c r="E843" s="2077">
        <v>7.0000000000000007E-2</v>
      </c>
      <c r="F843" s="2090">
        <f>D843*E843</f>
        <v>14000000.000000002</v>
      </c>
      <c r="G843" s="2089"/>
      <c r="H843" s="2077"/>
      <c r="I843" s="2090"/>
      <c r="J843" s="2089"/>
      <c r="K843" s="2077"/>
      <c r="L843" s="7732" t="s">
        <v>4143</v>
      </c>
      <c r="M843" s="7733"/>
      <c r="N843" s="7733"/>
      <c r="O843" s="7734"/>
      <c r="P843" s="386"/>
      <c r="Q843" s="386"/>
    </row>
    <row r="844" spans="1:17" s="1659" customFormat="1" ht="30" customHeight="1" x14ac:dyDescent="0.2">
      <c r="A844" s="2121"/>
      <c r="B844" s="110" t="s">
        <v>4155</v>
      </c>
      <c r="C844" s="2084"/>
      <c r="D844" s="452"/>
      <c r="E844" s="2082"/>
      <c r="F844" s="597"/>
      <c r="G844" s="2074"/>
      <c r="H844" s="2074"/>
      <c r="I844" s="2089" t="s">
        <v>4156</v>
      </c>
      <c r="J844" s="2074">
        <f>G844</f>
        <v>0</v>
      </c>
      <c r="K844" s="2074"/>
      <c r="L844" s="2116"/>
      <c r="M844" s="2129"/>
      <c r="N844" s="2129"/>
      <c r="O844" s="2129"/>
      <c r="P844" s="386"/>
      <c r="Q844" s="386"/>
    </row>
    <row r="845" spans="1:17" s="1659" customFormat="1" ht="30" customHeight="1" x14ac:dyDescent="0.2">
      <c r="A845" s="2121"/>
      <c r="B845" s="110" t="s">
        <v>4157</v>
      </c>
      <c r="C845" s="2084"/>
      <c r="D845" s="452"/>
      <c r="E845" s="2082"/>
      <c r="F845" s="597"/>
      <c r="G845" s="2074"/>
      <c r="H845" s="2074"/>
      <c r="I845" s="2089" t="s">
        <v>4158</v>
      </c>
      <c r="J845" s="2074">
        <f>G845</f>
        <v>0</v>
      </c>
      <c r="K845" s="2074"/>
      <c r="L845" s="2116"/>
      <c r="M845" s="2129"/>
      <c r="N845" s="2129"/>
      <c r="O845" s="2129"/>
      <c r="P845" s="386"/>
      <c r="Q845" s="386"/>
    </row>
    <row r="846" spans="1:17" s="1659" customFormat="1" ht="30" customHeight="1" x14ac:dyDescent="0.2">
      <c r="A846" s="2121"/>
      <c r="B846" s="110" t="s">
        <v>4160</v>
      </c>
      <c r="C846" s="2084"/>
      <c r="D846" s="452"/>
      <c r="E846" s="2082"/>
      <c r="F846" s="597"/>
      <c r="G846" s="2074"/>
      <c r="H846" s="2074"/>
      <c r="I846" s="2089" t="s">
        <v>4161</v>
      </c>
      <c r="J846" s="2074">
        <f>G846</f>
        <v>0</v>
      </c>
      <c r="K846" s="2074"/>
      <c r="L846" s="2116"/>
      <c r="M846" s="2129"/>
      <c r="N846" s="2129"/>
      <c r="O846" s="2129"/>
      <c r="P846" s="386"/>
      <c r="Q846" s="386"/>
    </row>
    <row r="847" spans="1:17" s="1659" customFormat="1" ht="30" customHeight="1" x14ac:dyDescent="0.2">
      <c r="A847" s="7703"/>
      <c r="B847" s="7652" t="s">
        <v>4162</v>
      </c>
      <c r="C847" s="7723" t="s">
        <v>392</v>
      </c>
      <c r="D847" s="7563">
        <v>70000000</v>
      </c>
      <c r="E847" s="7659">
        <v>0.05</v>
      </c>
      <c r="F847" s="7563">
        <f>D847*E847</f>
        <v>3500000</v>
      </c>
      <c r="G847" s="7991" t="s">
        <v>4674</v>
      </c>
      <c r="H847" s="7992"/>
      <c r="I847" s="7992"/>
      <c r="J847" s="7993"/>
      <c r="K847" s="7482"/>
      <c r="L847" s="2118" t="s">
        <v>4208</v>
      </c>
      <c r="M847" s="2129"/>
      <c r="N847" s="2129"/>
      <c r="O847" s="2129"/>
      <c r="P847" s="386"/>
      <c r="Q847" s="386"/>
    </row>
    <row r="848" spans="1:17" s="1659" customFormat="1" ht="30" customHeight="1" x14ac:dyDescent="0.2">
      <c r="A848" s="7704"/>
      <c r="B848" s="7665"/>
      <c r="C848" s="7747"/>
      <c r="D848" s="7564"/>
      <c r="E848" s="7660"/>
      <c r="F848" s="7564"/>
      <c r="G848" s="7994"/>
      <c r="H848" s="7995"/>
      <c r="I848" s="7995"/>
      <c r="J848" s="7996"/>
      <c r="K848" s="7482"/>
      <c r="L848" s="2116" t="s">
        <v>4209</v>
      </c>
      <c r="M848" s="2129"/>
      <c r="N848" s="2129"/>
      <c r="O848" s="2129"/>
      <c r="P848" s="386"/>
      <c r="Q848" s="386"/>
    </row>
    <row r="849" spans="1:17" s="1659" customFormat="1" ht="30" customHeight="1" x14ac:dyDescent="0.2">
      <c r="A849" s="7705"/>
      <c r="B849" s="7665"/>
      <c r="C849" s="7747"/>
      <c r="D849" s="2078">
        <v>10000000</v>
      </c>
      <c r="E849" s="2076">
        <v>0.05</v>
      </c>
      <c r="F849" s="2078">
        <f>D849*E849</f>
        <v>500000</v>
      </c>
      <c r="G849" s="7997"/>
      <c r="H849" s="7998"/>
      <c r="I849" s="7998"/>
      <c r="J849" s="7999"/>
      <c r="K849" s="7482"/>
      <c r="L849" s="2126" t="s">
        <v>4270</v>
      </c>
      <c r="M849" s="2129"/>
      <c r="N849" s="2129"/>
      <c r="O849" s="2129"/>
      <c r="P849" s="386"/>
      <c r="Q849" s="386"/>
    </row>
    <row r="850" spans="1:17" s="1659" customFormat="1" ht="30" customHeight="1" x14ac:dyDescent="0.2">
      <c r="A850" s="2661"/>
      <c r="B850" s="7665"/>
      <c r="C850" s="7747"/>
      <c r="D850" s="2654">
        <v>84000000</v>
      </c>
      <c r="E850" s="2663">
        <v>0.05</v>
      </c>
      <c r="F850" s="2654">
        <f>D850*E850</f>
        <v>4200000</v>
      </c>
      <c r="G850" s="8000" t="s">
        <v>4589</v>
      </c>
      <c r="H850" s="8000"/>
      <c r="I850" s="8000"/>
      <c r="J850" s="8000"/>
      <c r="K850" s="2658"/>
      <c r="L850" s="2672"/>
      <c r="M850" s="2674"/>
      <c r="N850" s="2674"/>
      <c r="O850" s="2674"/>
      <c r="P850" s="386"/>
      <c r="Q850" s="386"/>
    </row>
    <row r="851" spans="1:17" s="1659" customFormat="1" ht="30" customHeight="1" x14ac:dyDescent="0.2">
      <c r="A851" s="2321"/>
      <c r="B851" s="7653"/>
      <c r="C851" s="7724"/>
      <c r="D851" s="1854">
        <v>100000000</v>
      </c>
      <c r="E851" s="896">
        <v>0.06</v>
      </c>
      <c r="F851" s="1854">
        <f>D851*E851</f>
        <v>6000000</v>
      </c>
      <c r="G851" s="2306"/>
      <c r="H851" s="2306"/>
      <c r="I851" s="2318"/>
      <c r="J851" s="2308"/>
      <c r="K851" s="2308"/>
      <c r="L851" s="2329" t="s">
        <v>4371</v>
      </c>
      <c r="M851" s="2330"/>
      <c r="N851" s="2330"/>
      <c r="O851" s="2330"/>
      <c r="P851" s="386"/>
      <c r="Q851" s="386"/>
    </row>
    <row r="852" spans="1:17" s="1659" customFormat="1" ht="30" customHeight="1" x14ac:dyDescent="0.2">
      <c r="A852" s="7703"/>
      <c r="B852" s="7710" t="s">
        <v>4166</v>
      </c>
      <c r="C852" s="7723"/>
      <c r="D852" s="7677"/>
      <c r="E852" s="7691"/>
      <c r="F852" s="7677"/>
      <c r="G852" s="2074"/>
      <c r="H852" s="2074"/>
      <c r="I852" s="2089" t="s">
        <v>4167</v>
      </c>
      <c r="J852" s="7563">
        <f>G852+G853</f>
        <v>0</v>
      </c>
      <c r="K852" s="7563"/>
      <c r="L852" s="2115"/>
      <c r="M852" s="2129"/>
      <c r="N852" s="2129"/>
      <c r="O852" s="2129"/>
      <c r="P852" s="386"/>
      <c r="Q852" s="386"/>
    </row>
    <row r="853" spans="1:17" s="1659" customFormat="1" ht="30" customHeight="1" x14ac:dyDescent="0.2">
      <c r="A853" s="7705"/>
      <c r="B853" s="7712"/>
      <c r="C853" s="7724"/>
      <c r="D853" s="7678"/>
      <c r="E853" s="7693"/>
      <c r="F853" s="7678"/>
      <c r="G853" s="2074"/>
      <c r="H853" s="2074"/>
      <c r="I853" s="2089" t="s">
        <v>4167</v>
      </c>
      <c r="J853" s="7564"/>
      <c r="K853" s="7564"/>
      <c r="L853" s="2116"/>
      <c r="M853" s="2129"/>
      <c r="N853" s="2129"/>
      <c r="O853" s="2129"/>
      <c r="P853" s="386"/>
      <c r="Q853" s="386"/>
    </row>
    <row r="854" spans="1:17" s="1659" customFormat="1" ht="30" customHeight="1" x14ac:dyDescent="0.2">
      <c r="A854" s="2121"/>
      <c r="B854" s="2104" t="s">
        <v>4186</v>
      </c>
      <c r="C854" s="2105"/>
      <c r="D854" s="2062">
        <v>120000000</v>
      </c>
      <c r="E854" s="2101">
        <v>0.05</v>
      </c>
      <c r="F854" s="2062">
        <f>D854*E854</f>
        <v>6000000</v>
      </c>
      <c r="G854" s="2074"/>
      <c r="H854" s="2074"/>
      <c r="I854" s="2089"/>
      <c r="J854" s="2074"/>
      <c r="K854" s="2074"/>
      <c r="L854" s="2116" t="s">
        <v>4950</v>
      </c>
      <c r="M854" s="2129"/>
      <c r="N854" s="2129"/>
      <c r="O854" s="2129"/>
      <c r="P854" s="386"/>
      <c r="Q854" s="386"/>
    </row>
    <row r="855" spans="1:17" s="1659" customFormat="1" ht="30" customHeight="1" x14ac:dyDescent="0.2">
      <c r="A855" s="2121"/>
      <c r="B855" s="2104" t="s">
        <v>4196</v>
      </c>
      <c r="C855" s="2105"/>
      <c r="D855" s="2062">
        <v>100000000</v>
      </c>
      <c r="E855" s="2101">
        <v>0.05</v>
      </c>
      <c r="F855" s="2062">
        <f>D855*E855</f>
        <v>5000000</v>
      </c>
      <c r="G855" s="2074">
        <v>5000000</v>
      </c>
      <c r="H855" s="2074" t="s">
        <v>4761</v>
      </c>
      <c r="I855" s="2089" t="s">
        <v>4765</v>
      </c>
      <c r="J855" s="2074">
        <f>G855</f>
        <v>5000000</v>
      </c>
      <c r="K855" s="2074">
        <f>F855-J855</f>
        <v>0</v>
      </c>
      <c r="L855" s="2116" t="s">
        <v>4197</v>
      </c>
      <c r="M855" s="2129"/>
      <c r="N855" s="2129"/>
      <c r="O855" s="2129"/>
      <c r="P855" s="386"/>
      <c r="Q855" s="386"/>
    </row>
    <row r="856" spans="1:17" s="1659" customFormat="1" ht="30" customHeight="1" x14ac:dyDescent="0.2">
      <c r="A856" s="2121"/>
      <c r="B856" s="2104" t="s">
        <v>4213</v>
      </c>
      <c r="C856" s="2105"/>
      <c r="D856" s="2062">
        <v>100000000</v>
      </c>
      <c r="E856" s="2101"/>
      <c r="F856" s="2062"/>
      <c r="G856" s="2074"/>
      <c r="H856" s="2074"/>
      <c r="I856" s="2089"/>
      <c r="J856" s="2074"/>
      <c r="K856" s="2074"/>
      <c r="L856" s="2021" t="s">
        <v>4214</v>
      </c>
      <c r="M856" s="2129"/>
      <c r="N856" s="2129"/>
      <c r="O856" s="2129"/>
      <c r="P856" s="386"/>
      <c r="Q856" s="386"/>
    </row>
    <row r="857" spans="1:17" s="1659" customFormat="1" ht="30" customHeight="1" x14ac:dyDescent="0.2">
      <c r="A857" s="2191"/>
      <c r="B857" s="2187" t="s">
        <v>4292</v>
      </c>
      <c r="C857" s="2188"/>
      <c r="D857" s="2179"/>
      <c r="E857" s="2183"/>
      <c r="F857" s="2182"/>
      <c r="G857" s="2182"/>
      <c r="H857" s="2182"/>
      <c r="I857" s="2184"/>
      <c r="J857" s="2182"/>
      <c r="K857" s="2182"/>
      <c r="L857" s="2021" t="s">
        <v>4293</v>
      </c>
      <c r="M857" s="2193"/>
      <c r="N857" s="2193"/>
      <c r="O857" s="2193"/>
      <c r="P857" s="386"/>
      <c r="Q857" s="386"/>
    </row>
    <row r="858" spans="1:17" s="1659" customFormat="1" ht="30" customHeight="1" x14ac:dyDescent="0.2">
      <c r="A858" s="2191"/>
      <c r="B858" s="2187" t="s">
        <v>4295</v>
      </c>
      <c r="C858" s="2188" t="s">
        <v>4296</v>
      </c>
      <c r="D858" s="2179">
        <v>80000000</v>
      </c>
      <c r="E858" s="2183">
        <v>0.05</v>
      </c>
      <c r="F858" s="2182">
        <f>D858*E858</f>
        <v>4000000</v>
      </c>
      <c r="G858" s="2182"/>
      <c r="H858" s="2182"/>
      <c r="I858" s="2184"/>
      <c r="J858" s="2182"/>
      <c r="K858" s="2182"/>
      <c r="L858" s="2021" t="s">
        <v>4670</v>
      </c>
      <c r="M858" s="2193"/>
      <c r="N858" s="2193"/>
      <c r="O858" s="2193"/>
      <c r="P858" s="386"/>
      <c r="Q858" s="386"/>
    </row>
    <row r="859" spans="1:17" s="1659" customFormat="1" ht="30" customHeight="1" x14ac:dyDescent="0.2">
      <c r="A859" s="2191"/>
      <c r="B859" s="2187" t="s">
        <v>4315</v>
      </c>
      <c r="C859" s="2188"/>
      <c r="D859" s="7470" t="s">
        <v>4316</v>
      </c>
      <c r="E859" s="7493"/>
      <c r="F859" s="7510"/>
      <c r="G859" s="2182">
        <v>1740000</v>
      </c>
      <c r="H859" s="2182" t="s">
        <v>4310</v>
      </c>
      <c r="I859" s="2184" t="s">
        <v>4317</v>
      </c>
      <c r="J859" s="2182">
        <f>G859</f>
        <v>1740000</v>
      </c>
      <c r="K859" s="2182"/>
      <c r="L859" s="2021" t="s">
        <v>4318</v>
      </c>
      <c r="M859" s="2193"/>
      <c r="N859" s="2193"/>
      <c r="O859" s="2193"/>
      <c r="P859" s="386"/>
      <c r="Q859" s="386"/>
    </row>
    <row r="860" spans="1:17" s="1659" customFormat="1" ht="30" customHeight="1" x14ac:dyDescent="0.2">
      <c r="A860" s="2191"/>
      <c r="B860" s="2187" t="s">
        <v>4332</v>
      </c>
      <c r="C860" s="2188" t="s">
        <v>402</v>
      </c>
      <c r="D860" s="2179">
        <v>200000000</v>
      </c>
      <c r="E860" s="2183">
        <v>0.05</v>
      </c>
      <c r="F860" s="2182">
        <f>D860*E860</f>
        <v>10000000</v>
      </c>
      <c r="G860" s="2182"/>
      <c r="H860" s="2182"/>
      <c r="I860" s="2184"/>
      <c r="J860" s="2182"/>
      <c r="K860" s="2182"/>
      <c r="L860" s="2021" t="s">
        <v>4795</v>
      </c>
      <c r="M860" s="2193"/>
      <c r="N860" s="2193"/>
      <c r="O860" s="2193"/>
      <c r="P860" s="386"/>
      <c r="Q860" s="386"/>
    </row>
    <row r="861" spans="1:17" s="1659" customFormat="1" ht="30" customHeight="1" x14ac:dyDescent="0.2">
      <c r="A861" s="2191"/>
      <c r="B861" s="2187" t="s">
        <v>4368</v>
      </c>
      <c r="C861" s="2188"/>
      <c r="D861" s="452"/>
      <c r="E861" s="2312"/>
      <c r="F861" s="597"/>
      <c r="G861" s="2182">
        <v>15000000</v>
      </c>
      <c r="H861" s="2182" t="s">
        <v>4361</v>
      </c>
      <c r="I861" s="2184" t="s">
        <v>2986</v>
      </c>
      <c r="J861" s="2182">
        <f>G861</f>
        <v>15000000</v>
      </c>
      <c r="K861" s="2182"/>
      <c r="L861" s="2021"/>
      <c r="M861" s="2193"/>
      <c r="N861" s="2193"/>
      <c r="O861" s="2193"/>
      <c r="P861" s="386"/>
      <c r="Q861" s="386"/>
    </row>
    <row r="862" spans="1:17" s="1659" customFormat="1" ht="30" customHeight="1" x14ac:dyDescent="0.2">
      <c r="A862" s="2328"/>
      <c r="B862" s="2323" t="s">
        <v>4374</v>
      </c>
      <c r="C862" s="2324"/>
      <c r="D862" s="2318">
        <v>100000000</v>
      </c>
      <c r="E862" s="2312"/>
      <c r="F862" s="597"/>
      <c r="G862" s="2306"/>
      <c r="H862" s="2306"/>
      <c r="I862" s="2318"/>
      <c r="J862" s="2306"/>
      <c r="K862" s="2306"/>
      <c r="L862" s="2327" t="s">
        <v>4375</v>
      </c>
      <c r="M862" s="2330"/>
      <c r="N862" s="2330"/>
      <c r="O862" s="2330"/>
      <c r="P862" s="386"/>
      <c r="Q862" s="386"/>
    </row>
    <row r="863" spans="1:17" s="1659" customFormat="1" ht="30" customHeight="1" x14ac:dyDescent="0.2">
      <c r="A863" s="2328"/>
      <c r="B863" s="2323" t="s">
        <v>4376</v>
      </c>
      <c r="C863" s="2324"/>
      <c r="D863" s="2318">
        <v>70000000</v>
      </c>
      <c r="E863" s="2307">
        <v>7.0000000000000007E-2</v>
      </c>
      <c r="F863" s="2319">
        <f>D863*E863</f>
        <v>4900000.0000000009</v>
      </c>
      <c r="G863" s="2306"/>
      <c r="H863" s="2306"/>
      <c r="I863" s="2318"/>
      <c r="J863" s="2306"/>
      <c r="K863" s="2306"/>
      <c r="L863" s="2021" t="s">
        <v>4377</v>
      </c>
      <c r="M863" s="2330"/>
      <c r="N863" s="2330"/>
      <c r="O863" s="2330"/>
      <c r="P863" s="386"/>
      <c r="Q863" s="386"/>
    </row>
    <row r="864" spans="1:17" s="1659" customFormat="1" ht="30" customHeight="1" x14ac:dyDescent="0.2">
      <c r="A864" s="2328"/>
      <c r="B864" s="2323" t="s">
        <v>4393</v>
      </c>
      <c r="C864" s="2324"/>
      <c r="D864" s="2318">
        <v>350000000</v>
      </c>
      <c r="E864" s="2307"/>
      <c r="F864" s="2319"/>
      <c r="G864" s="2306"/>
      <c r="H864" s="2306"/>
      <c r="I864" s="2318"/>
      <c r="J864" s="2306"/>
      <c r="K864" s="2306"/>
      <c r="L864" s="2021" t="s">
        <v>4394</v>
      </c>
      <c r="M864" s="2330"/>
      <c r="N864" s="2330"/>
      <c r="O864" s="2330"/>
      <c r="P864" s="386"/>
      <c r="Q864" s="386"/>
    </row>
    <row r="865" spans="1:17" s="1659" customFormat="1" ht="30" customHeight="1" x14ac:dyDescent="0.2">
      <c r="A865" s="2328"/>
      <c r="B865" s="2323" t="s">
        <v>4397</v>
      </c>
      <c r="C865" s="2324"/>
      <c r="D865" s="2318">
        <v>50000000</v>
      </c>
      <c r="E865" s="2307">
        <v>0.05</v>
      </c>
      <c r="F865" s="2319">
        <f>D865*E865</f>
        <v>2500000</v>
      </c>
      <c r="G865" s="7732" t="s">
        <v>7138</v>
      </c>
      <c r="H865" s="7733"/>
      <c r="I865" s="7733"/>
      <c r="J865" s="7734"/>
      <c r="K865" s="2306"/>
      <c r="L865" s="2021" t="s">
        <v>4398</v>
      </c>
      <c r="M865" s="2330"/>
      <c r="N865" s="2330"/>
      <c r="O865" s="2330"/>
      <c r="P865" s="386"/>
      <c r="Q865" s="386"/>
    </row>
    <row r="866" spans="1:17" s="1659" customFormat="1" ht="30" customHeight="1" x14ac:dyDescent="0.2">
      <c r="A866" s="2345"/>
      <c r="B866" s="2343" t="s">
        <v>4405</v>
      </c>
      <c r="C866" s="2342"/>
      <c r="D866" s="2338">
        <v>100000000</v>
      </c>
      <c r="E866" s="2334">
        <v>0.05</v>
      </c>
      <c r="F866" s="2339">
        <f>D866*E866</f>
        <v>5000000</v>
      </c>
      <c r="G866" s="2337">
        <v>5000000</v>
      </c>
      <c r="H866" s="2337" t="s">
        <v>4402</v>
      </c>
      <c r="I866" s="2338" t="s">
        <v>4406</v>
      </c>
      <c r="J866" s="2337">
        <f>G866</f>
        <v>5000000</v>
      </c>
      <c r="K866" s="2337">
        <f>F866-J866</f>
        <v>0</v>
      </c>
      <c r="L866" s="2021" t="s">
        <v>6222</v>
      </c>
      <c r="M866" s="2346"/>
      <c r="N866" s="2346"/>
      <c r="O866" s="2346"/>
      <c r="P866" s="386"/>
      <c r="Q866" s="386"/>
    </row>
    <row r="867" spans="1:17" s="1659" customFormat="1" ht="30" customHeight="1" x14ac:dyDescent="0.2">
      <c r="A867" s="2345"/>
      <c r="B867" s="2343" t="s">
        <v>4410</v>
      </c>
      <c r="C867" s="2342"/>
      <c r="D867" s="2338">
        <v>50000000</v>
      </c>
      <c r="E867" s="2334">
        <v>0.05</v>
      </c>
      <c r="F867" s="2339">
        <f>D867*E867</f>
        <v>2500000</v>
      </c>
      <c r="G867" s="2337">
        <v>2500000</v>
      </c>
      <c r="H867" s="2337" t="s">
        <v>4402</v>
      </c>
      <c r="I867" s="2338" t="s">
        <v>4411</v>
      </c>
      <c r="J867" s="2337">
        <f>G867</f>
        <v>2500000</v>
      </c>
      <c r="K867" s="2337">
        <f>F867-J867</f>
        <v>0</v>
      </c>
      <c r="L867" s="2021"/>
      <c r="M867" s="2346"/>
      <c r="N867" s="2346"/>
      <c r="O867" s="2346"/>
      <c r="P867" s="386"/>
      <c r="Q867" s="386"/>
    </row>
    <row r="868" spans="1:17" s="1659" customFormat="1" ht="30" customHeight="1" x14ac:dyDescent="0.2">
      <c r="A868" s="2345"/>
      <c r="B868" s="2343" t="s">
        <v>4413</v>
      </c>
      <c r="C868" s="2342"/>
      <c r="D868" s="2338">
        <v>20000000</v>
      </c>
      <c r="E868" s="2334">
        <v>0.05</v>
      </c>
      <c r="F868" s="2339">
        <f>D868*E868</f>
        <v>1000000</v>
      </c>
      <c r="G868" s="2337">
        <v>1000000</v>
      </c>
      <c r="H868" s="2337" t="s">
        <v>4402</v>
      </c>
      <c r="I868" s="2338" t="s">
        <v>4414</v>
      </c>
      <c r="J868" s="2337">
        <f>G868</f>
        <v>1000000</v>
      </c>
      <c r="K868" s="2337">
        <f>F868-J868</f>
        <v>0</v>
      </c>
      <c r="L868" s="2021"/>
      <c r="M868" s="2346"/>
      <c r="N868" s="2346"/>
      <c r="O868" s="2346"/>
      <c r="P868" s="386"/>
      <c r="Q868" s="386"/>
    </row>
    <row r="869" spans="1:17" s="1659" customFormat="1" ht="30" customHeight="1" x14ac:dyDescent="0.2">
      <c r="A869" s="8143"/>
      <c r="B869" s="8132" t="s">
        <v>4422</v>
      </c>
      <c r="C869" s="8134"/>
      <c r="D869" s="2770">
        <v>50000000</v>
      </c>
      <c r="E869" s="2556"/>
      <c r="F869" s="2771"/>
      <c r="G869" s="2769">
        <v>50000000</v>
      </c>
      <c r="H869" s="2769" t="s">
        <v>2473</v>
      </c>
      <c r="I869" s="2770" t="s">
        <v>3529</v>
      </c>
      <c r="J869" s="2769">
        <f>G869</f>
        <v>50000000</v>
      </c>
      <c r="K869" s="2769"/>
      <c r="L869" s="2782" t="s">
        <v>4653</v>
      </c>
      <c r="M869" s="2346"/>
      <c r="N869" s="2346"/>
      <c r="O869" s="2346"/>
      <c r="P869" s="386"/>
      <c r="Q869" s="386"/>
    </row>
    <row r="870" spans="1:17" s="1659" customFormat="1" ht="30" customHeight="1" x14ac:dyDescent="0.2">
      <c r="A870" s="8144"/>
      <c r="B870" s="8133"/>
      <c r="C870" s="8135"/>
      <c r="D870" s="8139" t="s">
        <v>4535</v>
      </c>
      <c r="E870" s="8140"/>
      <c r="F870" s="8141"/>
      <c r="G870" s="2769">
        <v>835000</v>
      </c>
      <c r="H870" s="2769" t="s">
        <v>4761</v>
      </c>
      <c r="I870" s="2770" t="s">
        <v>4762</v>
      </c>
      <c r="J870" s="2769">
        <f>G870</f>
        <v>835000</v>
      </c>
      <c r="K870" s="2769"/>
      <c r="L870" s="2782" t="s">
        <v>1326</v>
      </c>
      <c r="M870" s="2456"/>
      <c r="N870" s="2456"/>
      <c r="O870" s="2456"/>
      <c r="P870" s="386"/>
      <c r="Q870" s="386"/>
    </row>
    <row r="871" spans="1:17" s="1659" customFormat="1" ht="30" customHeight="1" x14ac:dyDescent="0.2">
      <c r="A871" s="2345"/>
      <c r="B871" s="2343" t="s">
        <v>4432</v>
      </c>
      <c r="C871" s="2342"/>
      <c r="D871" s="2338">
        <v>300000000</v>
      </c>
      <c r="E871" s="2334">
        <v>0.05</v>
      </c>
      <c r="F871" s="2339">
        <f>D871*E871</f>
        <v>15000000</v>
      </c>
      <c r="G871" s="2337"/>
      <c r="H871" s="2337"/>
      <c r="I871" s="2338"/>
      <c r="J871" s="2337"/>
      <c r="K871" s="2337"/>
      <c r="L871" s="2021" t="s">
        <v>4435</v>
      </c>
      <c r="M871" s="2346"/>
      <c r="N871" s="2346"/>
      <c r="O871" s="2346"/>
      <c r="P871" s="386"/>
      <c r="Q871" s="386"/>
    </row>
    <row r="872" spans="1:17" s="1659" customFormat="1" ht="30" customHeight="1" x14ac:dyDescent="0.2">
      <c r="A872" s="2345"/>
      <c r="B872" s="2343" t="s">
        <v>4433</v>
      </c>
      <c r="C872" s="2342"/>
      <c r="D872" s="2338">
        <v>200000000</v>
      </c>
      <c r="E872" s="2334">
        <v>0.05</v>
      </c>
      <c r="F872" s="2351">
        <f>D872*E872</f>
        <v>10000000</v>
      </c>
      <c r="G872" s="2337">
        <v>10000000</v>
      </c>
      <c r="H872" s="2337" t="s">
        <v>4449</v>
      </c>
      <c r="I872" s="2338" t="s">
        <v>4167</v>
      </c>
      <c r="J872" s="2337">
        <f>G872</f>
        <v>10000000</v>
      </c>
      <c r="K872" s="2337">
        <f>F872-J872</f>
        <v>0</v>
      </c>
      <c r="L872" s="2021" t="s">
        <v>4434</v>
      </c>
      <c r="M872" s="2346"/>
      <c r="N872" s="2346"/>
      <c r="O872" s="2346"/>
      <c r="P872" s="386"/>
      <c r="Q872" s="386"/>
    </row>
    <row r="873" spans="1:17" s="1659" customFormat="1" ht="30" customHeight="1" x14ac:dyDescent="0.2">
      <c r="A873" s="2400"/>
      <c r="B873" s="2397" t="s">
        <v>4454</v>
      </c>
      <c r="C873" s="2398" t="s">
        <v>262</v>
      </c>
      <c r="D873" s="2390">
        <v>120000000</v>
      </c>
      <c r="E873" s="2388">
        <v>0.05</v>
      </c>
      <c r="F873" s="2391">
        <f>D873*E873</f>
        <v>6000000</v>
      </c>
      <c r="G873" s="2386">
        <v>3400000</v>
      </c>
      <c r="H873" s="2386" t="s">
        <v>4449</v>
      </c>
      <c r="I873" s="2390" t="s">
        <v>4455</v>
      </c>
      <c r="J873" s="2386">
        <f>G873</f>
        <v>3400000</v>
      </c>
      <c r="K873" s="2386"/>
      <c r="L873" s="2021" t="s">
        <v>4456</v>
      </c>
      <c r="M873" s="2401"/>
      <c r="N873" s="2401"/>
      <c r="O873" s="2401"/>
      <c r="P873" s="386"/>
      <c r="Q873" s="386"/>
    </row>
    <row r="874" spans="1:17" s="1659" customFormat="1" ht="30" customHeight="1" x14ac:dyDescent="0.2">
      <c r="A874" s="2400"/>
      <c r="B874" s="2397" t="s">
        <v>4468</v>
      </c>
      <c r="C874" s="2398"/>
      <c r="D874" s="2390">
        <v>75000000</v>
      </c>
      <c r="E874" s="2388"/>
      <c r="F874" s="2391"/>
      <c r="G874" s="2386"/>
      <c r="H874" s="2386"/>
      <c r="I874" s="2390"/>
      <c r="J874" s="2386"/>
      <c r="K874" s="2386"/>
      <c r="L874" s="2021" t="s">
        <v>4469</v>
      </c>
      <c r="M874" s="2401"/>
      <c r="N874" s="2401"/>
      <c r="O874" s="2401"/>
      <c r="P874" s="386"/>
      <c r="Q874" s="386"/>
    </row>
    <row r="875" spans="1:17" s="1659" customFormat="1" ht="30" customHeight="1" x14ac:dyDescent="0.2">
      <c r="A875" s="2400"/>
      <c r="B875" s="2397" t="s">
        <v>4496</v>
      </c>
      <c r="C875" s="2398"/>
      <c r="D875" s="2390">
        <v>100000000</v>
      </c>
      <c r="E875" s="2388">
        <v>0.06</v>
      </c>
      <c r="F875" s="2391">
        <f>D875*E875</f>
        <v>6000000</v>
      </c>
      <c r="G875" s="2386"/>
      <c r="H875" s="2386"/>
      <c r="I875" s="2390"/>
      <c r="J875" s="2386"/>
      <c r="K875" s="2386"/>
      <c r="L875" s="2021"/>
      <c r="M875" s="2401"/>
      <c r="N875" s="2401"/>
      <c r="O875" s="2401"/>
      <c r="P875" s="386"/>
      <c r="Q875" s="386"/>
    </row>
    <row r="876" spans="1:17" s="1659" customFormat="1" ht="30" customHeight="1" x14ac:dyDescent="0.2">
      <c r="A876" s="2191"/>
      <c r="B876" s="2187" t="s">
        <v>4494</v>
      </c>
      <c r="C876" s="2188" t="s">
        <v>2278</v>
      </c>
      <c r="D876" s="2179">
        <v>150000000</v>
      </c>
      <c r="E876" s="2183">
        <v>0.06</v>
      </c>
      <c r="F876" s="2182">
        <f>D876*E876</f>
        <v>9000000</v>
      </c>
      <c r="G876" s="2182"/>
      <c r="H876" s="2182"/>
      <c r="I876" s="2184"/>
      <c r="J876" s="2182"/>
      <c r="K876" s="2182"/>
      <c r="L876" s="2405" t="s">
        <v>4495</v>
      </c>
      <c r="M876" s="2193"/>
      <c r="N876" s="2193"/>
      <c r="O876" s="2193"/>
      <c r="P876" s="386"/>
      <c r="Q876" s="386"/>
    </row>
    <row r="877" spans="1:17" s="1659" customFormat="1" ht="30" customHeight="1" x14ac:dyDescent="0.2">
      <c r="A877" s="7703"/>
      <c r="B877" s="7652" t="s">
        <v>4513</v>
      </c>
      <c r="C877" s="2418"/>
      <c r="D877" s="2409">
        <v>20000000</v>
      </c>
      <c r="E877" s="2413">
        <f>F877/D877</f>
        <v>0.06</v>
      </c>
      <c r="F877" s="2412">
        <v>1200000</v>
      </c>
      <c r="G877" s="2412">
        <v>9000000</v>
      </c>
      <c r="H877" s="2412" t="s">
        <v>1017</v>
      </c>
      <c r="I877" s="2415" t="s">
        <v>4526</v>
      </c>
      <c r="J877" s="2412">
        <f>G877</f>
        <v>9000000</v>
      </c>
      <c r="K877" s="2412"/>
      <c r="L877" s="7674" t="s">
        <v>4525</v>
      </c>
      <c r="M877" s="2424"/>
      <c r="N877" s="2424"/>
      <c r="O877" s="2424"/>
      <c r="P877" s="386"/>
      <c r="Q877" s="386"/>
    </row>
    <row r="878" spans="1:17" s="1659" customFormat="1" ht="30" customHeight="1" x14ac:dyDescent="0.2">
      <c r="A878" s="7704"/>
      <c r="B878" s="7665"/>
      <c r="C878" s="2433"/>
      <c r="D878" s="2427"/>
      <c r="E878" s="2428"/>
      <c r="F878" s="2430"/>
      <c r="G878" s="2430">
        <f>G877-3600000</f>
        <v>5400000</v>
      </c>
      <c r="H878" s="7470" t="s">
        <v>4524</v>
      </c>
      <c r="I878" s="7493"/>
      <c r="J878" s="7493"/>
      <c r="K878" s="7510"/>
      <c r="L878" s="7675"/>
      <c r="M878" s="2435"/>
      <c r="N878" s="2435"/>
      <c r="O878" s="2435"/>
      <c r="P878" s="386"/>
      <c r="Q878" s="386"/>
    </row>
    <row r="879" spans="1:17" s="1659" customFormat="1" ht="30" customHeight="1" x14ac:dyDescent="0.2">
      <c r="A879" s="7705"/>
      <c r="B879" s="7653"/>
      <c r="C879" s="2418" t="s">
        <v>1138</v>
      </c>
      <c r="D879" s="2409">
        <v>130000000</v>
      </c>
      <c r="E879" s="2413">
        <v>7.0000000000000007E-2</v>
      </c>
      <c r="F879" s="2412">
        <v>9000000</v>
      </c>
      <c r="G879" s="2412"/>
      <c r="H879" s="2412"/>
      <c r="I879" s="2415"/>
      <c r="J879" s="2412"/>
      <c r="K879" s="2412"/>
      <c r="L879" s="2422" t="s">
        <v>4514</v>
      </c>
      <c r="M879" s="2424"/>
      <c r="N879" s="2424"/>
      <c r="O879" s="2424"/>
      <c r="P879" s="386"/>
      <c r="Q879" s="386"/>
    </row>
    <row r="880" spans="1:17" s="1659" customFormat="1" ht="30" customHeight="1" x14ac:dyDescent="0.2">
      <c r="A880" s="7703"/>
      <c r="B880" s="7652" t="s">
        <v>3186</v>
      </c>
      <c r="C880" s="7723" t="s">
        <v>889</v>
      </c>
      <c r="D880" s="7563">
        <v>150000000</v>
      </c>
      <c r="E880" s="7659">
        <v>0.06</v>
      </c>
      <c r="F880" s="7563">
        <f>D880*E880</f>
        <v>9000000</v>
      </c>
      <c r="G880" s="7563">
        <v>27000000</v>
      </c>
      <c r="H880" s="7563" t="s">
        <v>4778</v>
      </c>
      <c r="I880" s="7563" t="s">
        <v>4782</v>
      </c>
      <c r="J880" s="7563">
        <f>G880</f>
        <v>27000000</v>
      </c>
      <c r="K880" s="7563">
        <f>G880-J880</f>
        <v>0</v>
      </c>
      <c r="L880" s="2668" t="s">
        <v>4682</v>
      </c>
      <c r="M880" s="2674"/>
      <c r="N880" s="2674"/>
      <c r="O880" s="2674"/>
      <c r="P880" s="386"/>
      <c r="Q880" s="386"/>
    </row>
    <row r="881" spans="1:17" s="1659" customFormat="1" ht="30" customHeight="1" x14ac:dyDescent="0.2">
      <c r="A881" s="7705"/>
      <c r="B881" s="7653"/>
      <c r="C881" s="7724"/>
      <c r="D881" s="7564"/>
      <c r="E881" s="7660"/>
      <c r="F881" s="7564"/>
      <c r="G881" s="7564"/>
      <c r="H881" s="7564"/>
      <c r="I881" s="7564"/>
      <c r="J881" s="7564"/>
      <c r="K881" s="7564"/>
      <c r="L881" s="2668" t="s">
        <v>4681</v>
      </c>
      <c r="M881" s="2674"/>
      <c r="N881" s="2674"/>
      <c r="O881" s="2674"/>
      <c r="P881" s="386"/>
      <c r="Q881" s="386"/>
    </row>
    <row r="882" spans="1:17" s="1659" customFormat="1" ht="30" customHeight="1" x14ac:dyDescent="0.2">
      <c r="A882" s="2423"/>
      <c r="B882" s="2417" t="s">
        <v>4527</v>
      </c>
      <c r="C882" s="2418"/>
      <c r="D882" s="2409">
        <v>100000000</v>
      </c>
      <c r="E882" s="2413"/>
      <c r="F882" s="2412"/>
      <c r="G882" s="2412"/>
      <c r="H882" s="2412"/>
      <c r="I882" s="2415"/>
      <c r="J882" s="2412"/>
      <c r="K882" s="2412"/>
      <c r="L882" s="2422" t="s">
        <v>4528</v>
      </c>
      <c r="M882" s="2424"/>
      <c r="N882" s="2424"/>
      <c r="O882" s="2424"/>
      <c r="P882" s="386"/>
      <c r="Q882" s="386"/>
    </row>
    <row r="883" spans="1:17" s="1659" customFormat="1" ht="30" customHeight="1" x14ac:dyDescent="0.2">
      <c r="A883" s="2423"/>
      <c r="B883" s="2417" t="s">
        <v>4537</v>
      </c>
      <c r="C883" s="2418"/>
      <c r="D883" s="2409">
        <v>100000000</v>
      </c>
      <c r="E883" s="2413"/>
      <c r="F883" s="2412"/>
      <c r="G883" s="2412"/>
      <c r="H883" s="2412"/>
      <c r="I883" s="2415"/>
      <c r="J883" s="2412"/>
      <c r="K883" s="2412"/>
      <c r="L883" s="2422" t="s">
        <v>4538</v>
      </c>
      <c r="M883" s="2424"/>
      <c r="N883" s="2424"/>
      <c r="O883" s="2424"/>
      <c r="P883" s="386"/>
      <c r="Q883" s="386"/>
    </row>
    <row r="884" spans="1:17" s="1659" customFormat="1" ht="30" customHeight="1" x14ac:dyDescent="0.2">
      <c r="A884" s="2492"/>
      <c r="B884" s="2490" t="s">
        <v>105</v>
      </c>
      <c r="C884" s="2489" t="s">
        <v>990</v>
      </c>
      <c r="D884" s="2481"/>
      <c r="E884" s="2480"/>
      <c r="F884" s="2479"/>
      <c r="G884" s="2478">
        <v>14000000</v>
      </c>
      <c r="H884" s="2478" t="s">
        <v>1017</v>
      </c>
      <c r="I884" s="2482" t="s">
        <v>2794</v>
      </c>
      <c r="J884" s="2478">
        <f>G884</f>
        <v>14000000</v>
      </c>
      <c r="K884" s="2478"/>
      <c r="L884" s="2485"/>
      <c r="M884" s="2493"/>
      <c r="N884" s="2493"/>
      <c r="O884" s="2493"/>
      <c r="P884" s="386"/>
      <c r="Q884" s="386"/>
    </row>
    <row r="885" spans="1:17" s="1659" customFormat="1" ht="30" customHeight="1" x14ac:dyDescent="0.2">
      <c r="A885" s="2492"/>
      <c r="B885" s="2490" t="s">
        <v>4550</v>
      </c>
      <c r="C885" s="2489"/>
      <c r="D885" s="2474">
        <v>120000000</v>
      </c>
      <c r="E885" s="2477">
        <v>7.0000000000000007E-2</v>
      </c>
      <c r="F885" s="2478">
        <f>D885*E885</f>
        <v>8400000</v>
      </c>
      <c r="G885" s="2478"/>
      <c r="H885" s="2478"/>
      <c r="I885" s="2482"/>
      <c r="J885" s="2478"/>
      <c r="K885" s="2478"/>
      <c r="L885" s="2485" t="s">
        <v>4551</v>
      </c>
      <c r="M885" s="2493"/>
      <c r="N885" s="2493"/>
      <c r="O885" s="2493"/>
      <c r="P885" s="386"/>
      <c r="Q885" s="386"/>
    </row>
    <row r="886" spans="1:17" s="1659" customFormat="1" ht="30" customHeight="1" x14ac:dyDescent="0.2">
      <c r="A886" s="2492"/>
      <c r="B886" s="2490" t="s">
        <v>4577</v>
      </c>
      <c r="C886" s="2489"/>
      <c r="D886" s="2474">
        <v>50000000</v>
      </c>
      <c r="E886" s="2477">
        <v>0.05</v>
      </c>
      <c r="F886" s="2478">
        <f>D886*E886</f>
        <v>2500000</v>
      </c>
      <c r="G886" s="2478">
        <v>5000000</v>
      </c>
      <c r="H886" s="2478" t="s">
        <v>4540</v>
      </c>
      <c r="I886" s="2482" t="s">
        <v>4578</v>
      </c>
      <c r="J886" s="2478">
        <f>G886</f>
        <v>5000000</v>
      </c>
      <c r="K886" s="2478">
        <f>F886-G886</f>
        <v>-2500000</v>
      </c>
      <c r="L886" s="2485" t="s">
        <v>4579</v>
      </c>
      <c r="M886" s="2493"/>
      <c r="N886" s="2493"/>
      <c r="O886" s="2493"/>
      <c r="P886" s="386"/>
      <c r="Q886" s="386"/>
    </row>
    <row r="887" spans="1:17" s="1659" customFormat="1" ht="30" customHeight="1" x14ac:dyDescent="0.2">
      <c r="A887" s="2646"/>
      <c r="B887" s="2644" t="s">
        <v>4657</v>
      </c>
      <c r="C887" s="2643" t="s">
        <v>990</v>
      </c>
      <c r="D887" s="2624">
        <v>10000000</v>
      </c>
      <c r="E887" s="2642">
        <v>0.05</v>
      </c>
      <c r="F887" s="2624">
        <f>D887*E887</f>
        <v>500000</v>
      </c>
      <c r="G887" s="2624"/>
      <c r="H887" s="2624"/>
      <c r="I887" s="2624"/>
      <c r="J887" s="2624"/>
      <c r="K887" s="2625"/>
      <c r="L887" s="2021" t="s">
        <v>4658</v>
      </c>
      <c r="M887" s="2647"/>
      <c r="N887" s="2647"/>
      <c r="O887" s="2647"/>
      <c r="P887" s="386"/>
      <c r="Q887" s="386"/>
    </row>
    <row r="888" spans="1:17" s="1659" customFormat="1" ht="30" customHeight="1" x14ac:dyDescent="0.2">
      <c r="A888" s="2646"/>
      <c r="B888" s="2644" t="s">
        <v>4667</v>
      </c>
      <c r="C888" s="2643" t="s">
        <v>1796</v>
      </c>
      <c r="D888" s="2624">
        <v>100000000</v>
      </c>
      <c r="E888" s="2626">
        <v>7.0000000000000007E-2</v>
      </c>
      <c r="F888" s="2625">
        <f>D888*E888</f>
        <v>7000000.0000000009</v>
      </c>
      <c r="G888" s="2625">
        <v>7000000</v>
      </c>
      <c r="H888" s="2625" t="s">
        <v>4786</v>
      </c>
      <c r="I888" s="2634" t="s">
        <v>4787</v>
      </c>
      <c r="J888" s="2625">
        <f>G888</f>
        <v>7000000</v>
      </c>
      <c r="K888" s="2625">
        <f>F888-J888</f>
        <v>0</v>
      </c>
      <c r="L888" s="2638"/>
      <c r="M888" s="2647"/>
      <c r="N888" s="2647"/>
      <c r="O888" s="2647"/>
      <c r="P888" s="386"/>
      <c r="Q888" s="386"/>
    </row>
    <row r="889" spans="1:17" s="1659" customFormat="1" ht="30" customHeight="1" x14ac:dyDescent="0.2">
      <c r="A889" s="2646"/>
      <c r="B889" s="2644" t="s">
        <v>4668</v>
      </c>
      <c r="C889" s="2643"/>
      <c r="D889" s="2624">
        <v>100000000</v>
      </c>
      <c r="E889" s="2626">
        <v>7.0000000000000007E-2</v>
      </c>
      <c r="F889" s="2625">
        <f t="shared" ref="F889:F890" si="96">D889*E889</f>
        <v>7000000.0000000009</v>
      </c>
      <c r="G889" s="2625"/>
      <c r="H889" s="2625"/>
      <c r="I889" s="2634"/>
      <c r="J889" s="2625"/>
      <c r="K889" s="2625"/>
      <c r="L889" s="2638"/>
      <c r="M889" s="2647"/>
      <c r="N889" s="2647"/>
      <c r="O889" s="2647"/>
      <c r="P889" s="386"/>
      <c r="Q889" s="386"/>
    </row>
    <row r="890" spans="1:17" s="1659" customFormat="1" ht="30" customHeight="1" x14ac:dyDescent="0.2">
      <c r="A890" s="2646"/>
      <c r="B890" s="2644" t="s">
        <v>4669</v>
      </c>
      <c r="C890" s="2643"/>
      <c r="D890" s="2624">
        <v>35000000</v>
      </c>
      <c r="E890" s="2626">
        <v>7.0000000000000007E-2</v>
      </c>
      <c r="F890" s="2625">
        <f t="shared" si="96"/>
        <v>2450000.0000000005</v>
      </c>
      <c r="G890" s="2625"/>
      <c r="H890" s="2625"/>
      <c r="I890" s="2634"/>
      <c r="J890" s="2625"/>
      <c r="K890" s="2625"/>
      <c r="L890" s="2638"/>
      <c r="M890" s="2647"/>
      <c r="N890" s="2647"/>
      <c r="O890" s="2647"/>
      <c r="P890" s="386"/>
      <c r="Q890" s="386"/>
    </row>
    <row r="891" spans="1:17" s="1659" customFormat="1" ht="30" customHeight="1" x14ac:dyDescent="0.2">
      <c r="A891" s="2669"/>
      <c r="B891" s="2665" t="s">
        <v>4676</v>
      </c>
      <c r="C891" s="2666"/>
      <c r="D891" s="2654">
        <v>110000000</v>
      </c>
      <c r="E891" s="2657"/>
      <c r="F891" s="2656"/>
      <c r="G891" s="2656"/>
      <c r="H891" s="2656"/>
      <c r="I891" s="2660"/>
      <c r="J891" s="2656"/>
      <c r="K891" s="2656"/>
      <c r="L891" s="2668" t="s">
        <v>4677</v>
      </c>
      <c r="M891" s="2674"/>
      <c r="N891" s="2674"/>
      <c r="O891" s="2674"/>
      <c r="P891" s="386"/>
      <c r="Q891" s="386"/>
    </row>
    <row r="892" spans="1:17" s="1659" customFormat="1" ht="30" customHeight="1" x14ac:dyDescent="0.2">
      <c r="A892" s="2669"/>
      <c r="B892" s="2665" t="s">
        <v>4755</v>
      </c>
      <c r="C892" s="2666"/>
      <c r="D892" s="2654">
        <v>50000000</v>
      </c>
      <c r="E892" s="2657"/>
      <c r="F892" s="2656"/>
      <c r="G892" s="2656"/>
      <c r="H892" s="2656"/>
      <c r="I892" s="2660"/>
      <c r="J892" s="2656"/>
      <c r="K892" s="2656"/>
      <c r="L892" s="2021" t="s">
        <v>4756</v>
      </c>
      <c r="M892" s="2674"/>
      <c r="N892" s="2674"/>
      <c r="O892" s="2674"/>
      <c r="P892" s="386"/>
      <c r="Q892" s="386"/>
    </row>
    <row r="893" spans="1:17" s="1659" customFormat="1" ht="30" customHeight="1" x14ac:dyDescent="0.2">
      <c r="A893" s="2669"/>
      <c r="B893" s="2665" t="s">
        <v>229</v>
      </c>
      <c r="C893" s="2666"/>
      <c r="D893" s="2654">
        <v>60000000</v>
      </c>
      <c r="E893" s="2657">
        <v>0.05</v>
      </c>
      <c r="F893" s="2656">
        <f>D893*E893</f>
        <v>3000000</v>
      </c>
      <c r="G893" s="2656">
        <v>3000000</v>
      </c>
      <c r="H893" s="2656" t="s">
        <v>4761</v>
      </c>
      <c r="I893" s="2660" t="s">
        <v>1063</v>
      </c>
      <c r="J893" s="2656">
        <f>G893</f>
        <v>3000000</v>
      </c>
      <c r="K893" s="2656">
        <f>F893-J893</f>
        <v>0</v>
      </c>
      <c r="L893" s="2668"/>
      <c r="M893" s="2674"/>
      <c r="N893" s="2674"/>
      <c r="O893" s="2674"/>
      <c r="P893" s="386"/>
      <c r="Q893" s="386"/>
    </row>
    <row r="894" spans="1:17" s="1659" customFormat="1" ht="30" customHeight="1" x14ac:dyDescent="0.2">
      <c r="A894" s="2669"/>
      <c r="B894" s="2943" t="s">
        <v>4767</v>
      </c>
      <c r="C894" s="2944" t="s">
        <v>989</v>
      </c>
      <c r="D894" s="2937">
        <v>4200000</v>
      </c>
      <c r="E894" s="2932">
        <v>0.05</v>
      </c>
      <c r="F894" s="2931">
        <f>D894*E894</f>
        <v>210000</v>
      </c>
      <c r="G894" s="2931">
        <v>420000</v>
      </c>
      <c r="H894" s="2931" t="s">
        <v>4761</v>
      </c>
      <c r="I894" s="2936" t="s">
        <v>4768</v>
      </c>
      <c r="J894" s="2931">
        <f>G894</f>
        <v>420000</v>
      </c>
      <c r="K894" s="2931"/>
      <c r="L894" s="2947" t="s">
        <v>6065</v>
      </c>
      <c r="M894" s="2674"/>
      <c r="N894" s="2674"/>
      <c r="O894" s="2674"/>
      <c r="P894" s="386"/>
      <c r="Q894" s="386"/>
    </row>
    <row r="895" spans="1:17" s="1659" customFormat="1" ht="30" customHeight="1" x14ac:dyDescent="0.2">
      <c r="A895" s="2804"/>
      <c r="B895" s="2803" t="s">
        <v>4792</v>
      </c>
      <c r="C895" s="2802"/>
      <c r="D895" s="2790"/>
      <c r="E895" s="2793"/>
      <c r="F895" s="2792"/>
      <c r="G895" s="2792"/>
      <c r="H895" s="2792"/>
      <c r="I895" s="2794"/>
      <c r="J895" s="2792"/>
      <c r="K895" s="2792"/>
      <c r="L895" s="2800"/>
      <c r="M895" s="2805"/>
      <c r="N895" s="2805"/>
      <c r="O895" s="2805"/>
      <c r="P895" s="386"/>
      <c r="Q895" s="386"/>
    </row>
    <row r="896" spans="1:17" s="1659" customFormat="1" ht="30" customHeight="1" x14ac:dyDescent="0.2">
      <c r="A896" s="2804"/>
      <c r="B896" s="2803"/>
      <c r="C896" s="2802"/>
      <c r="D896" s="2790"/>
      <c r="E896" s="2793"/>
      <c r="F896" s="2792"/>
      <c r="G896" s="2792"/>
      <c r="H896" s="2792"/>
      <c r="I896" s="2794"/>
      <c r="J896" s="2792"/>
      <c r="K896" s="2792"/>
      <c r="L896" s="2800"/>
      <c r="M896" s="2805"/>
      <c r="N896" s="2805"/>
      <c r="O896" s="2805"/>
      <c r="P896" s="386"/>
      <c r="Q896" s="386"/>
    </row>
    <row r="897" spans="1:17" s="1659" customFormat="1" ht="30" customHeight="1" x14ac:dyDescent="0.2">
      <c r="A897" s="2804"/>
      <c r="B897" s="2803"/>
      <c r="C897" s="2802"/>
      <c r="D897" s="2790"/>
      <c r="E897" s="2793"/>
      <c r="F897" s="2792"/>
      <c r="G897" s="2792"/>
      <c r="H897" s="2792"/>
      <c r="I897" s="2794"/>
      <c r="J897" s="2792"/>
      <c r="K897" s="2792"/>
      <c r="L897" s="2800"/>
      <c r="M897" s="2805"/>
      <c r="N897" s="2805"/>
      <c r="O897" s="2805"/>
      <c r="P897" s="386"/>
      <c r="Q897" s="386"/>
    </row>
    <row r="898" spans="1:17" s="1659" customFormat="1" ht="30" customHeight="1" x14ac:dyDescent="0.2">
      <c r="A898" s="2804"/>
      <c r="B898" s="2803"/>
      <c r="C898" s="2802"/>
      <c r="D898" s="2790"/>
      <c r="E898" s="2793"/>
      <c r="F898" s="2792"/>
      <c r="G898" s="2792"/>
      <c r="H898" s="2792"/>
      <c r="I898" s="2794"/>
      <c r="J898" s="2792"/>
      <c r="K898" s="2792"/>
      <c r="L898" s="2800"/>
      <c r="M898" s="2805"/>
      <c r="N898" s="2805"/>
      <c r="O898" s="2805"/>
      <c r="P898" s="386"/>
      <c r="Q898" s="386"/>
    </row>
    <row r="899" spans="1:17" s="1659" customFormat="1" ht="30" customHeight="1" x14ac:dyDescent="0.2">
      <c r="A899" s="2423"/>
      <c r="B899" s="2417"/>
      <c r="C899" s="2418"/>
      <c r="D899" s="2409"/>
      <c r="E899" s="2413"/>
      <c r="F899" s="2412"/>
      <c r="G899" s="2412"/>
      <c r="H899" s="2412"/>
      <c r="I899" s="2415"/>
      <c r="J899" s="2412"/>
      <c r="K899" s="2412"/>
      <c r="L899" s="2422"/>
      <c r="M899" s="2424"/>
      <c r="N899" s="2424"/>
      <c r="O899" s="2424"/>
      <c r="P899" s="386"/>
      <c r="Q899" s="386"/>
    </row>
    <row r="900" spans="1:17" ht="50.1" customHeight="1" x14ac:dyDescent="0.2">
      <c r="A900" s="8013" t="s">
        <v>4281</v>
      </c>
      <c r="B900" s="8014"/>
      <c r="C900" s="1031"/>
      <c r="D900" s="294"/>
      <c r="E900" s="2077"/>
      <c r="F900" s="2074"/>
      <c r="G900" s="2074"/>
      <c r="H900" s="2074"/>
      <c r="I900" s="21"/>
      <c r="J900" s="2074"/>
      <c r="K900" s="2074"/>
      <c r="L900" s="2068"/>
    </row>
  </sheetData>
  <mergeCells count="1240">
    <mergeCell ref="G865:J865"/>
    <mergeCell ref="L877:L878"/>
    <mergeCell ref="A494:A495"/>
    <mergeCell ref="B494:B495"/>
    <mergeCell ref="A85:A88"/>
    <mergeCell ref="B85:B88"/>
    <mergeCell ref="C85:C88"/>
    <mergeCell ref="G431:J431"/>
    <mergeCell ref="G157:J157"/>
    <mergeCell ref="G158:J158"/>
    <mergeCell ref="A155:A159"/>
    <mergeCell ref="B155:B159"/>
    <mergeCell ref="C155:C159"/>
    <mergeCell ref="G155:J156"/>
    <mergeCell ref="G159:J159"/>
    <mergeCell ref="G288:J288"/>
    <mergeCell ref="B880:B881"/>
    <mergeCell ref="A880:A881"/>
    <mergeCell ref="C880:C881"/>
    <mergeCell ref="D880:D881"/>
    <mergeCell ref="E880:E881"/>
    <mergeCell ref="F880:F881"/>
    <mergeCell ref="G469:J469"/>
    <mergeCell ref="G806:K806"/>
    <mergeCell ref="B877:B879"/>
    <mergeCell ref="A877:A879"/>
    <mergeCell ref="I428:I429"/>
    <mergeCell ref="H629:H630"/>
    <mergeCell ref="I629:I630"/>
    <mergeCell ref="J802:J803"/>
    <mergeCell ref="G847:J849"/>
    <mergeCell ref="J852:J853"/>
    <mergeCell ref="G476:J476"/>
    <mergeCell ref="G477:J477"/>
    <mergeCell ref="D481:D483"/>
    <mergeCell ref="A579:A581"/>
    <mergeCell ref="G494:G495"/>
    <mergeCell ref="C471:C483"/>
    <mergeCell ref="G471:J471"/>
    <mergeCell ref="A531:A548"/>
    <mergeCell ref="C531:C548"/>
    <mergeCell ref="H573:H574"/>
    <mergeCell ref="I573:I574"/>
    <mergeCell ref="J573:J574"/>
    <mergeCell ref="D547:E547"/>
    <mergeCell ref="G551:J551"/>
    <mergeCell ref="G552:J552"/>
    <mergeCell ref="G553:J553"/>
    <mergeCell ref="D477:D480"/>
    <mergeCell ref="E477:E480"/>
    <mergeCell ref="C494:C495"/>
    <mergeCell ref="B502:B503"/>
    <mergeCell ref="A502:A503"/>
    <mergeCell ref="G503:J503"/>
    <mergeCell ref="B531:B548"/>
    <mergeCell ref="J579:J580"/>
    <mergeCell ref="A577:A578"/>
    <mergeCell ref="B577:B578"/>
    <mergeCell ref="C577:C578"/>
    <mergeCell ref="D577:D578"/>
    <mergeCell ref="E577:E578"/>
    <mergeCell ref="J570:J572"/>
    <mergeCell ref="C518:C520"/>
    <mergeCell ref="B529:B530"/>
    <mergeCell ref="G502:J502"/>
    <mergeCell ref="J478:J480"/>
    <mergeCell ref="B525:B526"/>
    <mergeCell ref="C525:C526"/>
    <mergeCell ref="B488:B490"/>
    <mergeCell ref="D489:F489"/>
    <mergeCell ref="C488:C490"/>
    <mergeCell ref="G482:J482"/>
    <mergeCell ref="B579:B581"/>
    <mergeCell ref="C579:C581"/>
    <mergeCell ref="A582:A591"/>
    <mergeCell ref="A627:A628"/>
    <mergeCell ref="B627:B628"/>
    <mergeCell ref="C627:C628"/>
    <mergeCell ref="B619:B620"/>
    <mergeCell ref="C619:C620"/>
    <mergeCell ref="C550:C554"/>
    <mergeCell ref="B550:B554"/>
    <mergeCell ref="A550:A554"/>
    <mergeCell ref="G554:J554"/>
    <mergeCell ref="A599:A607"/>
    <mergeCell ref="B599:B607"/>
    <mergeCell ref="B622:B623"/>
    <mergeCell ref="C622:C623"/>
    <mergeCell ref="D622:D623"/>
    <mergeCell ref="C599:C607"/>
    <mergeCell ref="H525:H526"/>
    <mergeCell ref="A518:A520"/>
    <mergeCell ref="B518:B520"/>
    <mergeCell ref="K802:K803"/>
    <mergeCell ref="C798:C801"/>
    <mergeCell ref="K808:K809"/>
    <mergeCell ref="K798:K799"/>
    <mergeCell ref="K659:K660"/>
    <mergeCell ref="H715:H716"/>
    <mergeCell ref="J715:J717"/>
    <mergeCell ref="K677:K678"/>
    <mergeCell ref="K675:K676"/>
    <mergeCell ref="F763:F764"/>
    <mergeCell ref="B582:B591"/>
    <mergeCell ref="C582:C591"/>
    <mergeCell ref="K670:K671"/>
    <mergeCell ref="D707:E707"/>
    <mergeCell ref="D714:E714"/>
    <mergeCell ref="C805:C807"/>
    <mergeCell ref="F677:F678"/>
    <mergeCell ref="K646:K647"/>
    <mergeCell ref="K649:K650"/>
    <mergeCell ref="C670:C674"/>
    <mergeCell ref="I677:I678"/>
    <mergeCell ref="G683:J683"/>
    <mergeCell ref="D659:D660"/>
    <mergeCell ref="B681:B685"/>
    <mergeCell ref="E582:E591"/>
    <mergeCell ref="G694:J694"/>
    <mergeCell ref="E649:E650"/>
    <mergeCell ref="F649:F650"/>
    <mergeCell ref="J637:J639"/>
    <mergeCell ref="G649:G650"/>
    <mergeCell ref="H689:H693"/>
    <mergeCell ref="I689:I693"/>
    <mergeCell ref="D859:F859"/>
    <mergeCell ref="B160:B162"/>
    <mergeCell ref="C160:C162"/>
    <mergeCell ref="G162:J162"/>
    <mergeCell ref="K506:K507"/>
    <mergeCell ref="J413:J414"/>
    <mergeCell ref="K413:K414"/>
    <mergeCell ref="K394:K395"/>
    <mergeCell ref="K375:K376"/>
    <mergeCell ref="K366:K367"/>
    <mergeCell ref="I347:I349"/>
    <mergeCell ref="G202:G204"/>
    <mergeCell ref="B249:B250"/>
    <mergeCell ref="G178:G179"/>
    <mergeCell ref="H178:H179"/>
    <mergeCell ref="I178:I179"/>
    <mergeCell ref="J178:J179"/>
    <mergeCell ref="K178:K179"/>
    <mergeCell ref="G404:G406"/>
    <mergeCell ref="H404:H406"/>
    <mergeCell ref="I404:I406"/>
    <mergeCell ref="I525:I526"/>
    <mergeCell ref="B506:B507"/>
    <mergeCell ref="C506:C507"/>
    <mergeCell ref="G736:G737"/>
    <mergeCell ref="I736:I737"/>
    <mergeCell ref="C529:C530"/>
    <mergeCell ref="J513:J514"/>
    <mergeCell ref="K847:K849"/>
    <mergeCell ref="G850:J850"/>
    <mergeCell ref="C847:C851"/>
    <mergeCell ref="G475:J475"/>
    <mergeCell ref="K577:K578"/>
    <mergeCell ref="K454:K455"/>
    <mergeCell ref="G446:J449"/>
    <mergeCell ref="F484:F487"/>
    <mergeCell ref="J484:J487"/>
    <mergeCell ref="K484:K487"/>
    <mergeCell ref="F428:F429"/>
    <mergeCell ref="G454:G455"/>
    <mergeCell ref="H454:H455"/>
    <mergeCell ref="I454:I455"/>
    <mergeCell ref="J454:J455"/>
    <mergeCell ref="J369:J370"/>
    <mergeCell ref="K369:K370"/>
    <mergeCell ref="J525:J526"/>
    <mergeCell ref="K525:K526"/>
    <mergeCell ref="J494:J495"/>
    <mergeCell ref="G462:G463"/>
    <mergeCell ref="H462:H463"/>
    <mergeCell ref="K513:K514"/>
    <mergeCell ref="G506:G507"/>
    <mergeCell ref="H506:H507"/>
    <mergeCell ref="I506:I507"/>
    <mergeCell ref="J428:J429"/>
    <mergeCell ref="J410:J411"/>
    <mergeCell ref="K410:K411"/>
    <mergeCell ref="H385:H386"/>
    <mergeCell ref="I385:I386"/>
    <mergeCell ref="K446:K449"/>
    <mergeCell ref="G377:G378"/>
    <mergeCell ref="G389:J389"/>
    <mergeCell ref="J404:J406"/>
    <mergeCell ref="I462:I463"/>
    <mergeCell ref="J462:J463"/>
    <mergeCell ref="G788:G789"/>
    <mergeCell ref="B808:B809"/>
    <mergeCell ref="C808:C809"/>
    <mergeCell ref="B802:B803"/>
    <mergeCell ref="C802:C803"/>
    <mergeCell ref="D802:D803"/>
    <mergeCell ref="H788:H789"/>
    <mergeCell ref="I788:I789"/>
    <mergeCell ref="J788:J789"/>
    <mergeCell ref="G725:J725"/>
    <mergeCell ref="H736:H737"/>
    <mergeCell ref="G706:I706"/>
    <mergeCell ref="B636:B640"/>
    <mergeCell ref="H582:I582"/>
    <mergeCell ref="J677:J678"/>
    <mergeCell ref="C686:C687"/>
    <mergeCell ref="J675:J676"/>
    <mergeCell ref="G696:J696"/>
    <mergeCell ref="G681:J682"/>
    <mergeCell ref="G672:J672"/>
    <mergeCell ref="B686:B687"/>
    <mergeCell ref="D710:E710"/>
    <mergeCell ref="D582:D591"/>
    <mergeCell ref="G658:J658"/>
    <mergeCell ref="E677:E678"/>
    <mergeCell ref="B642:B644"/>
    <mergeCell ref="C767:C768"/>
    <mergeCell ref="H646:H647"/>
    <mergeCell ref="C721:C728"/>
    <mergeCell ref="C592:C594"/>
    <mergeCell ref="H611:H614"/>
    <mergeCell ref="L763:L764"/>
    <mergeCell ref="B736:B737"/>
    <mergeCell ref="C736:C737"/>
    <mergeCell ref="D736:D737"/>
    <mergeCell ref="E736:E737"/>
    <mergeCell ref="F736:F737"/>
    <mergeCell ref="A802:A803"/>
    <mergeCell ref="C745:C746"/>
    <mergeCell ref="C817:C818"/>
    <mergeCell ref="L842:O842"/>
    <mergeCell ref="J763:J764"/>
    <mergeCell ref="K763:K764"/>
    <mergeCell ref="A758:A760"/>
    <mergeCell ref="B758:B760"/>
    <mergeCell ref="C758:C760"/>
    <mergeCell ref="K788:K789"/>
    <mergeCell ref="B830:B831"/>
    <mergeCell ref="A830:A831"/>
    <mergeCell ref="J742:J746"/>
    <mergeCell ref="E798:E799"/>
    <mergeCell ref="F798:F799"/>
    <mergeCell ref="I763:I764"/>
    <mergeCell ref="H763:H764"/>
    <mergeCell ref="A765:A766"/>
    <mergeCell ref="B765:B766"/>
    <mergeCell ref="C765:C766"/>
    <mergeCell ref="B834:B835"/>
    <mergeCell ref="A834:A835"/>
    <mergeCell ref="C834:C835"/>
    <mergeCell ref="A767:A768"/>
    <mergeCell ref="B767:B768"/>
    <mergeCell ref="J808:J809"/>
    <mergeCell ref="K852:K853"/>
    <mergeCell ref="A900:B900"/>
    <mergeCell ref="G61:J61"/>
    <mergeCell ref="B60:B61"/>
    <mergeCell ref="C60:C61"/>
    <mergeCell ref="A76:A82"/>
    <mergeCell ref="B76:B82"/>
    <mergeCell ref="C76:C82"/>
    <mergeCell ref="D98:D103"/>
    <mergeCell ref="A852:A853"/>
    <mergeCell ref="B852:B853"/>
    <mergeCell ref="C852:C853"/>
    <mergeCell ref="D852:D853"/>
    <mergeCell ref="E852:E853"/>
    <mergeCell ref="F852:F853"/>
    <mergeCell ref="A817:A818"/>
    <mergeCell ref="B817:B818"/>
    <mergeCell ref="A808:A809"/>
    <mergeCell ref="A763:A764"/>
    <mergeCell ref="B763:B764"/>
    <mergeCell ref="C763:C764"/>
    <mergeCell ref="D763:D764"/>
    <mergeCell ref="E763:E764"/>
    <mergeCell ref="J704:J705"/>
    <mergeCell ref="K704:K705"/>
    <mergeCell ref="G695:J695"/>
    <mergeCell ref="G698:J698"/>
    <mergeCell ref="G727:J727"/>
    <mergeCell ref="G726:J726"/>
    <mergeCell ref="G685:J685"/>
    <mergeCell ref="A701:A714"/>
    <mergeCell ref="B798:B801"/>
    <mergeCell ref="A847:A849"/>
    <mergeCell ref="D847:D848"/>
    <mergeCell ref="E847:E848"/>
    <mergeCell ref="K736:K737"/>
    <mergeCell ref="A736:A737"/>
    <mergeCell ref="L762:P762"/>
    <mergeCell ref="A715:A717"/>
    <mergeCell ref="A675:A678"/>
    <mergeCell ref="B675:B678"/>
    <mergeCell ref="C675:C676"/>
    <mergeCell ref="G675:G676"/>
    <mergeCell ref="H675:H676"/>
    <mergeCell ref="I675:I676"/>
    <mergeCell ref="A653:A660"/>
    <mergeCell ref="C653:C657"/>
    <mergeCell ref="G653:G657"/>
    <mergeCell ref="H653:H657"/>
    <mergeCell ref="B659:B660"/>
    <mergeCell ref="J653:J657"/>
    <mergeCell ref="A782:A783"/>
    <mergeCell ref="B782:B783"/>
    <mergeCell ref="A788:A789"/>
    <mergeCell ref="B788:B789"/>
    <mergeCell ref="C788:C789"/>
    <mergeCell ref="G721:J721"/>
    <mergeCell ref="A798:A801"/>
    <mergeCell ref="L659:L660"/>
    <mergeCell ref="G670:G671"/>
    <mergeCell ref="H670:H671"/>
    <mergeCell ref="I670:I671"/>
    <mergeCell ref="D689:D691"/>
    <mergeCell ref="J798:J799"/>
    <mergeCell ref="L843:O843"/>
    <mergeCell ref="L736:L737"/>
    <mergeCell ref="K702:K703"/>
    <mergeCell ref="K742:K746"/>
    <mergeCell ref="G673:J673"/>
    <mergeCell ref="G722:J722"/>
    <mergeCell ref="G723:J723"/>
    <mergeCell ref="G724:J724"/>
    <mergeCell ref="J736:J737"/>
    <mergeCell ref="C715:C717"/>
    <mergeCell ref="K715:K717"/>
    <mergeCell ref="L702:L703"/>
    <mergeCell ref="I646:I647"/>
    <mergeCell ref="J646:J647"/>
    <mergeCell ref="B701:B714"/>
    <mergeCell ref="F689:F691"/>
    <mergeCell ref="G714:J714"/>
    <mergeCell ref="E689:E691"/>
    <mergeCell ref="I715:I716"/>
    <mergeCell ref="K689:K693"/>
    <mergeCell ref="D715:D717"/>
    <mergeCell ref="E715:E717"/>
    <mergeCell ref="F715:F717"/>
    <mergeCell ref="I653:I657"/>
    <mergeCell ref="H649:H650"/>
    <mergeCell ref="G677:G678"/>
    <mergeCell ref="F659:F660"/>
    <mergeCell ref="D708:E708"/>
    <mergeCell ref="D709:E709"/>
    <mergeCell ref="G715:G716"/>
    <mergeCell ref="L649:L650"/>
    <mergeCell ref="J649:J650"/>
    <mergeCell ref="L675:L676"/>
    <mergeCell ref="C677:C678"/>
    <mergeCell ref="D677:D678"/>
    <mergeCell ref="K721:K728"/>
    <mergeCell ref="G728:J728"/>
    <mergeCell ref="K637:K639"/>
    <mergeCell ref="H636:H637"/>
    <mergeCell ref="I636:I637"/>
    <mergeCell ref="C636:C640"/>
    <mergeCell ref="D637:F639"/>
    <mergeCell ref="G644:J644"/>
    <mergeCell ref="F646:F647"/>
    <mergeCell ref="F627:F628"/>
    <mergeCell ref="G646:G647"/>
    <mergeCell ref="E627:E628"/>
    <mergeCell ref="C649:C650"/>
    <mergeCell ref="D649:D650"/>
    <mergeCell ref="G684:J684"/>
    <mergeCell ref="J689:J693"/>
    <mergeCell ref="C681:C685"/>
    <mergeCell ref="I649:I650"/>
    <mergeCell ref="G713:J713"/>
    <mergeCell ref="H677:H678"/>
    <mergeCell ref="C659:C660"/>
    <mergeCell ref="J670:J671"/>
    <mergeCell ref="L629:L630"/>
    <mergeCell ref="D627:D628"/>
    <mergeCell ref="C701:C714"/>
    <mergeCell ref="E659:E660"/>
    <mergeCell ref="G659:J660"/>
    <mergeCell ref="C629:C630"/>
    <mergeCell ref="F629:F630"/>
    <mergeCell ref="K570:K572"/>
    <mergeCell ref="E592:E594"/>
    <mergeCell ref="F592:F594"/>
    <mergeCell ref="K579:K580"/>
    <mergeCell ref="J529:J530"/>
    <mergeCell ref="K573:K574"/>
    <mergeCell ref="K582:K591"/>
    <mergeCell ref="G544:K544"/>
    <mergeCell ref="G547:K547"/>
    <mergeCell ref="F577:F578"/>
    <mergeCell ref="I529:I530"/>
    <mergeCell ref="H529:H530"/>
    <mergeCell ref="G573:G574"/>
    <mergeCell ref="L609:L610"/>
    <mergeCell ref="G627:G628"/>
    <mergeCell ref="E629:E630"/>
    <mergeCell ref="L627:L628"/>
    <mergeCell ref="J622:J623"/>
    <mergeCell ref="G611:G614"/>
    <mergeCell ref="K622:K623"/>
    <mergeCell ref="L573:L574"/>
    <mergeCell ref="H627:H628"/>
    <mergeCell ref="I627:I628"/>
    <mergeCell ref="I611:I614"/>
    <mergeCell ref="J611:J614"/>
    <mergeCell ref="K611:K614"/>
    <mergeCell ref="E622:E623"/>
    <mergeCell ref="F622:F623"/>
    <mergeCell ref="J627:J628"/>
    <mergeCell ref="J582:J591"/>
    <mergeCell ref="J577:J578"/>
    <mergeCell ref="K627:K628"/>
    <mergeCell ref="L577:L578"/>
    <mergeCell ref="L579:L580"/>
    <mergeCell ref="A592:A594"/>
    <mergeCell ref="B592:B594"/>
    <mergeCell ref="D592:D594"/>
    <mergeCell ref="L525:L526"/>
    <mergeCell ref="A508:A509"/>
    <mergeCell ref="B508:B509"/>
    <mergeCell ref="C508:C509"/>
    <mergeCell ref="D508:D509"/>
    <mergeCell ref="E508:E509"/>
    <mergeCell ref="F508:F509"/>
    <mergeCell ref="A525:A526"/>
    <mergeCell ref="K494:K495"/>
    <mergeCell ref="A454:A455"/>
    <mergeCell ref="J506:J507"/>
    <mergeCell ref="L513:L514"/>
    <mergeCell ref="A506:A507"/>
    <mergeCell ref="B513:B515"/>
    <mergeCell ref="A513:A515"/>
    <mergeCell ref="C513:C515"/>
    <mergeCell ref="B500:B501"/>
    <mergeCell ref="L491:L492"/>
    <mergeCell ref="G512:J512"/>
    <mergeCell ref="G491:G492"/>
    <mergeCell ref="H491:H492"/>
    <mergeCell ref="I491:I492"/>
    <mergeCell ref="G525:G526"/>
    <mergeCell ref="J491:J492"/>
    <mergeCell ref="K491:K492"/>
    <mergeCell ref="G501:J501"/>
    <mergeCell ref="I494:I495"/>
    <mergeCell ref="K462:K463"/>
    <mergeCell ref="H494:H495"/>
    <mergeCell ref="L462:L463"/>
    <mergeCell ref="A462:A464"/>
    <mergeCell ref="L422:L423"/>
    <mergeCell ref="A424:A429"/>
    <mergeCell ref="B424:B429"/>
    <mergeCell ref="C424:C429"/>
    <mergeCell ref="A431:A432"/>
    <mergeCell ref="A434:A435"/>
    <mergeCell ref="B434:B435"/>
    <mergeCell ref="C434:C435"/>
    <mergeCell ref="D434:D435"/>
    <mergeCell ref="E434:E435"/>
    <mergeCell ref="G428:G429"/>
    <mergeCell ref="H428:H429"/>
    <mergeCell ref="B471:B483"/>
    <mergeCell ref="K478:K480"/>
    <mergeCell ref="L454:L455"/>
    <mergeCell ref="G481:J481"/>
    <mergeCell ref="G473:J473"/>
    <mergeCell ref="B454:B455"/>
    <mergeCell ref="C454:C455"/>
    <mergeCell ref="K424:K429"/>
    <mergeCell ref="L424:L429"/>
    <mergeCell ref="D427:E427"/>
    <mergeCell ref="D428:D429"/>
    <mergeCell ref="E428:E429"/>
    <mergeCell ref="H422:H423"/>
    <mergeCell ref="I422:I423"/>
    <mergeCell ref="J422:J423"/>
    <mergeCell ref="K422:K423"/>
    <mergeCell ref="G424:J427"/>
    <mergeCell ref="B469:B470"/>
    <mergeCell ref="L451:L452"/>
    <mergeCell ref="A446:A450"/>
    <mergeCell ref="K310:K313"/>
    <mergeCell ref="H336:H337"/>
    <mergeCell ref="I336:I337"/>
    <mergeCell ref="L328:L329"/>
    <mergeCell ref="C328:C329"/>
    <mergeCell ref="G328:G329"/>
    <mergeCell ref="H328:H329"/>
    <mergeCell ref="A336:A337"/>
    <mergeCell ref="K336:K337"/>
    <mergeCell ref="K328:K329"/>
    <mergeCell ref="H309:H310"/>
    <mergeCell ref="I309:I310"/>
    <mergeCell ref="L320:L321"/>
    <mergeCell ref="A331:A332"/>
    <mergeCell ref="K402:K403"/>
    <mergeCell ref="H387:H388"/>
    <mergeCell ref="I387:I388"/>
    <mergeCell ref="A387:A389"/>
    <mergeCell ref="B387:B389"/>
    <mergeCell ref="C387:C389"/>
    <mergeCell ref="A394:A395"/>
    <mergeCell ref="A358:A361"/>
    <mergeCell ref="B358:B361"/>
    <mergeCell ref="C358:C361"/>
    <mergeCell ref="B366:B367"/>
    <mergeCell ref="A369:A370"/>
    <mergeCell ref="C369:C370"/>
    <mergeCell ref="G375:G376"/>
    <mergeCell ref="L402:L403"/>
    <mergeCell ref="H369:H370"/>
    <mergeCell ref="I369:I370"/>
    <mergeCell ref="K358:K361"/>
    <mergeCell ref="G358:G361"/>
    <mergeCell ref="H358:H361"/>
    <mergeCell ref="I358:I361"/>
    <mergeCell ref="G364:J364"/>
    <mergeCell ref="J366:J367"/>
    <mergeCell ref="J385:J386"/>
    <mergeCell ref="A342:A343"/>
    <mergeCell ref="K385:K386"/>
    <mergeCell ref="L404:L406"/>
    <mergeCell ref="G402:G403"/>
    <mergeCell ref="H402:H403"/>
    <mergeCell ref="I402:I403"/>
    <mergeCell ref="J402:J403"/>
    <mergeCell ref="G397:J397"/>
    <mergeCell ref="L375:L376"/>
    <mergeCell ref="J394:J395"/>
    <mergeCell ref="L377:L378"/>
    <mergeCell ref="K347:K349"/>
    <mergeCell ref="D347:D349"/>
    <mergeCell ref="E347:E349"/>
    <mergeCell ref="F347:F349"/>
    <mergeCell ref="F351:F352"/>
    <mergeCell ref="A404:A406"/>
    <mergeCell ref="E366:E367"/>
    <mergeCell ref="F366:F367"/>
    <mergeCell ref="K404:K406"/>
    <mergeCell ref="C385:C386"/>
    <mergeCell ref="A375:A378"/>
    <mergeCell ref="L317:L318"/>
    <mergeCell ref="A317:A318"/>
    <mergeCell ref="B317:B318"/>
    <mergeCell ref="C317:C318"/>
    <mergeCell ref="G317:G318"/>
    <mergeCell ref="H317:H318"/>
    <mergeCell ref="I317:I318"/>
    <mergeCell ref="B320:B321"/>
    <mergeCell ref="B331:B332"/>
    <mergeCell ref="C331:C332"/>
    <mergeCell ref="J336:J337"/>
    <mergeCell ref="B336:B337"/>
    <mergeCell ref="J328:J329"/>
    <mergeCell ref="K295:K296"/>
    <mergeCell ref="I304:I305"/>
    <mergeCell ref="G302:J302"/>
    <mergeCell ref="A295:A296"/>
    <mergeCell ref="B295:B296"/>
    <mergeCell ref="C295:C296"/>
    <mergeCell ref="L304:L305"/>
    <mergeCell ref="A307:A308"/>
    <mergeCell ref="J307:J308"/>
    <mergeCell ref="K307:K308"/>
    <mergeCell ref="L239:L244"/>
    <mergeCell ref="A239:A244"/>
    <mergeCell ref="B239:B244"/>
    <mergeCell ref="C239:C244"/>
    <mergeCell ref="D239:D244"/>
    <mergeCell ref="E239:E244"/>
    <mergeCell ref="F239:F244"/>
    <mergeCell ref="A249:A250"/>
    <mergeCell ref="A260:A263"/>
    <mergeCell ref="B260:B263"/>
    <mergeCell ref="G260:J261"/>
    <mergeCell ref="C260:C261"/>
    <mergeCell ref="C262:C263"/>
    <mergeCell ref="C249:C250"/>
    <mergeCell ref="G244:K244"/>
    <mergeCell ref="J239:J243"/>
    <mergeCell ref="K239:K243"/>
    <mergeCell ref="K260:K261"/>
    <mergeCell ref="L277:P277"/>
    <mergeCell ref="A283:A287"/>
    <mergeCell ref="B283:B287"/>
    <mergeCell ref="C283:C287"/>
    <mergeCell ref="D283:D287"/>
    <mergeCell ref="E283:E287"/>
    <mergeCell ref="F283:F287"/>
    <mergeCell ref="J283:J287"/>
    <mergeCell ref="K283:K287"/>
    <mergeCell ref="K230:K231"/>
    <mergeCell ref="G228:G229"/>
    <mergeCell ref="H228:H229"/>
    <mergeCell ref="B216:B217"/>
    <mergeCell ref="C228:C229"/>
    <mergeCell ref="L228:L229"/>
    <mergeCell ref="A218:A219"/>
    <mergeCell ref="B218:B219"/>
    <mergeCell ref="C218:C219"/>
    <mergeCell ref="D218:D219"/>
    <mergeCell ref="E218:E219"/>
    <mergeCell ref="F218:F219"/>
    <mergeCell ref="G226:J226"/>
    <mergeCell ref="A224:A226"/>
    <mergeCell ref="L230:L231"/>
    <mergeCell ref="G232:J232"/>
    <mergeCell ref="L232:L233"/>
    <mergeCell ref="G233:J233"/>
    <mergeCell ref="I228:I229"/>
    <mergeCell ref="J228:J229"/>
    <mergeCell ref="A228:A229"/>
    <mergeCell ref="E230:E231"/>
    <mergeCell ref="F230:F231"/>
    <mergeCell ref="L199:L200"/>
    <mergeCell ref="D214:D215"/>
    <mergeCell ref="E214:E215"/>
    <mergeCell ref="F214:F215"/>
    <mergeCell ref="H207:H208"/>
    <mergeCell ref="I207:I208"/>
    <mergeCell ref="D208:F210"/>
    <mergeCell ref="J208:J210"/>
    <mergeCell ref="K216:K217"/>
    <mergeCell ref="J218:J219"/>
    <mergeCell ref="K218:K219"/>
    <mergeCell ref="D199:D200"/>
    <mergeCell ref="E199:E200"/>
    <mergeCell ref="F199:F200"/>
    <mergeCell ref="J222:J223"/>
    <mergeCell ref="G216:G217"/>
    <mergeCell ref="H216:H217"/>
    <mergeCell ref="I216:I217"/>
    <mergeCell ref="J216:J217"/>
    <mergeCell ref="K222:K223"/>
    <mergeCell ref="H202:H204"/>
    <mergeCell ref="K202:K204"/>
    <mergeCell ref="J202:J204"/>
    <mergeCell ref="L202:L203"/>
    <mergeCell ref="L222:L223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K592:K594"/>
    <mergeCell ref="B805:B807"/>
    <mergeCell ref="A805:A807"/>
    <mergeCell ref="A199:A200"/>
    <mergeCell ref="B199:B200"/>
    <mergeCell ref="C199:C200"/>
    <mergeCell ref="G742:I744"/>
    <mergeCell ref="B224:B226"/>
    <mergeCell ref="C224:C226"/>
    <mergeCell ref="D224:D226"/>
    <mergeCell ref="J199:J200"/>
    <mergeCell ref="K199:K200"/>
    <mergeCell ref="E224:E226"/>
    <mergeCell ref="F224:F226"/>
    <mergeCell ref="K228:K229"/>
    <mergeCell ref="A237:A238"/>
    <mergeCell ref="B237:B238"/>
    <mergeCell ref="C237:C238"/>
    <mergeCell ref="I328:I329"/>
    <mergeCell ref="A202:A204"/>
    <mergeCell ref="B202:B204"/>
    <mergeCell ref="C202:C204"/>
    <mergeCell ref="A214:A215"/>
    <mergeCell ref="B214:B215"/>
    <mergeCell ref="C214:C215"/>
    <mergeCell ref="B222:B223"/>
    <mergeCell ref="A230:A233"/>
    <mergeCell ref="B230:B233"/>
    <mergeCell ref="C230:C233"/>
    <mergeCell ref="D230:D231"/>
    <mergeCell ref="J230:J231"/>
    <mergeCell ref="B207:B210"/>
    <mergeCell ref="C207:C210"/>
    <mergeCell ref="J169:J170"/>
    <mergeCell ref="I202:I204"/>
    <mergeCell ref="A197:A198"/>
    <mergeCell ref="B197:B198"/>
    <mergeCell ref="A178:A179"/>
    <mergeCell ref="B178:B179"/>
    <mergeCell ref="H878:K878"/>
    <mergeCell ref="G392:J392"/>
    <mergeCell ref="G393:J393"/>
    <mergeCell ref="G385:G386"/>
    <mergeCell ref="B392:B393"/>
    <mergeCell ref="C392:C393"/>
    <mergeCell ref="A392:A393"/>
    <mergeCell ref="E295:E296"/>
    <mergeCell ref="F295:F296"/>
    <mergeCell ref="J304:J305"/>
    <mergeCell ref="A297:A298"/>
    <mergeCell ref="B297:B298"/>
    <mergeCell ref="C297:C298"/>
    <mergeCell ref="D297:D298"/>
    <mergeCell ref="E297:E298"/>
    <mergeCell ref="F297:F298"/>
    <mergeCell ref="K304:K305"/>
    <mergeCell ref="C320:C321"/>
    <mergeCell ref="A320:A321"/>
    <mergeCell ref="F354:F355"/>
    <mergeCell ref="H347:H349"/>
    <mergeCell ref="B354:B355"/>
    <mergeCell ref="A354:A355"/>
    <mergeCell ref="E413:E414"/>
    <mergeCell ref="F413:F414"/>
    <mergeCell ref="B153:B154"/>
    <mergeCell ref="C153:C154"/>
    <mergeCell ref="A117:A123"/>
    <mergeCell ref="G137:G141"/>
    <mergeCell ref="H137:H141"/>
    <mergeCell ref="C136:C141"/>
    <mergeCell ref="H197:H198"/>
    <mergeCell ref="B188:B189"/>
    <mergeCell ref="C216:C217"/>
    <mergeCell ref="A222:A223"/>
    <mergeCell ref="G347:G349"/>
    <mergeCell ref="J347:J349"/>
    <mergeCell ref="A351:A352"/>
    <mergeCell ref="B351:B352"/>
    <mergeCell ref="C351:C352"/>
    <mergeCell ref="D351:D352"/>
    <mergeCell ref="E351:E352"/>
    <mergeCell ref="A347:A349"/>
    <mergeCell ref="B347:B349"/>
    <mergeCell ref="C347:C349"/>
    <mergeCell ref="G125:J125"/>
    <mergeCell ref="C188:C189"/>
    <mergeCell ref="E182:E183"/>
    <mergeCell ref="F182:F183"/>
    <mergeCell ref="G172:J172"/>
    <mergeCell ref="E178:E179"/>
    <mergeCell ref="B228:B229"/>
    <mergeCell ref="C310:F313"/>
    <mergeCell ref="H311:H312"/>
    <mergeCell ref="A309:A313"/>
    <mergeCell ref="B309:B313"/>
    <mergeCell ref="J295:J296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2:C183"/>
    <mergeCell ref="D182:D183"/>
    <mergeCell ref="K57:K58"/>
    <mergeCell ref="B114:B115"/>
    <mergeCell ref="A160:A162"/>
    <mergeCell ref="D197:D198"/>
    <mergeCell ref="C104:C105"/>
    <mergeCell ref="D104:D105"/>
    <mergeCell ref="E104:E105"/>
    <mergeCell ref="F104:F105"/>
    <mergeCell ref="G106:G107"/>
    <mergeCell ref="G98:J103"/>
    <mergeCell ref="K129:K130"/>
    <mergeCell ref="A188:A189"/>
    <mergeCell ref="G185:J185"/>
    <mergeCell ref="A185:A187"/>
    <mergeCell ref="B185:B187"/>
    <mergeCell ref="C185:C187"/>
    <mergeCell ref="G169:G170"/>
    <mergeCell ref="A104:A105"/>
    <mergeCell ref="B104:B105"/>
    <mergeCell ref="C117:C123"/>
    <mergeCell ref="G115:J115"/>
    <mergeCell ref="L4:L6"/>
    <mergeCell ref="A3:A6"/>
    <mergeCell ref="K208:K210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7:A210"/>
    <mergeCell ref="C3:C6"/>
    <mergeCell ref="D4:F6"/>
    <mergeCell ref="G108:G109"/>
    <mergeCell ref="H108:H109"/>
    <mergeCell ref="B83:B84"/>
    <mergeCell ref="E188:E189"/>
    <mergeCell ref="B3:B6"/>
    <mergeCell ref="B136:B141"/>
    <mergeCell ref="A182:A183"/>
    <mergeCell ref="B182:B183"/>
    <mergeCell ref="B117:B123"/>
    <mergeCell ref="G31:J31"/>
    <mergeCell ref="E197:E198"/>
    <mergeCell ref="J4:J6"/>
    <mergeCell ref="K4:K6"/>
    <mergeCell ref="I137:I141"/>
    <mergeCell ref="J137:J141"/>
    <mergeCell ref="K137:K141"/>
    <mergeCell ref="I197:I198"/>
    <mergeCell ref="J197:J198"/>
    <mergeCell ref="K197:K198"/>
    <mergeCell ref="C197:C198"/>
    <mergeCell ref="J34:J36"/>
    <mergeCell ref="K34:K36"/>
    <mergeCell ref="K15:K16"/>
    <mergeCell ref="G68:J68"/>
    <mergeCell ref="K60:K61"/>
    <mergeCell ref="G57:G58"/>
    <mergeCell ref="F188:F189"/>
    <mergeCell ref="F197:F198"/>
    <mergeCell ref="G197:G198"/>
    <mergeCell ref="C25:C27"/>
    <mergeCell ref="G76:J77"/>
    <mergeCell ref="D64:D67"/>
    <mergeCell ref="I108:I109"/>
    <mergeCell ref="J108:J109"/>
    <mergeCell ref="C178:C179"/>
    <mergeCell ref="D178:D179"/>
    <mergeCell ref="G121:J121"/>
    <mergeCell ref="J129:J130"/>
    <mergeCell ref="J127:J128"/>
    <mergeCell ref="C108:C109"/>
    <mergeCell ref="C410:C411"/>
    <mergeCell ref="D410:D411"/>
    <mergeCell ref="B462:B464"/>
    <mergeCell ref="C462:C464"/>
    <mergeCell ref="A410:A411"/>
    <mergeCell ref="B410:B411"/>
    <mergeCell ref="C366:C367"/>
    <mergeCell ref="D366:D367"/>
    <mergeCell ref="J358:J361"/>
    <mergeCell ref="A385:A386"/>
    <mergeCell ref="B385:B386"/>
    <mergeCell ref="F342:F343"/>
    <mergeCell ref="A328:A329"/>
    <mergeCell ref="C354:C355"/>
    <mergeCell ref="D354:D355"/>
    <mergeCell ref="B421:B423"/>
    <mergeCell ref="C422:C423"/>
    <mergeCell ref="G422:G423"/>
    <mergeCell ref="G416:J416"/>
    <mergeCell ref="C336:C337"/>
    <mergeCell ref="H394:H395"/>
    <mergeCell ref="I394:I395"/>
    <mergeCell ref="A366:A367"/>
    <mergeCell ref="D342:D343"/>
    <mergeCell ref="E342:E343"/>
    <mergeCell ref="G366:G367"/>
    <mergeCell ref="B394:B395"/>
    <mergeCell ref="C394:C395"/>
    <mergeCell ref="G336:G337"/>
    <mergeCell ref="I375:I376"/>
    <mergeCell ref="H377:H378"/>
    <mergeCell ref="G394:G395"/>
    <mergeCell ref="F410:F411"/>
    <mergeCell ref="E410:E411"/>
    <mergeCell ref="G369:G370"/>
    <mergeCell ref="C269:C271"/>
    <mergeCell ref="A269:A271"/>
    <mergeCell ref="B281:B282"/>
    <mergeCell ref="A281:A282"/>
    <mergeCell ref="C281:C282"/>
    <mergeCell ref="B342:B343"/>
    <mergeCell ref="C342:C343"/>
    <mergeCell ref="I377:I378"/>
    <mergeCell ref="B869:B870"/>
    <mergeCell ref="C869:C870"/>
    <mergeCell ref="D870:F870"/>
    <mergeCell ref="D798:D799"/>
    <mergeCell ref="B847:B851"/>
    <mergeCell ref="F178:F179"/>
    <mergeCell ref="B269:B271"/>
    <mergeCell ref="G186:J186"/>
    <mergeCell ref="D188:D189"/>
    <mergeCell ref="J310:J313"/>
    <mergeCell ref="G295:G296"/>
    <mergeCell ref="H295:H296"/>
    <mergeCell ref="I295:I296"/>
    <mergeCell ref="A216:A217"/>
    <mergeCell ref="B264:B265"/>
    <mergeCell ref="A264:A265"/>
    <mergeCell ref="C264:C265"/>
    <mergeCell ref="D264:D265"/>
    <mergeCell ref="E264:E265"/>
    <mergeCell ref="F264:F265"/>
    <mergeCell ref="H304:H305"/>
    <mergeCell ref="C375:C378"/>
    <mergeCell ref="B328:B329"/>
    <mergeCell ref="D237:D238"/>
    <mergeCell ref="E237:E238"/>
    <mergeCell ref="A304:A306"/>
    <mergeCell ref="B304:B306"/>
    <mergeCell ref="G304:G305"/>
    <mergeCell ref="I311:I312"/>
    <mergeCell ref="J317:J318"/>
    <mergeCell ref="K317:K318"/>
    <mergeCell ref="D332:F332"/>
    <mergeCell ref="H366:H367"/>
    <mergeCell ref="I366:I367"/>
    <mergeCell ref="E354:E355"/>
    <mergeCell ref="C405:C407"/>
    <mergeCell ref="K377:K378"/>
    <mergeCell ref="F237:F238"/>
    <mergeCell ref="B307:B308"/>
    <mergeCell ref="C307:C308"/>
    <mergeCell ref="D307:D308"/>
    <mergeCell ref="E307:E308"/>
    <mergeCell ref="F307:F308"/>
    <mergeCell ref="D295:D296"/>
    <mergeCell ref="K880:K881"/>
    <mergeCell ref="D599:D600"/>
    <mergeCell ref="E599:E600"/>
    <mergeCell ref="F599:F600"/>
    <mergeCell ref="A616:A617"/>
    <mergeCell ref="B616:B617"/>
    <mergeCell ref="C616:C617"/>
    <mergeCell ref="D616:D617"/>
    <mergeCell ref="E616:E617"/>
    <mergeCell ref="F616:F617"/>
    <mergeCell ref="G880:G881"/>
    <mergeCell ref="H880:H881"/>
    <mergeCell ref="I880:I881"/>
    <mergeCell ref="J880:J881"/>
    <mergeCell ref="G689:G693"/>
    <mergeCell ref="G697:J697"/>
    <mergeCell ref="A469:A470"/>
    <mergeCell ref="C469:C470"/>
    <mergeCell ref="G470:J470"/>
    <mergeCell ref="A471:A483"/>
    <mergeCell ref="E481:E483"/>
    <mergeCell ref="F481:F483"/>
    <mergeCell ref="A869:A870"/>
    <mergeCell ref="C484:C487"/>
    <mergeCell ref="F847:F848"/>
    <mergeCell ref="B729:B730"/>
    <mergeCell ref="G707:J712"/>
    <mergeCell ref="A721:A728"/>
    <mergeCell ref="B721:B728"/>
    <mergeCell ref="A500:A501"/>
    <mergeCell ref="A770:A771"/>
    <mergeCell ref="C770:C771"/>
    <mergeCell ref="D452:F452"/>
    <mergeCell ref="G759:J759"/>
    <mergeCell ref="A413:A414"/>
    <mergeCell ref="B375:B378"/>
    <mergeCell ref="B396:B398"/>
    <mergeCell ref="C396:C398"/>
    <mergeCell ref="C642:C644"/>
    <mergeCell ref="G419:J419"/>
    <mergeCell ref="G417:J417"/>
    <mergeCell ref="F477:F480"/>
    <mergeCell ref="A681:A685"/>
    <mergeCell ref="B646:B647"/>
    <mergeCell ref="C646:C647"/>
    <mergeCell ref="D646:D647"/>
    <mergeCell ref="E646:E647"/>
    <mergeCell ref="F434:F435"/>
    <mergeCell ref="A396:A398"/>
    <mergeCell ref="J377:J378"/>
    <mergeCell ref="G643:J643"/>
    <mergeCell ref="B442:B444"/>
    <mergeCell ref="C442:C444"/>
    <mergeCell ref="A442:A444"/>
    <mergeCell ref="B446:B450"/>
    <mergeCell ref="B416:B419"/>
    <mergeCell ref="C416:C419"/>
    <mergeCell ref="A416:A419"/>
    <mergeCell ref="A421:A423"/>
    <mergeCell ref="G592:G594"/>
    <mergeCell ref="J375:J376"/>
    <mergeCell ref="H375:H376"/>
    <mergeCell ref="G410:I410"/>
    <mergeCell ref="B404:B406"/>
    <mergeCell ref="B770:B771"/>
    <mergeCell ref="B569:B572"/>
    <mergeCell ref="C569:C572"/>
    <mergeCell ref="G570:G572"/>
    <mergeCell ref="H570:H572"/>
    <mergeCell ref="I570:I572"/>
    <mergeCell ref="A569:A572"/>
    <mergeCell ref="A745:A746"/>
    <mergeCell ref="B745:B746"/>
    <mergeCell ref="A729:A730"/>
    <mergeCell ref="C729:C730"/>
    <mergeCell ref="D729:D730"/>
    <mergeCell ref="E729:E730"/>
    <mergeCell ref="F729:F730"/>
    <mergeCell ref="G729:J729"/>
    <mergeCell ref="G730:J730"/>
    <mergeCell ref="A529:A530"/>
    <mergeCell ref="H592:H594"/>
    <mergeCell ref="I592:I594"/>
    <mergeCell ref="J592:J594"/>
    <mergeCell ref="A611:A614"/>
    <mergeCell ref="B611:B614"/>
    <mergeCell ref="C611:C614"/>
    <mergeCell ref="A609:A610"/>
    <mergeCell ref="B609:B610"/>
    <mergeCell ref="C609:C610"/>
    <mergeCell ref="G529:G530"/>
    <mergeCell ref="G760:J760"/>
    <mergeCell ref="B715:B717"/>
    <mergeCell ref="B629:B630"/>
    <mergeCell ref="A636:A639"/>
    <mergeCell ref="A670:A674"/>
    <mergeCell ref="I802:I803"/>
    <mergeCell ref="G763:G764"/>
    <mergeCell ref="E802:E803"/>
    <mergeCell ref="F802:F803"/>
    <mergeCell ref="G802:G803"/>
    <mergeCell ref="H802:H803"/>
    <mergeCell ref="A742:A744"/>
    <mergeCell ref="C742:C744"/>
    <mergeCell ref="D742:D744"/>
    <mergeCell ref="E742:E744"/>
    <mergeCell ref="F742:F744"/>
    <mergeCell ref="G472:J472"/>
    <mergeCell ref="G474:J474"/>
    <mergeCell ref="A619:A620"/>
    <mergeCell ref="E564:F564"/>
    <mergeCell ref="A567:A568"/>
    <mergeCell ref="B567:B568"/>
    <mergeCell ref="B573:B574"/>
    <mergeCell ref="C573:C574"/>
    <mergeCell ref="A642:A644"/>
    <mergeCell ref="A649:A650"/>
    <mergeCell ref="B649:B650"/>
    <mergeCell ref="A646:A647"/>
    <mergeCell ref="A484:A487"/>
    <mergeCell ref="B484:B487"/>
    <mergeCell ref="D712:E712"/>
    <mergeCell ref="A686:A687"/>
    <mergeCell ref="D629:D630"/>
    <mergeCell ref="D484:D487"/>
    <mergeCell ref="E484:E487"/>
    <mergeCell ref="A622:A623"/>
    <mergeCell ref="D640:F640"/>
    <mergeCell ref="B413:B414"/>
    <mergeCell ref="C413:C414"/>
    <mergeCell ref="D413:D414"/>
    <mergeCell ref="C446:C450"/>
    <mergeCell ref="A488:A490"/>
    <mergeCell ref="A629:A630"/>
    <mergeCell ref="A573:A574"/>
    <mergeCell ref="D711:E711"/>
    <mergeCell ref="B670:B674"/>
    <mergeCell ref="G413:G414"/>
    <mergeCell ref="H413:H414"/>
    <mergeCell ref="I413:I414"/>
    <mergeCell ref="D545:E545"/>
    <mergeCell ref="F582:F591"/>
    <mergeCell ref="G545:K545"/>
    <mergeCell ref="D537:E537"/>
    <mergeCell ref="G539:K539"/>
    <mergeCell ref="G540:K540"/>
    <mergeCell ref="G541:K541"/>
    <mergeCell ref="D542:E542"/>
    <mergeCell ref="G542:K542"/>
    <mergeCell ref="G543:K543"/>
    <mergeCell ref="D563:F563"/>
    <mergeCell ref="G435:I435"/>
    <mergeCell ref="G642:J642"/>
    <mergeCell ref="B689:B699"/>
    <mergeCell ref="C689:C699"/>
    <mergeCell ref="A689:A699"/>
    <mergeCell ref="K529:K530"/>
    <mergeCell ref="A451:A452"/>
    <mergeCell ref="B451:B452"/>
    <mergeCell ref="C451:C45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6"/>
  <sheetViews>
    <sheetView rightToLeft="1" topLeftCell="B932" zoomScale="60" zoomScaleNormal="60" workbookViewId="0">
      <selection activeCell="B932" sqref="B932:B93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1">
        <v>1</v>
      </c>
      <c r="B2" s="19" t="s">
        <v>1496</v>
      </c>
      <c r="C2" s="2869" t="s">
        <v>372</v>
      </c>
      <c r="D2" s="2844">
        <v>600000000</v>
      </c>
      <c r="E2" s="2867">
        <v>0.06</v>
      </c>
      <c r="F2" s="2844">
        <f>D2*E2</f>
        <v>36000000</v>
      </c>
      <c r="G2" s="7954" t="s">
        <v>4940</v>
      </c>
      <c r="H2" s="7955"/>
      <c r="I2" s="7955"/>
      <c r="J2" s="7956"/>
      <c r="K2" s="2844"/>
      <c r="L2" s="2839"/>
    </row>
    <row r="3" spans="1:12" ht="30" customHeight="1" x14ac:dyDescent="0.2">
      <c r="A3" s="2872">
        <v>3</v>
      </c>
      <c r="B3" s="19" t="s">
        <v>285</v>
      </c>
      <c r="C3" s="2843" t="s">
        <v>359</v>
      </c>
      <c r="D3" s="2817">
        <v>36000000</v>
      </c>
      <c r="E3" s="2867">
        <v>7.0000000000000007E-2</v>
      </c>
      <c r="F3" s="2817">
        <v>2500000</v>
      </c>
      <c r="G3" s="2817">
        <v>2500000</v>
      </c>
      <c r="H3" s="2817" t="s">
        <v>5052</v>
      </c>
      <c r="I3" s="24" t="s">
        <v>2026</v>
      </c>
      <c r="J3" s="2817">
        <f>G3</f>
        <v>2500000</v>
      </c>
      <c r="K3" s="2817">
        <f>F3-J3</f>
        <v>0</v>
      </c>
      <c r="L3" s="2866"/>
    </row>
    <row r="4" spans="1:12" ht="30" customHeight="1" x14ac:dyDescent="0.2">
      <c r="A4" s="2821">
        <v>4</v>
      </c>
      <c r="B4" s="2865" t="s">
        <v>310</v>
      </c>
      <c r="C4" s="2869" t="s">
        <v>2644</v>
      </c>
      <c r="D4" s="2817">
        <v>700000000</v>
      </c>
      <c r="E4" s="2867">
        <v>6.3E-2</v>
      </c>
      <c r="F4" s="2817">
        <f>D4*E4</f>
        <v>44100000</v>
      </c>
      <c r="G4" s="2817">
        <v>44000000</v>
      </c>
      <c r="H4" s="2817" t="s">
        <v>4874</v>
      </c>
      <c r="I4" s="24" t="s">
        <v>1543</v>
      </c>
      <c r="J4" s="2817">
        <f>G4</f>
        <v>44000000</v>
      </c>
      <c r="K4" s="2817">
        <f>F4-J4</f>
        <v>100000</v>
      </c>
      <c r="L4" s="29"/>
    </row>
    <row r="5" spans="1:12" ht="30" customHeight="1" x14ac:dyDescent="0.2">
      <c r="A5" s="2821">
        <v>6</v>
      </c>
      <c r="B5" s="2865" t="s">
        <v>407</v>
      </c>
      <c r="C5" s="2842"/>
      <c r="D5" s="2817">
        <v>15000000</v>
      </c>
      <c r="E5" s="2867">
        <v>0.05</v>
      </c>
      <c r="F5" s="2817">
        <f t="shared" ref="F5:F19" si="0">D5*E5</f>
        <v>750000</v>
      </c>
      <c r="G5" s="2817"/>
      <c r="H5" s="2817"/>
      <c r="I5" s="24"/>
      <c r="J5" s="2817">
        <f t="shared" ref="J5:J10" si="1">G5</f>
        <v>0</v>
      </c>
      <c r="K5" s="2817">
        <f t="shared" ref="K5:K10" si="2">F5-J5</f>
        <v>750000</v>
      </c>
      <c r="L5" s="637"/>
    </row>
    <row r="6" spans="1:12" ht="30" customHeight="1" x14ac:dyDescent="0.2">
      <c r="A6" s="2821">
        <v>7</v>
      </c>
      <c r="B6" s="2865" t="s">
        <v>102</v>
      </c>
      <c r="C6" s="2842" t="s">
        <v>889</v>
      </c>
      <c r="D6" s="2817">
        <v>45000000</v>
      </c>
      <c r="E6" s="2867">
        <v>0.05</v>
      </c>
      <c r="F6" s="2817">
        <f t="shared" si="0"/>
        <v>2250000</v>
      </c>
      <c r="G6" s="2817">
        <v>2250000</v>
      </c>
      <c r="H6" s="2817" t="s">
        <v>5009</v>
      </c>
      <c r="I6" s="26" t="s">
        <v>409</v>
      </c>
      <c r="J6" s="2817">
        <f t="shared" si="1"/>
        <v>2250000</v>
      </c>
      <c r="K6" s="2817">
        <f t="shared" si="2"/>
        <v>0</v>
      </c>
      <c r="L6" s="736"/>
    </row>
    <row r="7" spans="1:12" ht="30" customHeight="1" x14ac:dyDescent="0.2">
      <c r="A7" s="2821">
        <v>8</v>
      </c>
      <c r="B7" s="62" t="s">
        <v>349</v>
      </c>
      <c r="C7" s="3320" t="s">
        <v>1291</v>
      </c>
      <c r="D7" s="3308">
        <v>400000000</v>
      </c>
      <c r="E7" s="2519">
        <v>4.4999999999999998E-2</v>
      </c>
      <c r="F7" s="3308">
        <f t="shared" si="0"/>
        <v>18000000</v>
      </c>
      <c r="G7" s="3308"/>
      <c r="H7" s="3311"/>
      <c r="I7" s="3321" t="s">
        <v>3739</v>
      </c>
      <c r="J7" s="3311">
        <f t="shared" si="1"/>
        <v>0</v>
      </c>
      <c r="K7" s="3308">
        <f t="shared" si="2"/>
        <v>18000000</v>
      </c>
      <c r="L7" s="2350"/>
    </row>
    <row r="8" spans="1:12" ht="30" customHeight="1" x14ac:dyDescent="0.2">
      <c r="A8" s="3388"/>
      <c r="B8" s="3405" t="s">
        <v>349</v>
      </c>
      <c r="C8" s="3396"/>
      <c r="D8" s="3386">
        <v>650000000</v>
      </c>
      <c r="E8" s="3390"/>
      <c r="F8" s="3386"/>
      <c r="G8" s="3386"/>
      <c r="H8" s="3386"/>
      <c r="I8" s="24"/>
      <c r="J8" s="3386"/>
      <c r="K8" s="3386"/>
      <c r="L8" s="3415" t="s">
        <v>5261</v>
      </c>
    </row>
    <row r="9" spans="1:12" ht="30" customHeight="1" x14ac:dyDescent="0.2">
      <c r="A9" s="2872">
        <v>9</v>
      </c>
      <c r="B9" s="3317" t="s">
        <v>378</v>
      </c>
      <c r="C9" s="3301" t="s">
        <v>371</v>
      </c>
      <c r="D9" s="3302">
        <v>10000000</v>
      </c>
      <c r="E9" s="2556">
        <v>0.05</v>
      </c>
      <c r="F9" s="3302">
        <f t="shared" si="0"/>
        <v>500000</v>
      </c>
      <c r="G9" s="3302">
        <v>500000</v>
      </c>
      <c r="H9" s="3302" t="s">
        <v>4959</v>
      </c>
      <c r="I9" s="3318" t="s">
        <v>1001</v>
      </c>
      <c r="J9" s="3302">
        <f t="shared" si="1"/>
        <v>500000</v>
      </c>
      <c r="K9" s="3302">
        <f t="shared" si="2"/>
        <v>0</v>
      </c>
      <c r="L9" s="29" t="s">
        <v>5209</v>
      </c>
    </row>
    <row r="10" spans="1:12" ht="30" customHeight="1" x14ac:dyDescent="0.2">
      <c r="A10" s="7654">
        <v>10</v>
      </c>
      <c r="B10" s="7652" t="s">
        <v>999</v>
      </c>
      <c r="C10" s="7723" t="s">
        <v>1796</v>
      </c>
      <c r="D10" s="2817">
        <v>180000000</v>
      </c>
      <c r="E10" s="2867">
        <v>7.0000000000000007E-2</v>
      </c>
      <c r="F10" s="2817">
        <f t="shared" si="0"/>
        <v>12600000.000000002</v>
      </c>
      <c r="G10" s="2817">
        <v>12600000</v>
      </c>
      <c r="H10" s="2817" t="s">
        <v>1491</v>
      </c>
      <c r="I10" s="24" t="s">
        <v>5281</v>
      </c>
      <c r="J10" s="2817">
        <f t="shared" si="1"/>
        <v>12600000</v>
      </c>
      <c r="K10" s="2817">
        <f t="shared" si="2"/>
        <v>0</v>
      </c>
      <c r="L10" s="180"/>
    </row>
    <row r="11" spans="1:12" ht="30" customHeight="1" x14ac:dyDescent="0.2">
      <c r="A11" s="7656"/>
      <c r="B11" s="7665"/>
      <c r="C11" s="7747"/>
      <c r="D11" s="3281">
        <v>10000000</v>
      </c>
      <c r="E11" s="3294">
        <v>7.0000000000000007E-2</v>
      </c>
      <c r="F11" s="3281">
        <f>D11*E11</f>
        <v>700000.00000000012</v>
      </c>
      <c r="G11" s="3283"/>
      <c r="H11" s="3283"/>
      <c r="I11" s="1610"/>
      <c r="J11" s="3283"/>
      <c r="K11" s="3283"/>
      <c r="L11" s="180" t="s">
        <v>5186</v>
      </c>
    </row>
    <row r="12" spans="1:12" ht="30" customHeight="1" x14ac:dyDescent="0.2">
      <c r="A12" s="7656"/>
      <c r="B12" s="7665"/>
      <c r="C12" s="7747"/>
      <c r="D12" s="3281">
        <v>10000000</v>
      </c>
      <c r="E12" s="3294">
        <v>7.0000000000000007E-2</v>
      </c>
      <c r="F12" s="3281">
        <f>D12*E12</f>
        <v>700000.00000000012</v>
      </c>
      <c r="G12" s="3283"/>
      <c r="H12" s="3283"/>
      <c r="I12" s="1610"/>
      <c r="J12" s="3283"/>
      <c r="K12" s="3283"/>
      <c r="L12" s="180" t="s">
        <v>5187</v>
      </c>
    </row>
    <row r="13" spans="1:12" ht="30" customHeight="1" x14ac:dyDescent="0.2">
      <c r="A13" s="7656"/>
      <c r="B13" s="7665"/>
      <c r="C13" s="7747"/>
      <c r="D13" s="3281">
        <v>10000000</v>
      </c>
      <c r="E13" s="3294">
        <v>7.0000000000000007E-2</v>
      </c>
      <c r="F13" s="3281">
        <f t="shared" si="0"/>
        <v>700000.00000000012</v>
      </c>
      <c r="G13" s="3283"/>
      <c r="H13" s="3283"/>
      <c r="I13" s="1610"/>
      <c r="J13" s="3283"/>
      <c r="K13" s="3283"/>
      <c r="L13" s="180" t="s">
        <v>5184</v>
      </c>
    </row>
    <row r="14" spans="1:12" ht="30" customHeight="1" x14ac:dyDescent="0.2">
      <c r="A14" s="7656"/>
      <c r="B14" s="7665"/>
      <c r="C14" s="7747"/>
      <c r="D14" s="3281">
        <v>10000000</v>
      </c>
      <c r="E14" s="3294">
        <v>7.0000000000000007E-2</v>
      </c>
      <c r="F14" s="3281">
        <f t="shared" si="0"/>
        <v>700000.00000000012</v>
      </c>
      <c r="G14" s="3283"/>
      <c r="H14" s="3283"/>
      <c r="I14" s="1610"/>
      <c r="J14" s="3283"/>
      <c r="K14" s="3283"/>
      <c r="L14" s="180" t="s">
        <v>5185</v>
      </c>
    </row>
    <row r="15" spans="1:12" ht="30" customHeight="1" x14ac:dyDescent="0.2">
      <c r="A15" s="7656"/>
      <c r="B15" s="7665"/>
      <c r="C15" s="7747"/>
      <c r="D15" s="3281">
        <v>10000000</v>
      </c>
      <c r="E15" s="3294">
        <v>7.0000000000000007E-2</v>
      </c>
      <c r="F15" s="3281">
        <f t="shared" si="0"/>
        <v>700000.00000000012</v>
      </c>
      <c r="G15" s="3283"/>
      <c r="H15" s="3283"/>
      <c r="I15" s="1610"/>
      <c r="J15" s="3283"/>
      <c r="K15" s="3283"/>
      <c r="L15" s="180" t="s">
        <v>5188</v>
      </c>
    </row>
    <row r="16" spans="1:12" ht="30" customHeight="1" x14ac:dyDescent="0.2">
      <c r="A16" s="7656"/>
      <c r="B16" s="7665"/>
      <c r="C16" s="7747"/>
      <c r="D16" s="3281">
        <v>10000000</v>
      </c>
      <c r="E16" s="3294">
        <v>7.0000000000000007E-2</v>
      </c>
      <c r="F16" s="3281">
        <f t="shared" si="0"/>
        <v>700000.00000000012</v>
      </c>
      <c r="G16" s="3283"/>
      <c r="H16" s="3283"/>
      <c r="I16" s="1610"/>
      <c r="J16" s="3283"/>
      <c r="K16" s="3283"/>
      <c r="L16" s="180" t="s">
        <v>5189</v>
      </c>
    </row>
    <row r="17" spans="1:12" ht="30" customHeight="1" x14ac:dyDescent="0.2">
      <c r="A17" s="7655"/>
      <c r="B17" s="7653"/>
      <c r="C17" s="7724"/>
      <c r="D17" s="3298">
        <f>SUM(D10:D16)</f>
        <v>240000000</v>
      </c>
      <c r="E17" s="896">
        <v>7.0000000000000007E-2</v>
      </c>
      <c r="F17" s="3298">
        <f>D17*E17</f>
        <v>16800000</v>
      </c>
      <c r="G17" s="3283"/>
      <c r="H17" s="3283"/>
      <c r="I17" s="1610"/>
      <c r="J17" s="3283"/>
      <c r="K17" s="3283"/>
      <c r="L17" s="180" t="s">
        <v>5210</v>
      </c>
    </row>
    <row r="18" spans="1:12" ht="30" customHeight="1" x14ac:dyDescent="0.2">
      <c r="A18" s="7654">
        <v>11</v>
      </c>
      <c r="B18" s="7717" t="s">
        <v>393</v>
      </c>
      <c r="C18" s="7723" t="s">
        <v>359</v>
      </c>
      <c r="D18" s="2844">
        <v>15000000</v>
      </c>
      <c r="E18" s="2867">
        <v>7.0000000000000007E-2</v>
      </c>
      <c r="F18" s="2844">
        <f t="shared" si="0"/>
        <v>1050000</v>
      </c>
      <c r="G18" s="7563">
        <v>1300000</v>
      </c>
      <c r="H18" s="7563" t="s">
        <v>5083</v>
      </c>
      <c r="I18" s="8115" t="s">
        <v>394</v>
      </c>
      <c r="J18" s="7563">
        <f>G18+G19</f>
        <v>1300000</v>
      </c>
      <c r="K18" s="7563">
        <v>0</v>
      </c>
      <c r="L18" s="7713"/>
    </row>
    <row r="19" spans="1:12" ht="30" customHeight="1" x14ac:dyDescent="0.2">
      <c r="A19" s="7656"/>
      <c r="B19" s="7717"/>
      <c r="C19" s="7724"/>
      <c r="D19" s="2844">
        <v>5000000</v>
      </c>
      <c r="E19" s="2867">
        <v>0.05</v>
      </c>
      <c r="F19" s="2844">
        <f t="shared" si="0"/>
        <v>250000</v>
      </c>
      <c r="G19" s="7564"/>
      <c r="H19" s="7564"/>
      <c r="I19" s="8116"/>
      <c r="J19" s="7564"/>
      <c r="K19" s="7564"/>
      <c r="L19" s="7714"/>
    </row>
    <row r="20" spans="1:12" ht="30" customHeight="1" x14ac:dyDescent="0.2">
      <c r="A20" s="1028">
        <v>12</v>
      </c>
      <c r="B20" s="2865" t="s">
        <v>399</v>
      </c>
      <c r="C20" s="2843" t="s">
        <v>1172</v>
      </c>
      <c r="D20" s="2817">
        <v>75000000</v>
      </c>
      <c r="E20" s="2819">
        <f>F20/D20</f>
        <v>5.3333333333333337E-2</v>
      </c>
      <c r="F20" s="2817">
        <v>4000000</v>
      </c>
      <c r="G20" s="2817">
        <v>4000000</v>
      </c>
      <c r="H20" s="2817" t="s">
        <v>4891</v>
      </c>
      <c r="I20" s="52" t="s">
        <v>3728</v>
      </c>
      <c r="J20" s="2817">
        <f>G20</f>
        <v>4000000</v>
      </c>
      <c r="K20" s="2817">
        <f>F20-J20</f>
        <v>0</v>
      </c>
      <c r="L20" s="2831"/>
    </row>
    <row r="21" spans="1:12" ht="30" customHeight="1" x14ac:dyDescent="0.2">
      <c r="A21" s="2872"/>
      <c r="B21" s="19" t="s">
        <v>420</v>
      </c>
      <c r="C21" s="2869" t="s">
        <v>359</v>
      </c>
      <c r="D21" s="2844">
        <v>100000000</v>
      </c>
      <c r="E21" s="2867">
        <v>7.0000000000000007E-2</v>
      </c>
      <c r="F21" s="2844">
        <f t="shared" ref="F21:F27" si="3">D21*E21</f>
        <v>7000000.0000000009</v>
      </c>
      <c r="G21" s="1455">
        <v>7000000</v>
      </c>
      <c r="H21" s="1455" t="s">
        <v>5052</v>
      </c>
      <c r="I21" s="1455" t="s">
        <v>1946</v>
      </c>
      <c r="J21" s="2844">
        <f>G21</f>
        <v>7000000</v>
      </c>
      <c r="K21" s="2844">
        <f>F21-J21</f>
        <v>0</v>
      </c>
      <c r="L21" s="2894"/>
    </row>
    <row r="22" spans="1:12" ht="30" customHeight="1" x14ac:dyDescent="0.2">
      <c r="A22" s="2822">
        <v>14</v>
      </c>
      <c r="B22" s="2825" t="s">
        <v>428</v>
      </c>
      <c r="C22" s="2843" t="s">
        <v>1300</v>
      </c>
      <c r="D22" s="2817">
        <v>150000000</v>
      </c>
      <c r="E22" s="2819">
        <v>0.04</v>
      </c>
      <c r="F22" s="2817">
        <f t="shared" si="3"/>
        <v>6000000</v>
      </c>
      <c r="G22" s="2817">
        <v>6000000</v>
      </c>
      <c r="H22" s="2817" t="s">
        <v>5015</v>
      </c>
      <c r="I22" s="64" t="s">
        <v>4061</v>
      </c>
      <c r="J22" s="2817">
        <f t="shared" ref="J22:J28" si="4">G22</f>
        <v>6000000</v>
      </c>
      <c r="K22" s="2817">
        <f t="shared" ref="K22:K27" si="5">F22-J22</f>
        <v>0</v>
      </c>
      <c r="L22" s="2829"/>
    </row>
    <row r="23" spans="1:12" ht="30" customHeight="1" x14ac:dyDescent="0.2">
      <c r="A23" s="2822"/>
      <c r="B23" s="2825" t="s">
        <v>4726</v>
      </c>
      <c r="C23" s="2843" t="s">
        <v>1138</v>
      </c>
      <c r="D23" s="2817">
        <v>350000000</v>
      </c>
      <c r="E23" s="2819">
        <v>7.0000000000000007E-2</v>
      </c>
      <c r="F23" s="2817">
        <f t="shared" si="3"/>
        <v>24500000.000000004</v>
      </c>
      <c r="G23" s="2817">
        <v>24500000</v>
      </c>
      <c r="H23" s="2817" t="s">
        <v>5105</v>
      </c>
      <c r="I23" s="64" t="s">
        <v>4814</v>
      </c>
      <c r="J23" s="2817">
        <f>G23</f>
        <v>24500000</v>
      </c>
      <c r="K23" s="2817">
        <f>F23-J23</f>
        <v>0</v>
      </c>
      <c r="L23" s="2831"/>
    </row>
    <row r="24" spans="1:12" ht="30" customHeight="1" x14ac:dyDescent="0.2">
      <c r="A24" s="2822">
        <v>15</v>
      </c>
      <c r="B24" s="2825" t="s">
        <v>436</v>
      </c>
      <c r="C24" s="2843" t="s">
        <v>1300</v>
      </c>
      <c r="D24" s="2817">
        <v>13000000</v>
      </c>
      <c r="E24" s="2819">
        <v>0.05</v>
      </c>
      <c r="F24" s="2817">
        <f t="shared" si="3"/>
        <v>650000</v>
      </c>
      <c r="G24" s="2817">
        <v>650000</v>
      </c>
      <c r="H24" s="2817" t="s">
        <v>5016</v>
      </c>
      <c r="I24" s="64" t="s">
        <v>2092</v>
      </c>
      <c r="J24" s="2817">
        <f t="shared" si="4"/>
        <v>650000</v>
      </c>
      <c r="K24" s="2817">
        <f t="shared" si="5"/>
        <v>0</v>
      </c>
      <c r="L24" s="2829"/>
    </row>
    <row r="25" spans="1:12" ht="30" customHeight="1" x14ac:dyDescent="0.2">
      <c r="A25" s="2872">
        <v>16</v>
      </c>
      <c r="B25" s="19" t="s">
        <v>487</v>
      </c>
      <c r="C25" s="2869" t="s">
        <v>1718</v>
      </c>
      <c r="D25" s="2844">
        <v>80000000</v>
      </c>
      <c r="E25" s="2867">
        <v>0.04</v>
      </c>
      <c r="F25" s="2844">
        <f t="shared" si="3"/>
        <v>3200000</v>
      </c>
      <c r="G25" s="2844">
        <v>3200000</v>
      </c>
      <c r="H25" s="2844" t="s">
        <v>4891</v>
      </c>
      <c r="I25" s="2892" t="s">
        <v>4000</v>
      </c>
      <c r="J25" s="2844">
        <f t="shared" si="4"/>
        <v>3200000</v>
      </c>
      <c r="K25" s="2844">
        <f t="shared" si="5"/>
        <v>0</v>
      </c>
      <c r="L25" s="48"/>
    </row>
    <row r="26" spans="1:12" ht="30" customHeight="1" x14ac:dyDescent="0.2">
      <c r="A26" s="2822">
        <v>17</v>
      </c>
      <c r="B26" s="2825" t="s">
        <v>747</v>
      </c>
      <c r="C26" s="2843" t="s">
        <v>1289</v>
      </c>
      <c r="D26" s="2817">
        <v>100000000</v>
      </c>
      <c r="E26" s="2819">
        <v>0.06</v>
      </c>
      <c r="F26" s="2817">
        <f t="shared" si="3"/>
        <v>6000000</v>
      </c>
      <c r="G26" s="2817">
        <v>6000000</v>
      </c>
      <c r="H26" s="2817" t="s">
        <v>5174</v>
      </c>
      <c r="I26" s="64" t="s">
        <v>3208</v>
      </c>
      <c r="J26" s="2817">
        <f t="shared" si="4"/>
        <v>6000000</v>
      </c>
      <c r="K26" s="2817">
        <f t="shared" si="5"/>
        <v>0</v>
      </c>
      <c r="L26" s="2829"/>
    </row>
    <row r="27" spans="1:12" ht="30" customHeight="1" x14ac:dyDescent="0.2">
      <c r="A27" s="2822">
        <v>18</v>
      </c>
      <c r="B27" s="2825" t="s">
        <v>554</v>
      </c>
      <c r="C27" s="2843" t="s">
        <v>1300</v>
      </c>
      <c r="D27" s="2817">
        <v>50000000</v>
      </c>
      <c r="E27" s="2819">
        <v>0.05</v>
      </c>
      <c r="F27" s="2817">
        <f t="shared" si="3"/>
        <v>2500000</v>
      </c>
      <c r="G27" s="2817">
        <v>2500000</v>
      </c>
      <c r="H27" s="2817" t="s">
        <v>5016</v>
      </c>
      <c r="I27" s="64" t="s">
        <v>4471</v>
      </c>
      <c r="J27" s="2817">
        <f t="shared" si="4"/>
        <v>2500000</v>
      </c>
      <c r="K27" s="2817">
        <f t="shared" si="5"/>
        <v>0</v>
      </c>
      <c r="L27" s="2829"/>
    </row>
    <row r="28" spans="1:12" ht="30" customHeight="1" x14ac:dyDescent="0.2">
      <c r="A28" s="7879">
        <v>19</v>
      </c>
      <c r="B28" s="7652" t="s">
        <v>560</v>
      </c>
      <c r="C28" s="7723" t="s">
        <v>1300</v>
      </c>
      <c r="D28" s="2817">
        <v>50000000</v>
      </c>
      <c r="E28" s="7659">
        <f>F28/(D28+D29)</f>
        <v>0.05</v>
      </c>
      <c r="F28" s="7563">
        <v>3250000</v>
      </c>
      <c r="G28" s="7563">
        <v>4750000</v>
      </c>
      <c r="H28" s="7563" t="s">
        <v>5043</v>
      </c>
      <c r="I28" s="7762" t="s">
        <v>4401</v>
      </c>
      <c r="J28" s="7563">
        <f t="shared" si="4"/>
        <v>4750000</v>
      </c>
      <c r="K28" s="7563">
        <f>(F28+F30)-G28</f>
        <v>0</v>
      </c>
      <c r="L28" s="2849"/>
    </row>
    <row r="29" spans="1:12" ht="30" customHeight="1" x14ac:dyDescent="0.2">
      <c r="A29" s="7879"/>
      <c r="B29" s="7665"/>
      <c r="C29" s="7747"/>
      <c r="D29" s="2817">
        <v>15000000</v>
      </c>
      <c r="E29" s="7660"/>
      <c r="F29" s="7564"/>
      <c r="G29" s="7586"/>
      <c r="H29" s="7586"/>
      <c r="I29" s="8114"/>
      <c r="J29" s="7586"/>
      <c r="K29" s="7586"/>
      <c r="L29" s="2849"/>
    </row>
    <row r="30" spans="1:12" ht="30" customHeight="1" x14ac:dyDescent="0.2">
      <c r="A30" s="7879"/>
      <c r="B30" s="7653"/>
      <c r="C30" s="7724"/>
      <c r="D30" s="2817">
        <v>30000000</v>
      </c>
      <c r="E30" s="2819">
        <v>0.05</v>
      </c>
      <c r="F30" s="2817">
        <f>E30*D30</f>
        <v>1500000</v>
      </c>
      <c r="G30" s="7564"/>
      <c r="H30" s="7564"/>
      <c r="I30" s="7763"/>
      <c r="J30" s="7564"/>
      <c r="K30" s="7564"/>
      <c r="L30" s="2849"/>
    </row>
    <row r="31" spans="1:12" ht="30" customHeight="1" x14ac:dyDescent="0.2">
      <c r="A31" s="7654">
        <v>22</v>
      </c>
      <c r="B31" s="7652" t="s">
        <v>658</v>
      </c>
      <c r="C31" s="7723" t="s">
        <v>1287</v>
      </c>
      <c r="D31" s="7563">
        <v>300000000</v>
      </c>
      <c r="E31" s="7659">
        <v>0.05</v>
      </c>
      <c r="F31" s="7563">
        <f>D31*E31</f>
        <v>15000000</v>
      </c>
      <c r="G31" s="2817">
        <v>15000000</v>
      </c>
      <c r="H31" s="2817" t="s">
        <v>5016</v>
      </c>
      <c r="I31" s="64" t="s">
        <v>2168</v>
      </c>
      <c r="J31" s="2844">
        <f>G31</f>
        <v>15000000</v>
      </c>
      <c r="K31" s="2844">
        <f>F31-J31</f>
        <v>0</v>
      </c>
      <c r="L31" s="48"/>
    </row>
    <row r="32" spans="1:12" ht="30" customHeight="1" x14ac:dyDescent="0.2">
      <c r="A32" s="7655"/>
      <c r="B32" s="7653"/>
      <c r="C32" s="7724"/>
      <c r="D32" s="7564"/>
      <c r="E32" s="7660"/>
      <c r="F32" s="7564"/>
      <c r="G32" s="3435">
        <v>10000000</v>
      </c>
      <c r="H32" s="3443" t="s">
        <v>5106</v>
      </c>
      <c r="I32" s="64" t="s">
        <v>2168</v>
      </c>
      <c r="J32" s="3446">
        <f>G32</f>
        <v>10000000</v>
      </c>
      <c r="K32" s="3446"/>
      <c r="L32" s="3436" t="s">
        <v>5334</v>
      </c>
    </row>
    <row r="33" spans="1:14" ht="30" customHeight="1" x14ac:dyDescent="0.2">
      <c r="A33" s="1028">
        <v>23</v>
      </c>
      <c r="B33" s="19" t="s">
        <v>2121</v>
      </c>
      <c r="C33" s="2869" t="s">
        <v>3390</v>
      </c>
      <c r="D33" s="2817">
        <v>150000000</v>
      </c>
      <c r="E33" s="2819">
        <v>7.0000000000000007E-2</v>
      </c>
      <c r="F33" s="2817">
        <f>D33*E33</f>
        <v>10500000.000000002</v>
      </c>
      <c r="G33" s="2817">
        <v>10500000</v>
      </c>
      <c r="H33" s="2837" t="s">
        <v>5211</v>
      </c>
      <c r="I33" s="64" t="s">
        <v>3704</v>
      </c>
      <c r="J33" s="2844">
        <f>G33</f>
        <v>10500000</v>
      </c>
      <c r="K33" s="2844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69" t="s">
        <v>3390</v>
      </c>
      <c r="D34" s="2817">
        <v>70000000</v>
      </c>
      <c r="E34" s="2819">
        <v>0.06</v>
      </c>
      <c r="F34" s="2817">
        <f>D34*E34</f>
        <v>4200000</v>
      </c>
      <c r="G34" s="2817">
        <v>4200000</v>
      </c>
      <c r="H34" s="2837" t="s">
        <v>5211</v>
      </c>
      <c r="I34" s="64" t="s">
        <v>3705</v>
      </c>
      <c r="J34" s="2844">
        <f>G34</f>
        <v>4200000</v>
      </c>
      <c r="K34" s="2817">
        <v>0</v>
      </c>
      <c r="L34" s="29"/>
    </row>
    <row r="35" spans="1:14" ht="30" customHeight="1" x14ac:dyDescent="0.2">
      <c r="A35" s="2872"/>
      <c r="B35" s="19" t="s">
        <v>702</v>
      </c>
      <c r="C35" s="378"/>
      <c r="D35" s="2844">
        <v>150000000</v>
      </c>
      <c r="E35" s="1867"/>
      <c r="F35" s="1867"/>
      <c r="G35" s="7880" t="s">
        <v>4641</v>
      </c>
      <c r="H35" s="8169"/>
      <c r="I35" s="8169"/>
      <c r="J35" s="7881"/>
      <c r="K35" s="2844"/>
      <c r="L35" s="2894" t="s">
        <v>4421</v>
      </c>
    </row>
    <row r="36" spans="1:14" ht="30" customHeight="1" x14ac:dyDescent="0.2">
      <c r="A36" s="2822">
        <v>25</v>
      </c>
      <c r="B36" s="2825" t="s">
        <v>718</v>
      </c>
      <c r="C36" s="2843" t="s">
        <v>1296</v>
      </c>
      <c r="D36" s="2817">
        <v>35000000</v>
      </c>
      <c r="E36" s="2819">
        <v>5.8000000000000003E-2</v>
      </c>
      <c r="F36" s="2817">
        <v>2000000</v>
      </c>
      <c r="G36" s="2817">
        <v>2000000</v>
      </c>
      <c r="H36" s="2837" t="s">
        <v>5227</v>
      </c>
      <c r="I36" s="64" t="s">
        <v>4135</v>
      </c>
      <c r="J36" s="2817">
        <f>G36</f>
        <v>2000000</v>
      </c>
      <c r="K36" s="2817">
        <f>F36-G36</f>
        <v>0</v>
      </c>
      <c r="L36" s="2831"/>
      <c r="M36" s="366"/>
      <c r="N36" s="366"/>
    </row>
    <row r="37" spans="1:14" ht="30" customHeight="1" x14ac:dyDescent="0.2">
      <c r="A37" s="2823"/>
      <c r="B37" s="2826" t="s">
        <v>803</v>
      </c>
      <c r="C37" s="2845" t="s">
        <v>359</v>
      </c>
      <c r="D37" s="2827">
        <v>700000000</v>
      </c>
      <c r="E37" s="2832">
        <v>0.05</v>
      </c>
      <c r="F37" s="2827">
        <f t="shared" ref="F37:F53" si="6">D37*E37</f>
        <v>35000000</v>
      </c>
      <c r="G37" s="2844">
        <v>35000000</v>
      </c>
      <c r="H37" s="2844" t="s">
        <v>4959</v>
      </c>
      <c r="I37" s="2844" t="s">
        <v>3156</v>
      </c>
      <c r="J37" s="2844">
        <f>G37</f>
        <v>35000000</v>
      </c>
      <c r="K37" s="2827">
        <f>F37-J37</f>
        <v>0</v>
      </c>
      <c r="L37" s="180"/>
      <c r="M37" s="366"/>
      <c r="N37" s="366"/>
    </row>
    <row r="38" spans="1:14" ht="30" customHeight="1" x14ac:dyDescent="0.2">
      <c r="A38" s="7654">
        <v>27</v>
      </c>
      <c r="B38" s="7652" t="s">
        <v>807</v>
      </c>
      <c r="C38" s="7723" t="s">
        <v>1299</v>
      </c>
      <c r="D38" s="2816">
        <v>500000000</v>
      </c>
      <c r="E38" s="2818">
        <v>7.0000000000000007E-2</v>
      </c>
      <c r="F38" s="2816">
        <f t="shared" si="6"/>
        <v>35000000</v>
      </c>
      <c r="G38" s="7563">
        <v>70500000</v>
      </c>
      <c r="H38" s="7563" t="s">
        <v>5105</v>
      </c>
      <c r="I38" s="7762" t="s">
        <v>3034</v>
      </c>
      <c r="J38" s="7563">
        <f t="shared" ref="J38:J50" si="7">G38</f>
        <v>70500000</v>
      </c>
      <c r="K38" s="7563">
        <f>F41-J38</f>
        <v>0</v>
      </c>
      <c r="L38" s="8280"/>
      <c r="M38" s="366"/>
      <c r="N38" s="366"/>
    </row>
    <row r="39" spans="1:14" ht="30" customHeight="1" x14ac:dyDescent="0.2">
      <c r="A39" s="7656"/>
      <c r="B39" s="7665"/>
      <c r="C39" s="7747"/>
      <c r="D39" s="3253">
        <v>500000000</v>
      </c>
      <c r="E39" s="3254">
        <v>0.05</v>
      </c>
      <c r="F39" s="3253">
        <f>D39*E39</f>
        <v>25000000</v>
      </c>
      <c r="G39" s="7586"/>
      <c r="H39" s="7586"/>
      <c r="I39" s="8114"/>
      <c r="J39" s="7586"/>
      <c r="K39" s="7586"/>
      <c r="L39" s="8280"/>
      <c r="M39" s="366"/>
      <c r="N39" s="366"/>
    </row>
    <row r="40" spans="1:14" ht="30" customHeight="1" x14ac:dyDescent="0.2">
      <c r="A40" s="7656"/>
      <c r="B40" s="7665"/>
      <c r="C40" s="7747"/>
      <c r="D40" s="2816">
        <v>150000000</v>
      </c>
      <c r="E40" s="2818">
        <v>7.0000000000000007E-2</v>
      </c>
      <c r="F40" s="2816">
        <f>D40*E40</f>
        <v>10500000.000000002</v>
      </c>
      <c r="G40" s="7586"/>
      <c r="H40" s="7586"/>
      <c r="I40" s="8114"/>
      <c r="J40" s="7586"/>
      <c r="K40" s="7586"/>
      <c r="L40" s="8280"/>
      <c r="M40" s="366"/>
      <c r="N40" s="366"/>
    </row>
    <row r="41" spans="1:14" ht="30" customHeight="1" x14ac:dyDescent="0.2">
      <c r="A41" s="7655"/>
      <c r="B41" s="7653"/>
      <c r="C41" s="7724"/>
      <c r="D41" s="3255">
        <f>SUM(D38:D40)</f>
        <v>1150000000</v>
      </c>
      <c r="E41" s="3256"/>
      <c r="F41" s="3255">
        <f>SUM(F38:F40)</f>
        <v>70500000</v>
      </c>
      <c r="G41" s="7564"/>
      <c r="H41" s="7564"/>
      <c r="I41" s="7763"/>
      <c r="J41" s="7564"/>
      <c r="K41" s="7564"/>
      <c r="L41" s="8280"/>
      <c r="M41" s="366"/>
      <c r="N41" s="366"/>
    </row>
    <row r="42" spans="1:14" ht="30" customHeight="1" x14ac:dyDescent="0.2">
      <c r="A42" s="7654"/>
      <c r="B42" s="7652" t="s">
        <v>3369</v>
      </c>
      <c r="C42" s="7723" t="s">
        <v>1299</v>
      </c>
      <c r="D42" s="7563">
        <v>700000000</v>
      </c>
      <c r="E42" s="7659">
        <v>0.06</v>
      </c>
      <c r="F42" s="7563">
        <f t="shared" si="6"/>
        <v>42000000</v>
      </c>
      <c r="G42" s="2844">
        <v>10000000</v>
      </c>
      <c r="H42" s="2844" t="s">
        <v>5016</v>
      </c>
      <c r="I42" s="2844" t="s">
        <v>821</v>
      </c>
      <c r="J42" s="3288">
        <f>G42+G43+G44+23000000</f>
        <v>52000000</v>
      </c>
      <c r="K42" s="3288">
        <f>F42-J42</f>
        <v>-10000000</v>
      </c>
      <c r="L42" s="2831" t="s">
        <v>5196</v>
      </c>
      <c r="M42" s="366"/>
      <c r="N42" s="366"/>
    </row>
    <row r="43" spans="1:14" ht="30" customHeight="1" x14ac:dyDescent="0.2">
      <c r="A43" s="7656"/>
      <c r="B43" s="7665"/>
      <c r="C43" s="7747"/>
      <c r="D43" s="7586"/>
      <c r="E43" s="7676"/>
      <c r="F43" s="7586"/>
      <c r="G43" s="2817">
        <v>10000000</v>
      </c>
      <c r="H43" s="2837" t="s">
        <v>5154</v>
      </c>
      <c r="I43" s="2837" t="s">
        <v>5155</v>
      </c>
      <c r="J43" s="7482">
        <f>G43+G44+23000000</f>
        <v>42000000</v>
      </c>
      <c r="K43" s="7563">
        <f>F42-J43</f>
        <v>0</v>
      </c>
      <c r="L43" s="7713" t="s">
        <v>4805</v>
      </c>
      <c r="M43" s="366"/>
      <c r="N43" s="366"/>
    </row>
    <row r="44" spans="1:14" ht="30" customHeight="1" x14ac:dyDescent="0.2">
      <c r="A44" s="7656"/>
      <c r="B44" s="7665"/>
      <c r="C44" s="7747"/>
      <c r="D44" s="7586"/>
      <c r="E44" s="7676"/>
      <c r="F44" s="7586"/>
      <c r="G44" s="3281">
        <v>9000000</v>
      </c>
      <c r="H44" s="7563" t="s">
        <v>5174</v>
      </c>
      <c r="I44" s="7563" t="s">
        <v>5195</v>
      </c>
      <c r="J44" s="7482"/>
      <c r="K44" s="7564"/>
      <c r="L44" s="7714"/>
      <c r="M44" s="366"/>
      <c r="N44" s="366"/>
    </row>
    <row r="45" spans="1:14" ht="30" customHeight="1" x14ac:dyDescent="0.2">
      <c r="A45" s="7655"/>
      <c r="B45" s="7653"/>
      <c r="C45" s="7724"/>
      <c r="D45" s="7564"/>
      <c r="E45" s="7660"/>
      <c r="F45" s="7564"/>
      <c r="G45" s="3281">
        <v>6000000</v>
      </c>
      <c r="H45" s="7564"/>
      <c r="I45" s="7564"/>
      <c r="J45" s="3281">
        <f>G45</f>
        <v>6000000</v>
      </c>
      <c r="K45" s="3281"/>
      <c r="L45" s="3278" t="s">
        <v>5197</v>
      </c>
      <c r="M45" s="366"/>
      <c r="N45" s="366"/>
    </row>
    <row r="46" spans="1:14" ht="30" customHeight="1" x14ac:dyDescent="0.2">
      <c r="A46" s="3340">
        <v>29</v>
      </c>
      <c r="B46" s="3336" t="s">
        <v>839</v>
      </c>
      <c r="C46" s="3329" t="s">
        <v>1306</v>
      </c>
      <c r="D46" s="3325">
        <v>42000000</v>
      </c>
      <c r="E46" s="3328">
        <v>7.0000000000000007E-2</v>
      </c>
      <c r="F46" s="3325">
        <f t="shared" si="6"/>
        <v>2940000.0000000005</v>
      </c>
      <c r="G46" s="3325">
        <v>2940000</v>
      </c>
      <c r="H46" s="3334" t="s">
        <v>5211</v>
      </c>
      <c r="I46" s="1537" t="s">
        <v>4597</v>
      </c>
      <c r="J46" s="3325">
        <f t="shared" si="7"/>
        <v>2940000</v>
      </c>
      <c r="K46" s="3325">
        <f t="shared" ref="K46:K50" si="8">F46-J46</f>
        <v>0</v>
      </c>
      <c r="L46" s="3338"/>
      <c r="M46" s="366"/>
      <c r="N46" s="366"/>
    </row>
    <row r="47" spans="1:14" s="1539" customFormat="1" ht="30" customHeight="1" x14ac:dyDescent="0.2">
      <c r="A47" s="7654">
        <v>30</v>
      </c>
      <c r="B47" s="7652" t="s">
        <v>843</v>
      </c>
      <c r="C47" s="7723" t="s">
        <v>1107</v>
      </c>
      <c r="D47" s="3332">
        <v>20000000</v>
      </c>
      <c r="E47" s="3333">
        <v>0.04</v>
      </c>
      <c r="F47" s="3332">
        <f t="shared" si="6"/>
        <v>800000</v>
      </c>
      <c r="G47" s="7563">
        <v>1400000</v>
      </c>
      <c r="H47" s="7563" t="s">
        <v>1491</v>
      </c>
      <c r="I47" s="7762" t="s">
        <v>3105</v>
      </c>
      <c r="J47" s="7563">
        <f t="shared" si="7"/>
        <v>1400000</v>
      </c>
      <c r="K47" s="7563"/>
      <c r="L47" s="736"/>
      <c r="M47" s="9"/>
      <c r="N47" s="9"/>
    </row>
    <row r="48" spans="1:14" ht="30" customHeight="1" x14ac:dyDescent="0.2">
      <c r="A48" s="7656"/>
      <c r="B48" s="7665"/>
      <c r="C48" s="7747"/>
      <c r="D48" s="3052">
        <v>10000000</v>
      </c>
      <c r="E48" s="3054">
        <v>0.04</v>
      </c>
      <c r="F48" s="3052">
        <f>D48*E48</f>
        <v>400000</v>
      </c>
      <c r="G48" s="7586"/>
      <c r="H48" s="7586"/>
      <c r="I48" s="8114"/>
      <c r="J48" s="7586"/>
      <c r="K48" s="7586"/>
      <c r="L48" s="180" t="s">
        <v>4978</v>
      </c>
      <c r="M48" s="366"/>
      <c r="N48" s="366"/>
    </row>
    <row r="49" spans="1:14" ht="30" customHeight="1" x14ac:dyDescent="0.2">
      <c r="A49" s="7655"/>
      <c r="B49" s="7653"/>
      <c r="C49" s="7724"/>
      <c r="D49" s="3052">
        <v>10000000</v>
      </c>
      <c r="E49" s="3054">
        <v>0.04</v>
      </c>
      <c r="F49" s="3052">
        <f>D49*E49</f>
        <v>400000</v>
      </c>
      <c r="G49" s="7564"/>
      <c r="H49" s="7564"/>
      <c r="I49" s="7763"/>
      <c r="J49" s="7564"/>
      <c r="K49" s="7564"/>
      <c r="L49" s="637" t="s">
        <v>4979</v>
      </c>
      <c r="M49" s="366"/>
      <c r="N49" s="366"/>
    </row>
    <row r="50" spans="1:14" ht="30" customHeight="1" x14ac:dyDescent="0.2">
      <c r="A50" s="2821">
        <v>31</v>
      </c>
      <c r="B50" s="2865" t="s">
        <v>915</v>
      </c>
      <c r="C50" s="2842"/>
      <c r="D50" s="2844">
        <v>100000000</v>
      </c>
      <c r="E50" s="2867">
        <v>7.0000000000000007E-2</v>
      </c>
      <c r="F50" s="2844">
        <f t="shared" si="6"/>
        <v>7000000.0000000009</v>
      </c>
      <c r="G50" s="2817">
        <v>7000000</v>
      </c>
      <c r="H50" s="2837" t="s">
        <v>1491</v>
      </c>
      <c r="I50" s="64" t="s">
        <v>3195</v>
      </c>
      <c r="J50" s="2816">
        <f t="shared" si="7"/>
        <v>7000000</v>
      </c>
      <c r="K50" s="2816">
        <f t="shared" si="8"/>
        <v>0</v>
      </c>
      <c r="L50" s="2828"/>
      <c r="M50" s="366"/>
      <c r="N50" s="366"/>
    </row>
    <row r="51" spans="1:14" ht="30" customHeight="1" x14ac:dyDescent="0.2">
      <c r="A51" s="7654">
        <v>32</v>
      </c>
      <c r="B51" s="7652" t="s">
        <v>982</v>
      </c>
      <c r="C51" s="7723" t="s">
        <v>1306</v>
      </c>
      <c r="D51" s="2817">
        <v>100000000</v>
      </c>
      <c r="E51" s="2819">
        <v>0.05</v>
      </c>
      <c r="F51" s="2817">
        <f t="shared" si="6"/>
        <v>5000000</v>
      </c>
      <c r="G51" s="7563">
        <v>8850000</v>
      </c>
      <c r="H51" s="7563" t="s">
        <v>5227</v>
      </c>
      <c r="I51" s="7762" t="s">
        <v>2986</v>
      </c>
      <c r="J51" s="7563">
        <f>G51</f>
        <v>8850000</v>
      </c>
      <c r="K51" s="7563">
        <f>(F51+F52+F53)-J51</f>
        <v>0</v>
      </c>
      <c r="L51" s="7713"/>
      <c r="M51" s="366"/>
      <c r="N51" s="366"/>
    </row>
    <row r="52" spans="1:14" ht="30" customHeight="1" x14ac:dyDescent="0.2">
      <c r="A52" s="7656"/>
      <c r="B52" s="7665"/>
      <c r="C52" s="7747"/>
      <c r="D52" s="2817">
        <v>35000000</v>
      </c>
      <c r="E52" s="2819">
        <v>7.0000000000000007E-2</v>
      </c>
      <c r="F52" s="2817">
        <f t="shared" si="6"/>
        <v>2450000.0000000005</v>
      </c>
      <c r="G52" s="7586"/>
      <c r="H52" s="7586"/>
      <c r="I52" s="8114"/>
      <c r="J52" s="7586"/>
      <c r="K52" s="7586"/>
      <c r="L52" s="7797"/>
      <c r="M52" s="366"/>
      <c r="N52" s="366"/>
    </row>
    <row r="53" spans="1:14" ht="30" customHeight="1" x14ac:dyDescent="0.2">
      <c r="A53" s="7655"/>
      <c r="B53" s="7653"/>
      <c r="C53" s="7724"/>
      <c r="D53" s="2844">
        <v>20000000</v>
      </c>
      <c r="E53" s="2867">
        <v>7.0000000000000007E-2</v>
      </c>
      <c r="F53" s="2844">
        <f t="shared" si="6"/>
        <v>1400000.0000000002</v>
      </c>
      <c r="G53" s="7564"/>
      <c r="H53" s="7564"/>
      <c r="I53" s="7763"/>
      <c r="J53" s="7564"/>
      <c r="K53" s="7564"/>
      <c r="L53" s="7997"/>
      <c r="M53" s="7733"/>
      <c r="N53" s="7734"/>
    </row>
    <row r="54" spans="1:14" ht="30" customHeight="1" x14ac:dyDescent="0.2">
      <c r="A54" s="2822">
        <v>33</v>
      </c>
      <c r="B54" s="2825" t="s">
        <v>993</v>
      </c>
      <c r="C54" s="2843" t="s">
        <v>1287</v>
      </c>
      <c r="D54" s="2817">
        <v>63580000</v>
      </c>
      <c r="E54" s="2819">
        <v>7.0000000000000007E-2</v>
      </c>
      <c r="F54" s="2817">
        <v>4450000</v>
      </c>
      <c r="G54" s="2817">
        <v>4450000</v>
      </c>
      <c r="H54" s="2817" t="s">
        <v>5227</v>
      </c>
      <c r="I54" s="64" t="s">
        <v>484</v>
      </c>
      <c r="J54" s="2817">
        <f>G54</f>
        <v>4450000</v>
      </c>
      <c r="K54" s="2817">
        <f t="shared" ref="K54:K66" si="9">F54-J54</f>
        <v>0</v>
      </c>
      <c r="L54" s="2831"/>
      <c r="M54" s="366"/>
      <c r="N54" s="366"/>
    </row>
    <row r="55" spans="1:14" ht="30" customHeight="1" x14ac:dyDescent="0.2">
      <c r="A55" s="2822">
        <v>34</v>
      </c>
      <c r="B55" s="2826" t="s">
        <v>1110</v>
      </c>
      <c r="C55" s="2843" t="s">
        <v>1306</v>
      </c>
      <c r="D55" s="2817">
        <v>20000000</v>
      </c>
      <c r="E55" s="2819">
        <v>0.04</v>
      </c>
      <c r="F55" s="2817">
        <f t="shared" ref="F55:F62" si="10">D55*E55</f>
        <v>800000</v>
      </c>
      <c r="G55" s="2817">
        <v>800000</v>
      </c>
      <c r="H55" s="2817" t="s">
        <v>5227</v>
      </c>
      <c r="I55" s="64" t="s">
        <v>1112</v>
      </c>
      <c r="J55" s="2817">
        <f>G55</f>
        <v>800000</v>
      </c>
      <c r="K55" s="2817">
        <f t="shared" si="9"/>
        <v>0</v>
      </c>
      <c r="L55" s="2831"/>
      <c r="M55" s="366"/>
      <c r="N55" s="366"/>
    </row>
    <row r="56" spans="1:14" ht="30" customHeight="1" x14ac:dyDescent="0.2">
      <c r="A56" s="2872">
        <v>35</v>
      </c>
      <c r="B56" s="19" t="s">
        <v>1150</v>
      </c>
      <c r="C56" s="2869" t="s">
        <v>1138</v>
      </c>
      <c r="D56" s="2844">
        <v>175000000</v>
      </c>
      <c r="E56" s="2867">
        <v>0.06</v>
      </c>
      <c r="F56" s="2844">
        <f t="shared" si="10"/>
        <v>10500000</v>
      </c>
      <c r="G56" s="2844">
        <v>10500000</v>
      </c>
      <c r="H56" s="2844" t="s">
        <v>5226</v>
      </c>
      <c r="I56" s="2844" t="s">
        <v>1720</v>
      </c>
      <c r="J56" s="2844">
        <f>G56</f>
        <v>10500000</v>
      </c>
      <c r="K56" s="2844">
        <f>F56-J56</f>
        <v>0</v>
      </c>
      <c r="L56" s="2894"/>
      <c r="M56" s="366"/>
      <c r="N56" s="366"/>
    </row>
    <row r="57" spans="1:14" ht="30" customHeight="1" x14ac:dyDescent="0.2">
      <c r="A57" s="7654">
        <v>36</v>
      </c>
      <c r="B57" s="7652" t="s">
        <v>3370</v>
      </c>
      <c r="C57" s="7723" t="s">
        <v>1081</v>
      </c>
      <c r="D57" s="2844">
        <v>50000000</v>
      </c>
      <c r="E57" s="2867">
        <v>7.0000000000000007E-2</v>
      </c>
      <c r="F57" s="2844">
        <f t="shared" si="10"/>
        <v>3500000.0000000005</v>
      </c>
      <c r="G57" s="7563">
        <v>17350000</v>
      </c>
      <c r="H57" s="7563" t="s">
        <v>5106</v>
      </c>
      <c r="I57" s="8180" t="s">
        <v>4264</v>
      </c>
      <c r="J57" s="7563">
        <f>G57</f>
        <v>17350000</v>
      </c>
      <c r="K57" s="7563"/>
      <c r="L57" s="3056"/>
      <c r="M57" s="366"/>
      <c r="N57" s="366"/>
    </row>
    <row r="58" spans="1:14" ht="30" customHeight="1" x14ac:dyDescent="0.2">
      <c r="A58" s="7656"/>
      <c r="B58" s="7665"/>
      <c r="C58" s="7747"/>
      <c r="D58" s="2817">
        <v>40000000</v>
      </c>
      <c r="E58" s="2867">
        <v>7.0000000000000007E-2</v>
      </c>
      <c r="F58" s="2844">
        <f t="shared" si="10"/>
        <v>2800000.0000000005</v>
      </c>
      <c r="G58" s="7586"/>
      <c r="H58" s="7586"/>
      <c r="I58" s="8220"/>
      <c r="J58" s="7586"/>
      <c r="K58" s="7586"/>
      <c r="L58" s="3068" t="s">
        <v>4963</v>
      </c>
      <c r="M58" s="366"/>
      <c r="N58" s="366"/>
    </row>
    <row r="59" spans="1:14" ht="30" customHeight="1" x14ac:dyDescent="0.2">
      <c r="A59" s="7655"/>
      <c r="B59" s="7653"/>
      <c r="C59" s="7724"/>
      <c r="D59" s="3052">
        <v>160000000</v>
      </c>
      <c r="E59" s="3054">
        <v>7.0000000000000007E-2</v>
      </c>
      <c r="F59" s="3060">
        <f t="shared" si="10"/>
        <v>11200000.000000002</v>
      </c>
      <c r="G59" s="7564"/>
      <c r="H59" s="7564"/>
      <c r="I59" s="8183"/>
      <c r="J59" s="7564"/>
      <c r="K59" s="7564"/>
      <c r="L59" s="3057" t="s">
        <v>4964</v>
      </c>
      <c r="M59" s="366"/>
      <c r="N59" s="366"/>
    </row>
    <row r="60" spans="1:14" ht="30" customHeight="1" x14ac:dyDescent="0.2">
      <c r="A60" s="7654"/>
      <c r="B60" s="7652" t="s">
        <v>4965</v>
      </c>
      <c r="C60" s="7723" t="s">
        <v>3216</v>
      </c>
      <c r="D60" s="7563">
        <v>19200000</v>
      </c>
      <c r="E60" s="7659">
        <v>0.05</v>
      </c>
      <c r="F60" s="7563">
        <f t="shared" si="10"/>
        <v>960000</v>
      </c>
      <c r="G60" s="7991" t="s">
        <v>5023</v>
      </c>
      <c r="H60" s="7992"/>
      <c r="I60" s="7992"/>
      <c r="J60" s="7993"/>
      <c r="K60" s="7563"/>
      <c r="L60" s="3057"/>
      <c r="M60" s="366"/>
      <c r="N60" s="366"/>
    </row>
    <row r="61" spans="1:14" ht="30" customHeight="1" x14ac:dyDescent="0.2">
      <c r="A61" s="7656"/>
      <c r="B61" s="7665"/>
      <c r="C61" s="7747"/>
      <c r="D61" s="7564"/>
      <c r="E61" s="7660"/>
      <c r="F61" s="7564"/>
      <c r="G61" s="7997"/>
      <c r="H61" s="7998"/>
      <c r="I61" s="7998"/>
      <c r="J61" s="7999"/>
      <c r="K61" s="7564"/>
      <c r="L61" s="3057"/>
      <c r="M61" s="366"/>
      <c r="N61" s="366"/>
    </row>
    <row r="62" spans="1:14" ht="30" customHeight="1" x14ac:dyDescent="0.2">
      <c r="A62" s="7655"/>
      <c r="B62" s="7653"/>
      <c r="C62" s="7724"/>
      <c r="D62" s="3096">
        <v>20000000</v>
      </c>
      <c r="E62" s="3097">
        <v>0.05</v>
      </c>
      <c r="F62" s="3096">
        <f t="shared" si="10"/>
        <v>1000000</v>
      </c>
      <c r="G62" s="7732" t="s">
        <v>5029</v>
      </c>
      <c r="H62" s="7733"/>
      <c r="I62" s="7733"/>
      <c r="J62" s="7734"/>
      <c r="K62" s="3096"/>
      <c r="L62" s="3099"/>
      <c r="M62" s="366"/>
      <c r="N62" s="366"/>
    </row>
    <row r="63" spans="1:14" ht="30" customHeight="1" x14ac:dyDescent="0.2">
      <c r="A63" s="2822">
        <v>38</v>
      </c>
      <c r="B63" s="2824" t="s">
        <v>1254</v>
      </c>
      <c r="C63" s="2843"/>
      <c r="D63" s="298"/>
      <c r="E63" s="299"/>
      <c r="F63" s="298"/>
      <c r="G63" s="2817"/>
      <c r="H63" s="2817"/>
      <c r="I63" s="64"/>
      <c r="J63" s="2817"/>
      <c r="K63" s="2834">
        <f t="shared" si="9"/>
        <v>0</v>
      </c>
      <c r="L63" s="2831"/>
    </row>
    <row r="64" spans="1:14" ht="30" customHeight="1" x14ac:dyDescent="0.2">
      <c r="A64" s="2822">
        <v>39</v>
      </c>
      <c r="B64" s="2824" t="s">
        <v>1213</v>
      </c>
      <c r="C64" s="2843"/>
      <c r="D64" s="298"/>
      <c r="E64" s="299"/>
      <c r="F64" s="298"/>
      <c r="G64" s="2817"/>
      <c r="H64" s="2817"/>
      <c r="I64" s="64"/>
      <c r="J64" s="2817"/>
      <c r="K64" s="2834">
        <f t="shared" si="9"/>
        <v>0</v>
      </c>
      <c r="L64" s="2831"/>
    </row>
    <row r="65" spans="1:12" ht="30" customHeight="1" x14ac:dyDescent="0.2">
      <c r="A65" s="2822">
        <v>40</v>
      </c>
      <c r="B65" s="2824" t="s">
        <v>1265</v>
      </c>
      <c r="C65" s="2843" t="s">
        <v>1289</v>
      </c>
      <c r="D65" s="2878">
        <v>16000000</v>
      </c>
      <c r="E65" s="300">
        <v>0.05</v>
      </c>
      <c r="F65" s="2878">
        <f>D65*E65</f>
        <v>800000</v>
      </c>
      <c r="G65" s="2817">
        <v>800000</v>
      </c>
      <c r="H65" s="2817" t="s">
        <v>5174</v>
      </c>
      <c r="I65" s="64" t="s">
        <v>1268</v>
      </c>
      <c r="J65" s="2817">
        <f>G65</f>
        <v>800000</v>
      </c>
      <c r="K65" s="2817">
        <f t="shared" si="9"/>
        <v>0</v>
      </c>
      <c r="L65" s="2831"/>
    </row>
    <row r="66" spans="1:12" ht="30" customHeight="1" x14ac:dyDescent="0.2">
      <c r="A66" s="2822">
        <v>41</v>
      </c>
      <c r="B66" s="2824" t="s">
        <v>1285</v>
      </c>
      <c r="C66" s="2843"/>
      <c r="D66" s="298"/>
      <c r="E66" s="299"/>
      <c r="F66" s="298"/>
      <c r="G66" s="2817"/>
      <c r="H66" s="2817"/>
      <c r="I66" s="64"/>
      <c r="J66" s="2817"/>
      <c r="K66" s="2834">
        <f t="shared" si="9"/>
        <v>0</v>
      </c>
      <c r="L66" s="2831"/>
    </row>
    <row r="67" spans="1:12" ht="30" customHeight="1" x14ac:dyDescent="0.2">
      <c r="A67" s="2822">
        <v>42</v>
      </c>
      <c r="B67" s="2865" t="s">
        <v>183</v>
      </c>
      <c r="C67" s="2843"/>
      <c r="D67" s="2817">
        <v>60000000</v>
      </c>
      <c r="E67" s="2867">
        <v>0.05</v>
      </c>
      <c r="F67" s="2817">
        <f t="shared" ref="F67:F176" si="11">D67*E67</f>
        <v>3000000</v>
      </c>
      <c r="G67" s="7563">
        <v>3500000</v>
      </c>
      <c r="H67" s="7563" t="s">
        <v>4860</v>
      </c>
      <c r="I67" s="7775" t="s">
        <v>4864</v>
      </c>
      <c r="J67" s="7563">
        <f>G67</f>
        <v>3500000</v>
      </c>
      <c r="K67" s="7563">
        <f>(F67+F68)-J67</f>
        <v>0</v>
      </c>
      <c r="L67" s="7703"/>
    </row>
    <row r="68" spans="1:12" ht="30" customHeight="1" x14ac:dyDescent="0.2">
      <c r="A68" s="2822">
        <v>43</v>
      </c>
      <c r="B68" s="2870" t="s">
        <v>1079</v>
      </c>
      <c r="C68" s="2843"/>
      <c r="D68" s="2817">
        <v>10000000</v>
      </c>
      <c r="E68" s="2867">
        <v>0.05</v>
      </c>
      <c r="F68" s="2817">
        <f>D68*E68</f>
        <v>500000</v>
      </c>
      <c r="G68" s="7564"/>
      <c r="H68" s="7564"/>
      <c r="I68" s="7777"/>
      <c r="J68" s="7564"/>
      <c r="K68" s="7564"/>
      <c r="L68" s="7705"/>
    </row>
    <row r="69" spans="1:12" ht="30" customHeight="1" x14ac:dyDescent="0.2">
      <c r="A69" s="2822">
        <v>44</v>
      </c>
      <c r="B69" s="2870" t="s">
        <v>184</v>
      </c>
      <c r="C69" s="2843" t="s">
        <v>889</v>
      </c>
      <c r="D69" s="2817">
        <v>150000000</v>
      </c>
      <c r="E69" s="2867">
        <v>0.05</v>
      </c>
      <c r="F69" s="2817">
        <f t="shared" si="11"/>
        <v>7500000</v>
      </c>
      <c r="G69" s="2817">
        <v>7500000</v>
      </c>
      <c r="H69" s="2817" t="s">
        <v>4839</v>
      </c>
      <c r="I69" s="2844" t="s">
        <v>1339</v>
      </c>
      <c r="J69" s="2817">
        <f>G69</f>
        <v>7500000</v>
      </c>
      <c r="K69" s="2817">
        <f>F69-J69</f>
        <v>0</v>
      </c>
      <c r="L69" s="2870"/>
    </row>
    <row r="70" spans="1:12" ht="30" customHeight="1" x14ac:dyDescent="0.2">
      <c r="A70" s="7654">
        <v>45</v>
      </c>
      <c r="B70" s="7703" t="s">
        <v>185</v>
      </c>
      <c r="C70" s="7723" t="s">
        <v>1295</v>
      </c>
      <c r="D70" s="2844">
        <v>1590000000</v>
      </c>
      <c r="E70" s="2867">
        <v>7.0000000000000007E-2</v>
      </c>
      <c r="F70" s="2844">
        <f>D70*E70</f>
        <v>111300000.00000001</v>
      </c>
      <c r="G70" s="7563">
        <v>50000000</v>
      </c>
      <c r="H70" s="7563" t="s">
        <v>4860</v>
      </c>
      <c r="I70" s="7561" t="s">
        <v>2696</v>
      </c>
      <c r="J70" s="7563">
        <f>G70+G72</f>
        <v>146300000</v>
      </c>
      <c r="K70" s="7563">
        <f>F73-J70</f>
        <v>0</v>
      </c>
      <c r="L70" s="7703"/>
    </row>
    <row r="71" spans="1:12" ht="30" customHeight="1" x14ac:dyDescent="0.2">
      <c r="A71" s="7656"/>
      <c r="B71" s="7704"/>
      <c r="C71" s="7747"/>
      <c r="D71" s="2816">
        <f>D70+100000000</f>
        <v>1690000000</v>
      </c>
      <c r="E71" s="2818">
        <v>7.0000000000000007E-2</v>
      </c>
      <c r="F71" s="2816">
        <f>D71*E71</f>
        <v>118300000.00000001</v>
      </c>
      <c r="G71" s="7564"/>
      <c r="H71" s="7564"/>
      <c r="I71" s="7562"/>
      <c r="J71" s="7586"/>
      <c r="K71" s="7586"/>
      <c r="L71" s="7705"/>
    </row>
    <row r="72" spans="1:12" ht="30" customHeight="1" x14ac:dyDescent="0.2">
      <c r="A72" s="7656"/>
      <c r="B72" s="7704"/>
      <c r="C72" s="7747"/>
      <c r="D72" s="2816">
        <v>400000000</v>
      </c>
      <c r="E72" s="2818">
        <v>7.0000000000000007E-2</v>
      </c>
      <c r="F72" s="2816">
        <f>D72*E72</f>
        <v>28000000.000000004</v>
      </c>
      <c r="G72" s="7563">
        <v>96300000</v>
      </c>
      <c r="H72" s="7563" t="s">
        <v>4891</v>
      </c>
      <c r="I72" s="7563" t="s">
        <v>2696</v>
      </c>
      <c r="J72" s="7586"/>
      <c r="K72" s="7586"/>
      <c r="L72" s="2860"/>
    </row>
    <row r="73" spans="1:12" ht="30" customHeight="1" x14ac:dyDescent="0.2">
      <c r="A73" s="7655"/>
      <c r="B73" s="7705"/>
      <c r="C73" s="7724"/>
      <c r="D73" s="2886">
        <f>D71+D72</f>
        <v>2090000000</v>
      </c>
      <c r="E73" s="2888">
        <v>7.0000000000000007E-2</v>
      </c>
      <c r="F73" s="2886">
        <f>D73*E73</f>
        <v>146300000</v>
      </c>
      <c r="G73" s="7564"/>
      <c r="H73" s="7564"/>
      <c r="I73" s="7564"/>
      <c r="J73" s="7564"/>
      <c r="K73" s="7564"/>
      <c r="L73" s="2860"/>
    </row>
    <row r="74" spans="1:12" ht="30" customHeight="1" x14ac:dyDescent="0.2">
      <c r="A74" s="7654">
        <v>46</v>
      </c>
      <c r="B74" s="7652" t="s">
        <v>186</v>
      </c>
      <c r="C74" s="7723" t="s">
        <v>4105</v>
      </c>
      <c r="D74" s="7563">
        <v>1000000000</v>
      </c>
      <c r="E74" s="7659">
        <v>0.08</v>
      </c>
      <c r="F74" s="7563">
        <f>D74*E74</f>
        <v>80000000</v>
      </c>
      <c r="G74" s="3386">
        <v>50000000</v>
      </c>
      <c r="H74" s="3386" t="s">
        <v>1491</v>
      </c>
      <c r="I74" s="3422" t="s">
        <v>1076</v>
      </c>
      <c r="J74" s="3399">
        <f>G74</f>
        <v>50000000</v>
      </c>
      <c r="K74" s="233"/>
      <c r="L74" s="3408"/>
    </row>
    <row r="75" spans="1:12" ht="30" customHeight="1" x14ac:dyDescent="0.2">
      <c r="A75" s="7656"/>
      <c r="B75" s="7665"/>
      <c r="C75" s="7747"/>
      <c r="D75" s="7586"/>
      <c r="E75" s="7676"/>
      <c r="F75" s="7586"/>
      <c r="G75" s="3386">
        <v>50000000</v>
      </c>
      <c r="H75" s="3386" t="s">
        <v>5289</v>
      </c>
      <c r="I75" s="3422" t="s">
        <v>1076</v>
      </c>
      <c r="J75" s="3399">
        <f>G75</f>
        <v>50000000</v>
      </c>
      <c r="K75" s="233"/>
      <c r="L75" s="3411"/>
    </row>
    <row r="76" spans="1:12" ht="30" customHeight="1" x14ac:dyDescent="0.2">
      <c r="A76" s="7656"/>
      <c r="B76" s="7665"/>
      <c r="C76" s="7747"/>
      <c r="D76" s="7586"/>
      <c r="E76" s="7676"/>
      <c r="F76" s="7586"/>
      <c r="G76" s="233"/>
      <c r="H76" s="233"/>
      <c r="I76" s="233"/>
      <c r="J76" s="233"/>
      <c r="K76" s="233"/>
      <c r="L76" s="3411"/>
    </row>
    <row r="77" spans="1:12" ht="30" customHeight="1" x14ac:dyDescent="0.2">
      <c r="A77" s="7656"/>
      <c r="B77" s="7665"/>
      <c r="C77" s="7747"/>
      <c r="D77" s="7564"/>
      <c r="E77" s="7660"/>
      <c r="F77" s="7564"/>
      <c r="G77" s="3386"/>
      <c r="H77" s="3386"/>
      <c r="I77" s="3422"/>
      <c r="J77" s="3386"/>
      <c r="K77" s="3386"/>
      <c r="L77" s="3411"/>
    </row>
    <row r="78" spans="1:12" ht="30" customHeight="1" x14ac:dyDescent="0.2">
      <c r="A78" s="7654">
        <v>47</v>
      </c>
      <c r="B78" s="7652" t="s">
        <v>187</v>
      </c>
      <c r="C78" s="7723" t="s">
        <v>1080</v>
      </c>
      <c r="D78" s="7563">
        <v>20000000</v>
      </c>
      <c r="E78" s="7659">
        <v>0.05</v>
      </c>
      <c r="F78" s="7563">
        <f t="shared" si="11"/>
        <v>1000000</v>
      </c>
      <c r="G78" s="2817">
        <v>1000000</v>
      </c>
      <c r="H78" s="2817" t="s">
        <v>4874</v>
      </c>
      <c r="I78" s="2846" t="s">
        <v>4309</v>
      </c>
      <c r="J78" s="2817">
        <f>G78</f>
        <v>1000000</v>
      </c>
      <c r="K78" s="2817">
        <f>F78-J78</f>
        <v>0</v>
      </c>
      <c r="L78" s="763" t="s">
        <v>4437</v>
      </c>
    </row>
    <row r="79" spans="1:12" ht="30" customHeight="1" x14ac:dyDescent="0.2">
      <c r="A79" s="7655"/>
      <c r="B79" s="7653"/>
      <c r="C79" s="7724"/>
      <c r="D79" s="7564"/>
      <c r="E79" s="7660"/>
      <c r="F79" s="7564"/>
      <c r="G79" s="3435">
        <v>1000000</v>
      </c>
      <c r="H79" s="3435" t="s">
        <v>5106</v>
      </c>
      <c r="I79" s="3447" t="s">
        <v>4309</v>
      </c>
      <c r="J79" s="3435">
        <f>G79</f>
        <v>1000000</v>
      </c>
      <c r="K79" s="3435">
        <f>F78-J79</f>
        <v>0</v>
      </c>
      <c r="L79" s="763" t="s">
        <v>4905</v>
      </c>
    </row>
    <row r="80" spans="1:12" ht="30" customHeight="1" x14ac:dyDescent="0.2">
      <c r="A80" s="2872">
        <v>48</v>
      </c>
      <c r="B80" s="2870" t="s">
        <v>1615</v>
      </c>
      <c r="C80" s="2869" t="s">
        <v>1081</v>
      </c>
      <c r="D80" s="2844">
        <v>100000000</v>
      </c>
      <c r="E80" s="2867">
        <v>0.05</v>
      </c>
      <c r="F80" s="2844">
        <f t="shared" si="11"/>
        <v>5000000</v>
      </c>
      <c r="G80" s="2817">
        <v>5000000</v>
      </c>
      <c r="H80" s="2817" t="s">
        <v>5106</v>
      </c>
      <c r="I80" s="21" t="s">
        <v>3909</v>
      </c>
      <c r="J80" s="2817">
        <f>G80</f>
        <v>5000000</v>
      </c>
      <c r="K80" s="2817">
        <f>F80-J80</f>
        <v>0</v>
      </c>
      <c r="L80" s="2894"/>
    </row>
    <row r="81" spans="1:12" ht="30" customHeight="1" x14ac:dyDescent="0.2">
      <c r="A81" s="1028">
        <v>49</v>
      </c>
      <c r="B81" s="19" t="s">
        <v>189</v>
      </c>
      <c r="C81" s="2869" t="s">
        <v>1295</v>
      </c>
      <c r="D81" s="2844">
        <v>230000000</v>
      </c>
      <c r="E81" s="2867">
        <v>0.05</v>
      </c>
      <c r="F81" s="2844">
        <f t="shared" si="11"/>
        <v>11500000</v>
      </c>
      <c r="G81" s="2844">
        <v>11000000</v>
      </c>
      <c r="H81" s="2844" t="s">
        <v>4875</v>
      </c>
      <c r="I81" s="2864" t="s">
        <v>1052</v>
      </c>
      <c r="J81" s="2844">
        <f>G81</f>
        <v>11000000</v>
      </c>
      <c r="K81" s="2844">
        <f>F81-J81</f>
        <v>500000</v>
      </c>
      <c r="L81" s="763" t="s">
        <v>4877</v>
      </c>
    </row>
    <row r="82" spans="1:12" ht="30" customHeight="1" x14ac:dyDescent="0.2">
      <c r="A82" s="7654">
        <v>50</v>
      </c>
      <c r="B82" s="7652" t="s">
        <v>190</v>
      </c>
      <c r="C82" s="7723" t="s">
        <v>889</v>
      </c>
      <c r="D82" s="7563">
        <v>350000000</v>
      </c>
      <c r="E82" s="7659">
        <v>0.05</v>
      </c>
      <c r="F82" s="7563">
        <f t="shared" si="11"/>
        <v>17500000</v>
      </c>
      <c r="G82" s="7470" t="s">
        <v>3911</v>
      </c>
      <c r="H82" s="7493"/>
      <c r="I82" s="7493"/>
      <c r="J82" s="7493"/>
      <c r="K82" s="7510"/>
      <c r="L82" s="2894"/>
    </row>
    <row r="83" spans="1:12" ht="30" customHeight="1" x14ac:dyDescent="0.2">
      <c r="A83" s="7655"/>
      <c r="B83" s="7653"/>
      <c r="C83" s="7724"/>
      <c r="D83" s="7564"/>
      <c r="E83" s="7660"/>
      <c r="F83" s="7564"/>
      <c r="G83" s="2844"/>
      <c r="H83" s="2844"/>
      <c r="I83" s="2844" t="s">
        <v>1054</v>
      </c>
      <c r="J83" s="2844">
        <f>G83</f>
        <v>0</v>
      </c>
      <c r="K83" s="2844"/>
      <c r="L83" s="763" t="s">
        <v>4789</v>
      </c>
    </row>
    <row r="84" spans="1:12" ht="30" customHeight="1" x14ac:dyDescent="0.2">
      <c r="A84" s="7654">
        <v>51</v>
      </c>
      <c r="B84" s="7652" t="s">
        <v>191</v>
      </c>
      <c r="C84" s="7723" t="s">
        <v>889</v>
      </c>
      <c r="D84" s="7563">
        <v>260000000</v>
      </c>
      <c r="E84" s="7659">
        <f>F84/D84</f>
        <v>5.5769230769230772E-2</v>
      </c>
      <c r="F84" s="7563">
        <v>14500000</v>
      </c>
      <c r="G84" s="2844">
        <v>14500000</v>
      </c>
      <c r="H84" s="2844" t="s">
        <v>4839</v>
      </c>
      <c r="I84" s="2844" t="s">
        <v>3500</v>
      </c>
      <c r="J84" s="2844">
        <f>G84</f>
        <v>14500000</v>
      </c>
      <c r="K84" s="2844">
        <f>F84-J84</f>
        <v>0</v>
      </c>
      <c r="L84" s="1388" t="s">
        <v>4905</v>
      </c>
    </row>
    <row r="85" spans="1:12" ht="30" customHeight="1" x14ac:dyDescent="0.2">
      <c r="A85" s="7655"/>
      <c r="B85" s="7653"/>
      <c r="C85" s="7724"/>
      <c r="D85" s="7564"/>
      <c r="E85" s="7660"/>
      <c r="F85" s="7564"/>
      <c r="G85" s="2972">
        <v>14500000</v>
      </c>
      <c r="H85" s="2972" t="s">
        <v>4891</v>
      </c>
      <c r="I85" s="2972" t="s">
        <v>3500</v>
      </c>
      <c r="J85" s="2972">
        <f>G85</f>
        <v>14500000</v>
      </c>
      <c r="K85" s="2972">
        <f>F84-J85</f>
        <v>0</v>
      </c>
      <c r="L85" s="1388" t="s">
        <v>4906</v>
      </c>
    </row>
    <row r="86" spans="1:12" ht="30" customHeight="1" x14ac:dyDescent="0.2">
      <c r="A86" s="8123"/>
      <c r="B86" s="7652" t="s">
        <v>192</v>
      </c>
      <c r="C86" s="7723"/>
      <c r="D86" s="2816">
        <v>100000000</v>
      </c>
      <c r="E86" s="2818">
        <v>7.0000000000000007E-2</v>
      </c>
      <c r="F86" s="2816">
        <f>D86*E86</f>
        <v>7000000.0000000009</v>
      </c>
      <c r="G86" s="7563">
        <v>86750000</v>
      </c>
      <c r="H86" s="7563" t="s">
        <v>4846</v>
      </c>
      <c r="I86" s="7563" t="s">
        <v>2540</v>
      </c>
      <c r="J86" s="7563">
        <f>G86</f>
        <v>86750000</v>
      </c>
      <c r="K86" s="7563"/>
      <c r="L86" s="7757" t="s">
        <v>4807</v>
      </c>
    </row>
    <row r="87" spans="1:12" ht="30" customHeight="1" x14ac:dyDescent="0.2">
      <c r="A87" s="8200"/>
      <c r="B87" s="7665"/>
      <c r="C87" s="7747"/>
      <c r="D87" s="2816">
        <v>49500000</v>
      </c>
      <c r="E87" s="2818">
        <v>0.05</v>
      </c>
      <c r="F87" s="2816">
        <f>D87*E87</f>
        <v>2475000</v>
      </c>
      <c r="G87" s="7586"/>
      <c r="H87" s="7586"/>
      <c r="I87" s="7586"/>
      <c r="J87" s="7586"/>
      <c r="K87" s="7586"/>
      <c r="L87" s="8037"/>
    </row>
    <row r="88" spans="1:12" ht="30" customHeight="1" x14ac:dyDescent="0.2">
      <c r="A88" s="8124"/>
      <c r="B88" s="7653"/>
      <c r="C88" s="7724"/>
      <c r="D88" s="2816">
        <v>500000</v>
      </c>
      <c r="E88" s="2818">
        <v>0.05</v>
      </c>
      <c r="F88" s="2816">
        <f>D88*E88</f>
        <v>25000</v>
      </c>
      <c r="G88" s="7564"/>
      <c r="H88" s="7564"/>
      <c r="I88" s="7564"/>
      <c r="J88" s="7564"/>
      <c r="K88" s="7564"/>
      <c r="L88" s="2833"/>
    </row>
    <row r="89" spans="1:12" ht="30" customHeight="1" x14ac:dyDescent="0.2">
      <c r="A89" s="7654"/>
      <c r="B89" s="7652" t="s">
        <v>193</v>
      </c>
      <c r="C89" s="7723" t="s">
        <v>1294</v>
      </c>
      <c r="D89" s="7563">
        <v>850000000</v>
      </c>
      <c r="E89" s="7659">
        <v>7.0000000000000007E-2</v>
      </c>
      <c r="F89" s="7563">
        <v>60000000</v>
      </c>
      <c r="G89" s="3106">
        <v>31000000</v>
      </c>
      <c r="H89" s="3106" t="s">
        <v>5016</v>
      </c>
      <c r="I89" s="3106" t="s">
        <v>5017</v>
      </c>
      <c r="J89" s="7563">
        <f>G89+G90</f>
        <v>62000000</v>
      </c>
      <c r="K89" s="7563">
        <f>F89+2000000-J89</f>
        <v>0</v>
      </c>
      <c r="L89" s="1388" t="s">
        <v>3725</v>
      </c>
    </row>
    <row r="90" spans="1:12" ht="30" customHeight="1" x14ac:dyDescent="0.2">
      <c r="A90" s="7655"/>
      <c r="B90" s="7653"/>
      <c r="C90" s="7724"/>
      <c r="D90" s="7564"/>
      <c r="E90" s="7660"/>
      <c r="F90" s="7564"/>
      <c r="G90" s="3095">
        <v>31000000</v>
      </c>
      <c r="H90" s="3095" t="s">
        <v>5043</v>
      </c>
      <c r="I90" s="3136" t="s">
        <v>5017</v>
      </c>
      <c r="J90" s="7564"/>
      <c r="K90" s="7564"/>
      <c r="L90" s="763" t="s">
        <v>4488</v>
      </c>
    </row>
    <row r="91" spans="1:12" ht="30" customHeight="1" x14ac:dyDescent="0.2">
      <c r="A91" s="7654">
        <v>54</v>
      </c>
      <c r="B91" s="7652" t="s">
        <v>1060</v>
      </c>
      <c r="C91" s="7723"/>
      <c r="D91" s="2817">
        <v>35000000</v>
      </c>
      <c r="E91" s="2819">
        <v>7.1999999999999995E-2</v>
      </c>
      <c r="F91" s="2817">
        <v>2500000</v>
      </c>
      <c r="G91" s="7924">
        <v>3500000</v>
      </c>
      <c r="H91" s="7924" t="s">
        <v>4846</v>
      </c>
      <c r="I91" s="7926" t="s">
        <v>4848</v>
      </c>
      <c r="J91" s="7924">
        <f>G91</f>
        <v>3500000</v>
      </c>
      <c r="K91" s="7924">
        <f>(F91+F92)-J91</f>
        <v>0</v>
      </c>
      <c r="L91" s="7703"/>
    </row>
    <row r="92" spans="1:12" ht="30" customHeight="1" x14ac:dyDescent="0.2">
      <c r="A92" s="7656"/>
      <c r="B92" s="7653"/>
      <c r="C92" s="7724"/>
      <c r="D92" s="2817">
        <v>13000000</v>
      </c>
      <c r="E92" s="2867">
        <v>7.6999999999999999E-2</v>
      </c>
      <c r="F92" s="2817">
        <v>1000000</v>
      </c>
      <c r="G92" s="7925"/>
      <c r="H92" s="7925"/>
      <c r="I92" s="7927"/>
      <c r="J92" s="7925"/>
      <c r="K92" s="7925"/>
      <c r="L92" s="7705"/>
    </row>
    <row r="93" spans="1:12" ht="30" customHeight="1" x14ac:dyDescent="0.2">
      <c r="A93" s="7654">
        <v>55</v>
      </c>
      <c r="B93" s="7652" t="s">
        <v>1247</v>
      </c>
      <c r="C93" s="7723" t="s">
        <v>1295</v>
      </c>
      <c r="D93" s="2844">
        <v>175000000</v>
      </c>
      <c r="E93" s="2867">
        <v>0.52</v>
      </c>
      <c r="F93" s="2844">
        <v>9000000</v>
      </c>
      <c r="G93" s="8221" t="s">
        <v>4802</v>
      </c>
      <c r="H93" s="8222"/>
      <c r="I93" s="8222"/>
      <c r="J93" s="8223"/>
      <c r="K93" s="7482">
        <f>(F93+F94+F95)-J93</f>
        <v>18250000</v>
      </c>
      <c r="L93" s="7713"/>
    </row>
    <row r="94" spans="1:12" ht="30" customHeight="1" x14ac:dyDescent="0.2">
      <c r="A94" s="7656"/>
      <c r="B94" s="7665"/>
      <c r="C94" s="7747"/>
      <c r="D94" s="2816">
        <f>85000000+20000000</f>
        <v>105000000</v>
      </c>
      <c r="E94" s="2818">
        <v>7.0000000000000007E-2</v>
      </c>
      <c r="F94" s="2816">
        <v>7500000</v>
      </c>
      <c r="G94" s="8224"/>
      <c r="H94" s="8225"/>
      <c r="I94" s="8225"/>
      <c r="J94" s="8226"/>
      <c r="K94" s="7482"/>
      <c r="L94" s="7797"/>
    </row>
    <row r="95" spans="1:12" ht="30" customHeight="1" x14ac:dyDescent="0.2">
      <c r="A95" s="7655"/>
      <c r="B95" s="7653"/>
      <c r="C95" s="7724"/>
      <c r="D95" s="2844">
        <v>35000000</v>
      </c>
      <c r="E95" s="2867">
        <v>0.05</v>
      </c>
      <c r="F95" s="2844">
        <f>D95*E95</f>
        <v>1750000</v>
      </c>
      <c r="G95" s="8227"/>
      <c r="H95" s="8228"/>
      <c r="I95" s="8228"/>
      <c r="J95" s="8229"/>
      <c r="K95" s="7482"/>
      <c r="L95" s="7714"/>
    </row>
    <row r="96" spans="1:12" ht="30" customHeight="1" x14ac:dyDescent="0.2">
      <c r="A96" s="7654">
        <v>56</v>
      </c>
      <c r="B96" s="7652" t="s">
        <v>35</v>
      </c>
      <c r="C96" s="7723" t="s">
        <v>1295</v>
      </c>
      <c r="D96" s="7563">
        <v>3284000000</v>
      </c>
      <c r="E96" s="7659">
        <v>7.0000000000000007E-2</v>
      </c>
      <c r="F96" s="7563">
        <v>229880000</v>
      </c>
      <c r="G96" s="2817">
        <v>50000000</v>
      </c>
      <c r="H96" s="2817" t="s">
        <v>4874</v>
      </c>
      <c r="I96" s="21" t="s">
        <v>4945</v>
      </c>
      <c r="J96" s="8180">
        <f>G96+G97+G98+G99</f>
        <v>229880000</v>
      </c>
      <c r="K96" s="7563">
        <f>F96-J96</f>
        <v>0</v>
      </c>
      <c r="L96" s="637"/>
    </row>
    <row r="97" spans="1:12" ht="30" customHeight="1" x14ac:dyDescent="0.2">
      <c r="A97" s="7656"/>
      <c r="B97" s="7665"/>
      <c r="C97" s="7747"/>
      <c r="D97" s="7586"/>
      <c r="E97" s="7676"/>
      <c r="F97" s="7586"/>
      <c r="G97" s="2817">
        <v>100000000</v>
      </c>
      <c r="H97" s="2817" t="s">
        <v>4939</v>
      </c>
      <c r="I97" s="21" t="s">
        <v>4945</v>
      </c>
      <c r="J97" s="7672"/>
      <c r="K97" s="7586"/>
      <c r="L97" s="180"/>
    </row>
    <row r="98" spans="1:12" ht="30" customHeight="1" x14ac:dyDescent="0.2">
      <c r="A98" s="7656"/>
      <c r="B98" s="7665"/>
      <c r="C98" s="7747"/>
      <c r="D98" s="7586"/>
      <c r="E98" s="7676"/>
      <c r="F98" s="7586"/>
      <c r="G98" s="2817">
        <v>79880000</v>
      </c>
      <c r="H98" s="2817" t="s">
        <v>4959</v>
      </c>
      <c r="I98" s="3049" t="s">
        <v>4945</v>
      </c>
      <c r="J98" s="7672"/>
      <c r="K98" s="7586"/>
      <c r="L98" s="180"/>
    </row>
    <row r="99" spans="1:12" ht="30" customHeight="1" x14ac:dyDescent="0.2">
      <c r="A99" s="7656"/>
      <c r="B99" s="7665"/>
      <c r="C99" s="7724"/>
      <c r="D99" s="7564"/>
      <c r="E99" s="7660"/>
      <c r="F99" s="7564"/>
      <c r="G99" s="2817"/>
      <c r="H99" s="2817"/>
      <c r="I99" s="21"/>
      <c r="J99" s="7562"/>
      <c r="K99" s="7564"/>
      <c r="L99" s="1611"/>
    </row>
    <row r="100" spans="1:12" ht="30" customHeight="1" x14ac:dyDescent="0.2">
      <c r="A100" s="7656"/>
      <c r="B100" s="7665"/>
      <c r="C100" s="7723" t="s">
        <v>1306</v>
      </c>
      <c r="D100" s="7563">
        <f>1891929000+151354320+22190000-320</f>
        <v>2065473000</v>
      </c>
      <c r="E100" s="7659">
        <v>0.08</v>
      </c>
      <c r="F100" s="7563">
        <f>D100*E100</f>
        <v>165237840</v>
      </c>
      <c r="G100" s="2817">
        <v>70000000</v>
      </c>
      <c r="H100" s="2817" t="s">
        <v>5227</v>
      </c>
      <c r="I100" s="2817" t="s">
        <v>4945</v>
      </c>
      <c r="J100" s="7563">
        <f>G100+G102+77810000</f>
        <v>165237840</v>
      </c>
      <c r="K100" s="7563">
        <f>F100-J100</f>
        <v>0</v>
      </c>
      <c r="L100" s="1611"/>
    </row>
    <row r="101" spans="1:12" ht="30" customHeight="1" x14ac:dyDescent="0.2">
      <c r="A101" s="7656"/>
      <c r="B101" s="7665"/>
      <c r="C101" s="7747"/>
      <c r="D101" s="7586"/>
      <c r="E101" s="7676"/>
      <c r="F101" s="7586"/>
      <c r="G101" s="8252" t="s">
        <v>5232</v>
      </c>
      <c r="H101" s="8253"/>
      <c r="I101" s="8254"/>
      <c r="J101" s="7586"/>
      <c r="K101" s="7586"/>
      <c r="L101" s="1611"/>
    </row>
    <row r="102" spans="1:12" ht="30" customHeight="1" x14ac:dyDescent="0.2">
      <c r="A102" s="7656"/>
      <c r="B102" s="7653"/>
      <c r="C102" s="7724"/>
      <c r="D102" s="7564"/>
      <c r="E102" s="7660"/>
      <c r="F102" s="7564"/>
      <c r="G102" s="3346">
        <v>17427840</v>
      </c>
      <c r="H102" s="3346" t="s">
        <v>5106</v>
      </c>
      <c r="I102" s="3346" t="s">
        <v>4945</v>
      </c>
      <c r="J102" s="7564"/>
      <c r="K102" s="7564"/>
      <c r="L102" s="1611"/>
    </row>
    <row r="103" spans="1:12" ht="30" customHeight="1" x14ac:dyDescent="0.2">
      <c r="A103" s="7654">
        <v>57</v>
      </c>
      <c r="B103" s="7652" t="s">
        <v>1077</v>
      </c>
      <c r="C103" s="7723" t="s">
        <v>1298</v>
      </c>
      <c r="D103" s="7563">
        <v>317000000</v>
      </c>
      <c r="E103" s="7659">
        <v>7.0000000000000007E-2</v>
      </c>
      <c r="F103" s="7563">
        <f>D103*E103</f>
        <v>22190000.000000004</v>
      </c>
      <c r="G103" s="7991" t="s">
        <v>5228</v>
      </c>
      <c r="H103" s="7992"/>
      <c r="I103" s="7992"/>
      <c r="J103" s="7993"/>
      <c r="K103" s="7563"/>
      <c r="L103" s="7809"/>
    </row>
    <row r="104" spans="1:12" ht="30" customHeight="1" x14ac:dyDescent="0.2">
      <c r="A104" s="7655"/>
      <c r="B104" s="7653"/>
      <c r="C104" s="7724"/>
      <c r="D104" s="7564"/>
      <c r="E104" s="7660"/>
      <c r="F104" s="7564"/>
      <c r="G104" s="7997"/>
      <c r="H104" s="7998"/>
      <c r="I104" s="7998"/>
      <c r="J104" s="7999"/>
      <c r="K104" s="7564"/>
      <c r="L104" s="7810"/>
    </row>
    <row r="105" spans="1:12" ht="30" customHeight="1" x14ac:dyDescent="0.2">
      <c r="A105" s="7654"/>
      <c r="B105" s="7652" t="s">
        <v>5229</v>
      </c>
      <c r="C105" s="7723" t="s">
        <v>1796</v>
      </c>
      <c r="D105" s="3343">
        <v>56000000</v>
      </c>
      <c r="E105" s="3344">
        <v>7.0000000000000007E-2</v>
      </c>
      <c r="F105" s="3343">
        <f>D105*E105</f>
        <v>3920000.0000000005</v>
      </c>
      <c r="G105" s="8000" t="s">
        <v>5230</v>
      </c>
      <c r="H105" s="8000"/>
      <c r="I105" s="8000"/>
      <c r="J105" s="8000"/>
      <c r="K105" s="3342"/>
      <c r="L105" s="180" t="s">
        <v>5279</v>
      </c>
    </row>
    <row r="106" spans="1:12" ht="30" customHeight="1" x14ac:dyDescent="0.2">
      <c r="A106" s="7655"/>
      <c r="B106" s="7653"/>
      <c r="C106" s="7724"/>
      <c r="D106" s="3343">
        <v>100000000</v>
      </c>
      <c r="E106" s="3344">
        <v>7.0000000000000007E-2</v>
      </c>
      <c r="F106" s="3343">
        <f>D106*E106</f>
        <v>7000000.0000000009</v>
      </c>
      <c r="G106" s="7732" t="s">
        <v>5231</v>
      </c>
      <c r="H106" s="7733"/>
      <c r="I106" s="7733"/>
      <c r="J106" s="7734"/>
      <c r="K106" s="3342"/>
      <c r="L106" s="3348"/>
    </row>
    <row r="107" spans="1:12" ht="30" customHeight="1" x14ac:dyDescent="0.2">
      <c r="A107" s="7654">
        <v>58</v>
      </c>
      <c r="B107" s="7717" t="s">
        <v>1064</v>
      </c>
      <c r="C107" s="7873" t="s">
        <v>889</v>
      </c>
      <c r="D107" s="2817">
        <v>11000000</v>
      </c>
      <c r="E107" s="2867">
        <v>7.0000000000000007E-2</v>
      </c>
      <c r="F107" s="2817">
        <v>700000</v>
      </c>
      <c r="G107" s="7563">
        <v>2100000</v>
      </c>
      <c r="H107" s="7563" t="s">
        <v>4860</v>
      </c>
      <c r="I107" s="7775" t="s">
        <v>1066</v>
      </c>
      <c r="J107" s="7563">
        <f>G107</f>
        <v>2100000</v>
      </c>
      <c r="K107" s="7563">
        <f>(F107+F108)-J107</f>
        <v>0</v>
      </c>
      <c r="L107" s="2870"/>
    </row>
    <row r="108" spans="1:12" ht="30" customHeight="1" x14ac:dyDescent="0.2">
      <c r="A108" s="7655"/>
      <c r="B108" s="7717"/>
      <c r="C108" s="7873"/>
      <c r="D108" s="2817">
        <v>20000000</v>
      </c>
      <c r="E108" s="2867">
        <v>7.0000000000000007E-2</v>
      </c>
      <c r="F108" s="2817">
        <f>D108*E108</f>
        <v>1400000.0000000002</v>
      </c>
      <c r="G108" s="7564"/>
      <c r="H108" s="7564"/>
      <c r="I108" s="7777"/>
      <c r="J108" s="7564"/>
      <c r="K108" s="7564"/>
      <c r="L108" s="2894"/>
    </row>
    <row r="109" spans="1:12" ht="30" customHeight="1" x14ac:dyDescent="0.2">
      <c r="A109" s="7654"/>
      <c r="B109" s="7652" t="s">
        <v>194</v>
      </c>
      <c r="C109" s="7723" t="s">
        <v>1295</v>
      </c>
      <c r="D109" s="2817">
        <v>100000000</v>
      </c>
      <c r="E109" s="2867">
        <v>5.1999999999999998E-2</v>
      </c>
      <c r="F109" s="2817">
        <f t="shared" si="11"/>
        <v>5200000</v>
      </c>
      <c r="G109" s="7563">
        <v>6000000</v>
      </c>
      <c r="H109" s="7563" t="s">
        <v>4860</v>
      </c>
      <c r="I109" s="7563" t="s">
        <v>4870</v>
      </c>
      <c r="J109" s="7563">
        <f>G109</f>
        <v>6000000</v>
      </c>
      <c r="K109" s="7563">
        <f>(F109+F110)-J109</f>
        <v>0</v>
      </c>
      <c r="L109" s="637"/>
    </row>
    <row r="110" spans="1:12" ht="30" customHeight="1" x14ac:dyDescent="0.2">
      <c r="A110" s="7656"/>
      <c r="B110" s="7665"/>
      <c r="C110" s="7747"/>
      <c r="D110" s="2817">
        <v>15000000</v>
      </c>
      <c r="E110" s="2867">
        <v>5.5E-2</v>
      </c>
      <c r="F110" s="2817">
        <v>800000</v>
      </c>
      <c r="G110" s="7564"/>
      <c r="H110" s="7564"/>
      <c r="I110" s="7564"/>
      <c r="J110" s="7564"/>
      <c r="K110" s="7564"/>
      <c r="L110" s="180"/>
    </row>
    <row r="111" spans="1:12" ht="30" customHeight="1" x14ac:dyDescent="0.2">
      <c r="A111" s="7656"/>
      <c r="B111" s="7665"/>
      <c r="C111" s="7747"/>
      <c r="D111" s="2817">
        <v>29000000</v>
      </c>
      <c r="E111" s="2867">
        <v>5.1999999999999998E-2</v>
      </c>
      <c r="F111" s="2817">
        <v>1500000</v>
      </c>
      <c r="G111" s="2817"/>
      <c r="H111" s="2817"/>
      <c r="I111" s="2837"/>
      <c r="J111" s="2817"/>
      <c r="K111" s="2817"/>
      <c r="L111" s="180" t="s">
        <v>5911</v>
      </c>
    </row>
    <row r="112" spans="1:12" ht="30" customHeight="1" x14ac:dyDescent="0.2">
      <c r="A112" s="7655"/>
      <c r="B112" s="7653"/>
      <c r="C112" s="7724"/>
      <c r="D112" s="3052">
        <v>6000000</v>
      </c>
      <c r="E112" s="3061">
        <v>5.1999999999999998E-2</v>
      </c>
      <c r="F112" s="3052">
        <v>300000</v>
      </c>
      <c r="G112" s="3052"/>
      <c r="H112" s="3052"/>
      <c r="I112" s="3059"/>
      <c r="J112" s="3052"/>
      <c r="K112" s="3052"/>
      <c r="L112" s="180" t="s">
        <v>4989</v>
      </c>
    </row>
    <row r="113" spans="1:12" ht="30" customHeight="1" x14ac:dyDescent="0.2">
      <c r="A113" s="2872">
        <v>60</v>
      </c>
      <c r="B113" s="2870" t="s">
        <v>1498</v>
      </c>
      <c r="C113" s="2843" t="s">
        <v>889</v>
      </c>
      <c r="D113" s="2817"/>
      <c r="E113" s="2867"/>
      <c r="F113" s="2817">
        <f t="shared" si="11"/>
        <v>0</v>
      </c>
      <c r="G113" s="2817">
        <v>10000000</v>
      </c>
      <c r="H113" s="2817" t="s">
        <v>4860</v>
      </c>
      <c r="I113" s="21" t="s">
        <v>1810</v>
      </c>
      <c r="J113" s="2817">
        <f>G113</f>
        <v>10000000</v>
      </c>
      <c r="K113" s="2817">
        <f>F113-J113</f>
        <v>-10000000</v>
      </c>
      <c r="L113" s="2870"/>
    </row>
    <row r="114" spans="1:12" ht="30" customHeight="1" x14ac:dyDescent="0.2">
      <c r="A114" s="2822">
        <v>61</v>
      </c>
      <c r="B114" s="2870" t="s">
        <v>196</v>
      </c>
      <c r="C114" s="2843"/>
      <c r="D114" s="2817">
        <v>100000000</v>
      </c>
      <c r="E114" s="2867">
        <v>7.0000000000000007E-2</v>
      </c>
      <c r="F114" s="2817">
        <f t="shared" si="11"/>
        <v>7000000.0000000009</v>
      </c>
      <c r="G114" s="2817">
        <v>7000000</v>
      </c>
      <c r="H114" s="2817" t="s">
        <v>4891</v>
      </c>
      <c r="I114" s="21" t="s">
        <v>3466</v>
      </c>
      <c r="J114" s="2817">
        <f>G114</f>
        <v>7000000</v>
      </c>
      <c r="K114" s="2817">
        <f>F114-J114</f>
        <v>0</v>
      </c>
      <c r="L114" s="2870"/>
    </row>
    <row r="115" spans="1:12" ht="30" customHeight="1" x14ac:dyDescent="0.2">
      <c r="A115" s="2883">
        <v>62</v>
      </c>
      <c r="B115" s="1949" t="s">
        <v>197</v>
      </c>
      <c r="C115" s="3410"/>
      <c r="D115" s="3387">
        <v>125000000</v>
      </c>
      <c r="E115" s="2519">
        <v>5.1999999999999998E-2</v>
      </c>
      <c r="F115" s="3387">
        <f t="shared" si="11"/>
        <v>6500000</v>
      </c>
      <c r="G115" s="3387">
        <v>4450000</v>
      </c>
      <c r="H115" s="3387" t="s">
        <v>5226</v>
      </c>
      <c r="I115" s="3387" t="s">
        <v>1251</v>
      </c>
      <c r="J115" s="3387">
        <f>G115</f>
        <v>4450000</v>
      </c>
      <c r="K115" s="3387">
        <f>F115-J115</f>
        <v>2050000</v>
      </c>
      <c r="L115" s="2894"/>
    </row>
    <row r="116" spans="1:12" ht="30" customHeight="1" x14ac:dyDescent="0.2">
      <c r="A116" s="7654">
        <v>63</v>
      </c>
      <c r="B116" s="7652" t="s">
        <v>198</v>
      </c>
      <c r="C116" s="7723" t="s">
        <v>889</v>
      </c>
      <c r="D116" s="2844">
        <v>1900000000</v>
      </c>
      <c r="E116" s="2867">
        <v>6.5000000000000002E-2</v>
      </c>
      <c r="F116" s="2844">
        <f t="shared" si="11"/>
        <v>123500000</v>
      </c>
      <c r="G116" s="2844">
        <v>23500000</v>
      </c>
      <c r="H116" s="2844" t="s">
        <v>4891</v>
      </c>
      <c r="I116" s="2844" t="s">
        <v>3724</v>
      </c>
      <c r="J116" s="2844">
        <f>G116</f>
        <v>23500000</v>
      </c>
      <c r="K116" s="2844">
        <f>F116-100000000-J116</f>
        <v>0</v>
      </c>
      <c r="L116" s="637" t="s">
        <v>3374</v>
      </c>
    </row>
    <row r="117" spans="1:12" ht="30" customHeight="1" x14ac:dyDescent="0.2">
      <c r="A117" s="7656"/>
      <c r="B117" s="7665"/>
      <c r="C117" s="7747"/>
      <c r="D117" s="3375">
        <v>2000000000</v>
      </c>
      <c r="E117" s="896">
        <v>6.5000000000000002E-2</v>
      </c>
      <c r="F117" s="3375">
        <f>D117*E117</f>
        <v>130000000</v>
      </c>
      <c r="G117" s="8102" t="s">
        <v>4808</v>
      </c>
      <c r="H117" s="8103"/>
      <c r="I117" s="8103"/>
      <c r="J117" s="8104"/>
      <c r="K117" s="2817"/>
      <c r="L117" s="29" t="s">
        <v>4809</v>
      </c>
    </row>
    <row r="118" spans="1:12" ht="30" customHeight="1" x14ac:dyDescent="0.2">
      <c r="A118" s="7655"/>
      <c r="B118" s="7653"/>
      <c r="C118" s="7724"/>
      <c r="D118" s="3372">
        <v>300000000</v>
      </c>
      <c r="E118" s="3373">
        <v>6.5000000000000002E-2</v>
      </c>
      <c r="F118" s="3372">
        <f>D118*E118</f>
        <v>19500000</v>
      </c>
      <c r="G118" s="3378"/>
      <c r="H118" s="3379"/>
      <c r="I118" s="3379"/>
      <c r="J118" s="3380"/>
      <c r="K118" s="3359"/>
      <c r="L118" s="29" t="s">
        <v>5238</v>
      </c>
    </row>
    <row r="119" spans="1:12" ht="30" customHeight="1" x14ac:dyDescent="0.2">
      <c r="A119" s="2822">
        <v>64</v>
      </c>
      <c r="B119" s="2825" t="s">
        <v>1336</v>
      </c>
      <c r="C119" s="2843" t="s">
        <v>889</v>
      </c>
      <c r="D119" s="2817">
        <v>200000000</v>
      </c>
      <c r="E119" s="2819">
        <v>5.5E-2</v>
      </c>
      <c r="F119" s="2817">
        <f t="shared" si="11"/>
        <v>11000000</v>
      </c>
      <c r="G119" s="2817">
        <v>11000000</v>
      </c>
      <c r="H119" s="2817" t="s">
        <v>4846</v>
      </c>
      <c r="I119" s="21" t="s">
        <v>3925</v>
      </c>
      <c r="J119" s="2817">
        <f>G119</f>
        <v>11000000</v>
      </c>
      <c r="K119" s="2817">
        <f t="shared" ref="K119:K127" si="12">F119-J119</f>
        <v>0</v>
      </c>
      <c r="L119" s="2894"/>
    </row>
    <row r="120" spans="1:12" ht="30" customHeight="1" x14ac:dyDescent="0.2">
      <c r="A120" s="2900"/>
      <c r="B120" s="2904" t="s">
        <v>4816</v>
      </c>
      <c r="C120" s="2909" t="s">
        <v>889</v>
      </c>
      <c r="D120" s="2910">
        <v>534000000</v>
      </c>
      <c r="E120" s="2912">
        <f>F120/D120</f>
        <v>6.1573033707865168E-2</v>
      </c>
      <c r="F120" s="2910">
        <v>32880000</v>
      </c>
      <c r="G120" s="2844">
        <v>32880000</v>
      </c>
      <c r="H120" s="2844" t="s">
        <v>4860</v>
      </c>
      <c r="I120" s="2864" t="s">
        <v>3501</v>
      </c>
      <c r="J120" s="2844">
        <f>G120</f>
        <v>32880000</v>
      </c>
      <c r="K120" s="2844">
        <f>F120-J120</f>
        <v>0</v>
      </c>
      <c r="L120" s="2830"/>
    </row>
    <row r="121" spans="1:12" ht="30" customHeight="1" x14ac:dyDescent="0.2">
      <c r="A121" s="2821">
        <v>68</v>
      </c>
      <c r="B121" s="2870" t="s">
        <v>202</v>
      </c>
      <c r="C121" s="2869" t="s">
        <v>1295</v>
      </c>
      <c r="D121" s="2844">
        <v>150000000</v>
      </c>
      <c r="E121" s="2867">
        <v>0.05</v>
      </c>
      <c r="F121" s="2844">
        <f t="shared" si="11"/>
        <v>7500000</v>
      </c>
      <c r="G121" s="2844">
        <v>7500000</v>
      </c>
      <c r="H121" s="2844" t="s">
        <v>4846</v>
      </c>
      <c r="I121" s="1538" t="s">
        <v>3926</v>
      </c>
      <c r="J121" s="2844">
        <f t="shared" ref="J121:J125" si="13">G121</f>
        <v>7500000</v>
      </c>
      <c r="K121" s="2844">
        <f t="shared" si="12"/>
        <v>0</v>
      </c>
      <c r="L121" s="2839"/>
    </row>
    <row r="122" spans="1:12" ht="30" customHeight="1" x14ac:dyDescent="0.2">
      <c r="A122" s="1028">
        <v>69</v>
      </c>
      <c r="B122" s="19" t="s">
        <v>203</v>
      </c>
      <c r="C122" s="2869" t="s">
        <v>889</v>
      </c>
      <c r="D122" s="2844">
        <v>280000000</v>
      </c>
      <c r="E122" s="2867">
        <f>F122/D122</f>
        <v>7.0000000000000007E-2</v>
      </c>
      <c r="F122" s="2844">
        <v>19600000</v>
      </c>
      <c r="G122" s="2983">
        <v>19600000</v>
      </c>
      <c r="H122" s="2983" t="s">
        <v>4860</v>
      </c>
      <c r="I122" s="2994" t="s">
        <v>934</v>
      </c>
      <c r="J122" s="2983">
        <f>G122</f>
        <v>19600000</v>
      </c>
      <c r="K122" s="2844">
        <f t="shared" si="12"/>
        <v>0</v>
      </c>
      <c r="L122" s="2856"/>
    </row>
    <row r="123" spans="1:12" ht="30" customHeight="1" x14ac:dyDescent="0.2">
      <c r="A123" s="7654">
        <v>70</v>
      </c>
      <c r="B123" s="7652" t="s">
        <v>204</v>
      </c>
      <c r="C123" s="7723" t="s">
        <v>889</v>
      </c>
      <c r="D123" s="2844">
        <v>100000000</v>
      </c>
      <c r="E123" s="2867">
        <v>0.04</v>
      </c>
      <c r="F123" s="2844">
        <f t="shared" si="11"/>
        <v>4000000</v>
      </c>
      <c r="G123" s="2844">
        <v>4000000</v>
      </c>
      <c r="H123" s="2844" t="s">
        <v>4839</v>
      </c>
      <c r="I123" s="2877" t="s">
        <v>3405</v>
      </c>
      <c r="J123" s="2844">
        <f t="shared" si="13"/>
        <v>4000000</v>
      </c>
      <c r="K123" s="2844">
        <f t="shared" si="12"/>
        <v>0</v>
      </c>
      <c r="L123" s="2839"/>
    </row>
    <row r="124" spans="1:12" ht="30" customHeight="1" x14ac:dyDescent="0.2">
      <c r="A124" s="7655"/>
      <c r="B124" s="7653"/>
      <c r="C124" s="7724"/>
      <c r="D124" s="7470" t="s">
        <v>4930</v>
      </c>
      <c r="E124" s="7493"/>
      <c r="F124" s="7510"/>
      <c r="G124" s="2972">
        <v>500000</v>
      </c>
      <c r="H124" s="2972" t="s">
        <v>4920</v>
      </c>
      <c r="I124" s="2984" t="s">
        <v>1385</v>
      </c>
      <c r="J124" s="2972">
        <f t="shared" si="13"/>
        <v>500000</v>
      </c>
      <c r="K124" s="2972">
        <v>0</v>
      </c>
      <c r="L124" s="2993"/>
    </row>
    <row r="125" spans="1:12" ht="30" customHeight="1" x14ac:dyDescent="0.2">
      <c r="A125" s="7654"/>
      <c r="B125" s="7652" t="s">
        <v>205</v>
      </c>
      <c r="C125" s="7723" t="s">
        <v>889</v>
      </c>
      <c r="D125" s="2817">
        <v>30000000</v>
      </c>
      <c r="E125" s="2819">
        <v>0.05</v>
      </c>
      <c r="F125" s="2817">
        <f t="shared" si="11"/>
        <v>1500000</v>
      </c>
      <c r="G125" s="7563">
        <v>2000000</v>
      </c>
      <c r="H125" s="7563" t="s">
        <v>4860</v>
      </c>
      <c r="I125" s="7563" t="s">
        <v>1407</v>
      </c>
      <c r="J125" s="7563">
        <f t="shared" si="13"/>
        <v>2000000</v>
      </c>
      <c r="K125" s="7563">
        <f t="shared" si="12"/>
        <v>-500000</v>
      </c>
      <c r="L125" s="2829"/>
    </row>
    <row r="126" spans="1:12" ht="30" customHeight="1" x14ac:dyDescent="0.2">
      <c r="A126" s="7655"/>
      <c r="B126" s="7653"/>
      <c r="C126" s="7724"/>
      <c r="D126" s="2827">
        <v>10000000</v>
      </c>
      <c r="E126" s="2832">
        <v>0.05</v>
      </c>
      <c r="F126" s="2827">
        <f t="shared" si="11"/>
        <v>500000</v>
      </c>
      <c r="G126" s="7564"/>
      <c r="H126" s="7564"/>
      <c r="I126" s="7564"/>
      <c r="J126" s="7564"/>
      <c r="K126" s="7564"/>
      <c r="L126" s="2849"/>
    </row>
    <row r="127" spans="1:12" ht="30" customHeight="1" x14ac:dyDescent="0.2">
      <c r="A127" s="7654">
        <v>72</v>
      </c>
      <c r="B127" s="7652" t="s">
        <v>1023</v>
      </c>
      <c r="C127" s="7723" t="s">
        <v>1718</v>
      </c>
      <c r="D127" s="7563">
        <v>1685000000</v>
      </c>
      <c r="E127" s="7659">
        <v>0.06</v>
      </c>
      <c r="F127" s="7563">
        <f t="shared" si="11"/>
        <v>101100000</v>
      </c>
      <c r="G127" s="2817">
        <v>50000000</v>
      </c>
      <c r="H127" s="2817" t="s">
        <v>4939</v>
      </c>
      <c r="I127" s="21" t="s">
        <v>3067</v>
      </c>
      <c r="J127" s="7563">
        <f>G127+G128</f>
        <v>100000000</v>
      </c>
      <c r="K127" s="7563">
        <f t="shared" si="12"/>
        <v>1100000</v>
      </c>
      <c r="L127" s="7798"/>
    </row>
    <row r="128" spans="1:12" ht="30" customHeight="1" x14ac:dyDescent="0.2">
      <c r="A128" s="7655"/>
      <c r="B128" s="7653"/>
      <c r="C128" s="7724"/>
      <c r="D128" s="7564"/>
      <c r="E128" s="7660"/>
      <c r="F128" s="7564"/>
      <c r="G128" s="2817">
        <v>50000000</v>
      </c>
      <c r="H128" s="2817" t="s">
        <v>4936</v>
      </c>
      <c r="I128" s="21" t="s">
        <v>3067</v>
      </c>
      <c r="J128" s="7564"/>
      <c r="K128" s="7564"/>
      <c r="L128" s="7800"/>
    </row>
    <row r="129" spans="1:16" ht="30" customHeight="1" x14ac:dyDescent="0.2">
      <c r="A129" s="2822">
        <v>73</v>
      </c>
      <c r="B129" s="2870" t="s">
        <v>206</v>
      </c>
      <c r="C129" s="2843" t="s">
        <v>1293</v>
      </c>
      <c r="D129" s="2817">
        <v>20000000</v>
      </c>
      <c r="E129" s="2867">
        <v>0.05</v>
      </c>
      <c r="F129" s="2817">
        <f t="shared" si="11"/>
        <v>1000000</v>
      </c>
      <c r="G129" s="2817">
        <v>1000000</v>
      </c>
      <c r="H129" s="2817" t="s">
        <v>4891</v>
      </c>
      <c r="I129" s="21" t="s">
        <v>4899</v>
      </c>
      <c r="J129" s="2817">
        <f>G129</f>
        <v>1000000</v>
      </c>
      <c r="K129" s="2817">
        <f>F129-J129</f>
        <v>0</v>
      </c>
      <c r="L129" s="2870"/>
    </row>
    <row r="130" spans="1:16" ht="30" customHeight="1" x14ac:dyDescent="0.2">
      <c r="A130" s="7654">
        <v>74</v>
      </c>
      <c r="B130" s="7652" t="s">
        <v>4203</v>
      </c>
      <c r="C130" s="7723" t="s">
        <v>2644</v>
      </c>
      <c r="D130" s="2817">
        <v>125000000</v>
      </c>
      <c r="E130" s="2867">
        <v>0.04</v>
      </c>
      <c r="F130" s="2817">
        <f t="shared" si="11"/>
        <v>5000000</v>
      </c>
      <c r="G130" s="7563">
        <v>9500000</v>
      </c>
      <c r="H130" s="7563" t="s">
        <v>4875</v>
      </c>
      <c r="I130" s="7563" t="s">
        <v>3067</v>
      </c>
      <c r="J130" s="7563">
        <f>G130</f>
        <v>9500000</v>
      </c>
      <c r="K130" s="7563">
        <f>(F130+F131)-J130</f>
        <v>0</v>
      </c>
      <c r="L130" s="736"/>
    </row>
    <row r="131" spans="1:16" ht="30" customHeight="1" x14ac:dyDescent="0.2">
      <c r="A131" s="7656"/>
      <c r="B131" s="7665"/>
      <c r="C131" s="7747"/>
      <c r="D131" s="2817">
        <v>90000000</v>
      </c>
      <c r="E131" s="2867">
        <v>0.05</v>
      </c>
      <c r="F131" s="2817">
        <f t="shared" si="11"/>
        <v>4500000</v>
      </c>
      <c r="G131" s="7564"/>
      <c r="H131" s="7564"/>
      <c r="I131" s="7564"/>
      <c r="J131" s="7564"/>
      <c r="K131" s="7564"/>
      <c r="L131" s="736"/>
    </row>
    <row r="132" spans="1:16" ht="30" customHeight="1" x14ac:dyDescent="0.2">
      <c r="A132" s="7655"/>
      <c r="B132" s="7653"/>
      <c r="C132" s="7724"/>
      <c r="D132" s="3052">
        <v>10000000</v>
      </c>
      <c r="E132" s="3061">
        <v>0.05</v>
      </c>
      <c r="F132" s="3052">
        <f t="shared" si="11"/>
        <v>500000</v>
      </c>
      <c r="G132" s="3052"/>
      <c r="H132" s="3052"/>
      <c r="I132" s="3059"/>
      <c r="J132" s="3052"/>
      <c r="K132" s="3052"/>
      <c r="L132" s="736" t="s">
        <v>4972</v>
      </c>
    </row>
    <row r="133" spans="1:16" ht="30" customHeight="1" x14ac:dyDescent="0.2">
      <c r="A133" s="2872"/>
      <c r="B133" s="2870" t="s">
        <v>4205</v>
      </c>
      <c r="C133" s="2843" t="s">
        <v>262</v>
      </c>
      <c r="D133" s="2817">
        <v>200000000</v>
      </c>
      <c r="E133" s="2867">
        <v>0.05</v>
      </c>
      <c r="F133" s="2817">
        <f t="shared" si="11"/>
        <v>10000000</v>
      </c>
      <c r="G133" s="2817">
        <v>10000000</v>
      </c>
      <c r="H133" s="2817" t="s">
        <v>5083</v>
      </c>
      <c r="I133" s="2837" t="s">
        <v>4461</v>
      </c>
      <c r="J133" s="2817">
        <f>G133</f>
        <v>10000000</v>
      </c>
      <c r="K133" s="2817">
        <f>F133-J133</f>
        <v>0</v>
      </c>
      <c r="L133" s="736"/>
    </row>
    <row r="134" spans="1:16" ht="30" customHeight="1" x14ac:dyDescent="0.2">
      <c r="A134" s="2821"/>
      <c r="B134" s="2870" t="s">
        <v>208</v>
      </c>
      <c r="C134" s="2843" t="s">
        <v>392</v>
      </c>
      <c r="D134" s="2817">
        <v>50000000</v>
      </c>
      <c r="E134" s="2867">
        <v>0.05</v>
      </c>
      <c r="F134" s="2817">
        <f t="shared" si="11"/>
        <v>2500000</v>
      </c>
      <c r="G134" s="2817">
        <v>2500000</v>
      </c>
      <c r="H134" s="2817" t="s">
        <v>4875</v>
      </c>
      <c r="I134" s="2837" t="s">
        <v>948</v>
      </c>
      <c r="J134" s="2817">
        <f>G134</f>
        <v>2500000</v>
      </c>
      <c r="K134" s="2817">
        <f>F134-J134</f>
        <v>0</v>
      </c>
      <c r="L134" s="180"/>
    </row>
    <row r="135" spans="1:16" ht="30" customHeight="1" x14ac:dyDescent="0.2">
      <c r="A135" s="2899">
        <v>76</v>
      </c>
      <c r="B135" s="2903" t="s">
        <v>3462</v>
      </c>
      <c r="C135" s="2908" t="s">
        <v>1293</v>
      </c>
      <c r="D135" s="2901">
        <v>150000000</v>
      </c>
      <c r="E135" s="2867">
        <v>0.05</v>
      </c>
      <c r="F135" s="2817">
        <f t="shared" si="11"/>
        <v>7500000</v>
      </c>
      <c r="G135" s="2817">
        <v>7500000</v>
      </c>
      <c r="H135" s="2817" t="s">
        <v>4860</v>
      </c>
      <c r="I135" s="21" t="s">
        <v>4863</v>
      </c>
      <c r="J135" s="2817">
        <f>G135</f>
        <v>7500000</v>
      </c>
      <c r="K135" s="2817">
        <f>F135-J135</f>
        <v>0</v>
      </c>
      <c r="L135" s="180"/>
    </row>
    <row r="136" spans="1:16" ht="30" customHeight="1" x14ac:dyDescent="0.2">
      <c r="A136" s="7654">
        <v>77</v>
      </c>
      <c r="B136" s="7652" t="s">
        <v>210</v>
      </c>
      <c r="C136" s="7723" t="s">
        <v>1717</v>
      </c>
      <c r="D136" s="2817">
        <v>30000000</v>
      </c>
      <c r="E136" s="2867">
        <v>7.0000000000000007E-2</v>
      </c>
      <c r="F136" s="2817">
        <f t="shared" si="11"/>
        <v>2100000</v>
      </c>
      <c r="G136" s="7563">
        <v>3675000</v>
      </c>
      <c r="H136" s="7563" t="s">
        <v>4860</v>
      </c>
      <c r="I136" s="7561" t="s">
        <v>4871</v>
      </c>
      <c r="J136" s="7563">
        <f>G136</f>
        <v>3675000</v>
      </c>
      <c r="K136" s="7563">
        <f>(F136+F137)-J136</f>
        <v>0</v>
      </c>
      <c r="L136" s="7713"/>
    </row>
    <row r="137" spans="1:16" ht="30" customHeight="1" x14ac:dyDescent="0.2">
      <c r="A137" s="7655"/>
      <c r="B137" s="7653"/>
      <c r="C137" s="7724"/>
      <c r="D137" s="2817">
        <v>35000000</v>
      </c>
      <c r="E137" s="2867">
        <v>4.4999999999999998E-2</v>
      </c>
      <c r="F137" s="2817">
        <f t="shared" si="11"/>
        <v>1575000</v>
      </c>
      <c r="G137" s="7564"/>
      <c r="H137" s="7564"/>
      <c r="I137" s="7562"/>
      <c r="J137" s="7564"/>
      <c r="K137" s="7564"/>
      <c r="L137" s="7714"/>
    </row>
    <row r="138" spans="1:16" ht="30" customHeight="1" x14ac:dyDescent="0.2">
      <c r="A138" s="2872">
        <v>78</v>
      </c>
      <c r="B138" s="2870" t="s">
        <v>211</v>
      </c>
      <c r="C138" s="2843" t="s">
        <v>2644</v>
      </c>
      <c r="D138" s="2817">
        <v>45000000</v>
      </c>
      <c r="E138" s="2867">
        <v>4.2000000000000003E-2</v>
      </c>
      <c r="F138" s="2817">
        <v>1900000</v>
      </c>
      <c r="G138" s="2817">
        <v>1900000</v>
      </c>
      <c r="H138" s="2817" t="s">
        <v>4860</v>
      </c>
      <c r="I138" s="2877" t="s">
        <v>1259</v>
      </c>
      <c r="J138" s="2817">
        <f t="shared" ref="J138:J144" si="14">G138</f>
        <v>1900000</v>
      </c>
      <c r="K138" s="2817">
        <f t="shared" ref="K138:K144" si="15">F138-J138</f>
        <v>0</v>
      </c>
      <c r="L138" s="2870"/>
    </row>
    <row r="139" spans="1:16" ht="30" customHeight="1" x14ac:dyDescent="0.2">
      <c r="A139" s="2872">
        <v>79</v>
      </c>
      <c r="B139" s="2870" t="s">
        <v>212</v>
      </c>
      <c r="C139" s="2843" t="s">
        <v>889</v>
      </c>
      <c r="D139" s="2817">
        <v>15000000</v>
      </c>
      <c r="E139" s="2867">
        <v>4.4999999999999998E-2</v>
      </c>
      <c r="F139" s="2817">
        <f t="shared" si="11"/>
        <v>675000</v>
      </c>
      <c r="G139" s="2817">
        <v>675000</v>
      </c>
      <c r="H139" s="2817" t="s">
        <v>4846</v>
      </c>
      <c r="I139" s="21" t="s">
        <v>1766</v>
      </c>
      <c r="J139" s="2817">
        <f t="shared" si="14"/>
        <v>675000</v>
      </c>
      <c r="K139" s="2817">
        <f t="shared" si="15"/>
        <v>0</v>
      </c>
      <c r="L139" s="2870"/>
      <c r="M139" s="366"/>
      <c r="N139" s="366"/>
      <c r="O139" s="366"/>
      <c r="P139" s="366"/>
    </row>
    <row r="140" spans="1:16" ht="30" customHeight="1" x14ac:dyDescent="0.2">
      <c r="A140" s="2872">
        <v>80</v>
      </c>
      <c r="B140" s="2870" t="s">
        <v>182</v>
      </c>
      <c r="C140" s="2843" t="s">
        <v>1293</v>
      </c>
      <c r="D140" s="2817">
        <v>145000000</v>
      </c>
      <c r="E140" s="2867">
        <v>4.4999999999999998E-2</v>
      </c>
      <c r="F140" s="2817">
        <v>6775000</v>
      </c>
      <c r="G140" s="2817">
        <v>6775000</v>
      </c>
      <c r="H140" s="2817" t="s">
        <v>4860</v>
      </c>
      <c r="I140" s="2844" t="s">
        <v>3928</v>
      </c>
      <c r="J140" s="2817">
        <f t="shared" si="14"/>
        <v>6775000</v>
      </c>
      <c r="K140" s="2817">
        <f t="shared" si="15"/>
        <v>0</v>
      </c>
      <c r="L140" s="2870"/>
      <c r="M140" s="366"/>
      <c r="N140" s="366"/>
      <c r="O140" s="366"/>
      <c r="P140" s="366"/>
    </row>
    <row r="141" spans="1:16" ht="30" customHeight="1" x14ac:dyDescent="0.2">
      <c r="A141" s="2872">
        <v>81</v>
      </c>
      <c r="B141" s="2870" t="s">
        <v>213</v>
      </c>
      <c r="C141" s="2843"/>
      <c r="D141" s="2817">
        <v>5000000</v>
      </c>
      <c r="E141" s="2867">
        <v>0.04</v>
      </c>
      <c r="F141" s="2817">
        <f t="shared" si="11"/>
        <v>200000</v>
      </c>
      <c r="G141" s="2817">
        <v>200000</v>
      </c>
      <c r="H141" s="2817" t="s">
        <v>4875</v>
      </c>
      <c r="I141" s="21" t="s">
        <v>1363</v>
      </c>
      <c r="J141" s="2817">
        <f t="shared" si="14"/>
        <v>200000</v>
      </c>
      <c r="K141" s="2817">
        <f t="shared" si="15"/>
        <v>0</v>
      </c>
      <c r="L141" s="2870"/>
      <c r="M141" s="366"/>
      <c r="N141" s="366"/>
      <c r="O141" s="366"/>
      <c r="P141" s="366"/>
    </row>
    <row r="142" spans="1:16" ht="30" customHeight="1" x14ac:dyDescent="0.2">
      <c r="A142" s="2872">
        <v>82</v>
      </c>
      <c r="B142" s="2870" t="s">
        <v>214</v>
      </c>
      <c r="C142" s="2843" t="s">
        <v>2644</v>
      </c>
      <c r="D142" s="2817">
        <v>16000000</v>
      </c>
      <c r="E142" s="2867">
        <v>0.05</v>
      </c>
      <c r="F142" s="2817">
        <f t="shared" si="11"/>
        <v>800000</v>
      </c>
      <c r="G142" s="2817">
        <v>800000</v>
      </c>
      <c r="H142" s="2817" t="s">
        <v>4846</v>
      </c>
      <c r="I142" s="2877" t="s">
        <v>964</v>
      </c>
      <c r="J142" s="2817">
        <f t="shared" si="14"/>
        <v>800000</v>
      </c>
      <c r="K142" s="2817">
        <f t="shared" si="15"/>
        <v>0</v>
      </c>
      <c r="L142" s="2870"/>
      <c r="M142" s="366"/>
      <c r="N142" s="366"/>
      <c r="O142" s="366"/>
      <c r="P142" s="366"/>
    </row>
    <row r="143" spans="1:16" ht="30" customHeight="1" x14ac:dyDescent="0.2">
      <c r="A143" s="2872">
        <v>83</v>
      </c>
      <c r="B143" s="2870" t="s">
        <v>215</v>
      </c>
      <c r="C143" s="2843" t="s">
        <v>889</v>
      </c>
      <c r="D143" s="2817">
        <v>160000000</v>
      </c>
      <c r="E143" s="2867">
        <v>0.05</v>
      </c>
      <c r="F143" s="2817">
        <f>D143*E143</f>
        <v>8000000</v>
      </c>
      <c r="G143" s="2817">
        <v>8000000</v>
      </c>
      <c r="H143" s="2817" t="s">
        <v>4920</v>
      </c>
      <c r="I143" s="2844" t="s">
        <v>3982</v>
      </c>
      <c r="J143" s="2817">
        <f t="shared" si="14"/>
        <v>8000000</v>
      </c>
      <c r="K143" s="2817">
        <f t="shared" si="15"/>
        <v>0</v>
      </c>
      <c r="L143" s="2870"/>
      <c r="M143" s="366"/>
      <c r="N143" s="366"/>
      <c r="O143" s="366"/>
      <c r="P143" s="366"/>
    </row>
    <row r="144" spans="1:16" ht="30" customHeight="1" x14ac:dyDescent="0.2">
      <c r="A144" s="2872">
        <v>84</v>
      </c>
      <c r="B144" s="2870" t="s">
        <v>216</v>
      </c>
      <c r="C144" s="2843"/>
      <c r="D144" s="2817">
        <v>400000000</v>
      </c>
      <c r="E144" s="2867">
        <v>6.0999999999999999E-2</v>
      </c>
      <c r="F144" s="2817">
        <f t="shared" si="11"/>
        <v>24400000</v>
      </c>
      <c r="G144" s="2817">
        <v>24400000</v>
      </c>
      <c r="H144" s="2817" t="s">
        <v>4891</v>
      </c>
      <c r="I144" s="2877" t="s">
        <v>1553</v>
      </c>
      <c r="J144" s="2817">
        <f t="shared" si="14"/>
        <v>24400000</v>
      </c>
      <c r="K144" s="2817">
        <f t="shared" si="15"/>
        <v>0</v>
      </c>
      <c r="L144" s="2870"/>
      <c r="M144" s="366"/>
      <c r="N144" s="366"/>
      <c r="O144" s="366"/>
      <c r="P144" s="366"/>
    </row>
    <row r="145" spans="1:16" ht="30" customHeight="1" x14ac:dyDescent="0.2">
      <c r="A145" s="7654"/>
      <c r="B145" s="7652" t="s">
        <v>975</v>
      </c>
      <c r="C145" s="7723" t="s">
        <v>889</v>
      </c>
      <c r="D145" s="7563">
        <v>850000000</v>
      </c>
      <c r="E145" s="7659">
        <f>F145/D145</f>
        <v>6.1647058823529409E-2</v>
      </c>
      <c r="F145" s="7563">
        <v>52400000</v>
      </c>
      <c r="G145" s="2844">
        <v>25000000</v>
      </c>
      <c r="H145" s="2844" t="s">
        <v>4920</v>
      </c>
      <c r="I145" s="2844" t="s">
        <v>2540</v>
      </c>
      <c r="J145" s="7563">
        <f>G145+G146</f>
        <v>52400000</v>
      </c>
      <c r="K145" s="7563">
        <f>F145-J145</f>
        <v>0</v>
      </c>
      <c r="L145" s="2842"/>
      <c r="M145" s="366"/>
      <c r="N145" s="366"/>
      <c r="O145" s="366"/>
      <c r="P145" s="366"/>
    </row>
    <row r="146" spans="1:16" ht="30" customHeight="1" x14ac:dyDescent="0.2">
      <c r="A146" s="7655"/>
      <c r="B146" s="7653"/>
      <c r="C146" s="7724"/>
      <c r="D146" s="7564"/>
      <c r="E146" s="7660"/>
      <c r="F146" s="7564"/>
      <c r="G146" s="3007">
        <v>27400000</v>
      </c>
      <c r="H146" s="3007" t="s">
        <v>4936</v>
      </c>
      <c r="I146" s="3007" t="s">
        <v>2540</v>
      </c>
      <c r="J146" s="7564"/>
      <c r="K146" s="7564"/>
      <c r="L146" s="3008"/>
      <c r="M146" s="366"/>
      <c r="N146" s="366"/>
      <c r="O146" s="366"/>
      <c r="P146" s="366"/>
    </row>
    <row r="147" spans="1:16" ht="30" customHeight="1" x14ac:dyDescent="0.2">
      <c r="A147" s="7654">
        <v>86</v>
      </c>
      <c r="B147" s="7652" t="s">
        <v>217</v>
      </c>
      <c r="C147" s="7723" t="s">
        <v>889</v>
      </c>
      <c r="D147" s="2844">
        <v>111000000</v>
      </c>
      <c r="E147" s="2867">
        <v>0.05</v>
      </c>
      <c r="F147" s="2844">
        <f t="shared" ref="F147:F150" si="16">D147*E147</f>
        <v>5550000</v>
      </c>
      <c r="G147" s="2844">
        <v>550000</v>
      </c>
      <c r="H147" s="2844" t="s">
        <v>4875</v>
      </c>
      <c r="I147" s="2844" t="s">
        <v>3971</v>
      </c>
      <c r="J147" s="2844">
        <f>G147</f>
        <v>550000</v>
      </c>
      <c r="K147" s="2844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7656"/>
      <c r="B148" s="7665"/>
      <c r="C148" s="7747"/>
      <c r="D148" s="3166">
        <v>5000000</v>
      </c>
      <c r="E148" s="3167">
        <v>0.05</v>
      </c>
      <c r="F148" s="3166">
        <f t="shared" si="16"/>
        <v>250000</v>
      </c>
      <c r="G148" s="7732" t="s">
        <v>4882</v>
      </c>
      <c r="H148" s="7733"/>
      <c r="I148" s="7733"/>
      <c r="J148" s="7733"/>
      <c r="K148" s="7734"/>
      <c r="L148" s="3023"/>
      <c r="M148" s="366"/>
      <c r="N148" s="366"/>
      <c r="O148" s="366"/>
      <c r="P148" s="366"/>
    </row>
    <row r="149" spans="1:16" ht="30" customHeight="1" x14ac:dyDescent="0.2">
      <c r="A149" s="7656"/>
      <c r="B149" s="7665"/>
      <c r="C149" s="7747"/>
      <c r="D149" s="3166">
        <v>10000000</v>
      </c>
      <c r="E149" s="3167">
        <v>0.05</v>
      </c>
      <c r="F149" s="3166">
        <f t="shared" si="16"/>
        <v>500000</v>
      </c>
      <c r="G149" s="7732" t="s">
        <v>5089</v>
      </c>
      <c r="H149" s="7733"/>
      <c r="I149" s="7733"/>
      <c r="J149" s="7733"/>
      <c r="K149" s="7734"/>
      <c r="L149" s="3023"/>
      <c r="M149" s="366"/>
      <c r="N149" s="366"/>
      <c r="O149" s="366"/>
      <c r="P149" s="366"/>
    </row>
    <row r="150" spans="1:16" ht="30" customHeight="1" x14ac:dyDescent="0.2">
      <c r="A150" s="7655"/>
      <c r="B150" s="7653"/>
      <c r="C150" s="7724"/>
      <c r="D150" s="3176">
        <v>126000000</v>
      </c>
      <c r="E150" s="3177">
        <v>0.05</v>
      </c>
      <c r="F150" s="3176">
        <f t="shared" si="16"/>
        <v>6300000</v>
      </c>
      <c r="G150" s="3168"/>
      <c r="H150" s="3169"/>
      <c r="I150" s="3169"/>
      <c r="J150" s="3169"/>
      <c r="K150" s="3170"/>
      <c r="L150" s="3023"/>
      <c r="M150" s="366"/>
      <c r="N150" s="366"/>
      <c r="O150" s="366"/>
      <c r="P150" s="366"/>
    </row>
    <row r="151" spans="1:16" ht="30" customHeight="1" x14ac:dyDescent="0.2">
      <c r="A151" s="1028"/>
      <c r="B151" s="2913" t="s">
        <v>174</v>
      </c>
      <c r="C151" s="2915" t="s">
        <v>889</v>
      </c>
      <c r="D151" s="2901">
        <v>793000000</v>
      </c>
      <c r="E151" s="2902">
        <v>6.6000000000000003E-2</v>
      </c>
      <c r="F151" s="2901">
        <v>52300000</v>
      </c>
      <c r="G151" s="7470" t="s">
        <v>4883</v>
      </c>
      <c r="H151" s="7493"/>
      <c r="I151" s="7493"/>
      <c r="J151" s="7493"/>
      <c r="K151" s="7510"/>
      <c r="L151" s="2914" t="s">
        <v>4549</v>
      </c>
      <c r="M151" s="2927"/>
      <c r="N151" s="2927"/>
      <c r="O151" s="2927"/>
      <c r="P151" s="2299"/>
    </row>
    <row r="152" spans="1:16" ht="30" customHeight="1" x14ac:dyDescent="0.2">
      <c r="A152" s="2872">
        <v>88</v>
      </c>
      <c r="B152" s="2870" t="s">
        <v>218</v>
      </c>
      <c r="C152" s="2843" t="s">
        <v>1295</v>
      </c>
      <c r="D152" s="2817">
        <v>100000000</v>
      </c>
      <c r="E152" s="2867">
        <v>0.06</v>
      </c>
      <c r="F152" s="2817">
        <f>D152*E152</f>
        <v>6000000</v>
      </c>
      <c r="G152" s="2817">
        <v>6000000</v>
      </c>
      <c r="H152" s="2817" t="s">
        <v>4860</v>
      </c>
      <c r="I152" s="18" t="s">
        <v>4866</v>
      </c>
      <c r="J152" s="2817">
        <f>G152</f>
        <v>6000000</v>
      </c>
      <c r="K152" s="2817">
        <f>F152-J152</f>
        <v>0</v>
      </c>
      <c r="L152" s="2870"/>
      <c r="M152" s="366"/>
      <c r="N152" s="366"/>
      <c r="O152" s="366"/>
      <c r="P152" s="366"/>
    </row>
    <row r="153" spans="1:16" ht="30" customHeight="1" x14ac:dyDescent="0.2">
      <c r="A153" s="7654">
        <v>89</v>
      </c>
      <c r="B153" s="7652" t="s">
        <v>219</v>
      </c>
      <c r="C153" s="7723" t="s">
        <v>1293</v>
      </c>
      <c r="D153" s="1854">
        <v>93000000</v>
      </c>
      <c r="E153" s="896">
        <v>7.0000000000000007E-2</v>
      </c>
      <c r="F153" s="1854">
        <v>6500000</v>
      </c>
      <c r="G153" s="7924">
        <v>35781000</v>
      </c>
      <c r="H153" s="7924" t="s">
        <v>4860</v>
      </c>
      <c r="I153" s="7924" t="s">
        <v>2666</v>
      </c>
      <c r="J153" s="7924">
        <f>G153</f>
        <v>35781000</v>
      </c>
      <c r="K153" s="7563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7656"/>
      <c r="B154" s="7665"/>
      <c r="C154" s="7747"/>
      <c r="D154" s="1854">
        <v>450000000</v>
      </c>
      <c r="E154" s="896">
        <v>0.05</v>
      </c>
      <c r="F154" s="2887">
        <f>D154*E154</f>
        <v>22500000</v>
      </c>
      <c r="G154" s="8234"/>
      <c r="H154" s="8234"/>
      <c r="I154" s="8234"/>
      <c r="J154" s="8234"/>
      <c r="K154" s="7586"/>
      <c r="L154" s="29" t="s">
        <v>4651</v>
      </c>
      <c r="M154" s="366"/>
      <c r="N154" s="366"/>
      <c r="O154" s="366"/>
      <c r="P154" s="366"/>
    </row>
    <row r="155" spans="1:16" ht="30" customHeight="1" x14ac:dyDescent="0.2">
      <c r="A155" s="7655"/>
      <c r="B155" s="7653"/>
      <c r="C155" s="7724"/>
      <c r="D155" s="2887">
        <v>100000000</v>
      </c>
      <c r="E155" s="896">
        <v>0.06</v>
      </c>
      <c r="F155" s="2887">
        <f>D155*E155</f>
        <v>6000000</v>
      </c>
      <c r="G155" s="7925"/>
      <c r="H155" s="7925"/>
      <c r="I155" s="7925"/>
      <c r="J155" s="7925"/>
      <c r="K155" s="7564"/>
      <c r="L155" s="29" t="s">
        <v>4944</v>
      </c>
      <c r="M155" s="366"/>
      <c r="N155" s="366"/>
      <c r="O155" s="366"/>
      <c r="P155" s="366"/>
    </row>
    <row r="156" spans="1:16" ht="30" customHeight="1" x14ac:dyDescent="0.2">
      <c r="A156" s="7654">
        <v>90</v>
      </c>
      <c r="B156" s="7652" t="s">
        <v>220</v>
      </c>
      <c r="C156" s="7723" t="s">
        <v>1172</v>
      </c>
      <c r="D156" s="2817">
        <v>130000000</v>
      </c>
      <c r="E156" s="2867">
        <v>7.0000000000000007E-2</v>
      </c>
      <c r="F156" s="2817">
        <f>D156*E156</f>
        <v>9100000</v>
      </c>
      <c r="G156" s="7563">
        <v>14460000</v>
      </c>
      <c r="H156" s="7563" t="s">
        <v>4936</v>
      </c>
      <c r="I156" s="7561" t="s">
        <v>1808</v>
      </c>
      <c r="J156" s="7563">
        <f>G156</f>
        <v>14460000</v>
      </c>
      <c r="K156" s="7563">
        <f>(F156+F157)-J156</f>
        <v>0</v>
      </c>
      <c r="L156" s="7703"/>
      <c r="M156" s="366"/>
      <c r="N156" s="366"/>
      <c r="O156" s="366"/>
      <c r="P156" s="366"/>
    </row>
    <row r="157" spans="1:16" ht="30" customHeight="1" x14ac:dyDescent="0.2">
      <c r="A157" s="7655"/>
      <c r="B157" s="7653"/>
      <c r="C157" s="7724"/>
      <c r="D157" s="2817">
        <v>100000000</v>
      </c>
      <c r="E157" s="2867">
        <v>5.3999999999999999E-2</v>
      </c>
      <c r="F157" s="2817">
        <v>5360000</v>
      </c>
      <c r="G157" s="7564"/>
      <c r="H157" s="7564"/>
      <c r="I157" s="7562"/>
      <c r="J157" s="7564"/>
      <c r="K157" s="7564"/>
      <c r="L157" s="7705"/>
      <c r="M157" s="366"/>
      <c r="N157" s="366"/>
      <c r="O157" s="366"/>
      <c r="P157" s="366"/>
    </row>
    <row r="158" spans="1:16" ht="30" customHeight="1" x14ac:dyDescent="0.2">
      <c r="A158" s="7654">
        <v>91</v>
      </c>
      <c r="B158" s="7652" t="s">
        <v>4466</v>
      </c>
      <c r="C158" s="7723"/>
      <c r="D158" s="2817">
        <v>50000000</v>
      </c>
      <c r="E158" s="2867">
        <v>0.05</v>
      </c>
      <c r="F158" s="2817">
        <f t="shared" si="11"/>
        <v>2500000</v>
      </c>
      <c r="G158" s="7563">
        <v>14000000</v>
      </c>
      <c r="H158" s="7563" t="s">
        <v>4891</v>
      </c>
      <c r="I158" s="7772" t="s">
        <v>4464</v>
      </c>
      <c r="J158" s="7563">
        <f>G158</f>
        <v>14000000</v>
      </c>
      <c r="K158" s="7563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7656"/>
      <c r="B159" s="7665"/>
      <c r="C159" s="7747"/>
      <c r="D159" s="2817">
        <v>30000000</v>
      </c>
      <c r="E159" s="2867">
        <v>0.05</v>
      </c>
      <c r="F159" s="2817">
        <f>D159*E159</f>
        <v>1500000</v>
      </c>
      <c r="G159" s="7586"/>
      <c r="H159" s="7586"/>
      <c r="I159" s="8185"/>
      <c r="J159" s="7586"/>
      <c r="K159" s="7586"/>
      <c r="L159" s="180"/>
      <c r="M159" s="366"/>
      <c r="N159" s="366"/>
      <c r="O159" s="366"/>
      <c r="P159" s="366"/>
    </row>
    <row r="160" spans="1:16" ht="30" customHeight="1" x14ac:dyDescent="0.2">
      <c r="A160" s="7655"/>
      <c r="B160" s="7653"/>
      <c r="C160" s="7724"/>
      <c r="D160" s="2817">
        <v>200000000</v>
      </c>
      <c r="E160" s="2867">
        <v>0.05</v>
      </c>
      <c r="F160" s="2817">
        <f>D160*E160</f>
        <v>10000000</v>
      </c>
      <c r="G160" s="7564"/>
      <c r="H160" s="7564"/>
      <c r="I160" s="7773"/>
      <c r="J160" s="7564"/>
      <c r="K160" s="7564"/>
      <c r="L160" s="180"/>
      <c r="M160" s="366"/>
      <c r="N160" s="366"/>
      <c r="O160" s="366"/>
      <c r="P160" s="366"/>
    </row>
    <row r="161" spans="1:16" ht="30" customHeight="1" x14ac:dyDescent="0.2">
      <c r="A161" s="7879">
        <v>92</v>
      </c>
      <c r="B161" s="7652" t="s">
        <v>749</v>
      </c>
      <c r="C161" s="2869" t="s">
        <v>889</v>
      </c>
      <c r="D161" s="2844">
        <v>320000000</v>
      </c>
      <c r="E161" s="2912">
        <v>5.2999999999999999E-2</v>
      </c>
      <c r="F161" s="2844">
        <v>17000000</v>
      </c>
      <c r="G161" s="2844">
        <v>17000000</v>
      </c>
      <c r="H161" s="2844" t="s">
        <v>4860</v>
      </c>
      <c r="I161" s="2864" t="s">
        <v>3009</v>
      </c>
      <c r="J161" s="2844">
        <f>G161</f>
        <v>17000000</v>
      </c>
      <c r="K161" s="2844">
        <f>F161-J161</f>
        <v>0</v>
      </c>
      <c r="L161" s="2865"/>
      <c r="M161" s="366"/>
      <c r="N161" s="366"/>
      <c r="O161" s="366"/>
      <c r="P161" s="366"/>
    </row>
    <row r="162" spans="1:16" ht="30" customHeight="1" x14ac:dyDescent="0.2">
      <c r="A162" s="7879"/>
      <c r="B162" s="7665"/>
      <c r="C162" s="7723" t="s">
        <v>1287</v>
      </c>
      <c r="D162" s="2817">
        <v>273000000</v>
      </c>
      <c r="E162" s="2819">
        <f>F162/D162</f>
        <v>5.4615384615384614E-2</v>
      </c>
      <c r="F162" s="2817">
        <v>14910000</v>
      </c>
      <c r="G162" s="7563">
        <v>19910000</v>
      </c>
      <c r="H162" s="7563" t="s">
        <v>5016</v>
      </c>
      <c r="I162" s="7563" t="s">
        <v>3009</v>
      </c>
      <c r="J162" s="7563">
        <f>G162</f>
        <v>19910000</v>
      </c>
      <c r="K162" s="7563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7879"/>
      <c r="B163" s="7665"/>
      <c r="C163" s="7747"/>
      <c r="D163" s="2871">
        <v>100000000</v>
      </c>
      <c r="E163" s="2818">
        <v>0.05</v>
      </c>
      <c r="F163" s="2816">
        <f>D163*E163</f>
        <v>5000000</v>
      </c>
      <c r="G163" s="7564"/>
      <c r="H163" s="7586"/>
      <c r="I163" s="7586"/>
      <c r="J163" s="7564"/>
      <c r="K163" s="7564"/>
      <c r="L163" s="180"/>
      <c r="M163" s="366"/>
      <c r="N163" s="366"/>
      <c r="O163" s="366"/>
      <c r="P163" s="366"/>
    </row>
    <row r="164" spans="1:16" ht="30" customHeight="1" x14ac:dyDescent="0.2">
      <c r="A164" s="7654"/>
      <c r="B164" s="7652" t="s">
        <v>222</v>
      </c>
      <c r="C164" s="7723" t="s">
        <v>889</v>
      </c>
      <c r="D164" s="2844">
        <v>25000000</v>
      </c>
      <c r="E164" s="2959">
        <v>5.5E-2</v>
      </c>
      <c r="F164" s="2844">
        <f>D164*E164</f>
        <v>1375000</v>
      </c>
      <c r="G164" s="7789" t="s">
        <v>4953</v>
      </c>
      <c r="H164" s="7790"/>
      <c r="I164" s="7790"/>
      <c r="J164" s="7791"/>
      <c r="K164" s="2844"/>
      <c r="L164" s="2013" t="s">
        <v>3916</v>
      </c>
      <c r="M164" s="366"/>
      <c r="N164" s="366"/>
      <c r="O164" s="366"/>
      <c r="P164" s="366"/>
    </row>
    <row r="165" spans="1:16" ht="30" customHeight="1" x14ac:dyDescent="0.2">
      <c r="A165" s="7656"/>
      <c r="B165" s="7665"/>
      <c r="C165" s="7747"/>
      <c r="D165" s="3038">
        <v>15000000</v>
      </c>
      <c r="E165" s="3039">
        <v>5.5E-2</v>
      </c>
      <c r="F165" s="3038">
        <f>D165*E165</f>
        <v>825000</v>
      </c>
      <c r="G165" s="7789" t="s">
        <v>4954</v>
      </c>
      <c r="H165" s="7790"/>
      <c r="I165" s="7790"/>
      <c r="J165" s="7791"/>
      <c r="K165" s="3038"/>
      <c r="L165" s="2013"/>
      <c r="M165" s="366"/>
      <c r="N165" s="366"/>
      <c r="O165" s="366"/>
      <c r="P165" s="366"/>
    </row>
    <row r="166" spans="1:16" ht="30" customHeight="1" x14ac:dyDescent="0.2">
      <c r="A166" s="7655"/>
      <c r="B166" s="7653"/>
      <c r="C166" s="7724"/>
      <c r="D166" s="3038">
        <v>40000000</v>
      </c>
      <c r="E166" s="3039">
        <v>5.5E-2</v>
      </c>
      <c r="F166" s="3038">
        <f>D166*E166</f>
        <v>2200000</v>
      </c>
      <c r="G166" s="7789" t="s">
        <v>4955</v>
      </c>
      <c r="H166" s="7790"/>
      <c r="I166" s="7790"/>
      <c r="J166" s="7791"/>
      <c r="K166" s="3038"/>
      <c r="L166" s="2013"/>
      <c r="M166" s="366"/>
      <c r="N166" s="366"/>
      <c r="O166" s="366"/>
      <c r="P166" s="366"/>
    </row>
    <row r="167" spans="1:16" ht="30" customHeight="1" x14ac:dyDescent="0.2">
      <c r="A167" s="2872">
        <v>94</v>
      </c>
      <c r="B167" s="2870" t="s">
        <v>1144</v>
      </c>
      <c r="C167" s="2843"/>
      <c r="D167" s="2817">
        <v>25000000</v>
      </c>
      <c r="E167" s="2867">
        <v>0.04</v>
      </c>
      <c r="F167" s="2817">
        <f>D167*E167</f>
        <v>1000000</v>
      </c>
      <c r="G167" s="2817">
        <v>1000000</v>
      </c>
      <c r="H167" s="2817" t="s">
        <v>4891</v>
      </c>
      <c r="I167" s="21" t="s">
        <v>1146</v>
      </c>
      <c r="J167" s="2817">
        <f t="shared" ref="J167:J172" si="17">G167</f>
        <v>1000000</v>
      </c>
      <c r="K167" s="2817">
        <f t="shared" ref="K167:K171" si="18">F167-J167</f>
        <v>0</v>
      </c>
      <c r="L167" s="2870"/>
      <c r="M167" s="366"/>
      <c r="N167" s="366"/>
      <c r="O167" s="366"/>
      <c r="P167" s="366"/>
    </row>
    <row r="168" spans="1:16" ht="30" customHeight="1" x14ac:dyDescent="0.2">
      <c r="A168" s="2822"/>
      <c r="B168" s="19" t="s">
        <v>223</v>
      </c>
      <c r="C168" s="2869"/>
      <c r="D168" s="2844">
        <v>355000000</v>
      </c>
      <c r="E168" s="2867">
        <v>0.05</v>
      </c>
      <c r="F168" s="2844">
        <v>17800000</v>
      </c>
      <c r="G168" s="2844">
        <v>17800000</v>
      </c>
      <c r="H168" s="2844" t="s">
        <v>4891</v>
      </c>
      <c r="I168" s="2864" t="s">
        <v>3431</v>
      </c>
      <c r="J168" s="2844">
        <f t="shared" si="17"/>
        <v>17800000</v>
      </c>
      <c r="K168" s="2844">
        <f t="shared" si="18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2">
        <v>98</v>
      </c>
      <c r="B169" s="2870" t="s">
        <v>226</v>
      </c>
      <c r="C169" s="2843"/>
      <c r="D169" s="2817">
        <v>20000000</v>
      </c>
      <c r="E169" s="2867">
        <v>0.05</v>
      </c>
      <c r="F169" s="2817">
        <f t="shared" ref="F169" si="19">D169*E169</f>
        <v>1000000</v>
      </c>
      <c r="G169" s="2817"/>
      <c r="H169" s="2817"/>
      <c r="I169" s="2844" t="s">
        <v>789</v>
      </c>
      <c r="J169" s="2817">
        <f t="shared" si="17"/>
        <v>0</v>
      </c>
      <c r="K169" s="2817">
        <f t="shared" si="18"/>
        <v>1000000</v>
      </c>
      <c r="L169" s="2870"/>
      <c r="M169" s="366"/>
      <c r="N169" s="366"/>
      <c r="O169" s="366"/>
      <c r="P169" s="366"/>
    </row>
    <row r="170" spans="1:16" ht="30" customHeight="1" x14ac:dyDescent="0.2">
      <c r="A170" s="2872">
        <v>99</v>
      </c>
      <c r="B170" s="2870" t="s">
        <v>227</v>
      </c>
      <c r="C170" s="2843" t="s">
        <v>1297</v>
      </c>
      <c r="D170" s="2817">
        <v>100000000</v>
      </c>
      <c r="E170" s="2867">
        <v>0.04</v>
      </c>
      <c r="F170" s="2817">
        <f>D170*E170</f>
        <v>4000000</v>
      </c>
      <c r="G170" s="2817">
        <v>4000000</v>
      </c>
      <c r="H170" s="2817" t="s">
        <v>4846</v>
      </c>
      <c r="I170" s="2877" t="s">
        <v>4847</v>
      </c>
      <c r="J170" s="2817">
        <f t="shared" si="17"/>
        <v>4000000</v>
      </c>
      <c r="K170" s="2817">
        <f t="shared" si="18"/>
        <v>0</v>
      </c>
      <c r="L170" s="2870"/>
      <c r="M170" s="366"/>
      <c r="N170" s="366"/>
      <c r="O170" s="366"/>
      <c r="P170" s="366"/>
    </row>
    <row r="171" spans="1:16" ht="30" customHeight="1" x14ac:dyDescent="0.2">
      <c r="A171" s="2872">
        <v>100</v>
      </c>
      <c r="B171" s="2870" t="s">
        <v>228</v>
      </c>
      <c r="C171" s="2843" t="s">
        <v>392</v>
      </c>
      <c r="D171" s="2817">
        <v>101000000</v>
      </c>
      <c r="E171" s="2867">
        <v>5.0999999999999997E-2</v>
      </c>
      <c r="F171" s="2817">
        <v>5100000</v>
      </c>
      <c r="G171" s="2817">
        <v>5100000</v>
      </c>
      <c r="H171" s="2817" t="s">
        <v>5016</v>
      </c>
      <c r="I171" s="21" t="s">
        <v>2860</v>
      </c>
      <c r="J171" s="2817">
        <f t="shared" si="17"/>
        <v>5100000</v>
      </c>
      <c r="K171" s="2817">
        <f t="shared" si="18"/>
        <v>0</v>
      </c>
      <c r="L171" s="2870"/>
      <c r="M171" s="366"/>
      <c r="N171" s="366"/>
      <c r="O171" s="366"/>
      <c r="P171" s="366"/>
    </row>
    <row r="172" spans="1:16" ht="30" customHeight="1" x14ac:dyDescent="0.2">
      <c r="A172" s="7795"/>
      <c r="B172" s="7652" t="s">
        <v>177</v>
      </c>
      <c r="C172" s="7723" t="s">
        <v>1080</v>
      </c>
      <c r="D172" s="7563">
        <v>100000000</v>
      </c>
      <c r="E172" s="7659">
        <v>0.06</v>
      </c>
      <c r="F172" s="7563">
        <f>D172*E172</f>
        <v>6000000</v>
      </c>
      <c r="G172" s="7563">
        <v>6000000</v>
      </c>
      <c r="H172" s="7563" t="s">
        <v>4839</v>
      </c>
      <c r="I172" s="7563" t="s">
        <v>3345</v>
      </c>
      <c r="J172" s="7563">
        <f t="shared" si="17"/>
        <v>6000000</v>
      </c>
      <c r="K172" s="7563">
        <f>F172-J172</f>
        <v>0</v>
      </c>
      <c r="L172" s="2862" t="s">
        <v>3303</v>
      </c>
      <c r="M172" s="366"/>
      <c r="N172" s="366"/>
      <c r="O172" s="366"/>
      <c r="P172" s="366"/>
    </row>
    <row r="173" spans="1:16" ht="30" customHeight="1" x14ac:dyDescent="0.2">
      <c r="A173" s="7796"/>
      <c r="B173" s="7653"/>
      <c r="C173" s="7724"/>
      <c r="D173" s="7564"/>
      <c r="E173" s="7660"/>
      <c r="F173" s="7564"/>
      <c r="G173" s="7564"/>
      <c r="H173" s="7564"/>
      <c r="I173" s="7564"/>
      <c r="J173" s="7564"/>
      <c r="K173" s="7564"/>
      <c r="L173" s="2862" t="s">
        <v>3917</v>
      </c>
      <c r="M173" s="366"/>
      <c r="N173" s="366"/>
      <c r="O173" s="366"/>
      <c r="P173" s="366"/>
    </row>
    <row r="174" spans="1:16" s="1539" customFormat="1" ht="30" customHeight="1" x14ac:dyDescent="0.2">
      <c r="A174" s="7661"/>
      <c r="B174" s="7652" t="s">
        <v>230</v>
      </c>
      <c r="C174" s="7723" t="s">
        <v>1172</v>
      </c>
      <c r="D174" s="2844">
        <v>37000000</v>
      </c>
      <c r="E174" s="2867">
        <v>5.5E-2</v>
      </c>
      <c r="F174" s="2844">
        <v>2000000</v>
      </c>
      <c r="G174" s="2844">
        <v>2000000</v>
      </c>
      <c r="H174" s="2844" t="s">
        <v>4891</v>
      </c>
      <c r="I174" s="2844" t="s">
        <v>4262</v>
      </c>
      <c r="J174" s="2844">
        <f>G174</f>
        <v>2000000</v>
      </c>
      <c r="K174" s="2844">
        <f>F174-J174</f>
        <v>0</v>
      </c>
      <c r="L174" s="2013"/>
      <c r="M174" s="9"/>
      <c r="N174" s="9"/>
      <c r="O174" s="9"/>
      <c r="P174" s="9"/>
    </row>
    <row r="175" spans="1:16" s="184" customFormat="1" ht="30" customHeight="1" x14ac:dyDescent="0.2">
      <c r="A175" s="7663"/>
      <c r="B175" s="7653"/>
      <c r="C175" s="7724"/>
      <c r="D175" s="7470" t="s">
        <v>4260</v>
      </c>
      <c r="E175" s="7493"/>
      <c r="F175" s="7510"/>
      <c r="G175" s="3096">
        <v>3750000</v>
      </c>
      <c r="H175" s="3096" t="s">
        <v>4936</v>
      </c>
      <c r="I175" s="3105" t="s">
        <v>1551</v>
      </c>
      <c r="J175" s="3096">
        <f>G175</f>
        <v>3750000</v>
      </c>
      <c r="K175" s="3096"/>
      <c r="L175" s="3113"/>
      <c r="M175" s="1659"/>
      <c r="N175" s="1659"/>
      <c r="O175" s="1659"/>
      <c r="P175" s="1659"/>
    </row>
    <row r="176" spans="1:16" ht="30" customHeight="1" x14ac:dyDescent="0.2">
      <c r="A176" s="2822">
        <v>104</v>
      </c>
      <c r="B176" s="2825" t="s">
        <v>231</v>
      </c>
      <c r="C176" s="2843" t="s">
        <v>1172</v>
      </c>
      <c r="D176" s="2817">
        <v>20000000</v>
      </c>
      <c r="E176" s="2819">
        <v>0.05</v>
      </c>
      <c r="F176" s="2817">
        <f t="shared" si="11"/>
        <v>1000000</v>
      </c>
      <c r="G176" s="2817">
        <v>1000000</v>
      </c>
      <c r="H176" s="2817" t="s">
        <v>4936</v>
      </c>
      <c r="I176" s="21" t="s">
        <v>3437</v>
      </c>
      <c r="J176" s="2817">
        <f>G176</f>
        <v>1000000</v>
      </c>
      <c r="K176" s="2817">
        <f>F176-J176</f>
        <v>0</v>
      </c>
      <c r="L176" s="2825"/>
      <c r="M176" s="366"/>
      <c r="N176" s="366"/>
      <c r="O176" s="366"/>
      <c r="P176" s="366"/>
    </row>
    <row r="177" spans="1:12" ht="30" customHeight="1" x14ac:dyDescent="0.2">
      <c r="A177" s="2899">
        <v>105</v>
      </c>
      <c r="B177" s="19" t="s">
        <v>232</v>
      </c>
      <c r="C177" s="2915"/>
      <c r="D177" s="2898"/>
      <c r="E177" s="2519"/>
      <c r="F177" s="2898">
        <f t="shared" ref="F177:F210" si="20">D177*E177</f>
        <v>0</v>
      </c>
      <c r="G177" s="2910">
        <v>1900000</v>
      </c>
      <c r="H177" s="2910" t="s">
        <v>4875</v>
      </c>
      <c r="I177" s="2918" t="s">
        <v>3548</v>
      </c>
      <c r="J177" s="2910">
        <f>G177</f>
        <v>1900000</v>
      </c>
      <c r="K177" s="2898">
        <f>F177-J177</f>
        <v>-1900000</v>
      </c>
      <c r="L177" s="2906" t="s">
        <v>3549</v>
      </c>
    </row>
    <row r="178" spans="1:12" ht="30" customHeight="1" x14ac:dyDescent="0.2">
      <c r="A178" s="7654">
        <v>108</v>
      </c>
      <c r="B178" s="7652" t="s">
        <v>235</v>
      </c>
      <c r="C178" s="7723" t="s">
        <v>1172</v>
      </c>
      <c r="D178" s="2844">
        <v>1430000000</v>
      </c>
      <c r="E178" s="2867">
        <v>5.5E-2</v>
      </c>
      <c r="F178" s="2844">
        <f t="shared" si="20"/>
        <v>78650000</v>
      </c>
      <c r="G178" s="2918"/>
      <c r="H178" s="2918"/>
      <c r="I178" s="2918"/>
      <c r="J178" s="2918"/>
      <c r="K178" s="2844">
        <v>0</v>
      </c>
      <c r="L178" s="2869"/>
    </row>
    <row r="179" spans="1:12" ht="30" customHeight="1" x14ac:dyDescent="0.2">
      <c r="A179" s="7656"/>
      <c r="B179" s="7665"/>
      <c r="C179" s="7747"/>
      <c r="D179" s="2817">
        <v>150000000</v>
      </c>
      <c r="E179" s="2819">
        <v>5.5E-2</v>
      </c>
      <c r="F179" s="2817">
        <f>D179*E179</f>
        <v>8250000</v>
      </c>
      <c r="G179" s="2910"/>
      <c r="H179" s="2910"/>
      <c r="I179" s="2910"/>
      <c r="J179" s="2910"/>
      <c r="K179" s="2817"/>
      <c r="L179" s="2831" t="s">
        <v>4647</v>
      </c>
    </row>
    <row r="180" spans="1:12" ht="30" customHeight="1" x14ac:dyDescent="0.2">
      <c r="A180" s="7656"/>
      <c r="B180" s="7665"/>
      <c r="C180" s="7747"/>
      <c r="D180" s="3106">
        <v>30000000</v>
      </c>
      <c r="E180" s="3108">
        <v>5.5E-2</v>
      </c>
      <c r="F180" s="3106">
        <f>D180*E180</f>
        <v>1650000</v>
      </c>
      <c r="G180" s="3106"/>
      <c r="H180" s="3106"/>
      <c r="I180" s="3106"/>
      <c r="J180" s="3106"/>
      <c r="K180" s="3096"/>
      <c r="L180" s="3183" t="s">
        <v>5041</v>
      </c>
    </row>
    <row r="181" spans="1:12" ht="30" customHeight="1" x14ac:dyDescent="0.2">
      <c r="A181" s="7656"/>
      <c r="B181" s="7665"/>
      <c r="C181" s="7747"/>
      <c r="D181" s="2653">
        <f>SUM(D178:D180)</f>
        <v>1610000000</v>
      </c>
      <c r="E181" s="2652">
        <v>5.5E-2</v>
      </c>
      <c r="F181" s="2653">
        <f>D181*E181</f>
        <v>88550000</v>
      </c>
      <c r="G181" s="2910"/>
      <c r="H181" s="2910"/>
      <c r="I181" s="2910"/>
      <c r="J181" s="2910"/>
      <c r="K181" s="2817"/>
      <c r="L181" s="3099" t="s">
        <v>5134</v>
      </c>
    </row>
    <row r="182" spans="1:12" ht="30" customHeight="1" x14ac:dyDescent="0.2">
      <c r="A182" s="7656"/>
      <c r="B182" s="7665"/>
      <c r="C182" s="7747"/>
      <c r="D182" s="8230" t="s">
        <v>5194</v>
      </c>
      <c r="E182" s="8230"/>
      <c r="F182" s="8230"/>
      <c r="G182" s="3281"/>
      <c r="H182" s="3281"/>
      <c r="I182" s="3285"/>
      <c r="J182" s="3281"/>
      <c r="K182" s="3281"/>
      <c r="L182" s="3278"/>
    </row>
    <row r="183" spans="1:12" ht="30" customHeight="1" x14ac:dyDescent="0.2">
      <c r="A183" s="7655"/>
      <c r="B183" s="7653"/>
      <c r="C183" s="7724"/>
      <c r="D183" s="3298">
        <f>D181-200000000</f>
        <v>1410000000</v>
      </c>
      <c r="E183" s="2652">
        <v>5.5E-2</v>
      </c>
      <c r="F183" s="2653">
        <f>D183*E183</f>
        <v>77550000</v>
      </c>
      <c r="G183" s="3281"/>
      <c r="H183" s="3281"/>
      <c r="I183" s="3285"/>
      <c r="J183" s="3281"/>
      <c r="K183" s="3281"/>
      <c r="L183" s="3278"/>
    </row>
    <row r="184" spans="1:12" ht="30" customHeight="1" x14ac:dyDescent="0.2">
      <c r="A184" s="7654">
        <v>109</v>
      </c>
      <c r="B184" s="7652" t="s">
        <v>236</v>
      </c>
      <c r="C184" s="7723"/>
      <c r="D184" s="7482">
        <v>1000000000</v>
      </c>
      <c r="E184" s="7659">
        <v>0.05</v>
      </c>
      <c r="F184" s="7563">
        <f t="shared" si="20"/>
        <v>50000000</v>
      </c>
      <c r="G184" s="2817"/>
      <c r="H184" s="2817"/>
      <c r="I184" s="21" t="s">
        <v>4427</v>
      </c>
      <c r="J184" s="2817">
        <f t="shared" ref="J184:J190" si="21">G184</f>
        <v>0</v>
      </c>
      <c r="K184" s="2817">
        <f t="shared" ref="K184:K190" si="22">F184-J184</f>
        <v>50000000</v>
      </c>
      <c r="L184" s="2831"/>
    </row>
    <row r="185" spans="1:12" ht="30" customHeight="1" x14ac:dyDescent="0.2">
      <c r="A185" s="7655"/>
      <c r="B185" s="7653"/>
      <c r="C185" s="7724"/>
      <c r="D185" s="7482"/>
      <c r="E185" s="7660"/>
      <c r="F185" s="7564"/>
      <c r="G185" s="2817"/>
      <c r="H185" s="2817"/>
      <c r="I185" s="21" t="s">
        <v>4427</v>
      </c>
      <c r="J185" s="2817">
        <f>G185</f>
        <v>0</v>
      </c>
      <c r="K185" s="2817"/>
      <c r="L185" s="2831" t="s">
        <v>4817</v>
      </c>
    </row>
    <row r="186" spans="1:12" ht="30" customHeight="1" x14ac:dyDescent="0.2">
      <c r="A186" s="2872">
        <v>110</v>
      </c>
      <c r="B186" s="2865" t="s">
        <v>1842</v>
      </c>
      <c r="C186" s="2842" t="s">
        <v>1292</v>
      </c>
      <c r="D186" s="2827">
        <v>14000000</v>
      </c>
      <c r="E186" s="2818">
        <v>4.2999999999999997E-2</v>
      </c>
      <c r="F186" s="2817">
        <v>600000</v>
      </c>
      <c r="G186" s="2817">
        <v>600000</v>
      </c>
      <c r="H186" s="2817" t="s">
        <v>5015</v>
      </c>
      <c r="I186" s="21" t="s">
        <v>1852</v>
      </c>
      <c r="J186" s="2844">
        <f t="shared" si="21"/>
        <v>600000</v>
      </c>
      <c r="K186" s="2844">
        <f>F186-J186</f>
        <v>0</v>
      </c>
      <c r="L186" s="2831"/>
    </row>
    <row r="187" spans="1:12" ht="30" customHeight="1" x14ac:dyDescent="0.2">
      <c r="A187" s="2822"/>
      <c r="B187" s="19" t="s">
        <v>237</v>
      </c>
      <c r="C187" s="2869" t="s">
        <v>392</v>
      </c>
      <c r="D187" s="2844">
        <v>30000000</v>
      </c>
      <c r="E187" s="2867">
        <v>0.05</v>
      </c>
      <c r="F187" s="2817">
        <f>D187*E187</f>
        <v>1500000</v>
      </c>
      <c r="G187" s="2844">
        <v>1500000</v>
      </c>
      <c r="H187" s="2844" t="s">
        <v>4875</v>
      </c>
      <c r="I187" s="2844" t="s">
        <v>3927</v>
      </c>
      <c r="J187" s="2844">
        <f t="shared" si="21"/>
        <v>1500000</v>
      </c>
      <c r="K187" s="2817">
        <f t="shared" si="22"/>
        <v>0</v>
      </c>
      <c r="L187" s="2831"/>
    </row>
    <row r="188" spans="1:12" ht="30" customHeight="1" x14ac:dyDescent="0.2">
      <c r="A188" s="7654">
        <v>112</v>
      </c>
      <c r="B188" s="7652" t="s">
        <v>238</v>
      </c>
      <c r="C188" s="7723" t="s">
        <v>889</v>
      </c>
      <c r="D188" s="2817">
        <v>40000000</v>
      </c>
      <c r="E188" s="2867">
        <v>0.05</v>
      </c>
      <c r="F188" s="2817">
        <f t="shared" si="20"/>
        <v>2000000</v>
      </c>
      <c r="G188" s="8231" t="s">
        <v>4878</v>
      </c>
      <c r="H188" s="8232"/>
      <c r="I188" s="8232"/>
      <c r="J188" s="8233"/>
      <c r="K188" s="2817">
        <f t="shared" si="22"/>
        <v>2000000</v>
      </c>
      <c r="L188" s="2870"/>
    </row>
    <row r="189" spans="1:12" ht="30" customHeight="1" x14ac:dyDescent="0.2">
      <c r="A189" s="7655"/>
      <c r="B189" s="7653"/>
      <c r="C189" s="7724"/>
      <c r="D189" s="2973">
        <v>45000000</v>
      </c>
      <c r="E189" s="2986"/>
      <c r="F189" s="2973"/>
      <c r="G189" s="8231" t="s">
        <v>5898</v>
      </c>
      <c r="H189" s="8232"/>
      <c r="I189" s="8232"/>
      <c r="J189" s="8233"/>
      <c r="K189" s="2973"/>
      <c r="L189" s="2013" t="s">
        <v>4879</v>
      </c>
    </row>
    <row r="190" spans="1:12" ht="30" customHeight="1" x14ac:dyDescent="0.2">
      <c r="A190" s="2822"/>
      <c r="B190" s="2824" t="s">
        <v>239</v>
      </c>
      <c r="C190" s="2869" t="s">
        <v>402</v>
      </c>
      <c r="D190" s="2817">
        <v>250000000</v>
      </c>
      <c r="E190" s="2867">
        <v>0.05</v>
      </c>
      <c r="F190" s="2817">
        <f>D190*E190</f>
        <v>12500000</v>
      </c>
      <c r="G190" s="2844">
        <v>12500000</v>
      </c>
      <c r="H190" s="2844" t="s">
        <v>4891</v>
      </c>
      <c r="I190" s="2844" t="s">
        <v>3989</v>
      </c>
      <c r="J190" s="2844">
        <f t="shared" si="21"/>
        <v>12500000</v>
      </c>
      <c r="K190" s="2817">
        <f t="shared" si="22"/>
        <v>0</v>
      </c>
      <c r="L190" s="2831"/>
    </row>
    <row r="191" spans="1:12" ht="30" customHeight="1" x14ac:dyDescent="0.2">
      <c r="A191" s="2872">
        <v>114</v>
      </c>
      <c r="B191" s="2870" t="s">
        <v>240</v>
      </c>
      <c r="C191" s="2843"/>
      <c r="D191" s="2817">
        <v>100000000</v>
      </c>
      <c r="E191" s="2867">
        <v>4.4999999999999998E-2</v>
      </c>
      <c r="F191" s="2817">
        <f t="shared" si="20"/>
        <v>4500000</v>
      </c>
      <c r="G191" s="2817"/>
      <c r="H191" s="2817"/>
      <c r="I191" s="84"/>
      <c r="J191" s="2817">
        <f>G191</f>
        <v>0</v>
      </c>
      <c r="K191" s="2817">
        <f>F191-J191</f>
        <v>4500000</v>
      </c>
      <c r="L191" s="2870"/>
    </row>
    <row r="192" spans="1:12" ht="30" customHeight="1" x14ac:dyDescent="0.2">
      <c r="A192" s="8143">
        <v>115</v>
      </c>
      <c r="B192" s="8132" t="s">
        <v>241</v>
      </c>
      <c r="C192" s="8134" t="s">
        <v>1138</v>
      </c>
      <c r="D192" s="3350">
        <v>20000000</v>
      </c>
      <c r="E192" s="3356">
        <v>0.05</v>
      </c>
      <c r="F192" s="3350">
        <f t="shared" si="20"/>
        <v>1000000</v>
      </c>
      <c r="G192" s="3351">
        <v>1000000</v>
      </c>
      <c r="H192" s="3351" t="s">
        <v>4839</v>
      </c>
      <c r="I192" s="287" t="s">
        <v>1372</v>
      </c>
      <c r="J192" s="3351">
        <f>G192</f>
        <v>1000000</v>
      </c>
      <c r="K192" s="3351">
        <f>F192-J192</f>
        <v>0</v>
      </c>
      <c r="L192" s="2830"/>
    </row>
    <row r="193" spans="1:12" ht="30" customHeight="1" x14ac:dyDescent="0.2">
      <c r="A193" s="8282"/>
      <c r="B193" s="8281"/>
      <c r="C193" s="8156"/>
      <c r="D193" s="8157" t="s">
        <v>5222</v>
      </c>
      <c r="E193" s="8158"/>
      <c r="F193" s="8159"/>
      <c r="G193" s="3351">
        <v>1000000</v>
      </c>
      <c r="H193" s="8145" t="s">
        <v>5105</v>
      </c>
      <c r="I193" s="8283" t="s">
        <v>5223</v>
      </c>
      <c r="J193" s="8145">
        <f>G194+G193</f>
        <v>21000000</v>
      </c>
      <c r="K193" s="8145">
        <f>21000000-J193</f>
        <v>0</v>
      </c>
      <c r="L193" s="3345"/>
    </row>
    <row r="194" spans="1:12" ht="30" customHeight="1" x14ac:dyDescent="0.2">
      <c r="A194" s="8144"/>
      <c r="B194" s="8133"/>
      <c r="C194" s="8135"/>
      <c r="D194" s="8163"/>
      <c r="E194" s="8164"/>
      <c r="F194" s="8165"/>
      <c r="G194" s="3351">
        <v>20000000</v>
      </c>
      <c r="H194" s="8147"/>
      <c r="I194" s="8284"/>
      <c r="J194" s="8147"/>
      <c r="K194" s="8147"/>
      <c r="L194" s="3345"/>
    </row>
    <row r="195" spans="1:12" ht="30" customHeight="1" x14ac:dyDescent="0.2">
      <c r="A195" s="1028"/>
      <c r="B195" s="19" t="s">
        <v>243</v>
      </c>
      <c r="C195" s="2869" t="s">
        <v>889</v>
      </c>
      <c r="D195" s="2844">
        <v>445000000</v>
      </c>
      <c r="E195" s="2867">
        <v>4.4999999999999998E-2</v>
      </c>
      <c r="F195" s="2844">
        <v>20000000</v>
      </c>
      <c r="G195" s="2817">
        <v>20000000</v>
      </c>
      <c r="H195" s="2817" t="s">
        <v>4860</v>
      </c>
      <c r="I195" s="84" t="s">
        <v>2646</v>
      </c>
      <c r="J195" s="2817">
        <f>G195</f>
        <v>20000000</v>
      </c>
      <c r="K195" s="2817">
        <f>F195-J195</f>
        <v>0</v>
      </c>
      <c r="L195" s="2894"/>
    </row>
    <row r="196" spans="1:12" ht="30" customHeight="1" x14ac:dyDescent="0.2">
      <c r="A196" s="7654">
        <v>118</v>
      </c>
      <c r="B196" s="7652" t="s">
        <v>244</v>
      </c>
      <c r="C196" s="7723" t="s">
        <v>4223</v>
      </c>
      <c r="D196" s="7563">
        <v>33000000</v>
      </c>
      <c r="E196" s="7659">
        <v>0.05</v>
      </c>
      <c r="F196" s="7563">
        <f>D196*E196</f>
        <v>1650000</v>
      </c>
      <c r="G196" s="7563">
        <v>1650000</v>
      </c>
      <c r="H196" s="7563" t="s">
        <v>5083</v>
      </c>
      <c r="I196" s="8148" t="s">
        <v>611</v>
      </c>
      <c r="J196" s="7563">
        <f>G196</f>
        <v>1650000</v>
      </c>
      <c r="K196" s="7563">
        <f>F196-J196</f>
        <v>0</v>
      </c>
      <c r="L196" s="2894"/>
    </row>
    <row r="197" spans="1:12" ht="30" customHeight="1" x14ac:dyDescent="0.2">
      <c r="A197" s="7656"/>
      <c r="B197" s="7665"/>
      <c r="C197" s="7724"/>
      <c r="D197" s="7564"/>
      <c r="E197" s="7660"/>
      <c r="F197" s="7564"/>
      <c r="G197" s="7564"/>
      <c r="H197" s="7564"/>
      <c r="I197" s="8149"/>
      <c r="J197" s="7564"/>
      <c r="K197" s="7564"/>
      <c r="L197" s="2894"/>
    </row>
    <row r="198" spans="1:12" ht="30" customHeight="1" x14ac:dyDescent="0.2">
      <c r="A198" s="3093">
        <v>120</v>
      </c>
      <c r="B198" s="19" t="s">
        <v>246</v>
      </c>
      <c r="C198" s="3110" t="s">
        <v>371</v>
      </c>
      <c r="D198" s="3106">
        <v>617000000</v>
      </c>
      <c r="E198" s="3108">
        <v>7.0000000000000007E-2</v>
      </c>
      <c r="F198" s="3106">
        <v>43200000</v>
      </c>
      <c r="G198" s="3106">
        <v>43200000</v>
      </c>
      <c r="H198" s="3106" t="s">
        <v>5015</v>
      </c>
      <c r="I198" s="3112" t="s">
        <v>2866</v>
      </c>
      <c r="J198" s="3106">
        <f>G198</f>
        <v>43200000</v>
      </c>
      <c r="K198" s="3106">
        <f>F198-J198</f>
        <v>0</v>
      </c>
      <c r="L198" s="3111"/>
    </row>
    <row r="199" spans="1:12" ht="30" customHeight="1" x14ac:dyDescent="0.2">
      <c r="A199" s="2872">
        <v>122</v>
      </c>
      <c r="B199" s="3098" t="s">
        <v>248</v>
      </c>
      <c r="C199" s="2843"/>
      <c r="D199" s="2817">
        <v>50000000</v>
      </c>
      <c r="E199" s="3097">
        <v>4.4999999999999998E-2</v>
      </c>
      <c r="F199" s="2817">
        <f t="shared" si="20"/>
        <v>2250000</v>
      </c>
      <c r="G199" s="2817">
        <v>2250000</v>
      </c>
      <c r="H199" s="2817" t="s">
        <v>5009</v>
      </c>
      <c r="I199" s="3107" t="s">
        <v>5010</v>
      </c>
      <c r="J199" s="2817">
        <f>G199</f>
        <v>2250000</v>
      </c>
      <c r="K199" s="2817">
        <f>F199-J199</f>
        <v>0</v>
      </c>
      <c r="L199" s="2870"/>
    </row>
    <row r="200" spans="1:12" ht="30" customHeight="1" x14ac:dyDescent="0.2">
      <c r="A200" s="7654">
        <v>123</v>
      </c>
      <c r="B200" s="7652" t="s">
        <v>1650</v>
      </c>
      <c r="C200" s="7723" t="s">
        <v>1176</v>
      </c>
      <c r="D200" s="2844">
        <v>60000000</v>
      </c>
      <c r="E200" s="2867">
        <v>0.05</v>
      </c>
      <c r="F200" s="2844">
        <f t="shared" si="20"/>
        <v>3000000</v>
      </c>
      <c r="G200" s="7563">
        <v>7000000</v>
      </c>
      <c r="H200" s="7563" t="s">
        <v>5015</v>
      </c>
      <c r="I200" s="7561" t="s">
        <v>2776</v>
      </c>
      <c r="J200" s="7563">
        <f>G200</f>
        <v>7000000</v>
      </c>
      <c r="K200" s="7563">
        <f>(F200+F201+F202)-G200</f>
        <v>0</v>
      </c>
      <c r="L200" s="7703"/>
    </row>
    <row r="201" spans="1:12" ht="30" customHeight="1" x14ac:dyDescent="0.2">
      <c r="A201" s="7656"/>
      <c r="B201" s="7665"/>
      <c r="C201" s="7747"/>
      <c r="D201" s="2844">
        <v>20000000</v>
      </c>
      <c r="E201" s="2867">
        <v>7.0000000000000007E-2</v>
      </c>
      <c r="F201" s="2844">
        <f t="shared" si="20"/>
        <v>1400000.0000000002</v>
      </c>
      <c r="G201" s="7586"/>
      <c r="H201" s="7586"/>
      <c r="I201" s="7672"/>
      <c r="J201" s="7586"/>
      <c r="K201" s="7586"/>
      <c r="L201" s="7704"/>
    </row>
    <row r="202" spans="1:12" ht="30" customHeight="1" x14ac:dyDescent="0.2">
      <c r="A202" s="7656"/>
      <c r="B202" s="7653"/>
      <c r="C202" s="7724"/>
      <c r="D202" s="2844">
        <v>52000000</v>
      </c>
      <c r="E202" s="2867">
        <v>0.05</v>
      </c>
      <c r="F202" s="2844">
        <f>D202*E202</f>
        <v>2600000</v>
      </c>
      <c r="G202" s="7564"/>
      <c r="H202" s="7564"/>
      <c r="I202" s="7562"/>
      <c r="J202" s="7564"/>
      <c r="K202" s="7564"/>
      <c r="L202" s="3165"/>
    </row>
    <row r="203" spans="1:12" ht="30" customHeight="1" x14ac:dyDescent="0.2">
      <c r="A203" s="7654">
        <v>124</v>
      </c>
      <c r="B203" s="7652" t="s">
        <v>250</v>
      </c>
      <c r="C203" s="7723" t="s">
        <v>392</v>
      </c>
      <c r="D203" s="2817">
        <v>200000000</v>
      </c>
      <c r="E203" s="2819">
        <v>0.05</v>
      </c>
      <c r="F203" s="2817">
        <f t="shared" si="20"/>
        <v>10000000</v>
      </c>
      <c r="G203" s="7563">
        <v>50000000</v>
      </c>
      <c r="H203" s="7563" t="s">
        <v>4939</v>
      </c>
      <c r="I203" s="7772" t="s">
        <v>1401</v>
      </c>
      <c r="J203" s="7563">
        <f t="shared" ref="J203:J216" si="23">G203</f>
        <v>50000000</v>
      </c>
      <c r="K203" s="7563">
        <f>(F203+F204)-J203</f>
        <v>-4000000</v>
      </c>
      <c r="L203" s="3000"/>
    </row>
    <row r="204" spans="1:12" ht="30" customHeight="1" x14ac:dyDescent="0.2">
      <c r="A204" s="7655"/>
      <c r="B204" s="7653"/>
      <c r="C204" s="7724"/>
      <c r="D204" s="3002">
        <v>600000000</v>
      </c>
      <c r="E204" s="3003">
        <v>0.06</v>
      </c>
      <c r="F204" s="3002">
        <f t="shared" si="20"/>
        <v>36000000</v>
      </c>
      <c r="G204" s="7564"/>
      <c r="H204" s="7564"/>
      <c r="I204" s="7773"/>
      <c r="J204" s="7564"/>
      <c r="K204" s="7564"/>
      <c r="L204" s="3001"/>
    </row>
    <row r="205" spans="1:12" ht="30" customHeight="1" x14ac:dyDescent="0.2">
      <c r="A205" s="7654">
        <v>125</v>
      </c>
      <c r="B205" s="7652" t="s">
        <v>251</v>
      </c>
      <c r="C205" s="378"/>
      <c r="D205" s="2844">
        <v>160000000</v>
      </c>
      <c r="E205" s="2867">
        <v>7.0000000000000007E-2</v>
      </c>
      <c r="F205" s="2844">
        <v>11000000</v>
      </c>
      <c r="G205" s="2817">
        <v>11000000</v>
      </c>
      <c r="H205" s="2817" t="s">
        <v>4920</v>
      </c>
      <c r="I205" s="21" t="s">
        <v>4926</v>
      </c>
      <c r="J205" s="2817">
        <f t="shared" si="23"/>
        <v>11000000</v>
      </c>
      <c r="K205" s="2817">
        <f t="shared" ref="K205:K216" si="24">F205-J205</f>
        <v>0</v>
      </c>
      <c r="L205" s="2013" t="s">
        <v>4927</v>
      </c>
    </row>
    <row r="206" spans="1:12" ht="30" customHeight="1" x14ac:dyDescent="0.2">
      <c r="A206" s="7656"/>
      <c r="B206" s="7665"/>
      <c r="C206" s="7723" t="s">
        <v>1287</v>
      </c>
      <c r="D206" s="7563">
        <v>100000000</v>
      </c>
      <c r="E206" s="7659">
        <v>0.06</v>
      </c>
      <c r="F206" s="7563">
        <f>D206*E206</f>
        <v>6000000</v>
      </c>
      <c r="G206" s="7732" t="s">
        <v>4855</v>
      </c>
      <c r="H206" s="7733"/>
      <c r="I206" s="7733"/>
      <c r="J206" s="7734"/>
      <c r="K206" s="2973"/>
      <c r="L206" s="2987"/>
    </row>
    <row r="207" spans="1:12" ht="30" customHeight="1" x14ac:dyDescent="0.2">
      <c r="A207" s="7655"/>
      <c r="B207" s="7653"/>
      <c r="C207" s="7724"/>
      <c r="D207" s="7564"/>
      <c r="E207" s="7660"/>
      <c r="F207" s="7564"/>
      <c r="G207" s="3190">
        <v>2400000</v>
      </c>
      <c r="H207" s="3190" t="s">
        <v>5043</v>
      </c>
      <c r="I207" s="3190" t="s">
        <v>1630</v>
      </c>
      <c r="J207" s="3190">
        <f>G207</f>
        <v>2400000</v>
      </c>
      <c r="K207" s="3182"/>
      <c r="L207" s="2013" t="s">
        <v>5123</v>
      </c>
    </row>
    <row r="208" spans="1:12" ht="30" customHeight="1" x14ac:dyDescent="0.2">
      <c r="A208" s="2999"/>
      <c r="B208" s="19" t="s">
        <v>4853</v>
      </c>
      <c r="C208" s="2988" t="s">
        <v>1287</v>
      </c>
      <c r="D208" s="2983">
        <v>100000000</v>
      </c>
      <c r="E208" s="2986"/>
      <c r="F208" s="2983"/>
      <c r="G208" s="7732" t="s">
        <v>4854</v>
      </c>
      <c r="H208" s="7733"/>
      <c r="I208" s="7733"/>
      <c r="J208" s="7734"/>
      <c r="K208" s="2973"/>
      <c r="L208" s="86" t="s">
        <v>4852</v>
      </c>
    </row>
    <row r="209" spans="1:12" ht="30" customHeight="1" x14ac:dyDescent="0.2">
      <c r="A209" s="2821">
        <v>127</v>
      </c>
      <c r="B209" s="2865" t="s">
        <v>253</v>
      </c>
      <c r="C209" s="2869" t="s">
        <v>889</v>
      </c>
      <c r="D209" s="2844">
        <v>800000000</v>
      </c>
      <c r="E209" s="2867">
        <v>0.05</v>
      </c>
      <c r="F209" s="2844">
        <f t="shared" si="20"/>
        <v>40000000</v>
      </c>
      <c r="G209" s="2844">
        <v>40000000</v>
      </c>
      <c r="H209" s="2844" t="s">
        <v>4874</v>
      </c>
      <c r="I209" s="2864" t="s">
        <v>2540</v>
      </c>
      <c r="J209" s="2844">
        <f t="shared" si="23"/>
        <v>40000000</v>
      </c>
      <c r="K209" s="2844">
        <f t="shared" si="24"/>
        <v>0</v>
      </c>
      <c r="L209" s="3188"/>
    </row>
    <row r="210" spans="1:12" ht="30" customHeight="1" x14ac:dyDescent="0.2">
      <c r="A210" s="2872">
        <v>128</v>
      </c>
      <c r="B210" s="2870" t="s">
        <v>254</v>
      </c>
      <c r="C210" s="2843"/>
      <c r="D210" s="2834"/>
      <c r="E210" s="2835"/>
      <c r="F210" s="2834">
        <f t="shared" si="20"/>
        <v>0</v>
      </c>
      <c r="G210" s="2817"/>
      <c r="H210" s="2817"/>
      <c r="I210" s="21"/>
      <c r="J210" s="2817">
        <f t="shared" si="23"/>
        <v>0</v>
      </c>
      <c r="K210" s="2834">
        <f t="shared" si="24"/>
        <v>0</v>
      </c>
      <c r="L210" s="2870"/>
    </row>
    <row r="211" spans="1:12" ht="30" customHeight="1" x14ac:dyDescent="0.2">
      <c r="A211" s="2872">
        <v>129</v>
      </c>
      <c r="B211" s="3322" t="s">
        <v>255</v>
      </c>
      <c r="C211" s="3024" t="s">
        <v>1107</v>
      </c>
      <c r="D211" s="2548">
        <v>200000000</v>
      </c>
      <c r="E211" s="2549">
        <v>0.06</v>
      </c>
      <c r="F211" s="2548">
        <f>D211*E211</f>
        <v>12000000</v>
      </c>
      <c r="G211" s="3315"/>
      <c r="H211" s="3315"/>
      <c r="I211" s="287" t="s">
        <v>3252</v>
      </c>
      <c r="J211" s="3315">
        <f t="shared" si="23"/>
        <v>0</v>
      </c>
      <c r="K211" s="3315">
        <f t="shared" si="24"/>
        <v>12000000</v>
      </c>
      <c r="L211" s="3323"/>
    </row>
    <row r="212" spans="1:12" ht="30" customHeight="1" x14ac:dyDescent="0.2">
      <c r="A212" s="7654"/>
      <c r="B212" s="7652" t="s">
        <v>5214</v>
      </c>
      <c r="C212" s="7723"/>
      <c r="D212" s="3312">
        <v>200000000</v>
      </c>
      <c r="E212" s="3313">
        <v>0.06</v>
      </c>
      <c r="F212" s="3312">
        <f>D212*E212</f>
        <v>12000000</v>
      </c>
      <c r="G212" s="7563">
        <v>16000000</v>
      </c>
      <c r="H212" s="7563" t="s">
        <v>5106</v>
      </c>
      <c r="I212" s="7561" t="s">
        <v>5314</v>
      </c>
      <c r="J212" s="7563">
        <f>G212</f>
        <v>16000000</v>
      </c>
      <c r="K212" s="7563">
        <f>F214-J212</f>
        <v>0</v>
      </c>
      <c r="L212" s="3309"/>
    </row>
    <row r="213" spans="1:12" ht="30" customHeight="1" x14ac:dyDescent="0.2">
      <c r="A213" s="7656"/>
      <c r="B213" s="7665"/>
      <c r="C213" s="7747"/>
      <c r="D213" s="3312">
        <v>70000000</v>
      </c>
      <c r="E213" s="3313">
        <v>0.06</v>
      </c>
      <c r="F213" s="3312">
        <f>D213*E213</f>
        <v>4200000</v>
      </c>
      <c r="G213" s="7586"/>
      <c r="H213" s="7586"/>
      <c r="I213" s="7672"/>
      <c r="J213" s="7586"/>
      <c r="K213" s="7586"/>
      <c r="L213" s="3314"/>
    </row>
    <row r="214" spans="1:12" ht="30" customHeight="1" x14ac:dyDescent="0.2">
      <c r="A214" s="7655"/>
      <c r="B214" s="7653"/>
      <c r="C214" s="7724"/>
      <c r="D214" s="3319">
        <v>270000000</v>
      </c>
      <c r="E214" s="896">
        <v>0.06</v>
      </c>
      <c r="F214" s="3319">
        <v>16000000</v>
      </c>
      <c r="G214" s="7564"/>
      <c r="H214" s="7564"/>
      <c r="I214" s="7562"/>
      <c r="J214" s="7564"/>
      <c r="K214" s="7564"/>
      <c r="L214" s="3310"/>
    </row>
    <row r="215" spans="1:12" ht="30" customHeight="1" x14ac:dyDescent="0.2">
      <c r="A215" s="3316"/>
      <c r="B215" s="3296" t="s">
        <v>1171</v>
      </c>
      <c r="C215" s="3295" t="s">
        <v>1299</v>
      </c>
      <c r="D215" s="3288">
        <v>150000000</v>
      </c>
      <c r="E215" s="3294">
        <v>0.05</v>
      </c>
      <c r="F215" s="3288">
        <f>D215*E215</f>
        <v>7500000</v>
      </c>
      <c r="G215" s="3288">
        <v>7500000</v>
      </c>
      <c r="H215" s="3288" t="s">
        <v>5154</v>
      </c>
      <c r="I215" s="3288" t="s">
        <v>1840</v>
      </c>
      <c r="J215" s="3288">
        <f t="shared" si="23"/>
        <v>7500000</v>
      </c>
      <c r="K215" s="3288">
        <f t="shared" si="24"/>
        <v>0</v>
      </c>
      <c r="L215" s="48"/>
    </row>
    <row r="216" spans="1:12" ht="30" customHeight="1" x14ac:dyDescent="0.2">
      <c r="A216" s="7654">
        <v>131</v>
      </c>
      <c r="B216" s="7652" t="s">
        <v>256</v>
      </c>
      <c r="C216" s="7723"/>
      <c r="D216" s="7563">
        <v>400000000</v>
      </c>
      <c r="E216" s="7659">
        <v>0.05</v>
      </c>
      <c r="F216" s="7563">
        <f>D216*E216</f>
        <v>20000000</v>
      </c>
      <c r="G216" s="7563">
        <v>20000000</v>
      </c>
      <c r="H216" s="7563" t="s">
        <v>4920</v>
      </c>
      <c r="I216" s="7563" t="s">
        <v>3436</v>
      </c>
      <c r="J216" s="7563">
        <f t="shared" si="23"/>
        <v>20000000</v>
      </c>
      <c r="K216" s="7563">
        <f t="shared" si="24"/>
        <v>0</v>
      </c>
      <c r="L216" s="3004"/>
    </row>
    <row r="217" spans="1:12" ht="30" customHeight="1" x14ac:dyDescent="0.2">
      <c r="A217" s="7655"/>
      <c r="B217" s="7653"/>
      <c r="C217" s="7724"/>
      <c r="D217" s="7564"/>
      <c r="E217" s="7660"/>
      <c r="F217" s="7564"/>
      <c r="G217" s="7564"/>
      <c r="H217" s="7564"/>
      <c r="I217" s="7564"/>
      <c r="J217" s="7564"/>
      <c r="K217" s="7564"/>
      <c r="L217" s="3009" t="s">
        <v>4013</v>
      </c>
    </row>
    <row r="218" spans="1:12" ht="30" customHeight="1" x14ac:dyDescent="0.2">
      <c r="A218" s="1028"/>
      <c r="B218" s="19" t="s">
        <v>1218</v>
      </c>
      <c r="C218" s="2988" t="s">
        <v>1652</v>
      </c>
      <c r="D218" s="2983">
        <v>490000000</v>
      </c>
      <c r="E218" s="2986">
        <v>0.06</v>
      </c>
      <c r="F218" s="2983">
        <f>D218*E218</f>
        <v>29400000</v>
      </c>
      <c r="G218" s="2983">
        <v>29500000</v>
      </c>
      <c r="H218" s="2983" t="s">
        <v>4891</v>
      </c>
      <c r="I218" s="2983" t="s">
        <v>4897</v>
      </c>
      <c r="J218" s="2983">
        <f>G218</f>
        <v>29500000</v>
      </c>
      <c r="K218" s="2983">
        <f>F218-J218</f>
        <v>-100000</v>
      </c>
      <c r="L218" s="2830" t="s">
        <v>4898</v>
      </c>
    </row>
    <row r="219" spans="1:12" ht="30" customHeight="1" x14ac:dyDescent="0.2">
      <c r="A219" s="2872">
        <v>133</v>
      </c>
      <c r="B219" s="2825" t="s">
        <v>175</v>
      </c>
      <c r="C219" s="2843" t="s">
        <v>1718</v>
      </c>
      <c r="D219" s="2817">
        <v>100000000</v>
      </c>
      <c r="E219" s="2819">
        <v>0.05</v>
      </c>
      <c r="F219" s="2817">
        <f t="shared" ref="F219:F309" si="25">D219*E219</f>
        <v>5000000</v>
      </c>
      <c r="G219" s="2817">
        <v>5000000</v>
      </c>
      <c r="H219" s="2817" t="s">
        <v>5009</v>
      </c>
      <c r="I219" s="21" t="s">
        <v>4412</v>
      </c>
      <c r="J219" s="2817">
        <f>G219</f>
        <v>5000000</v>
      </c>
      <c r="K219" s="2817">
        <f>F219-J219</f>
        <v>0</v>
      </c>
      <c r="L219" s="2830"/>
    </row>
    <row r="220" spans="1:12" ht="30" customHeight="1" x14ac:dyDescent="0.2">
      <c r="A220" s="2821">
        <v>134</v>
      </c>
      <c r="B220" s="2865" t="s">
        <v>166</v>
      </c>
      <c r="C220" s="2869" t="s">
        <v>1652</v>
      </c>
      <c r="D220" s="2844">
        <v>110000000</v>
      </c>
      <c r="E220" s="2867">
        <v>0.04</v>
      </c>
      <c r="F220" s="2844">
        <f t="shared" si="25"/>
        <v>4400000</v>
      </c>
      <c r="G220" s="2817">
        <v>4400000</v>
      </c>
      <c r="H220" s="2817" t="s">
        <v>4936</v>
      </c>
      <c r="I220" s="21" t="s">
        <v>4099</v>
      </c>
      <c r="J220" s="2816">
        <f>G220</f>
        <v>4400000</v>
      </c>
      <c r="K220" s="2816">
        <f>F220-J220</f>
        <v>0</v>
      </c>
      <c r="L220" s="2839"/>
    </row>
    <row r="221" spans="1:12" ht="30" customHeight="1" x14ac:dyDescent="0.2">
      <c r="A221" s="7654">
        <v>135</v>
      </c>
      <c r="B221" s="7652" t="s">
        <v>4363</v>
      </c>
      <c r="C221" s="2869" t="s">
        <v>392</v>
      </c>
      <c r="D221" s="2817">
        <v>100000000</v>
      </c>
      <c r="E221" s="2867">
        <v>0.05</v>
      </c>
      <c r="F221" s="2817">
        <f t="shared" si="25"/>
        <v>5000000</v>
      </c>
      <c r="G221" s="2817">
        <v>5000000</v>
      </c>
      <c r="H221" s="2817" t="s">
        <v>4846</v>
      </c>
      <c r="I221" s="26" t="s">
        <v>1549</v>
      </c>
      <c r="J221" s="7563">
        <f>G221+G222</f>
        <v>11000000</v>
      </c>
      <c r="K221" s="7563">
        <f>(F221+F222)-J221</f>
        <v>0</v>
      </c>
      <c r="L221" s="7703"/>
    </row>
    <row r="222" spans="1:12" ht="30" customHeight="1" x14ac:dyDescent="0.2">
      <c r="A222" s="7655"/>
      <c r="B222" s="7665"/>
      <c r="C222" s="2869" t="s">
        <v>1299</v>
      </c>
      <c r="D222" s="2817">
        <v>124000000</v>
      </c>
      <c r="E222" s="2867">
        <v>4.9000000000000002E-2</v>
      </c>
      <c r="F222" s="2817">
        <v>6000000</v>
      </c>
      <c r="G222" s="2817">
        <v>6000000</v>
      </c>
      <c r="H222" s="2817" t="s">
        <v>5174</v>
      </c>
      <c r="I222" s="52" t="s">
        <v>1549</v>
      </c>
      <c r="J222" s="7564"/>
      <c r="K222" s="7564"/>
      <c r="L222" s="7705"/>
    </row>
    <row r="223" spans="1:12" ht="30" customHeight="1" x14ac:dyDescent="0.2">
      <c r="A223" s="3055"/>
      <c r="B223" s="7653"/>
      <c r="C223" s="3063" t="s">
        <v>392</v>
      </c>
      <c r="D223" s="3058">
        <v>100000000</v>
      </c>
      <c r="E223" s="3053">
        <v>0.05</v>
      </c>
      <c r="F223" s="3058">
        <f>D223*E223</f>
        <v>5000000</v>
      </c>
      <c r="G223" s="3052"/>
      <c r="H223" s="3052"/>
      <c r="I223" s="52"/>
      <c r="J223" s="3052"/>
      <c r="K223" s="3052"/>
      <c r="L223" s="3056" t="s">
        <v>4966</v>
      </c>
    </row>
    <row r="224" spans="1:12" ht="30" customHeight="1" x14ac:dyDescent="0.2">
      <c r="A224" s="7654">
        <v>136</v>
      </c>
      <c r="B224" s="7652" t="s">
        <v>4002</v>
      </c>
      <c r="C224" s="7873"/>
      <c r="D224" s="7677"/>
      <c r="E224" s="7691"/>
      <c r="F224" s="7677">
        <f t="shared" si="25"/>
        <v>0</v>
      </c>
      <c r="G224" s="2817"/>
      <c r="H224" s="2817"/>
      <c r="I224" s="24" t="s">
        <v>3968</v>
      </c>
      <c r="J224" s="2817">
        <f>G224</f>
        <v>0</v>
      </c>
      <c r="K224" s="2834">
        <f>F224-J224</f>
        <v>0</v>
      </c>
      <c r="L224" s="2830"/>
    </row>
    <row r="225" spans="1:12" ht="30" customHeight="1" x14ac:dyDescent="0.2">
      <c r="A225" s="7656"/>
      <c r="B225" s="7665"/>
      <c r="C225" s="7873"/>
      <c r="D225" s="7690"/>
      <c r="E225" s="7692"/>
      <c r="F225" s="7690"/>
      <c r="G225" s="2844"/>
      <c r="H225" s="2844"/>
      <c r="I225" s="234" t="s">
        <v>3968</v>
      </c>
      <c r="J225" s="2844">
        <f>G225</f>
        <v>0</v>
      </c>
      <c r="K225" s="2815"/>
      <c r="L225" s="2894"/>
    </row>
    <row r="226" spans="1:12" ht="30" customHeight="1" x14ac:dyDescent="0.2">
      <c r="A226" s="7655"/>
      <c r="B226" s="7653"/>
      <c r="C226" s="7873"/>
      <c r="D226" s="7678"/>
      <c r="E226" s="7693"/>
      <c r="F226" s="7678"/>
      <c r="G226" s="2910"/>
      <c r="H226" s="2910"/>
      <c r="I226" s="2910"/>
      <c r="J226" s="2910"/>
      <c r="K226" s="2815"/>
      <c r="L226" s="2894"/>
    </row>
    <row r="227" spans="1:12" ht="30" customHeight="1" x14ac:dyDescent="0.2">
      <c r="A227" s="2821"/>
      <c r="B227" s="2824" t="s">
        <v>257</v>
      </c>
      <c r="C227" s="2845" t="s">
        <v>1652</v>
      </c>
      <c r="D227" s="2817">
        <v>100000000</v>
      </c>
      <c r="E227" s="2867">
        <v>0.05</v>
      </c>
      <c r="F227" s="2817">
        <f>D227*E227</f>
        <v>5000000</v>
      </c>
      <c r="G227" s="2827">
        <v>5000000</v>
      </c>
      <c r="H227" s="2827" t="s">
        <v>4920</v>
      </c>
      <c r="I227" s="1610" t="s">
        <v>4003</v>
      </c>
      <c r="J227" s="2827">
        <f>G227</f>
        <v>5000000</v>
      </c>
      <c r="K227" s="2827">
        <f>F227-J227</f>
        <v>0</v>
      </c>
      <c r="L227" s="2849"/>
    </row>
    <row r="228" spans="1:12" ht="30" customHeight="1" x14ac:dyDescent="0.2">
      <c r="A228" s="7654"/>
      <c r="B228" s="7652" t="s">
        <v>179</v>
      </c>
      <c r="C228" s="7723" t="s">
        <v>1176</v>
      </c>
      <c r="D228" s="2844">
        <v>80000000</v>
      </c>
      <c r="E228" s="2867">
        <v>0.05</v>
      </c>
      <c r="F228" s="2844">
        <f>D228*E228</f>
        <v>4000000</v>
      </c>
      <c r="G228" s="7563">
        <v>6100000</v>
      </c>
      <c r="H228" s="7563" t="s">
        <v>4936</v>
      </c>
      <c r="I228" s="7563" t="s">
        <v>1711</v>
      </c>
      <c r="J228" s="7563">
        <f>G228</f>
        <v>6100000</v>
      </c>
      <c r="K228" s="7563">
        <f>(F228+F229)-J228</f>
        <v>0</v>
      </c>
      <c r="L228" s="7713"/>
    </row>
    <row r="229" spans="1:12" ht="30" customHeight="1" x14ac:dyDescent="0.2">
      <c r="A229" s="7655"/>
      <c r="B229" s="7653"/>
      <c r="C229" s="7724"/>
      <c r="D229" s="2816">
        <v>30000000</v>
      </c>
      <c r="E229" s="2818">
        <v>7.0000000000000007E-2</v>
      </c>
      <c r="F229" s="2816">
        <f>D229*E229</f>
        <v>2100000</v>
      </c>
      <c r="G229" s="7564"/>
      <c r="H229" s="7564"/>
      <c r="I229" s="7564"/>
      <c r="J229" s="7564"/>
      <c r="K229" s="7564"/>
      <c r="L229" s="7714"/>
    </row>
    <row r="230" spans="1:12" ht="30" customHeight="1" x14ac:dyDescent="0.2">
      <c r="A230" s="7654">
        <v>138</v>
      </c>
      <c r="B230" s="2916" t="s">
        <v>259</v>
      </c>
      <c r="C230" s="7873" t="s">
        <v>1172</v>
      </c>
      <c r="D230" s="2910">
        <v>1429600000</v>
      </c>
      <c r="E230" s="2912">
        <v>6.5000000000000002E-2</v>
      </c>
      <c r="F230" s="2910">
        <f>D230*E230</f>
        <v>92924000</v>
      </c>
      <c r="G230" s="8000" t="s">
        <v>4819</v>
      </c>
      <c r="H230" s="8000"/>
      <c r="I230" s="8000"/>
      <c r="J230" s="7768">
        <f>D231+G232</f>
        <v>93400000</v>
      </c>
      <c r="K230" s="7482">
        <v>0</v>
      </c>
      <c r="L230" s="7797" t="s">
        <v>4810</v>
      </c>
    </row>
    <row r="231" spans="1:12" ht="30" customHeight="1" x14ac:dyDescent="0.2">
      <c r="A231" s="7656"/>
      <c r="B231" s="2917"/>
      <c r="C231" s="7873"/>
      <c r="D231" s="2901">
        <v>70400000</v>
      </c>
      <c r="E231" s="2902"/>
      <c r="F231" s="2901"/>
      <c r="G231" s="8000"/>
      <c r="H231" s="8000"/>
      <c r="I231" s="8000"/>
      <c r="J231" s="7878"/>
      <c r="K231" s="7482"/>
      <c r="L231" s="7714"/>
    </row>
    <row r="232" spans="1:12" ht="30" customHeight="1" x14ac:dyDescent="0.2">
      <c r="A232" s="7656"/>
      <c r="B232" s="2917"/>
      <c r="C232" s="7873"/>
      <c r="D232" s="7470" t="s">
        <v>4933</v>
      </c>
      <c r="E232" s="7493"/>
      <c r="F232" s="7510"/>
      <c r="G232" s="2910">
        <v>23000000</v>
      </c>
      <c r="H232" s="2910" t="s">
        <v>4920</v>
      </c>
      <c r="I232" s="2910" t="s">
        <v>4932</v>
      </c>
      <c r="J232" s="7770"/>
      <c r="K232" s="7482"/>
      <c r="L232" s="2920"/>
    </row>
    <row r="233" spans="1:12" ht="30" customHeight="1" x14ac:dyDescent="0.2">
      <c r="A233" s="7656"/>
      <c r="B233" s="2917"/>
      <c r="C233" s="7873"/>
      <c r="D233" s="2923">
        <f>D230+D231</f>
        <v>1500000000</v>
      </c>
      <c r="E233" s="2924">
        <v>7.0000000000000007E-2</v>
      </c>
      <c r="F233" s="2923">
        <f>D233*E233</f>
        <v>105000000.00000001</v>
      </c>
      <c r="G233" s="8099" t="s">
        <v>4818</v>
      </c>
      <c r="H233" s="8100"/>
      <c r="I233" s="8100"/>
      <c r="J233" s="8101"/>
      <c r="K233" s="7"/>
      <c r="L233" s="180" t="s">
        <v>4811</v>
      </c>
    </row>
    <row r="234" spans="1:12" ht="30" customHeight="1" x14ac:dyDescent="0.2">
      <c r="A234" s="2872">
        <v>139</v>
      </c>
      <c r="B234" s="19" t="s">
        <v>160</v>
      </c>
      <c r="C234" s="2843" t="s">
        <v>1718</v>
      </c>
      <c r="D234" s="2844">
        <v>110000000</v>
      </c>
      <c r="E234" s="2867">
        <v>0.05</v>
      </c>
      <c r="F234" s="2844">
        <f t="shared" si="25"/>
        <v>5500000</v>
      </c>
      <c r="G234" s="2817">
        <v>5500000</v>
      </c>
      <c r="H234" s="2817" t="s">
        <v>4939</v>
      </c>
      <c r="I234" s="26" t="s">
        <v>2757</v>
      </c>
      <c r="J234" s="2844">
        <f>G234</f>
        <v>5500000</v>
      </c>
      <c r="K234" s="2844">
        <f>F234-J234</f>
        <v>0</v>
      </c>
      <c r="L234" s="19"/>
    </row>
    <row r="235" spans="1:12" ht="30" customHeight="1" x14ac:dyDescent="0.2">
      <c r="A235" s="2872"/>
      <c r="B235" s="19" t="s">
        <v>2270</v>
      </c>
      <c r="C235" s="2843" t="s">
        <v>262</v>
      </c>
      <c r="D235" s="2844">
        <v>50000000</v>
      </c>
      <c r="E235" s="2867">
        <v>0.05</v>
      </c>
      <c r="F235" s="2844">
        <f>D235*E235</f>
        <v>2500000</v>
      </c>
      <c r="G235" s="2817">
        <v>2500000</v>
      </c>
      <c r="H235" s="2817" t="s">
        <v>5083</v>
      </c>
      <c r="I235" s="26" t="s">
        <v>2757</v>
      </c>
      <c r="J235" s="2844">
        <f>G235</f>
        <v>2500000</v>
      </c>
      <c r="K235" s="2844">
        <f>F235-J235</f>
        <v>0</v>
      </c>
      <c r="L235" s="19"/>
    </row>
    <row r="236" spans="1:12" ht="30" customHeight="1" x14ac:dyDescent="0.2">
      <c r="A236" s="2872">
        <v>140</v>
      </c>
      <c r="B236" s="2870" t="s">
        <v>533</v>
      </c>
      <c r="C236" s="2843" t="s">
        <v>372</v>
      </c>
      <c r="D236" s="2817">
        <v>150000000</v>
      </c>
      <c r="E236" s="2867">
        <v>0.04</v>
      </c>
      <c r="F236" s="2817">
        <f t="shared" si="25"/>
        <v>6000000</v>
      </c>
      <c r="G236" s="2817">
        <v>6000000</v>
      </c>
      <c r="H236" s="2817" t="s">
        <v>4936</v>
      </c>
      <c r="I236" s="18" t="s">
        <v>2682</v>
      </c>
      <c r="J236" s="2817">
        <f>G236</f>
        <v>6000000</v>
      </c>
      <c r="K236" s="2817">
        <f>F236-J236</f>
        <v>0</v>
      </c>
      <c r="L236" s="2870"/>
    </row>
    <row r="237" spans="1:12" ht="30" customHeight="1" x14ac:dyDescent="0.2">
      <c r="A237" s="1028">
        <v>141</v>
      </c>
      <c r="B237" s="19" t="s">
        <v>7</v>
      </c>
      <c r="C237" s="2915"/>
      <c r="D237" s="2910">
        <v>30000000</v>
      </c>
      <c r="E237" s="2912">
        <v>0.05</v>
      </c>
      <c r="F237" s="2910">
        <f t="shared" si="25"/>
        <v>1500000</v>
      </c>
      <c r="G237" s="2817"/>
      <c r="H237" s="2817"/>
      <c r="I237" s="21" t="s">
        <v>535</v>
      </c>
      <c r="J237" s="2817">
        <f>G237</f>
        <v>0</v>
      </c>
      <c r="K237" s="2817">
        <f>F237-J237</f>
        <v>1500000</v>
      </c>
      <c r="L237" s="2830"/>
    </row>
    <row r="238" spans="1:12" ht="30" customHeight="1" x14ac:dyDescent="0.2">
      <c r="A238" s="7654">
        <v>142</v>
      </c>
      <c r="B238" s="7652" t="s">
        <v>8</v>
      </c>
      <c r="C238" s="7723"/>
      <c r="D238" s="7563">
        <v>2000000000</v>
      </c>
      <c r="E238" s="7659">
        <v>0.08</v>
      </c>
      <c r="F238" s="7563">
        <f>D238*E238</f>
        <v>160000000</v>
      </c>
      <c r="G238" s="2910">
        <v>23000000</v>
      </c>
      <c r="H238" s="7494" t="s">
        <v>4820</v>
      </c>
      <c r="I238" s="7768"/>
      <c r="J238" s="7482"/>
      <c r="K238" s="7482"/>
      <c r="L238" s="7713" t="s">
        <v>4719</v>
      </c>
    </row>
    <row r="239" spans="1:12" ht="30" customHeight="1" x14ac:dyDescent="0.2">
      <c r="A239" s="7656"/>
      <c r="B239" s="7665"/>
      <c r="C239" s="7747"/>
      <c r="D239" s="7586"/>
      <c r="E239" s="7676"/>
      <c r="F239" s="7586"/>
      <c r="G239" s="2901">
        <v>50000000</v>
      </c>
      <c r="H239" s="7769"/>
      <c r="I239" s="7770"/>
      <c r="J239" s="7482"/>
      <c r="K239" s="7482"/>
      <c r="L239" s="7797"/>
    </row>
    <row r="240" spans="1:12" ht="30" customHeight="1" x14ac:dyDescent="0.2">
      <c r="A240" s="7656"/>
      <c r="B240" s="7665"/>
      <c r="C240" s="7747"/>
      <c r="D240" s="7586"/>
      <c r="E240" s="7676"/>
      <c r="F240" s="7586"/>
      <c r="G240" s="2817">
        <v>20000000</v>
      </c>
      <c r="H240" s="2817"/>
      <c r="I240" s="2864" t="s">
        <v>1937</v>
      </c>
      <c r="J240" s="7482"/>
      <c r="K240" s="7482"/>
      <c r="L240" s="7797"/>
    </row>
    <row r="241" spans="1:12" ht="30" customHeight="1" x14ac:dyDescent="0.2">
      <c r="A241" s="7656"/>
      <c r="B241" s="7665"/>
      <c r="C241" s="7747"/>
      <c r="D241" s="7586"/>
      <c r="E241" s="7676"/>
      <c r="F241" s="7586"/>
      <c r="G241" s="3394">
        <v>100000000</v>
      </c>
      <c r="H241" s="3394" t="s">
        <v>5105</v>
      </c>
      <c r="I241" s="909" t="s">
        <v>1937</v>
      </c>
      <c r="J241" s="7482"/>
      <c r="K241" s="7482"/>
      <c r="L241" s="7797"/>
    </row>
    <row r="242" spans="1:12" ht="30" customHeight="1" x14ac:dyDescent="0.2">
      <c r="A242" s="7656"/>
      <c r="B242" s="7665"/>
      <c r="C242" s="7747"/>
      <c r="D242" s="7586"/>
      <c r="E242" s="7676"/>
      <c r="F242" s="7586"/>
      <c r="G242" s="3386">
        <v>49950000</v>
      </c>
      <c r="H242" s="3386" t="s">
        <v>5105</v>
      </c>
      <c r="I242" s="3407" t="s">
        <v>1937</v>
      </c>
      <c r="J242" s="7482"/>
      <c r="K242" s="7482"/>
      <c r="L242" s="7797"/>
    </row>
    <row r="243" spans="1:12" ht="30" customHeight="1" x14ac:dyDescent="0.2">
      <c r="A243" s="7656"/>
      <c r="B243" s="7665"/>
      <c r="C243" s="7747"/>
      <c r="D243" s="7586"/>
      <c r="E243" s="7676"/>
      <c r="F243" s="7586"/>
      <c r="G243" s="3386">
        <v>4000</v>
      </c>
      <c r="H243" s="3386" t="s">
        <v>5105</v>
      </c>
      <c r="I243" s="3407" t="s">
        <v>1937</v>
      </c>
      <c r="J243" s="7482"/>
      <c r="K243" s="7482"/>
      <c r="L243" s="7797"/>
    </row>
    <row r="244" spans="1:12" ht="30" customHeight="1" x14ac:dyDescent="0.2">
      <c r="A244" s="7656"/>
      <c r="B244" s="7665"/>
      <c r="C244" s="7747"/>
      <c r="D244" s="7586"/>
      <c r="E244" s="7676"/>
      <c r="F244" s="7586"/>
      <c r="G244" s="3386">
        <v>40000</v>
      </c>
      <c r="H244" s="3386" t="s">
        <v>5105</v>
      </c>
      <c r="I244" s="3407" t="s">
        <v>1937</v>
      </c>
      <c r="J244" s="7482"/>
      <c r="K244" s="7482"/>
      <c r="L244" s="7797"/>
    </row>
    <row r="245" spans="1:12" ht="30" customHeight="1" x14ac:dyDescent="0.2">
      <c r="A245" s="7656"/>
      <c r="B245" s="7665"/>
      <c r="C245" s="7747"/>
      <c r="D245" s="7586"/>
      <c r="E245" s="7676"/>
      <c r="F245" s="7586"/>
      <c r="G245" s="3386">
        <v>50000000</v>
      </c>
      <c r="H245" s="3386" t="s">
        <v>5105</v>
      </c>
      <c r="I245" s="3407" t="s">
        <v>1937</v>
      </c>
      <c r="J245" s="7482"/>
      <c r="K245" s="7482"/>
      <c r="L245" s="7797"/>
    </row>
    <row r="246" spans="1:12" ht="30" customHeight="1" x14ac:dyDescent="0.2">
      <c r="A246" s="7656"/>
      <c r="B246" s="7665"/>
      <c r="C246" s="7747"/>
      <c r="D246" s="7586"/>
      <c r="E246" s="7676"/>
      <c r="F246" s="7586"/>
      <c r="G246" s="3386"/>
      <c r="H246" s="3386"/>
      <c r="I246" s="3407"/>
      <c r="J246" s="7482"/>
      <c r="K246" s="7482"/>
      <c r="L246" s="7797"/>
    </row>
    <row r="247" spans="1:12" ht="30" customHeight="1" x14ac:dyDescent="0.2">
      <c r="A247" s="7656"/>
      <c r="B247" s="7665"/>
      <c r="C247" s="7747"/>
      <c r="D247" s="7586"/>
      <c r="E247" s="7676"/>
      <c r="F247" s="7586"/>
      <c r="G247" s="2817"/>
      <c r="H247" s="2817"/>
      <c r="I247" s="2844"/>
      <c r="J247" s="7482"/>
      <c r="K247" s="7482"/>
      <c r="L247" s="7797"/>
    </row>
    <row r="248" spans="1:12" ht="30" customHeight="1" x14ac:dyDescent="0.2">
      <c r="A248" s="2872">
        <v>143</v>
      </c>
      <c r="B248" s="2870" t="s">
        <v>4146</v>
      </c>
      <c r="C248" s="2869"/>
      <c r="D248" s="2844">
        <v>50000000</v>
      </c>
      <c r="E248" s="2867">
        <v>0.04</v>
      </c>
      <c r="F248" s="2844">
        <f t="shared" si="25"/>
        <v>2000000</v>
      </c>
      <c r="G248" s="2844">
        <v>2000000</v>
      </c>
      <c r="H248" s="2844" t="s">
        <v>4920</v>
      </c>
      <c r="I248" s="26" t="s">
        <v>4924</v>
      </c>
      <c r="J248" s="2844">
        <f>G248</f>
        <v>2000000</v>
      </c>
      <c r="K248" s="2844">
        <f t="shared" ref="K248:K260" si="26">F248-J248</f>
        <v>0</v>
      </c>
      <c r="L248" s="2894" t="s">
        <v>4925</v>
      </c>
    </row>
    <row r="249" spans="1:12" ht="30" customHeight="1" x14ac:dyDescent="0.2">
      <c r="A249" s="2872">
        <v>144</v>
      </c>
      <c r="B249" s="2870" t="s">
        <v>514</v>
      </c>
      <c r="C249" s="2843"/>
      <c r="D249" s="2817">
        <v>5000000</v>
      </c>
      <c r="E249" s="2867">
        <v>0.05</v>
      </c>
      <c r="F249" s="2817">
        <f t="shared" si="25"/>
        <v>250000</v>
      </c>
      <c r="G249" s="2817">
        <v>250000</v>
      </c>
      <c r="H249" s="2817" t="s">
        <v>4920</v>
      </c>
      <c r="I249" s="21" t="s">
        <v>516</v>
      </c>
      <c r="J249" s="2817">
        <f>G249</f>
        <v>250000</v>
      </c>
      <c r="K249" s="2817">
        <f t="shared" si="26"/>
        <v>0</v>
      </c>
      <c r="L249" s="2870"/>
    </row>
    <row r="250" spans="1:12" ht="30" customHeight="1" x14ac:dyDescent="0.2">
      <c r="A250" s="2872">
        <v>145</v>
      </c>
      <c r="B250" s="2870" t="s">
        <v>10</v>
      </c>
      <c r="C250" s="2843" t="s">
        <v>1172</v>
      </c>
      <c r="D250" s="2817">
        <v>100000000</v>
      </c>
      <c r="E250" s="2867">
        <v>0.05</v>
      </c>
      <c r="F250" s="2817">
        <f t="shared" si="25"/>
        <v>5000000</v>
      </c>
      <c r="G250" s="2817">
        <v>5000000</v>
      </c>
      <c r="H250" s="2817" t="s">
        <v>4936</v>
      </c>
      <c r="I250" s="18" t="s">
        <v>3525</v>
      </c>
      <c r="J250" s="2817">
        <f>G250</f>
        <v>5000000</v>
      </c>
      <c r="K250" s="2817">
        <f t="shared" si="26"/>
        <v>0</v>
      </c>
      <c r="L250" s="2870"/>
    </row>
    <row r="251" spans="1:12" ht="30" customHeight="1" x14ac:dyDescent="0.2">
      <c r="A251" s="2872">
        <v>146</v>
      </c>
      <c r="B251" s="2870" t="s">
        <v>11</v>
      </c>
      <c r="C251" s="2843"/>
      <c r="D251" s="2817">
        <v>50000000</v>
      </c>
      <c r="E251" s="2867">
        <v>4.4999999999999998E-2</v>
      </c>
      <c r="F251" s="2817">
        <f t="shared" si="25"/>
        <v>2250000</v>
      </c>
      <c r="G251" s="2817"/>
      <c r="H251" s="2817"/>
      <c r="I251" s="21"/>
      <c r="J251" s="2817"/>
      <c r="K251" s="2817">
        <f t="shared" si="26"/>
        <v>2250000</v>
      </c>
      <c r="L251" s="2870"/>
    </row>
    <row r="252" spans="1:12" ht="30" customHeight="1" x14ac:dyDescent="0.2">
      <c r="A252" s="7654">
        <v>147</v>
      </c>
      <c r="B252" s="7652" t="s">
        <v>12</v>
      </c>
      <c r="C252" s="7723" t="s">
        <v>1295</v>
      </c>
      <c r="D252" s="2817">
        <v>60000000</v>
      </c>
      <c r="E252" s="2867">
        <v>0.05</v>
      </c>
      <c r="F252" s="2817">
        <f t="shared" si="25"/>
        <v>3000000</v>
      </c>
      <c r="G252" s="7563">
        <v>4635000</v>
      </c>
      <c r="H252" s="7563" t="s">
        <v>4839</v>
      </c>
      <c r="I252" s="8115" t="s">
        <v>4843</v>
      </c>
      <c r="J252" s="7563">
        <f>G252</f>
        <v>4635000</v>
      </c>
      <c r="K252" s="7563"/>
      <c r="L252" s="2893"/>
    </row>
    <row r="253" spans="1:12" ht="30" customHeight="1" x14ac:dyDescent="0.2">
      <c r="A253" s="7655"/>
      <c r="B253" s="7653"/>
      <c r="C253" s="7724"/>
      <c r="D253" s="2817">
        <v>70000000</v>
      </c>
      <c r="E253" s="2867">
        <v>0.05</v>
      </c>
      <c r="F253" s="2817">
        <f t="shared" si="25"/>
        <v>3500000</v>
      </c>
      <c r="G253" s="7564"/>
      <c r="H253" s="7564"/>
      <c r="I253" s="8116"/>
      <c r="J253" s="7564"/>
      <c r="K253" s="7564"/>
      <c r="L253" s="2013" t="s">
        <v>4671</v>
      </c>
    </row>
    <row r="254" spans="1:12" ht="30" customHeight="1" x14ac:dyDescent="0.2">
      <c r="A254" s="2821">
        <v>148</v>
      </c>
      <c r="B254" s="2865" t="s">
        <v>13</v>
      </c>
      <c r="C254" s="2869" t="s">
        <v>371</v>
      </c>
      <c r="D254" s="2844">
        <v>50000000</v>
      </c>
      <c r="E254" s="2867">
        <v>0.05</v>
      </c>
      <c r="F254" s="2844">
        <f t="shared" si="25"/>
        <v>2500000</v>
      </c>
      <c r="G254" s="2844">
        <v>2500000</v>
      </c>
      <c r="H254" s="2844" t="s">
        <v>5083</v>
      </c>
      <c r="I254" s="2864" t="s">
        <v>1401</v>
      </c>
      <c r="J254" s="2844">
        <f t="shared" ref="J254:J259" si="27">G254</f>
        <v>2500000</v>
      </c>
      <c r="K254" s="2844">
        <f t="shared" si="26"/>
        <v>0</v>
      </c>
      <c r="L254" s="2013"/>
    </row>
    <row r="255" spans="1:12" ht="30" customHeight="1" x14ac:dyDescent="0.2">
      <c r="A255" s="2872">
        <v>149</v>
      </c>
      <c r="B255" s="2870" t="s">
        <v>14</v>
      </c>
      <c r="C255" s="2843" t="s">
        <v>1291</v>
      </c>
      <c r="D255" s="2817">
        <v>80000000</v>
      </c>
      <c r="E255" s="2819">
        <v>0.05</v>
      </c>
      <c r="F255" s="2817">
        <f t="shared" si="25"/>
        <v>4000000</v>
      </c>
      <c r="G255" s="2817">
        <v>4000000</v>
      </c>
      <c r="H255" s="2817" t="s">
        <v>5016</v>
      </c>
      <c r="I255" s="2897" t="s">
        <v>2580</v>
      </c>
      <c r="J255" s="2817">
        <f t="shared" si="27"/>
        <v>4000000</v>
      </c>
      <c r="K255" s="2817">
        <f t="shared" si="26"/>
        <v>0</v>
      </c>
      <c r="L255" s="2013"/>
    </row>
    <row r="256" spans="1:12" ht="30" customHeight="1" x14ac:dyDescent="0.2">
      <c r="A256" s="2872">
        <v>150</v>
      </c>
      <c r="B256" s="2870" t="s">
        <v>15</v>
      </c>
      <c r="C256" s="2843" t="s">
        <v>1294</v>
      </c>
      <c r="D256" s="2817">
        <v>160000000</v>
      </c>
      <c r="E256" s="2867">
        <v>0.04</v>
      </c>
      <c r="F256" s="2817">
        <f t="shared" si="25"/>
        <v>6400000</v>
      </c>
      <c r="G256" s="2817">
        <v>6400000</v>
      </c>
      <c r="H256" s="2817" t="s">
        <v>5043</v>
      </c>
      <c r="I256" s="21" t="s">
        <v>2986</v>
      </c>
      <c r="J256" s="2817">
        <f t="shared" si="27"/>
        <v>6400000</v>
      </c>
      <c r="K256" s="2817">
        <f t="shared" si="26"/>
        <v>0</v>
      </c>
      <c r="L256" s="2830"/>
    </row>
    <row r="257" spans="1:16" ht="30" customHeight="1" x14ac:dyDescent="0.2">
      <c r="A257" s="2872">
        <v>151</v>
      </c>
      <c r="B257" s="2870" t="s">
        <v>16</v>
      </c>
      <c r="C257" s="2843" t="s">
        <v>3390</v>
      </c>
      <c r="D257" s="2817">
        <v>180000000</v>
      </c>
      <c r="E257" s="2867">
        <v>0.05</v>
      </c>
      <c r="F257" s="2817">
        <f t="shared" si="25"/>
        <v>9000000</v>
      </c>
      <c r="G257" s="2817">
        <v>9000000</v>
      </c>
      <c r="H257" s="2817" t="s">
        <v>5202</v>
      </c>
      <c r="I257" s="21" t="s">
        <v>2149</v>
      </c>
      <c r="J257" s="2817">
        <f t="shared" si="27"/>
        <v>9000000</v>
      </c>
      <c r="K257" s="2817">
        <f t="shared" si="26"/>
        <v>0</v>
      </c>
      <c r="L257" s="2870"/>
    </row>
    <row r="258" spans="1:16" ht="30" customHeight="1" x14ac:dyDescent="0.2">
      <c r="A258" s="2872">
        <v>153</v>
      </c>
      <c r="B258" s="2870" t="s">
        <v>17</v>
      </c>
      <c r="C258" s="2843" t="s">
        <v>1299</v>
      </c>
      <c r="D258" s="2817">
        <v>30000000</v>
      </c>
      <c r="E258" s="2867">
        <v>0.05</v>
      </c>
      <c r="F258" s="2817">
        <f t="shared" si="25"/>
        <v>1500000</v>
      </c>
      <c r="G258" s="2817">
        <v>1500000</v>
      </c>
      <c r="H258" s="2817" t="s">
        <v>5211</v>
      </c>
      <c r="I258" s="21" t="s">
        <v>1143</v>
      </c>
      <c r="J258" s="2817">
        <f t="shared" si="27"/>
        <v>1500000</v>
      </c>
      <c r="K258" s="2817">
        <f t="shared" si="26"/>
        <v>0</v>
      </c>
      <c r="L258" s="2870"/>
    </row>
    <row r="259" spans="1:16" ht="30" customHeight="1" x14ac:dyDescent="0.2">
      <c r="A259" s="2872">
        <v>154</v>
      </c>
      <c r="B259" s="2870" t="s">
        <v>18</v>
      </c>
      <c r="C259" s="2843" t="s">
        <v>1796</v>
      </c>
      <c r="D259" s="2817">
        <v>15000000</v>
      </c>
      <c r="E259" s="2867">
        <v>7.0000000000000007E-2</v>
      </c>
      <c r="F259" s="2817">
        <f t="shared" si="25"/>
        <v>1050000</v>
      </c>
      <c r="G259" s="2817">
        <v>1050000</v>
      </c>
      <c r="H259" s="2817" t="s">
        <v>5226</v>
      </c>
      <c r="I259" s="21" t="s">
        <v>1278</v>
      </c>
      <c r="J259" s="2817">
        <f t="shared" si="27"/>
        <v>1050000</v>
      </c>
      <c r="K259" s="2817">
        <f t="shared" si="26"/>
        <v>0</v>
      </c>
      <c r="L259" s="2870"/>
    </row>
    <row r="260" spans="1:16" ht="30" customHeight="1" x14ac:dyDescent="0.2">
      <c r="A260" s="2872">
        <v>155</v>
      </c>
      <c r="B260" s="2870" t="s">
        <v>19</v>
      </c>
      <c r="C260" s="2843"/>
      <c r="D260" s="2834"/>
      <c r="E260" s="2519"/>
      <c r="F260" s="2834">
        <f t="shared" si="25"/>
        <v>0</v>
      </c>
      <c r="G260" s="2817"/>
      <c r="H260" s="2817"/>
      <c r="I260" s="21"/>
      <c r="J260" s="2817"/>
      <c r="K260" s="2834">
        <f t="shared" si="26"/>
        <v>0</v>
      </c>
      <c r="L260" s="2870"/>
    </row>
    <row r="261" spans="1:16" ht="30" customHeight="1" x14ac:dyDescent="0.2">
      <c r="A261" s="2821">
        <v>156</v>
      </c>
      <c r="B261" s="2865" t="s">
        <v>20</v>
      </c>
      <c r="C261" s="378"/>
      <c r="D261" s="2844">
        <v>50000000</v>
      </c>
      <c r="E261" s="2867">
        <v>0.04</v>
      </c>
      <c r="F261" s="2844">
        <f t="shared" si="25"/>
        <v>2000000</v>
      </c>
      <c r="G261" s="2817">
        <v>2000000</v>
      </c>
      <c r="H261" s="2817" t="s">
        <v>5043</v>
      </c>
      <c r="I261" s="18" t="s">
        <v>5120</v>
      </c>
      <c r="J261" s="2844">
        <f>G261</f>
        <v>2000000</v>
      </c>
      <c r="K261" s="2844">
        <f>F261-J261</f>
        <v>0</v>
      </c>
      <c r="L261" s="2830"/>
      <c r="M261" s="366"/>
      <c r="N261" s="366"/>
      <c r="O261" s="366"/>
      <c r="P261" s="366"/>
    </row>
    <row r="262" spans="1:16" ht="30" customHeight="1" x14ac:dyDescent="0.2">
      <c r="A262" s="2872">
        <v>157</v>
      </c>
      <c r="B262" s="2870" t="s">
        <v>21</v>
      </c>
      <c r="C262" s="2843" t="s">
        <v>1294</v>
      </c>
      <c r="D262" s="2817">
        <v>20000000</v>
      </c>
      <c r="E262" s="2819">
        <v>0.05</v>
      </c>
      <c r="F262" s="2817">
        <f t="shared" si="25"/>
        <v>1000000</v>
      </c>
      <c r="G262" s="2817">
        <v>1000000</v>
      </c>
      <c r="H262" s="2817" t="s">
        <v>5043</v>
      </c>
      <c r="I262" s="21" t="s">
        <v>4523</v>
      </c>
      <c r="J262" s="2817">
        <f>G262</f>
        <v>1000000</v>
      </c>
      <c r="K262" s="2817">
        <f>F262-J262</f>
        <v>0</v>
      </c>
      <c r="L262" s="2870"/>
      <c r="M262" s="366"/>
      <c r="N262" s="366"/>
      <c r="O262" s="366"/>
      <c r="P262" s="366"/>
    </row>
    <row r="263" spans="1:16" ht="30" customHeight="1" x14ac:dyDescent="0.2">
      <c r="A263" s="7654"/>
      <c r="B263" s="7652" t="s">
        <v>822</v>
      </c>
      <c r="C263" s="7723" t="s">
        <v>1306</v>
      </c>
      <c r="D263" s="2923">
        <v>160000000</v>
      </c>
      <c r="E263" s="896">
        <v>0.05</v>
      </c>
      <c r="F263" s="2923">
        <f>D263*E263</f>
        <v>8000000</v>
      </c>
      <c r="G263" s="7563">
        <v>10700000</v>
      </c>
      <c r="H263" s="7563" t="s">
        <v>5211</v>
      </c>
      <c r="I263" s="7563" t="s">
        <v>3129</v>
      </c>
      <c r="J263" s="7563">
        <f>G263</f>
        <v>10700000</v>
      </c>
      <c r="K263" s="7563">
        <f>(F263+F264)-J263</f>
        <v>0</v>
      </c>
      <c r="L263" s="233"/>
      <c r="M263" s="233"/>
      <c r="N263" s="233"/>
      <c r="O263" s="233"/>
      <c r="P263" s="233"/>
    </row>
    <row r="264" spans="1:16" ht="30" customHeight="1" x14ac:dyDescent="0.2">
      <c r="A264" s="7656"/>
      <c r="B264" s="7653"/>
      <c r="C264" s="7724"/>
      <c r="D264" s="2923">
        <f>22000000+9200000+13800000</f>
        <v>45000000</v>
      </c>
      <c r="E264" s="896">
        <v>0.06</v>
      </c>
      <c r="F264" s="2923">
        <f>D264*E264</f>
        <v>2700000</v>
      </c>
      <c r="G264" s="7564"/>
      <c r="H264" s="7564"/>
      <c r="I264" s="7564"/>
      <c r="J264" s="7564"/>
      <c r="K264" s="7564"/>
      <c r="L264" s="2870"/>
      <c r="M264" s="366"/>
      <c r="N264" s="366"/>
      <c r="O264" s="366"/>
      <c r="P264" s="366"/>
    </row>
    <row r="265" spans="1:16" ht="30" customHeight="1" x14ac:dyDescent="0.2">
      <c r="A265" s="2872">
        <v>159</v>
      </c>
      <c r="B265" s="2870" t="s">
        <v>22</v>
      </c>
      <c r="C265" s="2843" t="s">
        <v>1300</v>
      </c>
      <c r="D265" s="2817">
        <v>25000000</v>
      </c>
      <c r="E265" s="2867">
        <v>0.05</v>
      </c>
      <c r="F265" s="2817">
        <f t="shared" si="25"/>
        <v>1250000</v>
      </c>
      <c r="G265" s="2817">
        <v>1250000</v>
      </c>
      <c r="H265" s="2817" t="s">
        <v>4936</v>
      </c>
      <c r="I265" s="21" t="s">
        <v>2192</v>
      </c>
      <c r="J265" s="2817">
        <f t="shared" ref="J265:J268" si="28">G265</f>
        <v>1250000</v>
      </c>
      <c r="K265" s="2817">
        <f t="shared" ref="K265:K279" si="29">F265-J265</f>
        <v>0</v>
      </c>
      <c r="L265" s="388" t="s">
        <v>5259</v>
      </c>
      <c r="M265" s="366"/>
      <c r="N265" s="366"/>
      <c r="O265" s="366"/>
      <c r="P265" s="366"/>
    </row>
    <row r="266" spans="1:16" ht="30" customHeight="1" x14ac:dyDescent="0.2">
      <c r="A266" s="2872">
        <v>160</v>
      </c>
      <c r="B266" s="2870" t="s">
        <v>23</v>
      </c>
      <c r="C266" s="2843"/>
      <c r="D266" s="2817">
        <v>55000000</v>
      </c>
      <c r="E266" s="2867">
        <v>0.05</v>
      </c>
      <c r="F266" s="2817">
        <f t="shared" si="25"/>
        <v>2750000</v>
      </c>
      <c r="G266" s="2817"/>
      <c r="H266" s="2817"/>
      <c r="I266" s="21"/>
      <c r="J266" s="2817">
        <f t="shared" si="28"/>
        <v>0</v>
      </c>
      <c r="K266" s="2817">
        <f t="shared" si="29"/>
        <v>2750000</v>
      </c>
      <c r="L266" s="2870"/>
      <c r="M266" s="366"/>
      <c r="N266" s="366"/>
      <c r="O266" s="366"/>
      <c r="P266" s="366"/>
    </row>
    <row r="267" spans="1:16" ht="30" customHeight="1" x14ac:dyDescent="0.2">
      <c r="A267" s="2872">
        <v>161</v>
      </c>
      <c r="B267" s="2865" t="s">
        <v>24</v>
      </c>
      <c r="C267" s="2869" t="s">
        <v>1306</v>
      </c>
      <c r="D267" s="2817">
        <v>20000000</v>
      </c>
      <c r="E267" s="2867">
        <v>4.4999999999999998E-2</v>
      </c>
      <c r="F267" s="2817">
        <f t="shared" si="25"/>
        <v>900000</v>
      </c>
      <c r="G267" s="2817">
        <v>900000</v>
      </c>
      <c r="H267" s="2817" t="s">
        <v>5211</v>
      </c>
      <c r="I267" s="21" t="s">
        <v>721</v>
      </c>
      <c r="J267" s="2817">
        <f t="shared" si="28"/>
        <v>900000</v>
      </c>
      <c r="K267" s="2817">
        <f t="shared" si="29"/>
        <v>0</v>
      </c>
      <c r="L267" s="2870"/>
      <c r="M267" s="366"/>
      <c r="N267" s="366"/>
      <c r="O267" s="366"/>
      <c r="P267" s="366"/>
    </row>
    <row r="268" spans="1:16" ht="30" customHeight="1" x14ac:dyDescent="0.2">
      <c r="A268" s="2872">
        <v>162</v>
      </c>
      <c r="B268" s="2870" t="s">
        <v>25</v>
      </c>
      <c r="C268" s="2843" t="s">
        <v>1306</v>
      </c>
      <c r="D268" s="2817">
        <v>180000000</v>
      </c>
      <c r="E268" s="2867">
        <v>0.05</v>
      </c>
      <c r="F268" s="2817">
        <f t="shared" si="25"/>
        <v>9000000</v>
      </c>
      <c r="G268" s="2817">
        <v>9000000</v>
      </c>
      <c r="H268" s="2817" t="s">
        <v>5174</v>
      </c>
      <c r="I268" s="21" t="s">
        <v>4576</v>
      </c>
      <c r="J268" s="2817">
        <f t="shared" si="28"/>
        <v>9000000</v>
      </c>
      <c r="K268" s="2817">
        <f t="shared" si="29"/>
        <v>0</v>
      </c>
      <c r="L268" s="2870"/>
      <c r="M268" s="366"/>
      <c r="N268" s="366"/>
      <c r="O268" s="366"/>
      <c r="P268" s="366"/>
    </row>
    <row r="269" spans="1:16" ht="30" customHeight="1" x14ac:dyDescent="0.2">
      <c r="A269" s="7654">
        <v>163</v>
      </c>
      <c r="B269" s="7652" t="s">
        <v>828</v>
      </c>
      <c r="C269" s="7723" t="s">
        <v>1306</v>
      </c>
      <c r="D269" s="3262">
        <v>200000000</v>
      </c>
      <c r="E269" s="435">
        <v>0.06</v>
      </c>
      <c r="F269" s="3262">
        <f t="shared" si="25"/>
        <v>12000000</v>
      </c>
      <c r="G269" s="7563">
        <v>23900000</v>
      </c>
      <c r="H269" s="7563" t="s">
        <v>5211</v>
      </c>
      <c r="I269" s="7561" t="s">
        <v>3732</v>
      </c>
      <c r="J269" s="7563">
        <f>G269</f>
        <v>23900000</v>
      </c>
      <c r="K269" s="7563">
        <f>(F269+F270+F271)-J269</f>
        <v>-1400000</v>
      </c>
      <c r="L269" s="388" t="s">
        <v>4623</v>
      </c>
      <c r="M269" s="366"/>
      <c r="N269" s="366"/>
      <c r="O269" s="366"/>
      <c r="P269" s="366"/>
    </row>
    <row r="270" spans="1:16" ht="30" customHeight="1" x14ac:dyDescent="0.2">
      <c r="A270" s="7656"/>
      <c r="B270" s="7665"/>
      <c r="C270" s="7747"/>
      <c r="D270" s="3262">
        <v>50000000</v>
      </c>
      <c r="E270" s="435">
        <v>7.0000000000000007E-2</v>
      </c>
      <c r="F270" s="3262">
        <f t="shared" si="25"/>
        <v>3500000.0000000005</v>
      </c>
      <c r="G270" s="7586"/>
      <c r="H270" s="7586"/>
      <c r="I270" s="7672"/>
      <c r="J270" s="7586"/>
      <c r="K270" s="7586"/>
      <c r="L270" s="388" t="s">
        <v>4624</v>
      </c>
      <c r="M270" s="366"/>
      <c r="N270" s="366"/>
      <c r="O270" s="366"/>
      <c r="P270" s="366"/>
    </row>
    <row r="271" spans="1:16" ht="30" customHeight="1" x14ac:dyDescent="0.2">
      <c r="A271" s="7655"/>
      <c r="B271" s="7653"/>
      <c r="C271" s="7724"/>
      <c r="D271" s="3284">
        <v>100000000</v>
      </c>
      <c r="E271" s="435">
        <v>7.0000000000000007E-2</v>
      </c>
      <c r="F271" s="3284">
        <f t="shared" si="25"/>
        <v>7000000.0000000009</v>
      </c>
      <c r="G271" s="7564"/>
      <c r="H271" s="7564"/>
      <c r="I271" s="7562"/>
      <c r="J271" s="7564"/>
      <c r="K271" s="7564"/>
      <c r="L271" s="388" t="s">
        <v>4999</v>
      </c>
      <c r="M271" s="366"/>
      <c r="N271" s="366"/>
      <c r="O271" s="366"/>
      <c r="P271" s="366"/>
    </row>
    <row r="272" spans="1:16" ht="30" customHeight="1" x14ac:dyDescent="0.2">
      <c r="A272" s="2872">
        <v>164</v>
      </c>
      <c r="B272" s="2870" t="s">
        <v>26</v>
      </c>
      <c r="C272" s="2843" t="s">
        <v>1306</v>
      </c>
      <c r="D272" s="2817">
        <v>50000000</v>
      </c>
      <c r="E272" s="2867">
        <v>0.05</v>
      </c>
      <c r="F272" s="2817">
        <f t="shared" si="25"/>
        <v>2500000</v>
      </c>
      <c r="G272" s="2817">
        <v>2500000</v>
      </c>
      <c r="H272" s="2817" t="s">
        <v>5202</v>
      </c>
      <c r="I272" s="21" t="s">
        <v>741</v>
      </c>
      <c r="J272" s="2817">
        <f t="shared" ref="J272:J282" si="30">G272</f>
        <v>2500000</v>
      </c>
      <c r="K272" s="2817">
        <f t="shared" si="29"/>
        <v>0</v>
      </c>
      <c r="L272" s="2870"/>
      <c r="M272" s="366"/>
      <c r="N272" s="366"/>
      <c r="O272" s="366"/>
      <c r="P272" s="366"/>
    </row>
    <row r="273" spans="1:16" ht="30" customHeight="1" x14ac:dyDescent="0.2">
      <c r="A273" s="2872">
        <v>165</v>
      </c>
      <c r="B273" s="8132" t="s">
        <v>27</v>
      </c>
      <c r="C273" s="8134" t="s">
        <v>681</v>
      </c>
      <c r="D273" s="3419">
        <v>20000000</v>
      </c>
      <c r="E273" s="2549">
        <v>0.04</v>
      </c>
      <c r="F273" s="3419">
        <f t="shared" si="25"/>
        <v>800000</v>
      </c>
      <c r="G273" s="3419">
        <v>800000</v>
      </c>
      <c r="H273" s="3419" t="s">
        <v>5211</v>
      </c>
      <c r="I273" s="287" t="s">
        <v>3740</v>
      </c>
      <c r="J273" s="3419">
        <f t="shared" si="30"/>
        <v>800000</v>
      </c>
      <c r="K273" s="3419">
        <f t="shared" si="29"/>
        <v>0</v>
      </c>
      <c r="L273" s="2870"/>
      <c r="M273" s="366"/>
      <c r="N273" s="366"/>
      <c r="O273" s="366"/>
      <c r="P273" s="366"/>
    </row>
    <row r="274" spans="1:16" ht="30" customHeight="1" x14ac:dyDescent="0.2">
      <c r="A274" s="3403"/>
      <c r="B274" s="8133"/>
      <c r="C274" s="8135"/>
      <c r="D274" s="8139" t="s">
        <v>1983</v>
      </c>
      <c r="E274" s="8140"/>
      <c r="F274" s="8141"/>
      <c r="G274" s="3419">
        <v>20000000</v>
      </c>
      <c r="H274" s="3419" t="s">
        <v>5226</v>
      </c>
      <c r="I274" s="287" t="s">
        <v>4263</v>
      </c>
      <c r="J274" s="3419">
        <f t="shared" si="30"/>
        <v>20000000</v>
      </c>
      <c r="K274" s="3419"/>
      <c r="L274" s="3404"/>
      <c r="M274" s="366"/>
      <c r="N274" s="366"/>
      <c r="O274" s="366"/>
      <c r="P274" s="366"/>
    </row>
    <row r="275" spans="1:16" ht="30" customHeight="1" x14ac:dyDescent="0.2">
      <c r="A275" s="2872">
        <v>166</v>
      </c>
      <c r="B275" s="2870" t="s">
        <v>28</v>
      </c>
      <c r="C275" s="2843" t="s">
        <v>551</v>
      </c>
      <c r="D275" s="2817">
        <v>100000000</v>
      </c>
      <c r="E275" s="2867">
        <v>0.05</v>
      </c>
      <c r="F275" s="2817">
        <f t="shared" si="25"/>
        <v>5000000</v>
      </c>
      <c r="G275" s="2817">
        <v>5000000</v>
      </c>
      <c r="H275" s="2817" t="s">
        <v>5154</v>
      </c>
      <c r="I275" s="26" t="s">
        <v>4123</v>
      </c>
      <c r="J275" s="2817">
        <f t="shared" si="30"/>
        <v>5000000</v>
      </c>
      <c r="K275" s="2817">
        <f t="shared" si="29"/>
        <v>0</v>
      </c>
      <c r="L275" s="2870"/>
      <c r="M275" s="366"/>
      <c r="N275" s="366"/>
      <c r="O275" s="366"/>
      <c r="P275" s="366"/>
    </row>
    <row r="276" spans="1:16" ht="30" customHeight="1" x14ac:dyDescent="0.2">
      <c r="A276" s="2872">
        <v>167</v>
      </c>
      <c r="B276" s="2870" t="s">
        <v>737</v>
      </c>
      <c r="C276" s="2843" t="s">
        <v>1306</v>
      </c>
      <c r="D276" s="2817">
        <v>50000000</v>
      </c>
      <c r="E276" s="2867">
        <v>0.05</v>
      </c>
      <c r="F276" s="2817">
        <f t="shared" si="25"/>
        <v>2500000</v>
      </c>
      <c r="G276" s="2817">
        <v>2500000</v>
      </c>
      <c r="H276" s="2817" t="s">
        <v>5174</v>
      </c>
      <c r="I276" s="21" t="s">
        <v>739</v>
      </c>
      <c r="J276" s="2817">
        <f t="shared" si="30"/>
        <v>2500000</v>
      </c>
      <c r="K276" s="2817">
        <f t="shared" si="29"/>
        <v>0</v>
      </c>
      <c r="L276" s="2870"/>
      <c r="M276" s="366"/>
      <c r="N276" s="366"/>
      <c r="O276" s="366"/>
      <c r="P276" s="366"/>
    </row>
    <row r="277" spans="1:16" ht="30" customHeight="1" x14ac:dyDescent="0.2">
      <c r="A277" s="7654">
        <v>168</v>
      </c>
      <c r="B277" s="7652" t="s">
        <v>818</v>
      </c>
      <c r="C277" s="7723" t="s">
        <v>1306</v>
      </c>
      <c r="D277" s="2817">
        <v>50000000</v>
      </c>
      <c r="E277" s="2867">
        <v>7.0000000000000007E-2</v>
      </c>
      <c r="F277" s="2817">
        <f t="shared" si="25"/>
        <v>3500000.0000000005</v>
      </c>
      <c r="G277" s="2980">
        <v>50000000</v>
      </c>
      <c r="H277" s="2980" t="s">
        <v>4891</v>
      </c>
      <c r="I277" s="56" t="s">
        <v>4908</v>
      </c>
      <c r="J277" s="2980">
        <f>G277</f>
        <v>50000000</v>
      </c>
      <c r="K277" s="909">
        <f t="shared" si="29"/>
        <v>-46500000</v>
      </c>
      <c r="L277" s="388" t="s">
        <v>5215</v>
      </c>
      <c r="M277" s="366"/>
      <c r="N277" s="366"/>
      <c r="O277" s="366"/>
      <c r="P277" s="366"/>
    </row>
    <row r="278" spans="1:16" ht="30" customHeight="1" x14ac:dyDescent="0.2">
      <c r="A278" s="7655"/>
      <c r="B278" s="7653"/>
      <c r="C278" s="7724"/>
      <c r="D278" s="2998">
        <v>48000000</v>
      </c>
      <c r="E278" s="2986"/>
      <c r="F278" s="2973"/>
      <c r="G278" s="7461" t="s">
        <v>4856</v>
      </c>
      <c r="H278" s="7481"/>
      <c r="I278" s="7481"/>
      <c r="J278" s="7481"/>
      <c r="K278" s="7520"/>
      <c r="L278" s="388" t="s">
        <v>4857</v>
      </c>
      <c r="M278" s="366"/>
      <c r="N278" s="366"/>
      <c r="O278" s="366"/>
      <c r="P278" s="366"/>
    </row>
    <row r="279" spans="1:16" ht="30" customHeight="1" x14ac:dyDescent="0.2">
      <c r="A279" s="2884"/>
      <c r="B279" s="2865" t="s">
        <v>29</v>
      </c>
      <c r="C279" s="3287" t="s">
        <v>1107</v>
      </c>
      <c r="D279" s="2817">
        <v>20000000</v>
      </c>
      <c r="E279" s="2867">
        <v>0.05</v>
      </c>
      <c r="F279" s="2817">
        <f>D279*E279</f>
        <v>1000000</v>
      </c>
      <c r="G279" s="2817">
        <v>1000000</v>
      </c>
      <c r="H279" s="2817" t="s">
        <v>5227</v>
      </c>
      <c r="I279" s="2817" t="s">
        <v>848</v>
      </c>
      <c r="J279" s="2817">
        <f t="shared" si="30"/>
        <v>1000000</v>
      </c>
      <c r="K279" s="2817">
        <f t="shared" si="29"/>
        <v>0</v>
      </c>
      <c r="L279" s="7732"/>
      <c r="M279" s="7733"/>
      <c r="N279" s="7733"/>
      <c r="O279" s="7733"/>
      <c r="P279" s="7734"/>
    </row>
    <row r="280" spans="1:16" ht="30" customHeight="1" x14ac:dyDescent="0.2">
      <c r="A280" s="2872">
        <v>170</v>
      </c>
      <c r="B280" s="2870" t="s">
        <v>30</v>
      </c>
      <c r="C280" s="2843" t="s">
        <v>1107</v>
      </c>
      <c r="D280" s="2817">
        <v>70000000</v>
      </c>
      <c r="E280" s="2867">
        <v>0.05</v>
      </c>
      <c r="F280" s="2817">
        <f t="shared" si="25"/>
        <v>3500000</v>
      </c>
      <c r="G280" s="2817">
        <v>3500000</v>
      </c>
      <c r="H280" s="2817" t="s">
        <v>1491</v>
      </c>
      <c r="I280" s="21" t="s">
        <v>4138</v>
      </c>
      <c r="J280" s="2817">
        <f t="shared" si="30"/>
        <v>3500000</v>
      </c>
      <c r="K280" s="2817">
        <f>F280-J280</f>
        <v>0</v>
      </c>
      <c r="L280" s="2870"/>
      <c r="M280" s="366"/>
      <c r="N280" s="366"/>
      <c r="O280" s="366"/>
      <c r="P280" s="366"/>
    </row>
    <row r="281" spans="1:16" ht="30" customHeight="1" x14ac:dyDescent="0.2">
      <c r="A281" s="2872">
        <v>171</v>
      </c>
      <c r="B281" s="2870" t="s">
        <v>31</v>
      </c>
      <c r="C281" s="2843" t="s">
        <v>1293</v>
      </c>
      <c r="D281" s="2817">
        <v>10000000</v>
      </c>
      <c r="E281" s="2867">
        <v>0.04</v>
      </c>
      <c r="F281" s="2817">
        <f>D281*E281</f>
        <v>400000</v>
      </c>
      <c r="G281" s="2817">
        <v>400000</v>
      </c>
      <c r="H281" s="2817" t="s">
        <v>4875</v>
      </c>
      <c r="I281" s="21" t="s">
        <v>670</v>
      </c>
      <c r="J281" s="2817">
        <f t="shared" si="30"/>
        <v>400000</v>
      </c>
      <c r="K281" s="2817">
        <f>F281-J281</f>
        <v>0</v>
      </c>
      <c r="L281" s="2894"/>
    </row>
    <row r="282" spans="1:16" ht="30" customHeight="1" x14ac:dyDescent="0.2">
      <c r="A282" s="2821">
        <v>172</v>
      </c>
      <c r="B282" s="2865" t="s">
        <v>32</v>
      </c>
      <c r="C282" s="2869" t="s">
        <v>989</v>
      </c>
      <c r="D282" s="2817">
        <v>5000000</v>
      </c>
      <c r="E282" s="2867">
        <v>0.06</v>
      </c>
      <c r="F282" s="2817">
        <f t="shared" si="25"/>
        <v>300000</v>
      </c>
      <c r="G282" s="2817">
        <v>300000</v>
      </c>
      <c r="H282" s="2817" t="s">
        <v>5226</v>
      </c>
      <c r="I282" s="21" t="s">
        <v>632</v>
      </c>
      <c r="J282" s="2817">
        <f t="shared" si="30"/>
        <v>300000</v>
      </c>
      <c r="K282" s="2817">
        <f>F282-J282</f>
        <v>0</v>
      </c>
      <c r="L282" s="388"/>
    </row>
    <row r="283" spans="1:16" ht="30" customHeight="1" x14ac:dyDescent="0.2">
      <c r="A283" s="7654">
        <v>173</v>
      </c>
      <c r="B283" s="7652" t="s">
        <v>33</v>
      </c>
      <c r="C283" s="7723" t="s">
        <v>1306</v>
      </c>
      <c r="D283" s="7563">
        <v>50000000</v>
      </c>
      <c r="E283" s="7659">
        <v>0.05</v>
      </c>
      <c r="F283" s="7563">
        <f t="shared" si="25"/>
        <v>2500000</v>
      </c>
      <c r="G283" s="2817">
        <v>2000000</v>
      </c>
      <c r="H283" s="2817" t="s">
        <v>5262</v>
      </c>
      <c r="I283" s="21" t="s">
        <v>838</v>
      </c>
      <c r="J283" s="7563">
        <f>G283+G284</f>
        <v>2500000</v>
      </c>
      <c r="K283" s="7563">
        <f>F283-J283</f>
        <v>0</v>
      </c>
      <c r="L283" s="2870"/>
    </row>
    <row r="284" spans="1:16" ht="30" customHeight="1" x14ac:dyDescent="0.2">
      <c r="A284" s="7656"/>
      <c r="B284" s="7665"/>
      <c r="C284" s="7747"/>
      <c r="D284" s="7586"/>
      <c r="E284" s="7676"/>
      <c r="F284" s="7586"/>
      <c r="G284" s="3399">
        <v>500000</v>
      </c>
      <c r="H284" s="3399" t="s">
        <v>5227</v>
      </c>
      <c r="I284" s="3422" t="s">
        <v>838</v>
      </c>
      <c r="J284" s="7564"/>
      <c r="K284" s="7564"/>
      <c r="L284" s="3404"/>
    </row>
    <row r="285" spans="1:16" ht="30" customHeight="1" x14ac:dyDescent="0.2">
      <c r="A285" s="7655"/>
      <c r="B285" s="7653"/>
      <c r="C285" s="7724"/>
      <c r="D285" s="7564"/>
      <c r="E285" s="7660"/>
      <c r="F285" s="7564"/>
      <c r="G285" s="3399">
        <v>500000</v>
      </c>
      <c r="H285" s="3399" t="s">
        <v>1491</v>
      </c>
      <c r="I285" s="3422" t="s">
        <v>838</v>
      </c>
      <c r="J285" s="3399">
        <f>G285</f>
        <v>500000</v>
      </c>
      <c r="K285" s="3386"/>
      <c r="L285" s="388" t="s">
        <v>5273</v>
      </c>
    </row>
    <row r="286" spans="1:16" ht="30" customHeight="1" x14ac:dyDescent="0.2">
      <c r="A286" s="7654"/>
      <c r="B286" s="7652" t="s">
        <v>4266</v>
      </c>
      <c r="C286" s="7723" t="s">
        <v>1287</v>
      </c>
      <c r="D286" s="4870">
        <v>5730000000</v>
      </c>
      <c r="E286" s="2519">
        <v>0.08</v>
      </c>
      <c r="F286" s="4870">
        <f>D286*E286</f>
        <v>458400000</v>
      </c>
      <c r="G286" s="7732" t="s">
        <v>4890</v>
      </c>
      <c r="H286" s="7733"/>
      <c r="I286" s="7733"/>
      <c r="J286" s="7734"/>
      <c r="K286" s="233"/>
      <c r="L286" s="1661" t="s">
        <v>5119</v>
      </c>
    </row>
    <row r="287" spans="1:16" ht="30" customHeight="1" x14ac:dyDescent="0.2">
      <c r="A287" s="7655"/>
      <c r="B287" s="7653"/>
      <c r="C287" s="7724"/>
      <c r="D287" s="3394"/>
      <c r="E287" s="3395"/>
      <c r="F287" s="3394"/>
      <c r="G287" s="3425"/>
      <c r="H287" s="3426"/>
      <c r="I287" s="3406"/>
      <c r="J287" s="3427"/>
      <c r="K287" s="178"/>
      <c r="L287" s="1661" t="s">
        <v>5264</v>
      </c>
    </row>
    <row r="288" spans="1:16" ht="30" customHeight="1" x14ac:dyDescent="0.2">
      <c r="A288" s="2872">
        <v>175</v>
      </c>
      <c r="B288" s="2870" t="s">
        <v>36</v>
      </c>
      <c r="C288" s="2843" t="s">
        <v>1306</v>
      </c>
      <c r="D288" s="2817">
        <v>200000000</v>
      </c>
      <c r="E288" s="2819">
        <v>0.05</v>
      </c>
      <c r="F288" s="2817">
        <f t="shared" si="25"/>
        <v>10000000</v>
      </c>
      <c r="G288" s="3281">
        <v>10000000</v>
      </c>
      <c r="H288" s="3281" t="s">
        <v>5202</v>
      </c>
      <c r="I288" s="18" t="s">
        <v>3738</v>
      </c>
      <c r="J288" s="3281">
        <f>G288</f>
        <v>10000000</v>
      </c>
      <c r="K288" s="3399">
        <f t="shared" ref="K288:K293" si="31">F288-J288</f>
        <v>0</v>
      </c>
      <c r="L288" s="2870"/>
    </row>
    <row r="289" spans="1:12" ht="30" customHeight="1" x14ac:dyDescent="0.2">
      <c r="A289" s="2872">
        <v>176</v>
      </c>
      <c r="B289" s="2870" t="s">
        <v>37</v>
      </c>
      <c r="C289" s="2843" t="s">
        <v>1107</v>
      </c>
      <c r="D289" s="2817">
        <v>150000000</v>
      </c>
      <c r="E289" s="2867">
        <v>7.0000000000000007E-2</v>
      </c>
      <c r="F289" s="2817">
        <f t="shared" si="25"/>
        <v>10500000.000000002</v>
      </c>
      <c r="G289" s="2817">
        <v>10500000</v>
      </c>
      <c r="H289" s="2817" t="s">
        <v>5227</v>
      </c>
      <c r="I289" s="21" t="s">
        <v>3223</v>
      </c>
      <c r="J289" s="2817">
        <f t="shared" ref="J289:J295" si="32">G289</f>
        <v>10500000</v>
      </c>
      <c r="K289" s="2817">
        <f t="shared" si="31"/>
        <v>0</v>
      </c>
      <c r="L289" s="2870"/>
    </row>
    <row r="290" spans="1:12" ht="30" customHeight="1" x14ac:dyDescent="0.2">
      <c r="A290" s="2872">
        <v>177</v>
      </c>
      <c r="B290" s="2870" t="s">
        <v>5177</v>
      </c>
      <c r="C290" s="2843" t="s">
        <v>1299</v>
      </c>
      <c r="D290" s="2817">
        <v>25000000</v>
      </c>
      <c r="E290" s="2867">
        <v>0.04</v>
      </c>
      <c r="F290" s="2817">
        <f t="shared" si="25"/>
        <v>1000000</v>
      </c>
      <c r="G290" s="2817">
        <v>1000000</v>
      </c>
      <c r="H290" s="2817" t="s">
        <v>5174</v>
      </c>
      <c r="I290" s="18" t="s">
        <v>746</v>
      </c>
      <c r="J290" s="2817">
        <f t="shared" si="32"/>
        <v>1000000</v>
      </c>
      <c r="K290" s="2817">
        <f t="shared" si="31"/>
        <v>0</v>
      </c>
      <c r="L290" s="2870"/>
    </row>
    <row r="291" spans="1:12" ht="30" customHeight="1" x14ac:dyDescent="0.2">
      <c r="A291" s="2872">
        <v>178</v>
      </c>
      <c r="B291" s="2870" t="s">
        <v>39</v>
      </c>
      <c r="C291" s="2843" t="s">
        <v>1299</v>
      </c>
      <c r="D291" s="2817">
        <v>90000000</v>
      </c>
      <c r="E291" s="2867">
        <v>4.4999999999999998E-2</v>
      </c>
      <c r="F291" s="2817">
        <v>4000000</v>
      </c>
      <c r="G291" s="2817">
        <v>4000000</v>
      </c>
      <c r="H291" s="2817" t="s">
        <v>5211</v>
      </c>
      <c r="I291" s="21" t="s">
        <v>2164</v>
      </c>
      <c r="J291" s="2817">
        <f t="shared" si="32"/>
        <v>4000000</v>
      </c>
      <c r="K291" s="2817">
        <f t="shared" si="31"/>
        <v>0</v>
      </c>
      <c r="L291" s="2870"/>
    </row>
    <row r="292" spans="1:12" ht="30" customHeight="1" x14ac:dyDescent="0.2">
      <c r="A292" s="2883">
        <v>179</v>
      </c>
      <c r="B292" s="2865" t="s">
        <v>40</v>
      </c>
      <c r="C292" s="2842"/>
      <c r="D292" s="2816">
        <v>320000000</v>
      </c>
      <c r="E292" s="2818">
        <v>0.06</v>
      </c>
      <c r="F292" s="2816">
        <f t="shared" si="25"/>
        <v>19200000</v>
      </c>
      <c r="G292" s="2817">
        <v>19200000</v>
      </c>
      <c r="H292" s="2817" t="s">
        <v>5202</v>
      </c>
      <c r="I292" s="21" t="s">
        <v>1090</v>
      </c>
      <c r="J292" s="2816">
        <f t="shared" si="32"/>
        <v>19200000</v>
      </c>
      <c r="K292" s="2816">
        <f t="shared" si="31"/>
        <v>0</v>
      </c>
      <c r="L292" s="2839"/>
    </row>
    <row r="293" spans="1:12" ht="30" customHeight="1" x14ac:dyDescent="0.2">
      <c r="A293" s="2821">
        <v>180</v>
      </c>
      <c r="B293" s="19" t="s">
        <v>41</v>
      </c>
      <c r="C293" s="48" t="s">
        <v>2403</v>
      </c>
      <c r="D293" s="2844">
        <v>300000000</v>
      </c>
      <c r="E293" s="2867">
        <v>5.7000000000000002E-2</v>
      </c>
      <c r="F293" s="2844">
        <v>17000000</v>
      </c>
      <c r="G293" s="2844">
        <v>17000000</v>
      </c>
      <c r="H293" s="2844" t="s">
        <v>5211</v>
      </c>
      <c r="I293" s="2864" t="s">
        <v>2260</v>
      </c>
      <c r="J293" s="2844">
        <f t="shared" si="32"/>
        <v>17000000</v>
      </c>
      <c r="K293" s="2844">
        <f t="shared" si="31"/>
        <v>0</v>
      </c>
      <c r="L293" s="2879"/>
    </row>
    <row r="294" spans="1:12" ht="30" customHeight="1" x14ac:dyDescent="0.2">
      <c r="A294" s="2872">
        <v>181</v>
      </c>
      <c r="B294" s="2825" t="s">
        <v>42</v>
      </c>
      <c r="C294" s="2843" t="s">
        <v>989</v>
      </c>
      <c r="D294" s="2817">
        <v>50000000</v>
      </c>
      <c r="E294" s="2819">
        <v>0.05</v>
      </c>
      <c r="F294" s="2817">
        <f t="shared" si="25"/>
        <v>2500000</v>
      </c>
      <c r="G294" s="2817">
        <v>2500000</v>
      </c>
      <c r="H294" s="2817" t="s">
        <v>1491</v>
      </c>
      <c r="I294" s="21" t="s">
        <v>1076</v>
      </c>
      <c r="J294" s="2817">
        <f t="shared" si="32"/>
        <v>2500000</v>
      </c>
      <c r="K294" s="2817">
        <f>F294-J294</f>
        <v>0</v>
      </c>
      <c r="L294" s="2825"/>
    </row>
    <row r="295" spans="1:12" ht="30" customHeight="1" x14ac:dyDescent="0.2">
      <c r="A295" s="7656"/>
      <c r="B295" s="7652" t="s">
        <v>43</v>
      </c>
      <c r="C295" s="7723" t="s">
        <v>989</v>
      </c>
      <c r="D295" s="7563">
        <v>125000000</v>
      </c>
      <c r="E295" s="7659">
        <v>0.05</v>
      </c>
      <c r="F295" s="7563">
        <f>D295*E295</f>
        <v>6250000</v>
      </c>
      <c r="G295" s="7563">
        <v>6250000</v>
      </c>
      <c r="H295" s="7563" t="s">
        <v>5016</v>
      </c>
      <c r="I295" s="7563" t="s">
        <v>3716</v>
      </c>
      <c r="J295" s="7563">
        <f t="shared" si="32"/>
        <v>6250000</v>
      </c>
      <c r="K295" s="7563">
        <f>F295-J295</f>
        <v>0</v>
      </c>
      <c r="L295" s="3194"/>
    </row>
    <row r="296" spans="1:12" ht="30" customHeight="1" x14ac:dyDescent="0.2">
      <c r="A296" s="7655"/>
      <c r="B296" s="7653"/>
      <c r="C296" s="7724"/>
      <c r="D296" s="7564"/>
      <c r="E296" s="7660"/>
      <c r="F296" s="7564"/>
      <c r="G296" s="7564"/>
      <c r="H296" s="7564"/>
      <c r="I296" s="7564"/>
      <c r="J296" s="7564"/>
      <c r="K296" s="7564"/>
      <c r="L296" s="3195"/>
    </row>
    <row r="297" spans="1:12" ht="30" customHeight="1" x14ac:dyDescent="0.2">
      <c r="A297" s="7654">
        <v>183</v>
      </c>
      <c r="B297" s="7652" t="s">
        <v>4148</v>
      </c>
      <c r="C297" s="7723" t="s">
        <v>1100</v>
      </c>
      <c r="D297" s="2910">
        <v>100000000</v>
      </c>
      <c r="E297" s="2912">
        <v>0.05</v>
      </c>
      <c r="F297" s="2910">
        <f t="shared" si="25"/>
        <v>5000000</v>
      </c>
      <c r="G297" s="2910">
        <v>4700000</v>
      </c>
      <c r="H297" s="2910" t="s">
        <v>5106</v>
      </c>
      <c r="I297" s="21" t="s">
        <v>4774</v>
      </c>
      <c r="J297" s="2817">
        <f t="shared" ref="J297:J307" si="33">G297</f>
        <v>4700000</v>
      </c>
      <c r="K297" s="2817">
        <f t="shared" ref="K297:K302" si="34">F297-J297</f>
        <v>300000</v>
      </c>
      <c r="L297" s="2013"/>
    </row>
    <row r="298" spans="1:12" ht="30" customHeight="1" x14ac:dyDescent="0.2">
      <c r="A298" s="7656"/>
      <c r="B298" s="7665"/>
      <c r="C298" s="7747"/>
      <c r="D298" s="7470" t="s">
        <v>5233</v>
      </c>
      <c r="E298" s="7493"/>
      <c r="F298" s="7510"/>
      <c r="G298" s="3343">
        <v>50000000</v>
      </c>
      <c r="H298" s="3343" t="s">
        <v>5211</v>
      </c>
      <c r="I298" s="3355" t="s">
        <v>5234</v>
      </c>
      <c r="J298" s="3343">
        <f>G298</f>
        <v>50000000</v>
      </c>
      <c r="K298" s="3343"/>
      <c r="L298" s="2013" t="s">
        <v>5235</v>
      </c>
    </row>
    <row r="299" spans="1:12" ht="30" customHeight="1" x14ac:dyDescent="0.2">
      <c r="A299" s="7655"/>
      <c r="B299" s="7653"/>
      <c r="C299" s="7724"/>
      <c r="D299" s="3341">
        <v>50000000</v>
      </c>
      <c r="E299" s="435">
        <v>0.05</v>
      </c>
      <c r="F299" s="3341">
        <f>D299*E299</f>
        <v>2500000</v>
      </c>
      <c r="G299" s="3343"/>
      <c r="H299" s="3343"/>
      <c r="I299" s="3355"/>
      <c r="J299" s="3343"/>
      <c r="K299" s="3343"/>
      <c r="L299" s="2013"/>
    </row>
    <row r="300" spans="1:12" ht="30" customHeight="1" x14ac:dyDescent="0.2">
      <c r="A300" s="2872">
        <v>184</v>
      </c>
      <c r="B300" s="2870" t="s">
        <v>45</v>
      </c>
      <c r="C300" s="2843" t="s">
        <v>989</v>
      </c>
      <c r="D300" s="2817">
        <v>20000000</v>
      </c>
      <c r="E300" s="2902">
        <v>0.05</v>
      </c>
      <c r="F300" s="2817">
        <f t="shared" si="25"/>
        <v>1000000</v>
      </c>
      <c r="G300" s="2817">
        <v>1000000</v>
      </c>
      <c r="H300" s="2817" t="s">
        <v>5227</v>
      </c>
      <c r="I300" s="21" t="s">
        <v>1094</v>
      </c>
      <c r="J300" s="2817">
        <f t="shared" si="33"/>
        <v>1000000</v>
      </c>
      <c r="K300" s="2817">
        <f t="shared" si="34"/>
        <v>0</v>
      </c>
      <c r="L300" s="2870"/>
    </row>
    <row r="301" spans="1:12" ht="30" customHeight="1" x14ac:dyDescent="0.2">
      <c r="A301" s="2872">
        <v>186</v>
      </c>
      <c r="B301" s="2870" t="s">
        <v>47</v>
      </c>
      <c r="C301" s="2843" t="s">
        <v>1107</v>
      </c>
      <c r="D301" s="2817">
        <v>8000000</v>
      </c>
      <c r="E301" s="2867">
        <v>0.04</v>
      </c>
      <c r="F301" s="2817">
        <f t="shared" si="25"/>
        <v>320000</v>
      </c>
      <c r="G301" s="2817">
        <v>320000</v>
      </c>
      <c r="H301" s="2817" t="s">
        <v>1491</v>
      </c>
      <c r="I301" s="21" t="s">
        <v>5275</v>
      </c>
      <c r="J301" s="2817">
        <f t="shared" si="33"/>
        <v>320000</v>
      </c>
      <c r="K301" s="2817">
        <f t="shared" si="34"/>
        <v>0</v>
      </c>
      <c r="L301" s="2870"/>
    </row>
    <row r="302" spans="1:12" ht="30" customHeight="1" x14ac:dyDescent="0.2">
      <c r="A302" s="7654">
        <v>187</v>
      </c>
      <c r="B302" s="7652" t="s">
        <v>2470</v>
      </c>
      <c r="C302" s="7723" t="s">
        <v>1138</v>
      </c>
      <c r="D302" s="7563">
        <v>200000000</v>
      </c>
      <c r="E302" s="7659">
        <v>0.05</v>
      </c>
      <c r="F302" s="7563">
        <f t="shared" si="25"/>
        <v>10000000</v>
      </c>
      <c r="G302" s="2817">
        <v>10000000</v>
      </c>
      <c r="H302" s="2817" t="s">
        <v>4839</v>
      </c>
      <c r="I302" s="21" t="s">
        <v>3331</v>
      </c>
      <c r="J302" s="2817">
        <f t="shared" si="33"/>
        <v>10000000</v>
      </c>
      <c r="K302" s="2817">
        <f t="shared" si="34"/>
        <v>0</v>
      </c>
      <c r="L302" s="2894" t="s">
        <v>4780</v>
      </c>
    </row>
    <row r="303" spans="1:12" ht="30" customHeight="1" x14ac:dyDescent="0.2">
      <c r="A303" s="7655"/>
      <c r="B303" s="7653"/>
      <c r="C303" s="7724"/>
      <c r="D303" s="7564"/>
      <c r="E303" s="7660"/>
      <c r="F303" s="7564"/>
      <c r="G303" s="3434">
        <v>10000000</v>
      </c>
      <c r="H303" s="3434" t="s">
        <v>5106</v>
      </c>
      <c r="I303" s="3465" t="s">
        <v>3331</v>
      </c>
      <c r="J303" s="3434">
        <f t="shared" si="33"/>
        <v>10000000</v>
      </c>
      <c r="K303" s="3435">
        <f>F302-J303</f>
        <v>0</v>
      </c>
      <c r="L303" s="3464" t="s">
        <v>5315</v>
      </c>
    </row>
    <row r="304" spans="1:12" ht="30" customHeight="1" x14ac:dyDescent="0.2">
      <c r="A304" s="7654">
        <v>188</v>
      </c>
      <c r="B304" s="7652" t="s">
        <v>49</v>
      </c>
      <c r="C304" s="7723" t="s">
        <v>1107</v>
      </c>
      <c r="D304" s="2817">
        <v>200000000</v>
      </c>
      <c r="E304" s="2819">
        <v>0.05</v>
      </c>
      <c r="F304" s="2817">
        <f t="shared" si="25"/>
        <v>10000000</v>
      </c>
      <c r="G304" s="7563">
        <v>25000000</v>
      </c>
      <c r="H304" s="7563" t="s">
        <v>5105</v>
      </c>
      <c r="I304" s="7561" t="s">
        <v>5225</v>
      </c>
      <c r="J304" s="7563">
        <f t="shared" si="33"/>
        <v>25000000</v>
      </c>
      <c r="K304" s="7563">
        <f>F305-J304</f>
        <v>0</v>
      </c>
      <c r="L304" s="1661" t="s">
        <v>5224</v>
      </c>
    </row>
    <row r="305" spans="1:12" ht="30" customHeight="1" x14ac:dyDescent="0.2">
      <c r="A305" s="7656"/>
      <c r="B305" s="7665"/>
      <c r="C305" s="7747"/>
      <c r="D305" s="8026">
        <v>500000000</v>
      </c>
      <c r="E305" s="8028">
        <v>0.05</v>
      </c>
      <c r="F305" s="8026">
        <f>D305*E305</f>
        <v>25000000</v>
      </c>
      <c r="G305" s="7586"/>
      <c r="H305" s="7586"/>
      <c r="I305" s="7672"/>
      <c r="J305" s="7586"/>
      <c r="K305" s="7586"/>
      <c r="L305" s="763" t="s">
        <v>5247</v>
      </c>
    </row>
    <row r="306" spans="1:12" ht="30" customHeight="1" x14ac:dyDescent="0.2">
      <c r="A306" s="7655"/>
      <c r="B306" s="7653"/>
      <c r="C306" s="7724"/>
      <c r="D306" s="8027"/>
      <c r="E306" s="8029"/>
      <c r="F306" s="8027"/>
      <c r="G306" s="7564"/>
      <c r="H306" s="7564"/>
      <c r="I306" s="7562"/>
      <c r="J306" s="7564"/>
      <c r="K306" s="7564"/>
      <c r="L306" s="522" t="s">
        <v>5248</v>
      </c>
    </row>
    <row r="307" spans="1:12" ht="30" customHeight="1" x14ac:dyDescent="0.2">
      <c r="A307" s="7654">
        <v>190</v>
      </c>
      <c r="B307" s="7652" t="s">
        <v>51</v>
      </c>
      <c r="C307" s="2843" t="s">
        <v>1100</v>
      </c>
      <c r="D307" s="2817">
        <v>80000000</v>
      </c>
      <c r="E307" s="2867">
        <v>0.05</v>
      </c>
      <c r="F307" s="2817">
        <f t="shared" si="25"/>
        <v>4000000</v>
      </c>
      <c r="G307" s="7563">
        <v>14000000</v>
      </c>
      <c r="H307" s="7563" t="s">
        <v>5226</v>
      </c>
      <c r="I307" s="7561" t="s">
        <v>2967</v>
      </c>
      <c r="J307" s="7563">
        <f t="shared" si="33"/>
        <v>14000000</v>
      </c>
      <c r="K307" s="7563">
        <f>(F307+F308)-J307</f>
        <v>0</v>
      </c>
      <c r="L307" s="7703"/>
    </row>
    <row r="308" spans="1:12" ht="30" customHeight="1" x14ac:dyDescent="0.2">
      <c r="A308" s="7656"/>
      <c r="B308" s="7665"/>
      <c r="C308" s="2843" t="s">
        <v>1100</v>
      </c>
      <c r="D308" s="2817">
        <v>200000000</v>
      </c>
      <c r="E308" s="2867">
        <v>0.05</v>
      </c>
      <c r="F308" s="2817">
        <f t="shared" si="25"/>
        <v>10000000</v>
      </c>
      <c r="G308" s="7564"/>
      <c r="H308" s="7564"/>
      <c r="I308" s="7562"/>
      <c r="J308" s="7564"/>
      <c r="K308" s="7564"/>
      <c r="L308" s="7705"/>
    </row>
    <row r="309" spans="1:12" ht="30" customHeight="1" x14ac:dyDescent="0.2">
      <c r="A309" s="7655"/>
      <c r="B309" s="7653"/>
      <c r="C309" s="2845" t="s">
        <v>262</v>
      </c>
      <c r="D309" s="2827">
        <v>220000000</v>
      </c>
      <c r="E309" s="2818">
        <v>0.05</v>
      </c>
      <c r="F309" s="2827">
        <f t="shared" si="25"/>
        <v>11000000</v>
      </c>
      <c r="G309" s="2817">
        <v>11000000</v>
      </c>
      <c r="H309" s="2817" t="s">
        <v>4936</v>
      </c>
      <c r="I309" s="21" t="s">
        <v>2967</v>
      </c>
      <c r="J309" s="2827">
        <f>G309</f>
        <v>11000000</v>
      </c>
      <c r="K309" s="2827">
        <f>F309-J309</f>
        <v>0</v>
      </c>
      <c r="L309" s="2860"/>
    </row>
    <row r="310" spans="1:12" ht="30" customHeight="1" x14ac:dyDescent="0.2">
      <c r="A310" s="1028">
        <v>191</v>
      </c>
      <c r="B310" s="3046" t="s">
        <v>52</v>
      </c>
      <c r="C310" s="3045" t="s">
        <v>262</v>
      </c>
      <c r="D310" s="3041">
        <v>700000000</v>
      </c>
      <c r="E310" s="3044">
        <v>7.6999999999999999E-2</v>
      </c>
      <c r="F310" s="3041">
        <v>54000000</v>
      </c>
      <c r="G310" s="3041">
        <v>54000000</v>
      </c>
      <c r="H310" s="3041" t="s">
        <v>4959</v>
      </c>
      <c r="I310" s="3043" t="s">
        <v>678</v>
      </c>
      <c r="J310" s="3041">
        <f>G310</f>
        <v>54000000</v>
      </c>
      <c r="K310" s="3041">
        <f>F310-J310</f>
        <v>0</v>
      </c>
      <c r="L310" s="2856"/>
    </row>
    <row r="311" spans="1:12" ht="30" customHeight="1" x14ac:dyDescent="0.2">
      <c r="A311" s="7654">
        <v>192</v>
      </c>
      <c r="B311" s="7652" t="s">
        <v>53</v>
      </c>
      <c r="C311" s="7873" t="s">
        <v>1287</v>
      </c>
      <c r="D311" s="7482">
        <v>1400000000</v>
      </c>
      <c r="E311" s="7870">
        <v>7.0000000000000007E-2</v>
      </c>
      <c r="F311" s="7482">
        <f>D311*E311</f>
        <v>98000000.000000015</v>
      </c>
      <c r="G311" s="3136">
        <v>43000000</v>
      </c>
      <c r="H311" s="7470" t="s">
        <v>5045</v>
      </c>
      <c r="I311" s="7510"/>
      <c r="J311" s="7563">
        <f>G311+G312+G313</f>
        <v>98000000</v>
      </c>
      <c r="K311" s="7563">
        <f>F311-J311</f>
        <v>0</v>
      </c>
      <c r="L311" s="3142"/>
    </row>
    <row r="312" spans="1:12" ht="30" customHeight="1" x14ac:dyDescent="0.2">
      <c r="A312" s="7656"/>
      <c r="B312" s="7665"/>
      <c r="C312" s="7873"/>
      <c r="D312" s="7482"/>
      <c r="E312" s="7870"/>
      <c r="F312" s="7482"/>
      <c r="G312" s="2844">
        <v>15000000</v>
      </c>
      <c r="H312" s="2844" t="s">
        <v>4939</v>
      </c>
      <c r="I312" s="2844" t="s">
        <v>861</v>
      </c>
      <c r="J312" s="7586"/>
      <c r="K312" s="7586"/>
      <c r="L312" s="180"/>
    </row>
    <row r="313" spans="1:12" ht="30" customHeight="1" x14ac:dyDescent="0.2">
      <c r="A313" s="7656"/>
      <c r="B313" s="7665"/>
      <c r="C313" s="7962" t="s">
        <v>5047</v>
      </c>
      <c r="D313" s="7963"/>
      <c r="E313" s="7963"/>
      <c r="F313" s="7964"/>
      <c r="G313" s="2844">
        <v>40000000</v>
      </c>
      <c r="H313" s="7563" t="s">
        <v>5016</v>
      </c>
      <c r="I313" s="7563" t="s">
        <v>861</v>
      </c>
      <c r="J313" s="7564"/>
      <c r="K313" s="7564"/>
      <c r="L313" s="180"/>
    </row>
    <row r="314" spans="1:12" ht="30" customHeight="1" x14ac:dyDescent="0.2">
      <c r="A314" s="7656"/>
      <c r="B314" s="7665"/>
      <c r="C314" s="7965"/>
      <c r="D314" s="7966"/>
      <c r="E314" s="7966"/>
      <c r="F314" s="7967"/>
      <c r="G314" s="2844">
        <v>60000000</v>
      </c>
      <c r="H314" s="7564"/>
      <c r="I314" s="7564"/>
      <c r="J314" s="7563">
        <f>G314+G315+G316</f>
        <v>160500000</v>
      </c>
      <c r="K314" s="7563">
        <v>0</v>
      </c>
      <c r="L314" s="180"/>
    </row>
    <row r="315" spans="1:12" ht="30" customHeight="1" x14ac:dyDescent="0.2">
      <c r="A315" s="7656"/>
      <c r="B315" s="7665"/>
      <c r="C315" s="7965"/>
      <c r="D315" s="7966"/>
      <c r="E315" s="7966"/>
      <c r="F315" s="7967"/>
      <c r="G315" s="3136">
        <v>38500000</v>
      </c>
      <c r="H315" s="3127" t="s">
        <v>5043</v>
      </c>
      <c r="I315" s="3127" t="s">
        <v>861</v>
      </c>
      <c r="J315" s="7586"/>
      <c r="K315" s="7586"/>
      <c r="L315" s="180"/>
    </row>
    <row r="316" spans="1:12" ht="30" customHeight="1" x14ac:dyDescent="0.2">
      <c r="A316" s="7655"/>
      <c r="B316" s="7653"/>
      <c r="C316" s="7968"/>
      <c r="D316" s="7969"/>
      <c r="E316" s="7969"/>
      <c r="F316" s="7970"/>
      <c r="G316" s="2844">
        <v>62000000</v>
      </c>
      <c r="H316" s="2844" t="s">
        <v>5154</v>
      </c>
      <c r="I316" s="2844" t="s">
        <v>4553</v>
      </c>
      <c r="J316" s="7564"/>
      <c r="K316" s="7564"/>
      <c r="L316" s="180"/>
    </row>
    <row r="317" spans="1:12" ht="30" customHeight="1" x14ac:dyDescent="0.2">
      <c r="A317" s="2872">
        <v>193</v>
      </c>
      <c r="B317" s="2825" t="s">
        <v>54</v>
      </c>
      <c r="C317" s="2843" t="s">
        <v>1306</v>
      </c>
      <c r="D317" s="2817">
        <v>45000000</v>
      </c>
      <c r="E317" s="2819">
        <v>0.04</v>
      </c>
      <c r="F317" s="2817">
        <f t="shared" ref="F317:F420" si="35">D317*E317</f>
        <v>1800000</v>
      </c>
      <c r="G317" s="2817">
        <v>1800000</v>
      </c>
      <c r="H317" s="2817" t="s">
        <v>5227</v>
      </c>
      <c r="I317" s="2844" t="s">
        <v>4136</v>
      </c>
      <c r="J317" s="2817">
        <f t="shared" ref="J317:J336" si="36">G317</f>
        <v>1800000</v>
      </c>
      <c r="K317" s="2817">
        <f t="shared" ref="K317:K335" si="37">F317-J317</f>
        <v>0</v>
      </c>
      <c r="L317" s="2870"/>
    </row>
    <row r="318" spans="1:12" ht="30" customHeight="1" x14ac:dyDescent="0.2">
      <c r="A318" s="7654">
        <v>194</v>
      </c>
      <c r="B318" s="7652" t="s">
        <v>55</v>
      </c>
      <c r="C318" s="7723" t="s">
        <v>1287</v>
      </c>
      <c r="D318" s="3041">
        <v>130000000</v>
      </c>
      <c r="E318" s="1027">
        <v>0.05</v>
      </c>
      <c r="F318" s="3041">
        <f t="shared" si="35"/>
        <v>6500000</v>
      </c>
      <c r="G318" s="8105" t="s">
        <v>4957</v>
      </c>
      <c r="H318" s="8106"/>
      <c r="I318" s="8106"/>
      <c r="J318" s="8107"/>
      <c r="K318" s="3041">
        <f t="shared" si="37"/>
        <v>6500000</v>
      </c>
      <c r="L318" s="3374" t="s">
        <v>4958</v>
      </c>
    </row>
    <row r="319" spans="1:12" ht="30" customHeight="1" x14ac:dyDescent="0.2">
      <c r="A319" s="7656"/>
      <c r="B319" s="7665"/>
      <c r="C319" s="7747"/>
      <c r="D319" s="3038">
        <v>6500000</v>
      </c>
      <c r="E319" s="3074">
        <v>0.05</v>
      </c>
      <c r="F319" s="3038">
        <f>D319*E319</f>
        <v>325000</v>
      </c>
      <c r="G319" s="8111"/>
      <c r="H319" s="8112"/>
      <c r="I319" s="8112"/>
      <c r="J319" s="8113"/>
      <c r="K319" s="3038"/>
      <c r="L319" s="3040"/>
    </row>
    <row r="320" spans="1:12" ht="30" customHeight="1" x14ac:dyDescent="0.2">
      <c r="A320" s="7656"/>
      <c r="B320" s="7665"/>
      <c r="C320" s="7747"/>
      <c r="D320" s="3038">
        <v>10000000</v>
      </c>
      <c r="E320" s="3074">
        <v>0.05</v>
      </c>
      <c r="F320" s="3038">
        <f>D320*E320</f>
        <v>500000</v>
      </c>
      <c r="G320" s="7732" t="s">
        <v>4956</v>
      </c>
      <c r="H320" s="7733"/>
      <c r="I320" s="7733"/>
      <c r="J320" s="7734"/>
      <c r="K320" s="3038"/>
      <c r="L320" s="3040"/>
    </row>
    <row r="321" spans="1:16" ht="30" customHeight="1" x14ac:dyDescent="0.2">
      <c r="A321" s="7656"/>
      <c r="B321" s="7665"/>
      <c r="C321" s="7747"/>
      <c r="D321" s="3127">
        <v>13500000</v>
      </c>
      <c r="E321" s="3074">
        <v>0.05</v>
      </c>
      <c r="F321" s="3127">
        <f>D321*E321</f>
        <v>675000</v>
      </c>
      <c r="G321" s="7732" t="s">
        <v>5253</v>
      </c>
      <c r="H321" s="7733"/>
      <c r="I321" s="7733"/>
      <c r="J321" s="7734"/>
      <c r="K321" s="3127"/>
      <c r="L321" s="3134"/>
    </row>
    <row r="322" spans="1:16" ht="30" customHeight="1" x14ac:dyDescent="0.2">
      <c r="A322" s="7655"/>
      <c r="B322" s="7653"/>
      <c r="C322" s="7724"/>
      <c r="D322" s="1542">
        <f>SUM(D318:D321)</f>
        <v>160000000</v>
      </c>
      <c r="E322" s="3075">
        <v>0.05</v>
      </c>
      <c r="F322" s="1542">
        <f>D322*E322</f>
        <v>8000000</v>
      </c>
      <c r="G322" s="7732" t="s">
        <v>5254</v>
      </c>
      <c r="H322" s="7733"/>
      <c r="I322" s="7733"/>
      <c r="J322" s="7734"/>
      <c r="K322" s="3038"/>
      <c r="L322" s="3048"/>
    </row>
    <row r="323" spans="1:16" ht="30" customHeight="1" x14ac:dyDescent="0.2">
      <c r="A323" s="2872">
        <v>195</v>
      </c>
      <c r="B323" s="2825" t="s">
        <v>56</v>
      </c>
      <c r="C323" s="2843" t="s">
        <v>990</v>
      </c>
      <c r="D323" s="2817">
        <v>10000000</v>
      </c>
      <c r="E323" s="2819">
        <v>0.05</v>
      </c>
      <c r="F323" s="2817">
        <f t="shared" si="35"/>
        <v>500000</v>
      </c>
      <c r="G323" s="2817">
        <v>500000</v>
      </c>
      <c r="H323" s="2817" t="s">
        <v>5226</v>
      </c>
      <c r="I323" s="21" t="s">
        <v>1121</v>
      </c>
      <c r="J323" s="2817">
        <f t="shared" si="36"/>
        <v>500000</v>
      </c>
      <c r="K323" s="2817">
        <f t="shared" si="37"/>
        <v>0</v>
      </c>
      <c r="L323" s="2870"/>
    </row>
    <row r="324" spans="1:16" ht="30" customHeight="1" x14ac:dyDescent="0.2">
      <c r="A324" s="7654">
        <v>196</v>
      </c>
      <c r="B324" s="7652" t="s">
        <v>57</v>
      </c>
      <c r="C324" s="7723" t="s">
        <v>1107</v>
      </c>
      <c r="D324" s="2817">
        <v>20000000</v>
      </c>
      <c r="E324" s="2867">
        <v>0.04</v>
      </c>
      <c r="F324" s="2817">
        <f t="shared" si="35"/>
        <v>800000</v>
      </c>
      <c r="G324" s="7563">
        <v>2300000</v>
      </c>
      <c r="H324" s="7563" t="s">
        <v>1491</v>
      </c>
      <c r="I324" s="7561" t="s">
        <v>3761</v>
      </c>
      <c r="J324" s="7563">
        <f t="shared" si="36"/>
        <v>2300000</v>
      </c>
      <c r="K324" s="7563">
        <f>(F324+F325)-J324</f>
        <v>0</v>
      </c>
      <c r="L324" s="8072"/>
    </row>
    <row r="325" spans="1:16" ht="30" customHeight="1" x14ac:dyDescent="0.2">
      <c r="A325" s="7656"/>
      <c r="B325" s="7665"/>
      <c r="C325" s="7724"/>
      <c r="D325" s="2817">
        <v>30000000</v>
      </c>
      <c r="E325" s="2867">
        <v>0.05</v>
      </c>
      <c r="F325" s="2817">
        <f t="shared" si="35"/>
        <v>1500000</v>
      </c>
      <c r="G325" s="7564"/>
      <c r="H325" s="7564"/>
      <c r="I325" s="7562"/>
      <c r="J325" s="7564"/>
      <c r="K325" s="7564"/>
      <c r="L325" s="8072"/>
    </row>
    <row r="326" spans="1:16" ht="30" customHeight="1" x14ac:dyDescent="0.2">
      <c r="A326" s="7654">
        <v>197</v>
      </c>
      <c r="B326" s="7717" t="s">
        <v>4151</v>
      </c>
      <c r="C326" s="7723" t="s">
        <v>1134</v>
      </c>
      <c r="D326" s="2844">
        <v>100000000</v>
      </c>
      <c r="E326" s="2867">
        <v>0.05</v>
      </c>
      <c r="F326" s="2844">
        <f t="shared" si="35"/>
        <v>5000000</v>
      </c>
      <c r="G326" s="7563">
        <v>12000000</v>
      </c>
      <c r="H326" s="7563" t="s">
        <v>5227</v>
      </c>
      <c r="I326" s="7563" t="s">
        <v>4152</v>
      </c>
      <c r="J326" s="7563">
        <f t="shared" si="36"/>
        <v>12000000</v>
      </c>
      <c r="K326" s="7563">
        <f>(F326+F327)-J326</f>
        <v>0</v>
      </c>
      <c r="L326" s="736"/>
      <c r="M326" s="366"/>
      <c r="N326" s="366"/>
      <c r="O326" s="366"/>
      <c r="P326" s="366"/>
    </row>
    <row r="327" spans="1:16" ht="30" customHeight="1" x14ac:dyDescent="0.2">
      <c r="A327" s="7655"/>
      <c r="B327" s="7717"/>
      <c r="C327" s="7724"/>
      <c r="D327" s="3260">
        <v>100000000</v>
      </c>
      <c r="E327" s="3261">
        <v>7.0000000000000007E-2</v>
      </c>
      <c r="F327" s="3260">
        <f t="shared" si="35"/>
        <v>7000000.0000000009</v>
      </c>
      <c r="G327" s="7564"/>
      <c r="H327" s="7564"/>
      <c r="I327" s="7564"/>
      <c r="J327" s="7564"/>
      <c r="K327" s="7564"/>
      <c r="L327" s="637" t="s">
        <v>5161</v>
      </c>
      <c r="M327" s="366"/>
      <c r="N327" s="366"/>
      <c r="O327" s="366"/>
      <c r="P327" s="366"/>
    </row>
    <row r="328" spans="1:16" ht="30" customHeight="1" x14ac:dyDescent="0.2">
      <c r="A328" s="7654">
        <v>198</v>
      </c>
      <c r="B328" s="7665" t="s">
        <v>59</v>
      </c>
      <c r="C328" s="2966" t="s">
        <v>1100</v>
      </c>
      <c r="D328" s="2817">
        <v>30000000</v>
      </c>
      <c r="E328" s="2819">
        <v>8.5000000000000006E-2</v>
      </c>
      <c r="F328" s="2817">
        <v>2500000</v>
      </c>
      <c r="G328" s="2817">
        <v>2500000</v>
      </c>
      <c r="H328" s="2817" t="s">
        <v>5211</v>
      </c>
      <c r="I328" s="2817" t="s">
        <v>1164</v>
      </c>
      <c r="J328" s="2817">
        <f t="shared" si="36"/>
        <v>2500000</v>
      </c>
      <c r="K328" s="2817">
        <f t="shared" si="37"/>
        <v>0</v>
      </c>
      <c r="L328" s="7713" t="s">
        <v>4607</v>
      </c>
      <c r="M328" s="366"/>
      <c r="N328" s="366"/>
      <c r="O328" s="366"/>
      <c r="P328" s="366"/>
    </row>
    <row r="329" spans="1:16" ht="30" customHeight="1" x14ac:dyDescent="0.2">
      <c r="A329" s="7655"/>
      <c r="B329" s="7653"/>
      <c r="C329" s="2966" t="s">
        <v>1718</v>
      </c>
      <c r="D329" s="2817">
        <v>100000000</v>
      </c>
      <c r="E329" s="2867">
        <v>7.0000000000000007E-2</v>
      </c>
      <c r="F329" s="2817">
        <f>D329*E329</f>
        <v>7000000.0000000009</v>
      </c>
      <c r="G329" s="2817">
        <v>7000000</v>
      </c>
      <c r="H329" s="2817" t="s">
        <v>4936</v>
      </c>
      <c r="I329" s="3096" t="s">
        <v>1164</v>
      </c>
      <c r="J329" s="2817">
        <f>G329</f>
        <v>7000000</v>
      </c>
      <c r="K329" s="2817">
        <f>F329-J329</f>
        <v>0</v>
      </c>
      <c r="L329" s="7714"/>
      <c r="M329" s="366"/>
      <c r="N329" s="366"/>
      <c r="O329" s="366"/>
      <c r="P329" s="366"/>
    </row>
    <row r="330" spans="1:16" ht="30" customHeight="1" x14ac:dyDescent="0.2">
      <c r="A330" s="2872">
        <v>199</v>
      </c>
      <c r="B330" s="2870" t="s">
        <v>60</v>
      </c>
      <c r="C330" s="2843" t="s">
        <v>1100</v>
      </c>
      <c r="D330" s="2817">
        <v>50000000</v>
      </c>
      <c r="E330" s="2867">
        <v>0.05</v>
      </c>
      <c r="F330" s="2817">
        <f t="shared" si="35"/>
        <v>2500000</v>
      </c>
      <c r="G330" s="2817">
        <v>2500000</v>
      </c>
      <c r="H330" s="2817" t="s">
        <v>5226</v>
      </c>
      <c r="I330" s="2844" t="s">
        <v>4776</v>
      </c>
      <c r="J330" s="2817">
        <f t="shared" si="36"/>
        <v>2500000</v>
      </c>
      <c r="K330" s="2817">
        <f t="shared" si="37"/>
        <v>0</v>
      </c>
      <c r="L330" s="2870"/>
      <c r="M330" s="366"/>
      <c r="N330" s="366"/>
      <c r="O330" s="366"/>
      <c r="P330" s="366"/>
    </row>
    <row r="331" spans="1:16" ht="30" customHeight="1" x14ac:dyDescent="0.2">
      <c r="A331" s="2872">
        <v>200</v>
      </c>
      <c r="B331" s="2870" t="s">
        <v>61</v>
      </c>
      <c r="C331" s="2843" t="s">
        <v>1081</v>
      </c>
      <c r="D331" s="2817">
        <v>350000000</v>
      </c>
      <c r="E331" s="2867">
        <v>7.0000000000000007E-2</v>
      </c>
      <c r="F331" s="2817">
        <f t="shared" si="35"/>
        <v>24500000.000000004</v>
      </c>
      <c r="G331" s="2817"/>
      <c r="H331" s="2817"/>
      <c r="I331" s="21" t="s">
        <v>4784</v>
      </c>
      <c r="J331" s="2817">
        <f>G331</f>
        <v>0</v>
      </c>
      <c r="K331" s="2817">
        <f t="shared" si="37"/>
        <v>24500000.000000004</v>
      </c>
      <c r="L331" s="2013"/>
      <c r="M331" s="366"/>
      <c r="N331" s="366"/>
      <c r="O331" s="366"/>
      <c r="P331" s="366"/>
    </row>
    <row r="332" spans="1:16" ht="30" customHeight="1" x14ac:dyDescent="0.2">
      <c r="A332" s="2872">
        <v>201</v>
      </c>
      <c r="B332" s="2870" t="s">
        <v>62</v>
      </c>
      <c r="C332" s="2843"/>
      <c r="D332" s="2817">
        <v>60000000</v>
      </c>
      <c r="E332" s="2867">
        <v>7.0000000000000007E-2</v>
      </c>
      <c r="F332" s="2817">
        <v>4500000</v>
      </c>
      <c r="G332" s="2817">
        <v>4500000</v>
      </c>
      <c r="H332" s="2817" t="s">
        <v>5226</v>
      </c>
      <c r="I332" s="2877" t="s">
        <v>3900</v>
      </c>
      <c r="J332" s="2817">
        <f t="shared" si="36"/>
        <v>4500000</v>
      </c>
      <c r="K332" s="2817">
        <f t="shared" si="37"/>
        <v>0</v>
      </c>
      <c r="L332" s="2870"/>
      <c r="M332" s="366"/>
      <c r="N332" s="366"/>
      <c r="O332" s="366"/>
      <c r="P332" s="366"/>
    </row>
    <row r="333" spans="1:16" ht="30" customHeight="1" x14ac:dyDescent="0.2">
      <c r="A333" s="2874">
        <v>202</v>
      </c>
      <c r="B333" s="2870" t="s">
        <v>63</v>
      </c>
      <c r="C333" s="2869" t="s">
        <v>1081</v>
      </c>
      <c r="D333" s="2844">
        <v>100000000</v>
      </c>
      <c r="E333" s="2867">
        <v>0.05</v>
      </c>
      <c r="F333" s="2844">
        <f t="shared" si="35"/>
        <v>5000000</v>
      </c>
      <c r="G333" s="2844">
        <v>5000000</v>
      </c>
      <c r="H333" s="2817" t="s">
        <v>5226</v>
      </c>
      <c r="I333" s="21" t="s">
        <v>3889</v>
      </c>
      <c r="J333" s="2817">
        <f t="shared" si="36"/>
        <v>5000000</v>
      </c>
      <c r="K333" s="2817">
        <f t="shared" si="37"/>
        <v>0</v>
      </c>
      <c r="L333" s="2894"/>
      <c r="M333" s="366"/>
      <c r="N333" s="366"/>
      <c r="O333" s="366"/>
      <c r="P333" s="366"/>
    </row>
    <row r="334" spans="1:16" ht="30" customHeight="1" x14ac:dyDescent="0.2">
      <c r="A334" s="2872">
        <v>203</v>
      </c>
      <c r="B334" s="2825" t="s">
        <v>1244</v>
      </c>
      <c r="C334" s="2843" t="s">
        <v>1081</v>
      </c>
      <c r="D334" s="2817">
        <v>60000000</v>
      </c>
      <c r="E334" s="2819">
        <v>0.05</v>
      </c>
      <c r="F334" s="2817">
        <f t="shared" si="35"/>
        <v>3000000</v>
      </c>
      <c r="G334" s="2817">
        <v>3000000</v>
      </c>
      <c r="H334" s="2817" t="s">
        <v>5226</v>
      </c>
      <c r="I334" s="21" t="s">
        <v>1693</v>
      </c>
      <c r="J334" s="2817">
        <f t="shared" si="36"/>
        <v>3000000</v>
      </c>
      <c r="K334" s="2817">
        <f t="shared" si="37"/>
        <v>0</v>
      </c>
      <c r="L334" s="2870"/>
    </row>
    <row r="335" spans="1:16" ht="30" customHeight="1" x14ac:dyDescent="0.2">
      <c r="A335" s="2872">
        <v>205</v>
      </c>
      <c r="B335" s="2870" t="s">
        <v>65</v>
      </c>
      <c r="C335" s="2843" t="s">
        <v>3245</v>
      </c>
      <c r="D335" s="2817">
        <v>15000000</v>
      </c>
      <c r="E335" s="2867">
        <v>0.04</v>
      </c>
      <c r="F335" s="2817">
        <f t="shared" si="35"/>
        <v>600000</v>
      </c>
      <c r="G335" s="2817">
        <v>600000</v>
      </c>
      <c r="H335" s="2817" t="s">
        <v>1491</v>
      </c>
      <c r="I335" s="21" t="s">
        <v>3244</v>
      </c>
      <c r="J335" s="2817">
        <f t="shared" si="36"/>
        <v>600000</v>
      </c>
      <c r="K335" s="2817">
        <f t="shared" si="37"/>
        <v>0</v>
      </c>
      <c r="L335" s="2870"/>
    </row>
    <row r="336" spans="1:16" ht="30" customHeight="1" x14ac:dyDescent="0.2">
      <c r="A336" s="7661">
        <v>207</v>
      </c>
      <c r="B336" s="7652" t="s">
        <v>2676</v>
      </c>
      <c r="C336" s="7723" t="s">
        <v>681</v>
      </c>
      <c r="D336" s="2817">
        <v>45000000</v>
      </c>
      <c r="E336" s="2867">
        <v>0.04</v>
      </c>
      <c r="F336" s="2817">
        <f t="shared" si="35"/>
        <v>1800000</v>
      </c>
      <c r="G336" s="7563">
        <v>3800000</v>
      </c>
      <c r="H336" s="7563" t="s">
        <v>5211</v>
      </c>
      <c r="I336" s="7561" t="s">
        <v>3739</v>
      </c>
      <c r="J336" s="7563">
        <f t="shared" si="36"/>
        <v>3800000</v>
      </c>
      <c r="K336" s="7563">
        <f>(F336+F337)-J336</f>
        <v>0</v>
      </c>
      <c r="L336" s="7713"/>
    </row>
    <row r="337" spans="1:12" ht="30" customHeight="1" x14ac:dyDescent="0.2">
      <c r="A337" s="7662"/>
      <c r="B337" s="7665"/>
      <c r="C337" s="7747"/>
      <c r="D337" s="2817">
        <v>50000000</v>
      </c>
      <c r="E337" s="2867">
        <v>0.04</v>
      </c>
      <c r="F337" s="2817">
        <f t="shared" si="35"/>
        <v>2000000</v>
      </c>
      <c r="G337" s="7564"/>
      <c r="H337" s="7564"/>
      <c r="I337" s="7562"/>
      <c r="J337" s="7564"/>
      <c r="K337" s="7564"/>
      <c r="L337" s="7714"/>
    </row>
    <row r="338" spans="1:12" ht="30" customHeight="1" x14ac:dyDescent="0.2">
      <c r="A338" s="7662"/>
      <c r="B338" s="7665"/>
      <c r="C338" s="7747"/>
      <c r="D338" s="3359">
        <v>55000000</v>
      </c>
      <c r="E338" s="3368">
        <v>0.04</v>
      </c>
      <c r="F338" s="3359">
        <f t="shared" si="35"/>
        <v>2200000</v>
      </c>
      <c r="G338" s="3359"/>
      <c r="H338" s="3359"/>
      <c r="I338" s="3361"/>
      <c r="J338" s="3359"/>
      <c r="K338" s="3359"/>
      <c r="L338" s="3360" t="s">
        <v>5239</v>
      </c>
    </row>
    <row r="339" spans="1:12" ht="30" customHeight="1" x14ac:dyDescent="0.2">
      <c r="A339" s="7663"/>
      <c r="B339" s="7653"/>
      <c r="C339" s="7724"/>
      <c r="D339" s="3372">
        <v>150000000</v>
      </c>
      <c r="E339" s="896">
        <v>0.04</v>
      </c>
      <c r="F339" s="3372">
        <f>D339*E339</f>
        <v>6000000</v>
      </c>
      <c r="G339" s="3359"/>
      <c r="H339" s="3359"/>
      <c r="I339" s="3361"/>
      <c r="J339" s="3359"/>
      <c r="K339" s="3359"/>
      <c r="L339" s="3360"/>
    </row>
    <row r="340" spans="1:12" ht="30" customHeight="1" x14ac:dyDescent="0.2">
      <c r="A340" s="2821">
        <v>208</v>
      </c>
      <c r="B340" s="19" t="s">
        <v>69</v>
      </c>
      <c r="C340" s="378" t="s">
        <v>1100</v>
      </c>
      <c r="D340" s="2844">
        <v>15000000</v>
      </c>
      <c r="E340" s="2867">
        <v>0.04</v>
      </c>
      <c r="F340" s="2844">
        <f t="shared" si="35"/>
        <v>600000</v>
      </c>
      <c r="G340" s="2844">
        <v>600000</v>
      </c>
      <c r="H340" s="2844" t="s">
        <v>5226</v>
      </c>
      <c r="I340" s="2864" t="s">
        <v>1099</v>
      </c>
      <c r="J340" s="2844">
        <f t="shared" ref="J340:J354" si="38">G340</f>
        <v>600000</v>
      </c>
      <c r="K340" s="2844">
        <f t="shared" ref="K340:K357" si="39">F340-J340</f>
        <v>0</v>
      </c>
      <c r="L340" s="2013"/>
    </row>
    <row r="341" spans="1:12" ht="30" customHeight="1" x14ac:dyDescent="0.2">
      <c r="A341" s="2872">
        <v>210</v>
      </c>
      <c r="B341" s="2870" t="s">
        <v>72</v>
      </c>
      <c r="C341" s="7723" t="s">
        <v>392</v>
      </c>
      <c r="D341" s="2817">
        <v>50000000</v>
      </c>
      <c r="E341" s="2867">
        <v>7.0000000000000007E-2</v>
      </c>
      <c r="F341" s="2817">
        <f t="shared" si="35"/>
        <v>3500000.0000000005</v>
      </c>
      <c r="G341" s="2817">
        <v>3500000</v>
      </c>
      <c r="H341" s="7563" t="s">
        <v>4891</v>
      </c>
      <c r="I341" s="7561" t="s">
        <v>4892</v>
      </c>
      <c r="J341" s="2817">
        <f t="shared" si="38"/>
        <v>3500000</v>
      </c>
      <c r="K341" s="2817">
        <f t="shared" si="39"/>
        <v>0</v>
      </c>
      <c r="L341" s="2870"/>
    </row>
    <row r="342" spans="1:12" ht="30" customHeight="1" x14ac:dyDescent="0.2">
      <c r="A342" s="2872"/>
      <c r="B342" s="2913" t="s">
        <v>4821</v>
      </c>
      <c r="C342" s="7724"/>
      <c r="D342" s="2901">
        <v>50000000</v>
      </c>
      <c r="E342" s="2912">
        <v>7.0000000000000007E-2</v>
      </c>
      <c r="F342" s="2901">
        <f t="shared" si="35"/>
        <v>3500000.0000000005</v>
      </c>
      <c r="G342" s="2901">
        <v>3500000</v>
      </c>
      <c r="H342" s="7564"/>
      <c r="I342" s="7562"/>
      <c r="J342" s="2901">
        <f t="shared" si="38"/>
        <v>3500000</v>
      </c>
      <c r="K342" s="2901">
        <f t="shared" si="39"/>
        <v>0</v>
      </c>
      <c r="L342" s="2870"/>
    </row>
    <row r="343" spans="1:12" ht="30" customHeight="1" x14ac:dyDescent="0.2">
      <c r="A343" s="2872">
        <v>211</v>
      </c>
      <c r="B343" s="2870" t="s">
        <v>73</v>
      </c>
      <c r="C343" s="2843" t="s">
        <v>1295</v>
      </c>
      <c r="D343" s="2817">
        <v>100000000</v>
      </c>
      <c r="E343" s="2867">
        <v>0.05</v>
      </c>
      <c r="F343" s="2817">
        <f t="shared" si="35"/>
        <v>5000000</v>
      </c>
      <c r="G343" s="2817">
        <v>5000000</v>
      </c>
      <c r="H343" s="2817" t="s">
        <v>4860</v>
      </c>
      <c r="I343" s="21" t="s">
        <v>4001</v>
      </c>
      <c r="J343" s="2817">
        <f t="shared" si="38"/>
        <v>5000000</v>
      </c>
      <c r="K343" s="2817">
        <f t="shared" si="39"/>
        <v>0</v>
      </c>
      <c r="L343" s="2870"/>
    </row>
    <row r="344" spans="1:12" ht="30" customHeight="1" x14ac:dyDescent="0.2">
      <c r="A344" s="7654">
        <v>212</v>
      </c>
      <c r="B344" s="7652" t="s">
        <v>74</v>
      </c>
      <c r="C344" s="7723" t="s">
        <v>889</v>
      </c>
      <c r="D344" s="2817">
        <v>30000000</v>
      </c>
      <c r="E344" s="2867">
        <v>0.05</v>
      </c>
      <c r="F344" s="2817">
        <f t="shared" si="35"/>
        <v>1500000</v>
      </c>
      <c r="G344" s="7563">
        <v>2000000</v>
      </c>
      <c r="H344" s="7563" t="s">
        <v>4839</v>
      </c>
      <c r="I344" s="7561" t="s">
        <v>1275</v>
      </c>
      <c r="J344" s="7563">
        <f t="shared" si="38"/>
        <v>2000000</v>
      </c>
      <c r="K344" s="7563">
        <f>(F344+F345)-J344</f>
        <v>0</v>
      </c>
      <c r="L344" s="2870"/>
    </row>
    <row r="345" spans="1:12" ht="30" customHeight="1" x14ac:dyDescent="0.2">
      <c r="A345" s="7655"/>
      <c r="B345" s="7653"/>
      <c r="C345" s="7724"/>
      <c r="D345" s="2817">
        <v>10000000</v>
      </c>
      <c r="E345" s="2867">
        <v>0.05</v>
      </c>
      <c r="F345" s="2817">
        <f t="shared" si="35"/>
        <v>500000</v>
      </c>
      <c r="G345" s="7564"/>
      <c r="H345" s="7564"/>
      <c r="I345" s="7562"/>
      <c r="J345" s="7564"/>
      <c r="K345" s="7564"/>
      <c r="L345" s="2870"/>
    </row>
    <row r="346" spans="1:12" ht="30" customHeight="1" x14ac:dyDescent="0.2">
      <c r="A346" s="2872">
        <v>213</v>
      </c>
      <c r="B346" s="2870" t="s">
        <v>5115</v>
      </c>
      <c r="C346" s="2843" t="s">
        <v>889</v>
      </c>
      <c r="D346" s="2817">
        <v>15000000</v>
      </c>
      <c r="E346" s="2867">
        <v>4.7E-2</v>
      </c>
      <c r="F346" s="2817">
        <v>700000</v>
      </c>
      <c r="G346" s="2817">
        <v>700000</v>
      </c>
      <c r="H346" s="2817" t="s">
        <v>5016</v>
      </c>
      <c r="I346" s="21" t="s">
        <v>325</v>
      </c>
      <c r="J346" s="2817">
        <f t="shared" si="38"/>
        <v>700000</v>
      </c>
      <c r="K346" s="2817">
        <f t="shared" si="39"/>
        <v>0</v>
      </c>
      <c r="L346" s="2870"/>
    </row>
    <row r="347" spans="1:12" ht="30" customHeight="1" x14ac:dyDescent="0.2">
      <c r="A347" s="2872">
        <v>214</v>
      </c>
      <c r="B347" s="2870" t="s">
        <v>937</v>
      </c>
      <c r="C347" s="2843"/>
      <c r="D347" s="2817">
        <v>200000000</v>
      </c>
      <c r="E347" s="2867">
        <v>5.5E-2</v>
      </c>
      <c r="F347" s="2817">
        <f t="shared" si="35"/>
        <v>11000000</v>
      </c>
      <c r="G347" s="2817">
        <v>11000000</v>
      </c>
      <c r="H347" s="2817" t="s">
        <v>4939</v>
      </c>
      <c r="I347" s="21" t="s">
        <v>3974</v>
      </c>
      <c r="J347" s="2817">
        <f t="shared" si="38"/>
        <v>11000000</v>
      </c>
      <c r="K347" s="2817">
        <f t="shared" si="39"/>
        <v>0</v>
      </c>
      <c r="L347" s="2870"/>
    </row>
    <row r="348" spans="1:12" ht="30" customHeight="1" x14ac:dyDescent="0.2">
      <c r="A348" s="7654">
        <v>216</v>
      </c>
      <c r="B348" s="7652" t="s">
        <v>77</v>
      </c>
      <c r="C348" s="7723" t="s">
        <v>889</v>
      </c>
      <c r="D348" s="2817">
        <v>250000000</v>
      </c>
      <c r="E348" s="2867">
        <v>0.05</v>
      </c>
      <c r="F348" s="2817">
        <f t="shared" si="35"/>
        <v>12500000</v>
      </c>
      <c r="G348" s="8214" t="s">
        <v>5004</v>
      </c>
      <c r="H348" s="8215"/>
      <c r="I348" s="8215"/>
      <c r="J348" s="8216"/>
      <c r="K348" s="2817">
        <f t="shared" si="39"/>
        <v>12500000</v>
      </c>
      <c r="L348" s="2870"/>
    </row>
    <row r="349" spans="1:12" ht="30" customHeight="1" x14ac:dyDescent="0.2">
      <c r="A349" s="7656"/>
      <c r="B349" s="7665"/>
      <c r="C349" s="7747"/>
      <c r="D349" s="4064">
        <v>12500000</v>
      </c>
      <c r="E349" s="4073">
        <v>0.05</v>
      </c>
      <c r="F349" s="4064">
        <f t="shared" si="35"/>
        <v>625000</v>
      </c>
      <c r="G349" s="8217"/>
      <c r="H349" s="8218"/>
      <c r="I349" s="8218"/>
      <c r="J349" s="8219"/>
      <c r="K349" s="4064">
        <f t="shared" si="39"/>
        <v>625000</v>
      </c>
      <c r="L349" s="4067"/>
    </row>
    <row r="350" spans="1:12" ht="30" customHeight="1" x14ac:dyDescent="0.2">
      <c r="A350" s="7655"/>
      <c r="B350" s="7665"/>
      <c r="C350" s="7747"/>
      <c r="D350" s="2901">
        <v>137500000</v>
      </c>
      <c r="E350" s="2912">
        <v>0.05</v>
      </c>
      <c r="F350" s="2901">
        <f t="shared" si="35"/>
        <v>6875000</v>
      </c>
      <c r="G350" s="7732" t="s">
        <v>5901</v>
      </c>
      <c r="H350" s="7733"/>
      <c r="I350" s="7733"/>
      <c r="J350" s="7734"/>
      <c r="K350" s="2901">
        <f t="shared" si="39"/>
        <v>6875000</v>
      </c>
      <c r="L350" s="2903"/>
    </row>
    <row r="351" spans="1:12" ht="30" customHeight="1" x14ac:dyDescent="0.2">
      <c r="A351" s="4065"/>
      <c r="B351" s="7653"/>
      <c r="C351" s="7724"/>
      <c r="D351" s="4064">
        <f>SUM(D348:D350)</f>
        <v>400000000</v>
      </c>
      <c r="E351" s="4073">
        <v>0.05</v>
      </c>
      <c r="F351" s="4064">
        <f>D351*E351</f>
        <v>20000000</v>
      </c>
      <c r="G351" s="7732" t="s">
        <v>5206</v>
      </c>
      <c r="H351" s="7733"/>
      <c r="I351" s="7733"/>
      <c r="J351" s="7734"/>
      <c r="K351" s="4064">
        <f t="shared" si="39"/>
        <v>20000000</v>
      </c>
      <c r="L351" s="4067"/>
    </row>
    <row r="352" spans="1:12" ht="30" customHeight="1" x14ac:dyDescent="0.2">
      <c r="A352" s="2821">
        <v>217</v>
      </c>
      <c r="B352" s="2870" t="s">
        <v>79</v>
      </c>
      <c r="C352" s="2869"/>
      <c r="D352" s="2844">
        <v>160000000</v>
      </c>
      <c r="E352" s="2867">
        <v>0.05</v>
      </c>
      <c r="F352" s="2844">
        <f t="shared" si="35"/>
        <v>8000000</v>
      </c>
      <c r="G352" s="2844"/>
      <c r="H352" s="2844"/>
      <c r="I352" s="2877"/>
      <c r="J352" s="2844">
        <f t="shared" si="38"/>
        <v>0</v>
      </c>
      <c r="K352" s="2844">
        <f t="shared" si="39"/>
        <v>8000000</v>
      </c>
      <c r="L352" s="2830"/>
    </row>
    <row r="353" spans="1:12" ht="30" customHeight="1" x14ac:dyDescent="0.2">
      <c r="A353" s="7654">
        <v>218</v>
      </c>
      <c r="B353" s="7710" t="s">
        <v>80</v>
      </c>
      <c r="C353" s="7813"/>
      <c r="D353" s="7677">
        <v>45000000</v>
      </c>
      <c r="E353" s="7691">
        <v>0.04</v>
      </c>
      <c r="F353" s="7677">
        <f t="shared" si="35"/>
        <v>1800000</v>
      </c>
      <c r="G353" s="2980"/>
      <c r="H353" s="2980"/>
      <c r="I353" s="3026" t="s">
        <v>1695</v>
      </c>
      <c r="J353" s="2980">
        <f t="shared" si="38"/>
        <v>0</v>
      </c>
      <c r="K353" s="2980">
        <f t="shared" si="39"/>
        <v>1800000</v>
      </c>
      <c r="L353" s="2870"/>
    </row>
    <row r="354" spans="1:12" ht="30" customHeight="1" x14ac:dyDescent="0.2">
      <c r="A354" s="7655"/>
      <c r="B354" s="7712"/>
      <c r="C354" s="7815"/>
      <c r="D354" s="7678"/>
      <c r="E354" s="7693"/>
      <c r="F354" s="7678"/>
      <c r="G354" s="2980"/>
      <c r="H354" s="2980"/>
      <c r="I354" s="3026" t="s">
        <v>3561</v>
      </c>
      <c r="J354" s="2980">
        <f t="shared" si="38"/>
        <v>0</v>
      </c>
      <c r="K354" s="2980"/>
      <c r="L354" s="2013"/>
    </row>
    <row r="355" spans="1:12" ht="30" customHeight="1" x14ac:dyDescent="0.2">
      <c r="A355" s="2872">
        <v>219</v>
      </c>
      <c r="B355" s="2870" t="s">
        <v>1791</v>
      </c>
      <c r="C355" s="2843"/>
      <c r="D355" s="2834"/>
      <c r="E355" s="2519"/>
      <c r="F355" s="2834">
        <f t="shared" si="35"/>
        <v>0</v>
      </c>
      <c r="G355" s="2817"/>
      <c r="H355" s="2817"/>
      <c r="I355" s="21"/>
      <c r="J355" s="2817"/>
      <c r="K355" s="2834">
        <f t="shared" si="39"/>
        <v>0</v>
      </c>
      <c r="L355" s="2870"/>
    </row>
    <row r="356" spans="1:12" ht="30" customHeight="1" x14ac:dyDescent="0.2">
      <c r="A356" s="2872">
        <v>220</v>
      </c>
      <c r="B356" s="2865" t="s">
        <v>81</v>
      </c>
      <c r="C356" s="2842" t="s">
        <v>889</v>
      </c>
      <c r="D356" s="2816">
        <v>203000000</v>
      </c>
      <c r="E356" s="2818">
        <v>0.05</v>
      </c>
      <c r="F356" s="2816">
        <f t="shared" si="35"/>
        <v>10150000</v>
      </c>
      <c r="G356" s="2817">
        <v>10150000</v>
      </c>
      <c r="H356" s="2817" t="s">
        <v>4846</v>
      </c>
      <c r="I356" s="21" t="s">
        <v>3409</v>
      </c>
      <c r="J356" s="2816">
        <f>G356</f>
        <v>10150000</v>
      </c>
      <c r="K356" s="2816">
        <f t="shared" si="39"/>
        <v>0</v>
      </c>
      <c r="L356" s="2870"/>
    </row>
    <row r="357" spans="1:12" ht="30" customHeight="1" x14ac:dyDescent="0.2">
      <c r="A357" s="2872">
        <v>221</v>
      </c>
      <c r="B357" s="2865" t="s">
        <v>326</v>
      </c>
      <c r="C357" s="2842" t="s">
        <v>1652</v>
      </c>
      <c r="D357" s="2816">
        <v>275000000</v>
      </c>
      <c r="E357" s="2818">
        <v>4.2000000000000003E-2</v>
      </c>
      <c r="F357" s="2816">
        <f>D357*E357</f>
        <v>11550000</v>
      </c>
      <c r="G357" s="2827">
        <v>11550000</v>
      </c>
      <c r="H357" s="2827" t="s">
        <v>4920</v>
      </c>
      <c r="I357" s="384" t="s">
        <v>1654</v>
      </c>
      <c r="J357" s="2816">
        <f>G357</f>
        <v>11550000</v>
      </c>
      <c r="K357" s="2816">
        <f t="shared" si="39"/>
        <v>0</v>
      </c>
      <c r="L357" s="2839"/>
    </row>
    <row r="358" spans="1:12" ht="30" customHeight="1" x14ac:dyDescent="0.2">
      <c r="A358" s="7879">
        <v>222</v>
      </c>
      <c r="B358" s="7652" t="s">
        <v>1818</v>
      </c>
      <c r="C358" s="7723" t="s">
        <v>1287</v>
      </c>
      <c r="D358" s="7563">
        <v>700000000</v>
      </c>
      <c r="E358" s="7659">
        <v>0.06</v>
      </c>
      <c r="F358" s="7563">
        <f>D358*E358</f>
        <v>42000000</v>
      </c>
      <c r="G358" s="7563">
        <v>42000000</v>
      </c>
      <c r="H358" s="7563" t="s">
        <v>5043</v>
      </c>
      <c r="I358" s="7561" t="s">
        <v>3724</v>
      </c>
      <c r="J358" s="7563">
        <f>G358</f>
        <v>42000000</v>
      </c>
      <c r="K358" s="7563">
        <f>F358-J358</f>
        <v>0</v>
      </c>
      <c r="L358" s="2856"/>
    </row>
    <row r="359" spans="1:12" ht="30" customHeight="1" x14ac:dyDescent="0.2">
      <c r="A359" s="7879"/>
      <c r="B359" s="7665"/>
      <c r="C359" s="7747"/>
      <c r="D359" s="7586"/>
      <c r="E359" s="7676"/>
      <c r="F359" s="7586"/>
      <c r="G359" s="7586"/>
      <c r="H359" s="7586"/>
      <c r="I359" s="7672"/>
      <c r="J359" s="7586"/>
      <c r="K359" s="7586"/>
      <c r="L359" s="2862"/>
    </row>
    <row r="360" spans="1:12" ht="30" customHeight="1" x14ac:dyDescent="0.2">
      <c r="A360" s="7879"/>
      <c r="B360" s="7653"/>
      <c r="C360" s="7724"/>
      <c r="D360" s="7564"/>
      <c r="E360" s="7660"/>
      <c r="F360" s="7564"/>
      <c r="G360" s="7564"/>
      <c r="H360" s="7564"/>
      <c r="I360" s="7562"/>
      <c r="J360" s="7564"/>
      <c r="K360" s="7564"/>
      <c r="L360" s="2857"/>
    </row>
    <row r="361" spans="1:12" ht="30" customHeight="1" x14ac:dyDescent="0.2">
      <c r="A361" s="7654">
        <v>223</v>
      </c>
      <c r="B361" s="8132" t="s">
        <v>83</v>
      </c>
      <c r="C361" s="8134" t="s">
        <v>1652</v>
      </c>
      <c r="D361" s="3351">
        <v>100000000</v>
      </c>
      <c r="E361" s="2556">
        <v>0.05</v>
      </c>
      <c r="F361" s="3351">
        <f t="shared" si="35"/>
        <v>5000000</v>
      </c>
      <c r="G361" s="3351">
        <v>5000000</v>
      </c>
      <c r="H361" s="3351" t="s">
        <v>4920</v>
      </c>
      <c r="I361" s="287" t="s">
        <v>3491</v>
      </c>
      <c r="J361" s="3351">
        <f t="shared" ref="J361:J368" si="40">G361</f>
        <v>5000000</v>
      </c>
      <c r="K361" s="3351">
        <f t="shared" ref="K361:K368" si="41">F361-J361</f>
        <v>0</v>
      </c>
      <c r="L361" s="2551"/>
    </row>
    <row r="362" spans="1:12" ht="30" customHeight="1" x14ac:dyDescent="0.2">
      <c r="A362" s="7656"/>
      <c r="B362" s="8281"/>
      <c r="C362" s="8156"/>
      <c r="D362" s="8157" t="s">
        <v>5220</v>
      </c>
      <c r="E362" s="8158"/>
      <c r="F362" s="8159"/>
      <c r="G362" s="3351">
        <v>50000000</v>
      </c>
      <c r="H362" s="3351" t="s">
        <v>5211</v>
      </c>
      <c r="I362" s="287" t="s">
        <v>5221</v>
      </c>
      <c r="J362" s="8145">
        <f>G362+G363</f>
        <v>100000000</v>
      </c>
      <c r="K362" s="8145">
        <f>100000000-J362</f>
        <v>0</v>
      </c>
      <c r="L362" s="2551"/>
    </row>
    <row r="363" spans="1:12" ht="30" customHeight="1" x14ac:dyDescent="0.2">
      <c r="A363" s="7655"/>
      <c r="B363" s="8133"/>
      <c r="C363" s="8135"/>
      <c r="D363" s="8163"/>
      <c r="E363" s="8164"/>
      <c r="F363" s="8165"/>
      <c r="G363" s="3351">
        <v>50000000</v>
      </c>
      <c r="H363" s="3351" t="s">
        <v>5105</v>
      </c>
      <c r="I363" s="287" t="s">
        <v>5221</v>
      </c>
      <c r="J363" s="8147"/>
      <c r="K363" s="8147"/>
      <c r="L363" s="2551"/>
    </row>
    <row r="364" spans="1:12" ht="30" customHeight="1" x14ac:dyDescent="0.2">
      <c r="A364" s="1028">
        <v>224</v>
      </c>
      <c r="B364" s="19" t="s">
        <v>2623</v>
      </c>
      <c r="C364" s="2915"/>
      <c r="D364" s="2910">
        <v>10000000</v>
      </c>
      <c r="E364" s="2912">
        <v>0.05</v>
      </c>
      <c r="F364" s="2910">
        <f t="shared" si="35"/>
        <v>500000</v>
      </c>
      <c r="G364" s="2817"/>
      <c r="H364" s="2817"/>
      <c r="I364" s="21" t="s">
        <v>3934</v>
      </c>
      <c r="J364" s="2817">
        <f t="shared" si="40"/>
        <v>0</v>
      </c>
      <c r="K364" s="2817">
        <f t="shared" si="41"/>
        <v>500000</v>
      </c>
      <c r="L364" s="2870"/>
    </row>
    <row r="365" spans="1:12" ht="30" customHeight="1" x14ac:dyDescent="0.2">
      <c r="A365" s="2822">
        <v>226</v>
      </c>
      <c r="B365" s="2866" t="s">
        <v>86</v>
      </c>
      <c r="C365" s="2843" t="s">
        <v>889</v>
      </c>
      <c r="D365" s="2844">
        <v>410000000</v>
      </c>
      <c r="E365" s="2867">
        <v>0.06</v>
      </c>
      <c r="F365" s="2844">
        <f>D365*E365</f>
        <v>24600000</v>
      </c>
      <c r="G365" s="2844">
        <v>24500000</v>
      </c>
      <c r="H365" s="2844" t="s">
        <v>4891</v>
      </c>
      <c r="I365" s="2844" t="s">
        <v>2391</v>
      </c>
      <c r="J365" s="2844">
        <f t="shared" si="40"/>
        <v>24500000</v>
      </c>
      <c r="K365" s="2817">
        <f t="shared" si="41"/>
        <v>100000</v>
      </c>
      <c r="L365" s="2831"/>
    </row>
    <row r="366" spans="1:12" ht="30" customHeight="1" x14ac:dyDescent="0.2">
      <c r="A366" s="1028">
        <v>227</v>
      </c>
      <c r="B366" s="19" t="s">
        <v>87</v>
      </c>
      <c r="C366" s="2915" t="s">
        <v>889</v>
      </c>
      <c r="D366" s="2910">
        <v>20000000</v>
      </c>
      <c r="E366" s="2912">
        <v>0.05</v>
      </c>
      <c r="F366" s="2910">
        <f>D366*E366</f>
        <v>1000000</v>
      </c>
      <c r="G366" s="8241" t="s">
        <v>4822</v>
      </c>
      <c r="H366" s="8242"/>
      <c r="I366" s="8242"/>
      <c r="J366" s="8243"/>
      <c r="K366" s="2817">
        <f t="shared" si="41"/>
        <v>1000000</v>
      </c>
      <c r="L366" s="2013"/>
    </row>
    <row r="367" spans="1:12" ht="30" customHeight="1" x14ac:dyDescent="0.2">
      <c r="A367" s="2872">
        <v>228</v>
      </c>
      <c r="B367" s="2870" t="s">
        <v>88</v>
      </c>
      <c r="C367" s="2843" t="s">
        <v>1176</v>
      </c>
      <c r="D367" s="2817">
        <v>10000000</v>
      </c>
      <c r="E367" s="2867">
        <v>0.04</v>
      </c>
      <c r="F367" s="2817">
        <f t="shared" si="35"/>
        <v>400000</v>
      </c>
      <c r="G367" s="2817">
        <v>400000</v>
      </c>
      <c r="H367" s="2817" t="s">
        <v>5009</v>
      </c>
      <c r="I367" s="26" t="s">
        <v>417</v>
      </c>
      <c r="J367" s="2817">
        <f t="shared" si="40"/>
        <v>400000</v>
      </c>
      <c r="K367" s="2817">
        <f t="shared" si="41"/>
        <v>0</v>
      </c>
      <c r="L367" s="2870"/>
    </row>
    <row r="368" spans="1:12" ht="30" customHeight="1" x14ac:dyDescent="0.2">
      <c r="A368" s="7654">
        <v>229</v>
      </c>
      <c r="B368" s="7652" t="s">
        <v>89</v>
      </c>
      <c r="C368" s="7723" t="s">
        <v>889</v>
      </c>
      <c r="D368" s="2817">
        <v>52000000</v>
      </c>
      <c r="E368" s="2867">
        <v>0.05</v>
      </c>
      <c r="F368" s="2817">
        <f t="shared" si="35"/>
        <v>2600000</v>
      </c>
      <c r="G368" s="2817">
        <v>2600000</v>
      </c>
      <c r="H368" s="2817" t="s">
        <v>4839</v>
      </c>
      <c r="I368" s="21" t="s">
        <v>3969</v>
      </c>
      <c r="J368" s="2817">
        <f t="shared" si="40"/>
        <v>2600000</v>
      </c>
      <c r="K368" s="2817">
        <f t="shared" si="41"/>
        <v>0</v>
      </c>
      <c r="L368" s="2870"/>
    </row>
    <row r="369" spans="1:12" ht="30" customHeight="1" x14ac:dyDescent="0.2">
      <c r="A369" s="7655"/>
      <c r="B369" s="7653"/>
      <c r="C369" s="7724"/>
      <c r="D369" s="3052">
        <v>5000000</v>
      </c>
      <c r="E369" s="3061">
        <v>0.05</v>
      </c>
      <c r="F369" s="3052">
        <f t="shared" si="35"/>
        <v>250000</v>
      </c>
      <c r="G369" s="3052"/>
      <c r="H369" s="3052"/>
      <c r="I369" s="3073"/>
      <c r="J369" s="3052"/>
      <c r="K369" s="3052"/>
      <c r="L369" s="3066" t="s">
        <v>4991</v>
      </c>
    </row>
    <row r="370" spans="1:12" ht="30" customHeight="1" x14ac:dyDescent="0.2">
      <c r="A370" s="7654"/>
      <c r="B370" s="7652" t="s">
        <v>5008</v>
      </c>
      <c r="C370" s="7723" t="s">
        <v>1718</v>
      </c>
      <c r="D370" s="2844">
        <v>35000000</v>
      </c>
      <c r="E370" s="2867">
        <v>0.05</v>
      </c>
      <c r="F370" s="2844">
        <f t="shared" si="35"/>
        <v>1750000</v>
      </c>
      <c r="G370" s="2844">
        <v>1750000</v>
      </c>
      <c r="H370" s="2844" t="s">
        <v>5052</v>
      </c>
      <c r="I370" s="2844" t="s">
        <v>4408</v>
      </c>
      <c r="J370" s="2844">
        <f>G370</f>
        <v>1750000</v>
      </c>
      <c r="K370" s="2844">
        <v>0</v>
      </c>
      <c r="L370" s="1661"/>
    </row>
    <row r="371" spans="1:12" ht="30" customHeight="1" x14ac:dyDescent="0.2">
      <c r="A371" s="7656"/>
      <c r="B371" s="7665"/>
      <c r="C371" s="7747"/>
      <c r="D371" s="3077">
        <v>10000000</v>
      </c>
      <c r="E371" s="3078">
        <v>0.05</v>
      </c>
      <c r="F371" s="3077">
        <f t="shared" si="35"/>
        <v>500000</v>
      </c>
      <c r="G371" s="3077"/>
      <c r="H371" s="3077"/>
      <c r="I371" s="3077"/>
      <c r="J371" s="3077"/>
      <c r="K371" s="3077"/>
      <c r="L371" s="1661" t="s">
        <v>5006</v>
      </c>
    </row>
    <row r="372" spans="1:12" ht="30" customHeight="1" x14ac:dyDescent="0.2">
      <c r="A372" s="7655"/>
      <c r="B372" s="7653"/>
      <c r="C372" s="7724"/>
      <c r="D372" s="3077">
        <v>5000000</v>
      </c>
      <c r="E372" s="3078">
        <v>0.05</v>
      </c>
      <c r="F372" s="3077">
        <f t="shared" si="35"/>
        <v>250000</v>
      </c>
      <c r="G372" s="3077"/>
      <c r="H372" s="3077"/>
      <c r="I372" s="3077"/>
      <c r="J372" s="3077"/>
      <c r="K372" s="3077"/>
      <c r="L372" s="1661" t="s">
        <v>5007</v>
      </c>
    </row>
    <row r="373" spans="1:12" ht="30" customHeight="1" x14ac:dyDescent="0.2">
      <c r="A373" s="2821">
        <v>231</v>
      </c>
      <c r="B373" s="2865" t="s">
        <v>91</v>
      </c>
      <c r="C373" s="2869" t="s">
        <v>1080</v>
      </c>
      <c r="D373" s="2901">
        <v>20000000</v>
      </c>
      <c r="E373" s="2819">
        <v>0.05</v>
      </c>
      <c r="F373" s="2817">
        <f t="shared" si="35"/>
        <v>1000000</v>
      </c>
      <c r="G373" s="2817">
        <v>1000000</v>
      </c>
      <c r="H373" s="2817" t="s">
        <v>4875</v>
      </c>
      <c r="I373" s="2897" t="s">
        <v>1747</v>
      </c>
      <c r="J373" s="2817">
        <f>G373</f>
        <v>1000000</v>
      </c>
      <c r="K373" s="2817">
        <f>F373-G373</f>
        <v>0</v>
      </c>
      <c r="L373" s="2013"/>
    </row>
    <row r="374" spans="1:12" ht="30" customHeight="1" x14ac:dyDescent="0.2">
      <c r="A374" s="2872">
        <v>232</v>
      </c>
      <c r="B374" s="2870" t="s">
        <v>1602</v>
      </c>
      <c r="C374" s="2843" t="s">
        <v>1172</v>
      </c>
      <c r="D374" s="2817">
        <v>55000000</v>
      </c>
      <c r="E374" s="2867">
        <v>0.04</v>
      </c>
      <c r="F374" s="2817">
        <f t="shared" si="35"/>
        <v>2200000</v>
      </c>
      <c r="G374" s="2817">
        <v>2200000</v>
      </c>
      <c r="H374" s="2817" t="s">
        <v>4875</v>
      </c>
      <c r="I374" s="21" t="s">
        <v>4362</v>
      </c>
      <c r="J374" s="2817">
        <f t="shared" ref="J374:J387" si="42">G374</f>
        <v>2200000</v>
      </c>
      <c r="K374" s="2817">
        <f t="shared" ref="K374:K385" si="43">F374-J374</f>
        <v>0</v>
      </c>
      <c r="L374" s="2870"/>
    </row>
    <row r="375" spans="1:12" ht="30" customHeight="1" x14ac:dyDescent="0.2">
      <c r="A375" s="2872">
        <v>233</v>
      </c>
      <c r="B375" s="2870" t="s">
        <v>275</v>
      </c>
      <c r="C375" s="2843" t="s">
        <v>372</v>
      </c>
      <c r="D375" s="2817">
        <v>50000000</v>
      </c>
      <c r="E375" s="2867">
        <v>0.05</v>
      </c>
      <c r="F375" s="2817">
        <f t="shared" si="35"/>
        <v>2500000</v>
      </c>
      <c r="G375" s="2817">
        <v>7500000</v>
      </c>
      <c r="H375" s="2817" t="s">
        <v>5015</v>
      </c>
      <c r="I375" s="21" t="s">
        <v>5096</v>
      </c>
      <c r="J375" s="2817">
        <f t="shared" si="42"/>
        <v>7500000</v>
      </c>
      <c r="K375" s="2817">
        <f t="shared" si="43"/>
        <v>-5000000</v>
      </c>
      <c r="L375" s="2013" t="s">
        <v>5098</v>
      </c>
    </row>
    <row r="376" spans="1:12" ht="30" customHeight="1" x14ac:dyDescent="0.2">
      <c r="A376" s="2872">
        <v>234</v>
      </c>
      <c r="B376" s="2865" t="s">
        <v>93</v>
      </c>
      <c r="C376" s="2869" t="s">
        <v>1293</v>
      </c>
      <c r="D376" s="2844">
        <v>400000000</v>
      </c>
      <c r="E376" s="2867">
        <f>F376/D376</f>
        <v>5.2499999999999998E-2</v>
      </c>
      <c r="F376" s="2844">
        <v>21000000</v>
      </c>
      <c r="G376" s="2844">
        <v>21000000</v>
      </c>
      <c r="H376" s="2844" t="s">
        <v>4920</v>
      </c>
      <c r="I376" s="2864" t="s">
        <v>506</v>
      </c>
      <c r="J376" s="2844">
        <f t="shared" si="42"/>
        <v>21000000</v>
      </c>
      <c r="K376" s="2817">
        <f t="shared" si="43"/>
        <v>0</v>
      </c>
      <c r="L376" s="2856"/>
    </row>
    <row r="377" spans="1:12" ht="30" customHeight="1" x14ac:dyDescent="0.2">
      <c r="A377" s="7654">
        <v>235</v>
      </c>
      <c r="B377" s="7652" t="s">
        <v>94</v>
      </c>
      <c r="C377" s="7873" t="s">
        <v>1172</v>
      </c>
      <c r="D377" s="7563">
        <v>60000000</v>
      </c>
      <c r="E377" s="7659">
        <v>0.05</v>
      </c>
      <c r="F377" s="7563">
        <f t="shared" si="35"/>
        <v>3000000</v>
      </c>
      <c r="G377" s="7482">
        <v>3000000</v>
      </c>
      <c r="H377" s="7482" t="s">
        <v>4936</v>
      </c>
      <c r="I377" s="8073" t="s">
        <v>4384</v>
      </c>
      <c r="J377" s="7563">
        <f t="shared" si="42"/>
        <v>3000000</v>
      </c>
      <c r="K377" s="7563">
        <f t="shared" si="43"/>
        <v>0</v>
      </c>
      <c r="L377" s="637"/>
    </row>
    <row r="378" spans="1:12" ht="30" customHeight="1" x14ac:dyDescent="0.2">
      <c r="A378" s="7656"/>
      <c r="B378" s="7653"/>
      <c r="C378" s="7873"/>
      <c r="D378" s="7564"/>
      <c r="E378" s="7660"/>
      <c r="F378" s="7564"/>
      <c r="G378" s="7482"/>
      <c r="H378" s="7482"/>
      <c r="I378" s="8074"/>
      <c r="J378" s="7564"/>
      <c r="K378" s="7564"/>
      <c r="L378" s="2857"/>
    </row>
    <row r="379" spans="1:12" ht="30" customHeight="1" x14ac:dyDescent="0.2">
      <c r="A379" s="2872">
        <v>236</v>
      </c>
      <c r="B379" s="2870" t="s">
        <v>95</v>
      </c>
      <c r="C379" s="2843"/>
      <c r="D379" s="2817">
        <v>20000000</v>
      </c>
      <c r="E379" s="2867">
        <v>0.05</v>
      </c>
      <c r="F379" s="2817">
        <f>D379*E379</f>
        <v>1000000</v>
      </c>
      <c r="G379" s="2817">
        <v>1000000</v>
      </c>
      <c r="H379" s="2817" t="s">
        <v>5016</v>
      </c>
      <c r="I379" s="2848" t="s">
        <v>334</v>
      </c>
      <c r="J379" s="2817">
        <f t="shared" si="42"/>
        <v>1000000</v>
      </c>
      <c r="K379" s="2817">
        <f t="shared" si="43"/>
        <v>0</v>
      </c>
      <c r="L379" s="2013"/>
    </row>
    <row r="380" spans="1:12" ht="30" customHeight="1" x14ac:dyDescent="0.2">
      <c r="A380" s="7654"/>
      <c r="B380" s="2825" t="s">
        <v>96</v>
      </c>
      <c r="C380" s="7723" t="s">
        <v>1718</v>
      </c>
      <c r="D380" s="2901">
        <v>55000000</v>
      </c>
      <c r="E380" s="2867">
        <v>0.05</v>
      </c>
      <c r="F380" s="2817">
        <f>D380*E380</f>
        <v>2750000</v>
      </c>
      <c r="G380" s="7563">
        <v>5250000</v>
      </c>
      <c r="H380" s="7563" t="s">
        <v>5009</v>
      </c>
      <c r="I380" s="7563" t="s">
        <v>4415</v>
      </c>
      <c r="J380" s="7563">
        <f>G380</f>
        <v>5250000</v>
      </c>
      <c r="K380" s="7563">
        <f>(F380+F381)-J380</f>
        <v>0</v>
      </c>
      <c r="L380" s="2831"/>
    </row>
    <row r="381" spans="1:12" ht="30" customHeight="1" x14ac:dyDescent="0.2">
      <c r="A381" s="7655"/>
      <c r="B381" s="2825" t="s">
        <v>2011</v>
      </c>
      <c r="C381" s="7724"/>
      <c r="D381" s="2901">
        <v>50000000</v>
      </c>
      <c r="E381" s="2867">
        <v>0.05</v>
      </c>
      <c r="F381" s="2817">
        <f>D381*E381</f>
        <v>2500000</v>
      </c>
      <c r="G381" s="7564"/>
      <c r="H381" s="7564"/>
      <c r="I381" s="7564"/>
      <c r="J381" s="7564"/>
      <c r="K381" s="7564"/>
      <c r="L381" s="2831"/>
    </row>
    <row r="382" spans="1:12" ht="30" customHeight="1" x14ac:dyDescent="0.2">
      <c r="A382" s="2822"/>
      <c r="B382" s="2825" t="s">
        <v>4008</v>
      </c>
      <c r="C382" s="2843" t="s">
        <v>262</v>
      </c>
      <c r="D382" s="2901">
        <v>10000000</v>
      </c>
      <c r="E382" s="2867">
        <v>0.05</v>
      </c>
      <c r="F382" s="2817">
        <f>D382*E382</f>
        <v>500000</v>
      </c>
      <c r="G382" s="3136">
        <v>500000</v>
      </c>
      <c r="H382" s="3136" t="s">
        <v>5083</v>
      </c>
      <c r="I382" s="3136" t="s">
        <v>5086</v>
      </c>
      <c r="J382" s="3136">
        <f>G382</f>
        <v>500000</v>
      </c>
      <c r="K382" s="2817">
        <f>F382-J382</f>
        <v>0</v>
      </c>
      <c r="L382" s="2831"/>
    </row>
    <row r="383" spans="1:12" ht="30" customHeight="1" x14ac:dyDescent="0.2">
      <c r="A383" s="2872">
        <v>238</v>
      </c>
      <c r="B383" s="2870" t="s">
        <v>97</v>
      </c>
      <c r="C383" s="2843" t="s">
        <v>1176</v>
      </c>
      <c r="D383" s="2817">
        <v>100000000</v>
      </c>
      <c r="E383" s="2867">
        <v>0.05</v>
      </c>
      <c r="F383" s="2817">
        <f t="shared" si="35"/>
        <v>5000000</v>
      </c>
      <c r="G383" s="2817">
        <v>5000000</v>
      </c>
      <c r="H383" s="2817" t="s">
        <v>4936</v>
      </c>
      <c r="I383" s="18" t="s">
        <v>3492</v>
      </c>
      <c r="J383" s="2817">
        <f t="shared" si="42"/>
        <v>5000000</v>
      </c>
      <c r="K383" s="2817">
        <f t="shared" si="43"/>
        <v>0</v>
      </c>
      <c r="L383" s="2870"/>
    </row>
    <row r="384" spans="1:12" ht="30" customHeight="1" x14ac:dyDescent="0.2">
      <c r="A384" s="2872">
        <v>239</v>
      </c>
      <c r="B384" s="2870" t="s">
        <v>98</v>
      </c>
      <c r="C384" s="2843" t="s">
        <v>372</v>
      </c>
      <c r="D384" s="2817">
        <v>50000000</v>
      </c>
      <c r="E384" s="2867">
        <v>0.05</v>
      </c>
      <c r="F384" s="2817">
        <f t="shared" si="35"/>
        <v>2500000</v>
      </c>
      <c r="G384" s="2817">
        <v>2500000</v>
      </c>
      <c r="H384" s="2817" t="s">
        <v>5043</v>
      </c>
      <c r="I384" s="21" t="s">
        <v>1876</v>
      </c>
      <c r="J384" s="2817">
        <f t="shared" si="42"/>
        <v>2500000</v>
      </c>
      <c r="K384" s="2817">
        <f t="shared" si="43"/>
        <v>0</v>
      </c>
      <c r="L384" s="2831"/>
    </row>
    <row r="385" spans="1:14" ht="30" customHeight="1" x14ac:dyDescent="0.2">
      <c r="A385" s="7654">
        <v>240</v>
      </c>
      <c r="B385" s="7652" t="s">
        <v>2274</v>
      </c>
      <c r="C385" s="7723" t="s">
        <v>990</v>
      </c>
      <c r="D385" s="7563">
        <v>100000000</v>
      </c>
      <c r="E385" s="7659">
        <v>0.04</v>
      </c>
      <c r="F385" s="7563">
        <f t="shared" si="35"/>
        <v>4000000</v>
      </c>
      <c r="G385" s="2817">
        <v>4000000</v>
      </c>
      <c r="H385" s="2817" t="s">
        <v>4936</v>
      </c>
      <c r="I385" s="21" t="s">
        <v>5035</v>
      </c>
      <c r="J385" s="2817">
        <f t="shared" si="42"/>
        <v>4000000</v>
      </c>
      <c r="K385" s="2817">
        <f t="shared" si="43"/>
        <v>0</v>
      </c>
      <c r="L385" s="2894" t="s">
        <v>4437</v>
      </c>
    </row>
    <row r="386" spans="1:14" ht="30" customHeight="1" x14ac:dyDescent="0.2">
      <c r="A386" s="7655"/>
      <c r="B386" s="7653"/>
      <c r="C386" s="7724"/>
      <c r="D386" s="7564"/>
      <c r="E386" s="7660"/>
      <c r="F386" s="7564"/>
      <c r="G386" s="3385">
        <v>4000000</v>
      </c>
      <c r="H386" s="3385" t="s">
        <v>5226</v>
      </c>
      <c r="I386" s="3421" t="s">
        <v>3517</v>
      </c>
      <c r="J386" s="3385">
        <f t="shared" si="42"/>
        <v>4000000</v>
      </c>
      <c r="K386" s="3385">
        <f>F385-J386</f>
        <v>0</v>
      </c>
      <c r="L386" s="3415" t="s">
        <v>4905</v>
      </c>
    </row>
    <row r="387" spans="1:14" ht="30" customHeight="1" x14ac:dyDescent="0.2">
      <c r="A387" s="7654">
        <v>241</v>
      </c>
      <c r="B387" s="7652" t="s">
        <v>559</v>
      </c>
      <c r="C387" s="7873" t="s">
        <v>1796</v>
      </c>
      <c r="D387" s="2844">
        <v>20000000</v>
      </c>
      <c r="E387" s="2867">
        <v>7.0000000000000007E-2</v>
      </c>
      <c r="F387" s="2844">
        <f>D387*E387</f>
        <v>1400000.0000000002</v>
      </c>
      <c r="G387" s="7563">
        <v>2300000</v>
      </c>
      <c r="H387" s="7563" t="s">
        <v>5226</v>
      </c>
      <c r="I387" s="7772" t="s">
        <v>557</v>
      </c>
      <c r="J387" s="7563">
        <f t="shared" si="42"/>
        <v>2300000</v>
      </c>
      <c r="K387" s="7563">
        <f>(F387+F388)-J387</f>
        <v>0</v>
      </c>
      <c r="L387" s="8037"/>
    </row>
    <row r="388" spans="1:14" ht="30" customHeight="1" x14ac:dyDescent="0.2">
      <c r="A388" s="7656"/>
      <c r="B388" s="7653"/>
      <c r="C388" s="7873"/>
      <c r="D388" s="2844">
        <v>10000000</v>
      </c>
      <c r="E388" s="2867">
        <v>0.09</v>
      </c>
      <c r="F388" s="2844">
        <f>D388*E388</f>
        <v>900000</v>
      </c>
      <c r="G388" s="7564"/>
      <c r="H388" s="7564"/>
      <c r="I388" s="7773"/>
      <c r="J388" s="7564"/>
      <c r="K388" s="7564"/>
      <c r="L388" s="7758"/>
    </row>
    <row r="389" spans="1:14" ht="30" customHeight="1" x14ac:dyDescent="0.2">
      <c r="A389" s="2872">
        <v>242</v>
      </c>
      <c r="B389" s="2870" t="s">
        <v>100</v>
      </c>
      <c r="C389" s="2843" t="s">
        <v>1652</v>
      </c>
      <c r="D389" s="2817">
        <v>140000000</v>
      </c>
      <c r="E389" s="2819">
        <v>4.4999999999999998E-2</v>
      </c>
      <c r="F389" s="2817">
        <f t="shared" si="35"/>
        <v>6300000</v>
      </c>
      <c r="G389" s="2817">
        <v>6300000</v>
      </c>
      <c r="H389" s="2817" t="s">
        <v>4920</v>
      </c>
      <c r="I389" s="21" t="s">
        <v>3493</v>
      </c>
      <c r="J389" s="2817">
        <f>G389</f>
        <v>6300000</v>
      </c>
      <c r="K389" s="2817">
        <f t="shared" ref="K389:K395" si="44">F389-J389</f>
        <v>0</v>
      </c>
      <c r="L389" s="2894"/>
    </row>
    <row r="390" spans="1:14" ht="30" customHeight="1" x14ac:dyDescent="0.2">
      <c r="A390" s="2872">
        <v>243</v>
      </c>
      <c r="B390" s="19" t="s">
        <v>507</v>
      </c>
      <c r="C390" s="2869" t="s">
        <v>262</v>
      </c>
      <c r="D390" s="2844">
        <v>20000000</v>
      </c>
      <c r="E390" s="2867">
        <v>0.05</v>
      </c>
      <c r="F390" s="2844">
        <f>D390*E390</f>
        <v>1000000</v>
      </c>
      <c r="G390" s="2844">
        <v>1000000</v>
      </c>
      <c r="H390" s="2844" t="s">
        <v>5009</v>
      </c>
      <c r="I390" s="2844" t="s">
        <v>3564</v>
      </c>
      <c r="J390" s="2844">
        <f>G390</f>
        <v>1000000</v>
      </c>
      <c r="K390" s="2844">
        <f t="shared" si="44"/>
        <v>0</v>
      </c>
      <c r="L390" s="2894"/>
      <c r="M390" s="248"/>
      <c r="N390" s="248"/>
    </row>
    <row r="391" spans="1:14" ht="30" customHeight="1" x14ac:dyDescent="0.2">
      <c r="A391" s="7654">
        <v>244</v>
      </c>
      <c r="B391" s="7652" t="s">
        <v>101</v>
      </c>
      <c r="C391" s="7723" t="s">
        <v>372</v>
      </c>
      <c r="D391" s="2817">
        <v>50000000</v>
      </c>
      <c r="E391" s="2867">
        <v>0.05</v>
      </c>
      <c r="F391" s="2817">
        <f t="shared" si="35"/>
        <v>2500000</v>
      </c>
      <c r="G391" s="2817">
        <v>2500000</v>
      </c>
      <c r="H391" s="2817" t="s">
        <v>4936</v>
      </c>
      <c r="I391" s="21" t="s">
        <v>3530</v>
      </c>
      <c r="J391" s="2817">
        <f>G391</f>
        <v>2500000</v>
      </c>
      <c r="K391" s="2817">
        <f t="shared" si="44"/>
        <v>0</v>
      </c>
      <c r="L391" s="2870"/>
    </row>
    <row r="392" spans="1:14" ht="30" customHeight="1" x14ac:dyDescent="0.2">
      <c r="A392" s="7655"/>
      <c r="B392" s="7653"/>
      <c r="C392" s="7724"/>
      <c r="D392" s="3117">
        <v>60000000</v>
      </c>
      <c r="E392" s="896">
        <v>0.06</v>
      </c>
      <c r="F392" s="3117">
        <f t="shared" si="35"/>
        <v>3600000</v>
      </c>
      <c r="G392" s="3002"/>
      <c r="H392" s="3002"/>
      <c r="I392" s="3021"/>
      <c r="J392" s="3002"/>
      <c r="K392" s="3002"/>
      <c r="L392" s="1661" t="s">
        <v>5030</v>
      </c>
    </row>
    <row r="393" spans="1:14" ht="30" customHeight="1" x14ac:dyDescent="0.2">
      <c r="A393" s="2872">
        <v>245</v>
      </c>
      <c r="B393" s="2870" t="s">
        <v>4058</v>
      </c>
      <c r="C393" s="2843" t="s">
        <v>262</v>
      </c>
      <c r="D393" s="2817">
        <v>70000000</v>
      </c>
      <c r="E393" s="2867">
        <v>0.05</v>
      </c>
      <c r="F393" s="2817">
        <f t="shared" si="35"/>
        <v>3500000</v>
      </c>
      <c r="G393" s="2817">
        <v>3500000</v>
      </c>
      <c r="H393" s="2817" t="s">
        <v>4936</v>
      </c>
      <c r="I393" s="2847" t="s">
        <v>4064</v>
      </c>
      <c r="J393" s="2817">
        <f>G393</f>
        <v>3500000</v>
      </c>
      <c r="K393" s="2817">
        <f t="shared" si="44"/>
        <v>0</v>
      </c>
      <c r="L393" s="2875"/>
    </row>
    <row r="394" spans="1:14" ht="30" customHeight="1" x14ac:dyDescent="0.2">
      <c r="A394" s="2872">
        <v>246</v>
      </c>
      <c r="B394" s="2870" t="s">
        <v>103</v>
      </c>
      <c r="C394" s="2843" t="s">
        <v>262</v>
      </c>
      <c r="D394" s="2817">
        <v>85000000</v>
      </c>
      <c r="E394" s="2867">
        <v>5.0999999999999997E-2</v>
      </c>
      <c r="F394" s="2817">
        <v>4300000</v>
      </c>
      <c r="G394" s="2817">
        <v>4300000</v>
      </c>
      <c r="H394" s="2817" t="s">
        <v>4936</v>
      </c>
      <c r="I394" s="27" t="s">
        <v>2864</v>
      </c>
      <c r="J394" s="2817">
        <f t="shared" ref="J394:J410" si="45">G394</f>
        <v>4300000</v>
      </c>
      <c r="K394" s="2817">
        <f t="shared" si="44"/>
        <v>0</v>
      </c>
      <c r="L394" s="2870"/>
    </row>
    <row r="395" spans="1:14" ht="30" customHeight="1" x14ac:dyDescent="0.2">
      <c r="A395" s="2872">
        <v>247</v>
      </c>
      <c r="B395" s="2870" t="s">
        <v>104</v>
      </c>
      <c r="C395" s="2843" t="s">
        <v>262</v>
      </c>
      <c r="D395" s="2817">
        <v>220000000</v>
      </c>
      <c r="E395" s="2867">
        <v>7.0000000000000007E-2</v>
      </c>
      <c r="F395" s="2817">
        <f t="shared" si="35"/>
        <v>15400000.000000002</v>
      </c>
      <c r="G395" s="2817">
        <v>15400000</v>
      </c>
      <c r="H395" s="2817" t="s">
        <v>5052</v>
      </c>
      <c r="I395" s="21" t="s">
        <v>4090</v>
      </c>
      <c r="J395" s="2817">
        <f t="shared" si="45"/>
        <v>15400000</v>
      </c>
      <c r="K395" s="2817">
        <f t="shared" si="44"/>
        <v>0</v>
      </c>
      <c r="L395" s="2894"/>
      <c r="M395" s="858"/>
      <c r="N395" s="859"/>
    </row>
    <row r="396" spans="1:14" ht="30" customHeight="1" x14ac:dyDescent="0.2">
      <c r="A396" s="7654">
        <v>250</v>
      </c>
      <c r="B396" s="7652" t="s">
        <v>107</v>
      </c>
      <c r="C396" s="7723"/>
      <c r="D396" s="2817">
        <v>200000000</v>
      </c>
      <c r="E396" s="2867">
        <v>0.04</v>
      </c>
      <c r="F396" s="2817">
        <f t="shared" si="35"/>
        <v>8000000</v>
      </c>
      <c r="G396" s="7563"/>
      <c r="H396" s="7563"/>
      <c r="I396" s="7871" t="s">
        <v>1220</v>
      </c>
      <c r="J396" s="7563">
        <f t="shared" si="45"/>
        <v>0</v>
      </c>
      <c r="K396" s="7563">
        <f>(F396+F397)-J396</f>
        <v>20500000</v>
      </c>
      <c r="L396" s="2870"/>
    </row>
    <row r="397" spans="1:14" ht="30" customHeight="1" x14ac:dyDescent="0.2">
      <c r="A397" s="7655"/>
      <c r="B397" s="7653"/>
      <c r="C397" s="7724"/>
      <c r="D397" s="2817">
        <v>250000000</v>
      </c>
      <c r="E397" s="2867">
        <v>0.05</v>
      </c>
      <c r="F397" s="2817">
        <f t="shared" si="35"/>
        <v>12500000</v>
      </c>
      <c r="G397" s="7564"/>
      <c r="H397" s="7564"/>
      <c r="I397" s="7872"/>
      <c r="J397" s="7564"/>
      <c r="K397" s="7564"/>
      <c r="L397" s="2881"/>
    </row>
    <row r="398" spans="1:14" ht="30" customHeight="1" x14ac:dyDescent="0.2">
      <c r="A398" s="7654">
        <v>251</v>
      </c>
      <c r="B398" s="7652" t="s">
        <v>1830</v>
      </c>
      <c r="C398" s="7723" t="s">
        <v>371</v>
      </c>
      <c r="D398" s="2844">
        <v>90000000</v>
      </c>
      <c r="E398" s="2867">
        <v>0.06</v>
      </c>
      <c r="F398" s="2844">
        <f t="shared" si="35"/>
        <v>5400000</v>
      </c>
      <c r="G398" s="7482">
        <v>15200000</v>
      </c>
      <c r="H398" s="7482" t="s">
        <v>5052</v>
      </c>
      <c r="I398" s="7857" t="s">
        <v>5060</v>
      </c>
      <c r="J398" s="7482">
        <f t="shared" si="45"/>
        <v>15200000</v>
      </c>
      <c r="K398" s="7563">
        <f>(F398+F399+F400)-J398</f>
        <v>0</v>
      </c>
      <c r="L398" s="2881"/>
    </row>
    <row r="399" spans="1:14" ht="30" customHeight="1" x14ac:dyDescent="0.2">
      <c r="A399" s="7656"/>
      <c r="B399" s="7665"/>
      <c r="C399" s="7747"/>
      <c r="D399" s="2844">
        <v>100000000</v>
      </c>
      <c r="E399" s="2867">
        <v>7.0000000000000007E-2</v>
      </c>
      <c r="F399" s="2844">
        <f t="shared" si="35"/>
        <v>7000000.0000000009</v>
      </c>
      <c r="G399" s="7482"/>
      <c r="H399" s="7482"/>
      <c r="I399" s="7857"/>
      <c r="J399" s="7482"/>
      <c r="K399" s="7586"/>
      <c r="L399" s="2858"/>
    </row>
    <row r="400" spans="1:14" ht="30" customHeight="1" x14ac:dyDescent="0.2">
      <c r="A400" s="7655"/>
      <c r="B400" s="7653"/>
      <c r="C400" s="7724"/>
      <c r="D400" s="2817">
        <v>40000000</v>
      </c>
      <c r="E400" s="2819">
        <v>7.0000000000000007E-2</v>
      </c>
      <c r="F400" s="2817">
        <f t="shared" si="35"/>
        <v>2800000.0000000005</v>
      </c>
      <c r="G400" s="7482"/>
      <c r="H400" s="7482"/>
      <c r="I400" s="7857"/>
      <c r="J400" s="7482"/>
      <c r="K400" s="7564"/>
      <c r="L400" s="3139" t="s">
        <v>4645</v>
      </c>
    </row>
    <row r="401" spans="1:15" ht="30" customHeight="1" x14ac:dyDescent="0.2">
      <c r="A401" s="7654"/>
      <c r="B401" s="7652" t="s">
        <v>4605</v>
      </c>
      <c r="C401" s="7723" t="s">
        <v>1293</v>
      </c>
      <c r="D401" s="2817">
        <v>150000000</v>
      </c>
      <c r="E401" s="2902">
        <v>0.06</v>
      </c>
      <c r="F401" s="2901">
        <f t="shared" si="35"/>
        <v>9000000</v>
      </c>
      <c r="G401" s="2910">
        <v>9000000</v>
      </c>
      <c r="H401" s="2910" t="s">
        <v>4860</v>
      </c>
      <c r="I401" s="2918" t="s">
        <v>4872</v>
      </c>
      <c r="J401" s="2910">
        <f>G401</f>
        <v>9000000</v>
      </c>
      <c r="K401" s="2901">
        <f>F401-J401</f>
        <v>0</v>
      </c>
      <c r="L401" s="2919" t="s">
        <v>4606</v>
      </c>
    </row>
    <row r="402" spans="1:15" ht="30" customHeight="1" x14ac:dyDescent="0.2">
      <c r="A402" s="7655"/>
      <c r="B402" s="7653"/>
      <c r="C402" s="7724"/>
      <c r="D402" s="3127">
        <v>90000000</v>
      </c>
      <c r="E402" s="3128"/>
      <c r="F402" s="3127"/>
      <c r="G402" s="3126"/>
      <c r="H402" s="3126"/>
      <c r="I402" s="3122"/>
      <c r="J402" s="3126"/>
      <c r="K402" s="3129"/>
      <c r="L402" s="3139"/>
    </row>
    <row r="403" spans="1:15" ht="30" customHeight="1" x14ac:dyDescent="0.2">
      <c r="A403" s="7654"/>
      <c r="B403" s="7652" t="s">
        <v>4609</v>
      </c>
      <c r="C403" s="7873" t="s">
        <v>1176</v>
      </c>
      <c r="D403" s="2817">
        <v>165000000</v>
      </c>
      <c r="E403" s="3028">
        <v>0.06</v>
      </c>
      <c r="F403" s="3027">
        <f t="shared" si="35"/>
        <v>9900000</v>
      </c>
      <c r="G403" s="7563">
        <v>12840000</v>
      </c>
      <c r="H403" s="7563" t="s">
        <v>5052</v>
      </c>
      <c r="I403" s="7561" t="s">
        <v>1810</v>
      </c>
      <c r="J403" s="7563">
        <f>G403</f>
        <v>12840000</v>
      </c>
      <c r="K403" s="7563"/>
      <c r="L403" s="3029" t="s">
        <v>4951</v>
      </c>
    </row>
    <row r="404" spans="1:15" ht="30" customHeight="1" x14ac:dyDescent="0.2">
      <c r="A404" s="7655"/>
      <c r="B404" s="7653"/>
      <c r="C404" s="7873"/>
      <c r="D404" s="3002">
        <v>105000000</v>
      </c>
      <c r="E404" s="3028">
        <v>0.06</v>
      </c>
      <c r="F404" s="3027">
        <f t="shared" si="35"/>
        <v>6300000</v>
      </c>
      <c r="G404" s="7564"/>
      <c r="H404" s="7564"/>
      <c r="I404" s="7562"/>
      <c r="J404" s="7564"/>
      <c r="K404" s="7564"/>
      <c r="L404" s="3013" t="s">
        <v>4952</v>
      </c>
    </row>
    <row r="405" spans="1:15" ht="30" customHeight="1" x14ac:dyDescent="0.2">
      <c r="A405" s="7654"/>
      <c r="B405" s="7652" t="s">
        <v>4893</v>
      </c>
      <c r="C405" s="7723" t="s">
        <v>1293</v>
      </c>
      <c r="D405" s="2973">
        <v>300000000</v>
      </c>
      <c r="E405" s="2974">
        <v>0.06</v>
      </c>
      <c r="F405" s="2973">
        <f>D405*E405</f>
        <v>18000000</v>
      </c>
      <c r="G405" s="2983">
        <v>18000000</v>
      </c>
      <c r="H405" s="2983" t="s">
        <v>4891</v>
      </c>
      <c r="I405" s="2989" t="s">
        <v>4894</v>
      </c>
      <c r="J405" s="2983">
        <f>G405</f>
        <v>18000000</v>
      </c>
      <c r="K405" s="7563">
        <f>F405-J405</f>
        <v>0</v>
      </c>
      <c r="L405" s="2992" t="s">
        <v>4895</v>
      </c>
    </row>
    <row r="406" spans="1:15" ht="30" customHeight="1" x14ac:dyDescent="0.2">
      <c r="A406" s="7656"/>
      <c r="B406" s="7665"/>
      <c r="C406" s="7747"/>
      <c r="D406" s="3213">
        <v>50000000</v>
      </c>
      <c r="E406" s="3215">
        <v>0.06</v>
      </c>
      <c r="F406" s="3213">
        <f>D406*E406</f>
        <v>3000000</v>
      </c>
      <c r="G406" s="3212"/>
      <c r="H406" s="3212"/>
      <c r="I406" s="3216"/>
      <c r="J406" s="3212"/>
      <c r="K406" s="7586"/>
      <c r="L406" s="3226" t="s">
        <v>5137</v>
      </c>
    </row>
    <row r="407" spans="1:15" ht="30" customHeight="1" x14ac:dyDescent="0.2">
      <c r="A407" s="7655"/>
      <c r="B407" s="7653"/>
      <c r="C407" s="7724"/>
      <c r="D407" s="3233">
        <f>350000000</f>
        <v>350000000</v>
      </c>
      <c r="E407" s="3234">
        <v>0.06</v>
      </c>
      <c r="F407" s="3233">
        <f>D407*E407</f>
        <v>21000000</v>
      </c>
      <c r="G407" s="3212"/>
      <c r="H407" s="3212"/>
      <c r="I407" s="3216"/>
      <c r="J407" s="3212"/>
      <c r="K407" s="7564"/>
      <c r="L407" s="3226"/>
    </row>
    <row r="408" spans="1:15" ht="30" customHeight="1" x14ac:dyDescent="0.2">
      <c r="A408" s="7654">
        <v>252</v>
      </c>
      <c r="B408" s="7652" t="s">
        <v>109</v>
      </c>
      <c r="C408" s="7723" t="s">
        <v>262</v>
      </c>
      <c r="D408" s="2817">
        <v>270000000</v>
      </c>
      <c r="E408" s="2819">
        <v>0.05</v>
      </c>
      <c r="F408" s="2817">
        <f>D408*E408</f>
        <v>13500000</v>
      </c>
      <c r="G408" s="7563">
        <v>17000000</v>
      </c>
      <c r="H408" s="7563" t="s">
        <v>5052</v>
      </c>
      <c r="I408" s="7561" t="s">
        <v>1810</v>
      </c>
      <c r="J408" s="8180">
        <f>G408</f>
        <v>17000000</v>
      </c>
      <c r="K408" s="7563">
        <f>(F408+F409)-J408</f>
        <v>0</v>
      </c>
      <c r="L408" s="2922" t="s">
        <v>4425</v>
      </c>
    </row>
    <row r="409" spans="1:15" ht="30" customHeight="1" x14ac:dyDescent="0.2">
      <c r="A409" s="7655"/>
      <c r="B409" s="7653"/>
      <c r="C409" s="7724"/>
      <c r="D409" s="2817">
        <v>70000000</v>
      </c>
      <c r="E409" s="2819">
        <v>0.05</v>
      </c>
      <c r="F409" s="2817">
        <f>D409*E409</f>
        <v>3500000</v>
      </c>
      <c r="G409" s="7564"/>
      <c r="H409" s="7564"/>
      <c r="I409" s="7562"/>
      <c r="J409" s="7562"/>
      <c r="K409" s="7564"/>
      <c r="L409" s="2881" t="s">
        <v>4424</v>
      </c>
    </row>
    <row r="410" spans="1:15" ht="30" customHeight="1" x14ac:dyDescent="0.2">
      <c r="A410" s="7879">
        <v>253</v>
      </c>
      <c r="B410" s="7652" t="s">
        <v>110</v>
      </c>
      <c r="C410" s="7723" t="s">
        <v>262</v>
      </c>
      <c r="D410" s="2817">
        <v>20000000</v>
      </c>
      <c r="E410" s="2867">
        <v>0.05</v>
      </c>
      <c r="F410" s="2817">
        <f t="shared" si="35"/>
        <v>1000000</v>
      </c>
      <c r="G410" s="7563">
        <v>2000000</v>
      </c>
      <c r="H410" s="7563" t="s">
        <v>5015</v>
      </c>
      <c r="I410" s="7775" t="s">
        <v>3538</v>
      </c>
      <c r="J410" s="7563">
        <f t="shared" si="45"/>
        <v>2000000</v>
      </c>
      <c r="K410" s="7563">
        <f>(F410+F411)-J410</f>
        <v>0</v>
      </c>
      <c r="L410" s="2881"/>
      <c r="M410" s="1175"/>
      <c r="N410" s="1175"/>
      <c r="O410" s="1175"/>
    </row>
    <row r="411" spans="1:15" ht="30" customHeight="1" x14ac:dyDescent="0.2">
      <c r="A411" s="7879"/>
      <c r="B411" s="7665"/>
      <c r="C411" s="7747"/>
      <c r="D411" s="2817">
        <v>20000000</v>
      </c>
      <c r="E411" s="2867">
        <v>0.05</v>
      </c>
      <c r="F411" s="2817">
        <f t="shared" si="35"/>
        <v>1000000</v>
      </c>
      <c r="G411" s="7564"/>
      <c r="H411" s="7564"/>
      <c r="I411" s="7777"/>
      <c r="J411" s="7564"/>
      <c r="K411" s="7564"/>
      <c r="L411" s="2881"/>
      <c r="M411" s="248"/>
      <c r="N411" s="248"/>
      <c r="O411" s="248"/>
    </row>
    <row r="412" spans="1:15" ht="30" customHeight="1" x14ac:dyDescent="0.2">
      <c r="A412" s="7879"/>
      <c r="B412" s="7653"/>
      <c r="C412" s="7724"/>
      <c r="D412" s="3467">
        <v>20000000</v>
      </c>
      <c r="E412" s="3470">
        <v>0.05</v>
      </c>
      <c r="F412" s="3467">
        <f t="shared" si="35"/>
        <v>1000000</v>
      </c>
      <c r="G412" s="7470" t="s">
        <v>5336</v>
      </c>
      <c r="H412" s="7493"/>
      <c r="I412" s="7493"/>
      <c r="J412" s="7510"/>
      <c r="K412" s="3466"/>
      <c r="L412" s="3472" t="s">
        <v>5335</v>
      </c>
      <c r="M412" s="248"/>
      <c r="N412" s="248"/>
      <c r="O412" s="248"/>
    </row>
    <row r="413" spans="1:15" ht="30" customHeight="1" x14ac:dyDescent="0.2">
      <c r="A413" s="7656"/>
      <c r="B413" s="7652" t="s">
        <v>1893</v>
      </c>
      <c r="C413" s="7723" t="s">
        <v>371</v>
      </c>
      <c r="D413" s="2817">
        <v>175000000</v>
      </c>
      <c r="E413" s="2867">
        <v>0.05</v>
      </c>
      <c r="F413" s="2817">
        <f t="shared" si="35"/>
        <v>8750000</v>
      </c>
      <c r="G413" s="7563">
        <v>12170000</v>
      </c>
      <c r="H413" s="7563" t="s">
        <v>5083</v>
      </c>
      <c r="I413" s="7563" t="s">
        <v>2946</v>
      </c>
      <c r="J413" s="7563">
        <f>G413</f>
        <v>12170000</v>
      </c>
      <c r="K413" s="7563"/>
      <c r="L413" s="2881"/>
      <c r="M413" s="248"/>
      <c r="N413" s="248"/>
      <c r="O413" s="248"/>
    </row>
    <row r="414" spans="1:15" ht="30" customHeight="1" x14ac:dyDescent="0.2">
      <c r="A414" s="7656"/>
      <c r="B414" s="7665"/>
      <c r="C414" s="7747"/>
      <c r="D414" s="2817">
        <v>90000000</v>
      </c>
      <c r="E414" s="2867">
        <v>0.06</v>
      </c>
      <c r="F414" s="2817">
        <f t="shared" si="35"/>
        <v>5400000</v>
      </c>
      <c r="G414" s="7564"/>
      <c r="H414" s="7564"/>
      <c r="I414" s="7564"/>
      <c r="J414" s="7564"/>
      <c r="K414" s="7564"/>
      <c r="L414" s="2881" t="s">
        <v>5084</v>
      </c>
      <c r="M414" s="248"/>
      <c r="N414" s="248"/>
      <c r="O414" s="248"/>
    </row>
    <row r="415" spans="1:15" ht="30" customHeight="1" x14ac:dyDescent="0.2">
      <c r="A415" s="3047">
        <v>255</v>
      </c>
      <c r="B415" s="3046" t="s">
        <v>112</v>
      </c>
      <c r="C415" s="3045" t="s">
        <v>262</v>
      </c>
      <c r="D415" s="2817">
        <v>40000000</v>
      </c>
      <c r="E415" s="2867">
        <v>0.05</v>
      </c>
      <c r="F415" s="2817">
        <f t="shared" si="35"/>
        <v>2000000</v>
      </c>
      <c r="G415" s="2817">
        <v>2000000</v>
      </c>
      <c r="H415" s="2817" t="s">
        <v>5052</v>
      </c>
      <c r="I415" s="18" t="s">
        <v>342</v>
      </c>
      <c r="J415" s="2817">
        <f>G415</f>
        <v>2000000</v>
      </c>
      <c r="K415" s="2817">
        <f>F415-J415</f>
        <v>0</v>
      </c>
      <c r="L415" s="2870"/>
    </row>
    <row r="416" spans="1:15" ht="30" customHeight="1" x14ac:dyDescent="0.2">
      <c r="A416" s="2872">
        <v>256</v>
      </c>
      <c r="B416" s="2870" t="s">
        <v>113</v>
      </c>
      <c r="C416" s="2843" t="s">
        <v>371</v>
      </c>
      <c r="D416" s="2817">
        <v>100000000</v>
      </c>
      <c r="E416" s="2867">
        <v>0.05</v>
      </c>
      <c r="F416" s="2817">
        <f t="shared" si="35"/>
        <v>5000000</v>
      </c>
      <c r="G416" s="2817">
        <v>5000000</v>
      </c>
      <c r="H416" s="2817" t="s">
        <v>5052</v>
      </c>
      <c r="I416" s="18" t="s">
        <v>4453</v>
      </c>
      <c r="J416" s="2817">
        <f>G416</f>
        <v>5000000</v>
      </c>
      <c r="K416" s="2817">
        <f>F416-J416</f>
        <v>0</v>
      </c>
      <c r="L416" s="2870"/>
    </row>
    <row r="417" spans="1:12" ht="30" customHeight="1" x14ac:dyDescent="0.2">
      <c r="A417" s="2872">
        <v>257</v>
      </c>
      <c r="B417" s="2870" t="s">
        <v>114</v>
      </c>
      <c r="C417" s="2843" t="s">
        <v>1292</v>
      </c>
      <c r="D417" s="2817">
        <v>30000000</v>
      </c>
      <c r="E417" s="2867">
        <v>0.05</v>
      </c>
      <c r="F417" s="2817">
        <f t="shared" si="35"/>
        <v>1500000</v>
      </c>
      <c r="G417" s="2817">
        <v>1500000</v>
      </c>
      <c r="H417" s="2817" t="s">
        <v>5083</v>
      </c>
      <c r="I417" s="21" t="s">
        <v>482</v>
      </c>
      <c r="J417" s="2817">
        <f>G417</f>
        <v>1500000</v>
      </c>
      <c r="K417" s="2817">
        <f>F417-J417</f>
        <v>0</v>
      </c>
      <c r="L417" s="2870"/>
    </row>
    <row r="418" spans="1:12" ht="30" customHeight="1" x14ac:dyDescent="0.2">
      <c r="A418" s="2872">
        <v>258</v>
      </c>
      <c r="B418" s="2870" t="s">
        <v>849</v>
      </c>
      <c r="C418" s="2843" t="s">
        <v>262</v>
      </c>
      <c r="D418" s="2817">
        <v>12000000</v>
      </c>
      <c r="E418" s="2867">
        <v>0.05</v>
      </c>
      <c r="F418" s="2817">
        <f t="shared" si="35"/>
        <v>600000</v>
      </c>
      <c r="G418" s="7563">
        <v>1600000</v>
      </c>
      <c r="H418" s="7563" t="s">
        <v>5083</v>
      </c>
      <c r="I418" s="7772" t="s">
        <v>475</v>
      </c>
      <c r="J418" s="7563">
        <f>G418</f>
        <v>1600000</v>
      </c>
      <c r="K418" s="7563">
        <f>(F418+F419)-J418</f>
        <v>0</v>
      </c>
      <c r="L418" s="7703"/>
    </row>
    <row r="419" spans="1:12" ht="30" customHeight="1" x14ac:dyDescent="0.2">
      <c r="A419" s="2872">
        <v>259</v>
      </c>
      <c r="B419" s="2870" t="s">
        <v>156</v>
      </c>
      <c r="C419" s="2843" t="s">
        <v>262</v>
      </c>
      <c r="D419" s="2817">
        <v>20000000</v>
      </c>
      <c r="E419" s="2867">
        <v>0.05</v>
      </c>
      <c r="F419" s="2817">
        <f>D419*E419</f>
        <v>1000000</v>
      </c>
      <c r="G419" s="7564"/>
      <c r="H419" s="7564"/>
      <c r="I419" s="7773"/>
      <c r="J419" s="7564"/>
      <c r="K419" s="7564"/>
      <c r="L419" s="7705"/>
    </row>
    <row r="420" spans="1:12" ht="30" customHeight="1" x14ac:dyDescent="0.2">
      <c r="A420" s="7654">
        <v>261</v>
      </c>
      <c r="B420" s="7652" t="s">
        <v>117</v>
      </c>
      <c r="C420" s="2843" t="s">
        <v>1300</v>
      </c>
      <c r="D420" s="2817">
        <v>10500000</v>
      </c>
      <c r="E420" s="2867">
        <v>0.05</v>
      </c>
      <c r="F420" s="2817">
        <f t="shared" si="35"/>
        <v>525000</v>
      </c>
      <c r="G420" s="7563">
        <v>1575000</v>
      </c>
      <c r="H420" s="7563" t="s">
        <v>4839</v>
      </c>
      <c r="I420" s="7772" t="s">
        <v>3671</v>
      </c>
      <c r="J420" s="7563">
        <f t="shared" ref="J420:J425" si="46">G420</f>
        <v>1575000</v>
      </c>
      <c r="K420" s="7563">
        <v>0</v>
      </c>
      <c r="L420" s="7674"/>
    </row>
    <row r="421" spans="1:12" ht="30" customHeight="1" x14ac:dyDescent="0.2">
      <c r="A421" s="7656"/>
      <c r="B421" s="7665"/>
      <c r="C421" s="7723" t="s">
        <v>3323</v>
      </c>
      <c r="D421" s="2817">
        <v>10000000</v>
      </c>
      <c r="E421" s="2867">
        <v>7.0000000000000007E-2</v>
      </c>
      <c r="F421" s="2817">
        <f>D421*E421</f>
        <v>700000.00000000012</v>
      </c>
      <c r="G421" s="7586"/>
      <c r="H421" s="7586"/>
      <c r="I421" s="8185"/>
      <c r="J421" s="7586"/>
      <c r="K421" s="7586"/>
      <c r="L421" s="8186"/>
    </row>
    <row r="422" spans="1:12" ht="30" customHeight="1" x14ac:dyDescent="0.2">
      <c r="A422" s="7656"/>
      <c r="B422" s="7665"/>
      <c r="C422" s="7747"/>
      <c r="D422" s="2817">
        <v>5000000</v>
      </c>
      <c r="E422" s="2867">
        <v>7.0000000000000007E-2</v>
      </c>
      <c r="F422" s="2817">
        <f>D422*E422</f>
        <v>350000.00000000006</v>
      </c>
      <c r="G422" s="7586"/>
      <c r="H422" s="7586"/>
      <c r="I422" s="8185"/>
      <c r="J422" s="7586"/>
      <c r="K422" s="7586"/>
      <c r="L422" s="8186"/>
    </row>
    <row r="423" spans="1:12" ht="30" customHeight="1" x14ac:dyDescent="0.2">
      <c r="A423" s="2823"/>
      <c r="B423" s="2826"/>
      <c r="C423" s="7724"/>
      <c r="D423" s="2887">
        <v>25500000</v>
      </c>
      <c r="E423" s="896"/>
      <c r="F423" s="2887">
        <f>SUM(F420:F422)</f>
        <v>1575000</v>
      </c>
      <c r="G423" s="7564"/>
      <c r="H423" s="7564"/>
      <c r="I423" s="7773"/>
      <c r="J423" s="7564"/>
      <c r="K423" s="7564"/>
      <c r="L423" s="2859"/>
    </row>
    <row r="424" spans="1:12" ht="30" customHeight="1" x14ac:dyDescent="0.2">
      <c r="A424" s="2872">
        <v>263</v>
      </c>
      <c r="B424" s="19" t="s">
        <v>572</v>
      </c>
      <c r="C424" s="2869" t="s">
        <v>1300</v>
      </c>
      <c r="D424" s="2844">
        <v>105000000</v>
      </c>
      <c r="E424" s="2867">
        <v>5.8000000000000003E-2</v>
      </c>
      <c r="F424" s="2844">
        <v>6000000</v>
      </c>
      <c r="G424" s="2844">
        <v>6000000</v>
      </c>
      <c r="H424" s="2844" t="s">
        <v>5015</v>
      </c>
      <c r="I424" s="2844" t="s">
        <v>4141</v>
      </c>
      <c r="J424" s="2844">
        <f t="shared" si="46"/>
        <v>6000000</v>
      </c>
      <c r="K424" s="2844">
        <f>F424-J424</f>
        <v>0</v>
      </c>
      <c r="L424" s="2850"/>
    </row>
    <row r="425" spans="1:12" ht="30" customHeight="1" x14ac:dyDescent="0.2">
      <c r="A425" s="2822">
        <v>264</v>
      </c>
      <c r="B425" s="2825" t="s">
        <v>119</v>
      </c>
      <c r="C425" s="2843" t="s">
        <v>262</v>
      </c>
      <c r="D425" s="2817">
        <v>50000000</v>
      </c>
      <c r="E425" s="2819">
        <f>F425/D425</f>
        <v>0.06</v>
      </c>
      <c r="F425" s="2817">
        <v>3000000</v>
      </c>
      <c r="G425" s="2817">
        <v>3000000</v>
      </c>
      <c r="H425" s="2844" t="s">
        <v>4936</v>
      </c>
      <c r="I425" s="3106" t="s">
        <v>3563</v>
      </c>
      <c r="J425" s="2817">
        <f t="shared" si="46"/>
        <v>3000000</v>
      </c>
      <c r="K425" s="2817">
        <f>F425-J425</f>
        <v>0</v>
      </c>
      <c r="L425" s="2881"/>
    </row>
    <row r="426" spans="1:12" ht="30" customHeight="1" x14ac:dyDescent="0.2">
      <c r="A426" s="1028">
        <v>265</v>
      </c>
      <c r="B426" s="19" t="s">
        <v>121</v>
      </c>
      <c r="C426" s="3110" t="s">
        <v>262</v>
      </c>
      <c r="D426" s="3106">
        <v>1000000000</v>
      </c>
      <c r="E426" s="3108">
        <v>7.0000000000000007E-2</v>
      </c>
      <c r="F426" s="3106">
        <f>D426*E426</f>
        <v>70000000</v>
      </c>
      <c r="G426" s="3106">
        <v>70000000</v>
      </c>
      <c r="H426" s="3106" t="s">
        <v>5015</v>
      </c>
      <c r="I426" s="3106" t="s">
        <v>3290</v>
      </c>
      <c r="J426" s="3106">
        <f>G426</f>
        <v>70000000</v>
      </c>
      <c r="K426" s="3106">
        <f>F426-J426</f>
        <v>0</v>
      </c>
      <c r="L426" s="2850" t="s">
        <v>3283</v>
      </c>
    </row>
    <row r="427" spans="1:12" ht="30" customHeight="1" x14ac:dyDescent="0.2">
      <c r="A427" s="2872">
        <v>266</v>
      </c>
      <c r="B427" s="2825" t="s">
        <v>1918</v>
      </c>
      <c r="C427" s="2843" t="s">
        <v>371</v>
      </c>
      <c r="D427" s="2817">
        <v>80000000</v>
      </c>
      <c r="E427" s="2819">
        <v>4.4999999999999998E-2</v>
      </c>
      <c r="F427" s="2817">
        <f t="shared" ref="F427:F498" si="47">D427*E427</f>
        <v>3600000</v>
      </c>
      <c r="G427" s="2817">
        <v>3600000</v>
      </c>
      <c r="H427" s="2817" t="s">
        <v>5083</v>
      </c>
      <c r="I427" s="18" t="s">
        <v>4065</v>
      </c>
      <c r="J427" s="2817">
        <f>G427</f>
        <v>3600000</v>
      </c>
      <c r="K427" s="2817">
        <f>F427-J427</f>
        <v>0</v>
      </c>
      <c r="L427" s="2870"/>
    </row>
    <row r="428" spans="1:12" ht="30" customHeight="1" x14ac:dyDescent="0.2">
      <c r="A428" s="7654">
        <v>267</v>
      </c>
      <c r="B428" s="7652" t="s">
        <v>497</v>
      </c>
      <c r="C428" s="7723" t="s">
        <v>371</v>
      </c>
      <c r="D428" s="7563">
        <v>300000000</v>
      </c>
      <c r="E428" s="7659">
        <v>0.04</v>
      </c>
      <c r="F428" s="7563">
        <f>D428*E428</f>
        <v>12000000</v>
      </c>
      <c r="G428" s="7563">
        <v>12000000</v>
      </c>
      <c r="H428" s="7563" t="s">
        <v>5083</v>
      </c>
      <c r="I428" s="7563" t="s">
        <v>3579</v>
      </c>
      <c r="J428" s="7563">
        <f>G428</f>
        <v>12000000</v>
      </c>
      <c r="K428" s="7563">
        <f>F428-J428</f>
        <v>0</v>
      </c>
      <c r="L428" s="2850" t="s">
        <v>2891</v>
      </c>
    </row>
    <row r="429" spans="1:12" ht="30" customHeight="1" x14ac:dyDescent="0.2">
      <c r="A429" s="7655"/>
      <c r="B429" s="7653"/>
      <c r="C429" s="7724"/>
      <c r="D429" s="7564"/>
      <c r="E429" s="7660"/>
      <c r="F429" s="7564"/>
      <c r="G429" s="7564"/>
      <c r="H429" s="7564"/>
      <c r="I429" s="7564"/>
      <c r="J429" s="7564"/>
      <c r="K429" s="7564"/>
      <c r="L429" s="2850" t="s">
        <v>3380</v>
      </c>
    </row>
    <row r="430" spans="1:12" ht="30" customHeight="1" x14ac:dyDescent="0.2">
      <c r="A430" s="2872">
        <v>268</v>
      </c>
      <c r="B430" s="2870" t="s">
        <v>391</v>
      </c>
      <c r="C430" s="2843" t="s">
        <v>392</v>
      </c>
      <c r="D430" s="2817">
        <v>130000000</v>
      </c>
      <c r="E430" s="2867">
        <v>4.4999999999999998E-2</v>
      </c>
      <c r="F430" s="2817">
        <f t="shared" si="47"/>
        <v>5850000</v>
      </c>
      <c r="G430" s="2817">
        <v>5850000</v>
      </c>
      <c r="H430" s="2817" t="s">
        <v>4875</v>
      </c>
      <c r="I430" s="18" t="s">
        <v>2056</v>
      </c>
      <c r="J430" s="2817">
        <f>G430</f>
        <v>5850000</v>
      </c>
      <c r="K430" s="2817">
        <f>F430-J430</f>
        <v>0</v>
      </c>
      <c r="L430" s="2870"/>
    </row>
    <row r="431" spans="1:12" ht="30" customHeight="1" x14ac:dyDescent="0.2">
      <c r="A431" s="2899">
        <v>269</v>
      </c>
      <c r="B431" s="2916" t="s">
        <v>123</v>
      </c>
      <c r="C431" s="2915" t="s">
        <v>262</v>
      </c>
      <c r="D431" s="2817">
        <v>500000000</v>
      </c>
      <c r="E431" s="2867">
        <v>0.06</v>
      </c>
      <c r="F431" s="2817">
        <f t="shared" si="47"/>
        <v>30000000</v>
      </c>
      <c r="G431" s="3038">
        <v>30000000</v>
      </c>
      <c r="H431" s="3038" t="s">
        <v>4959</v>
      </c>
      <c r="I431" s="18" t="s">
        <v>3546</v>
      </c>
      <c r="J431" s="3038">
        <f>G431</f>
        <v>30000000</v>
      </c>
      <c r="K431" s="2817">
        <f>F431-J431</f>
        <v>0</v>
      </c>
      <c r="L431" s="2870"/>
    </row>
    <row r="432" spans="1:12" ht="30" customHeight="1" x14ac:dyDescent="0.2">
      <c r="A432" s="2872">
        <v>270</v>
      </c>
      <c r="B432" s="2870" t="s">
        <v>124</v>
      </c>
      <c r="C432" s="2843"/>
      <c r="D432" s="2817">
        <v>20000000</v>
      </c>
      <c r="E432" s="2867">
        <v>5.5E-2</v>
      </c>
      <c r="F432" s="2817">
        <f t="shared" si="47"/>
        <v>1100000</v>
      </c>
      <c r="G432" s="2817">
        <v>1100000</v>
      </c>
      <c r="H432" s="2817" t="s">
        <v>5015</v>
      </c>
      <c r="I432" s="21" t="s">
        <v>492</v>
      </c>
      <c r="J432" s="2817">
        <f>G432</f>
        <v>1100000</v>
      </c>
      <c r="K432" s="2817">
        <f>F432-J432</f>
        <v>0</v>
      </c>
      <c r="L432" s="2894"/>
    </row>
    <row r="433" spans="1:15" ht="30" customHeight="1" x14ac:dyDescent="0.2">
      <c r="A433" s="7654">
        <v>271</v>
      </c>
      <c r="B433" s="7652" t="s">
        <v>125</v>
      </c>
      <c r="C433" s="2869" t="s">
        <v>359</v>
      </c>
      <c r="D433" s="2844">
        <v>40000000</v>
      </c>
      <c r="E433" s="2867">
        <v>5.5E-2</v>
      </c>
      <c r="F433" s="2844">
        <f t="shared" si="47"/>
        <v>2200000</v>
      </c>
      <c r="G433" s="2844">
        <v>2200000</v>
      </c>
      <c r="H433" s="2844" t="s">
        <v>5083</v>
      </c>
      <c r="I433" s="18" t="s">
        <v>4459</v>
      </c>
      <c r="J433" s="2844">
        <f>G433</f>
        <v>2200000</v>
      </c>
      <c r="K433" s="2844">
        <f>F433-J433</f>
        <v>0</v>
      </c>
      <c r="L433" s="2870"/>
    </row>
    <row r="434" spans="1:15" ht="30" customHeight="1" x14ac:dyDescent="0.2">
      <c r="A434" s="7656"/>
      <c r="B434" s="7665"/>
      <c r="C434" s="7723" t="s">
        <v>1796</v>
      </c>
      <c r="D434" s="2817">
        <v>10000000</v>
      </c>
      <c r="E434" s="2819">
        <v>0.05</v>
      </c>
      <c r="F434" s="2817">
        <f t="shared" si="47"/>
        <v>500000</v>
      </c>
      <c r="G434" s="7563">
        <v>1000000</v>
      </c>
      <c r="H434" s="7563" t="s">
        <v>5226</v>
      </c>
      <c r="I434" s="7563" t="s">
        <v>4459</v>
      </c>
      <c r="J434" s="7563">
        <f>G434</f>
        <v>1000000</v>
      </c>
      <c r="K434" s="7563">
        <f>(F434+F435)-J434</f>
        <v>0</v>
      </c>
      <c r="L434" s="8000" t="s">
        <v>4823</v>
      </c>
      <c r="M434" s="2058"/>
      <c r="N434" s="2058"/>
      <c r="O434" s="2058"/>
    </row>
    <row r="435" spans="1:15" ht="30" customHeight="1" x14ac:dyDescent="0.2">
      <c r="A435" s="7656"/>
      <c r="B435" s="7665"/>
      <c r="C435" s="7724"/>
      <c r="D435" s="2817">
        <v>10000000</v>
      </c>
      <c r="E435" s="2819">
        <v>0.05</v>
      </c>
      <c r="F435" s="2817">
        <f t="shared" si="47"/>
        <v>500000</v>
      </c>
      <c r="G435" s="7564"/>
      <c r="H435" s="7564"/>
      <c r="I435" s="7564"/>
      <c r="J435" s="7564"/>
      <c r="K435" s="7564"/>
      <c r="L435" s="8000"/>
      <c r="M435" s="248"/>
      <c r="N435" s="248"/>
      <c r="O435" s="248"/>
    </row>
    <row r="436" spans="1:15" ht="30" customHeight="1" x14ac:dyDescent="0.2">
      <c r="A436" s="7655"/>
      <c r="B436" s="7653"/>
      <c r="C436" s="2938" t="s">
        <v>402</v>
      </c>
      <c r="D436" s="2931">
        <v>30000000</v>
      </c>
      <c r="E436" s="2932">
        <v>0.05</v>
      </c>
      <c r="F436" s="2931">
        <f t="shared" si="47"/>
        <v>1500000</v>
      </c>
      <c r="G436" s="2931"/>
      <c r="H436" s="2931"/>
      <c r="I436" s="2931"/>
      <c r="J436" s="2931"/>
      <c r="K436" s="2933"/>
      <c r="L436" s="2946" t="s">
        <v>4824</v>
      </c>
      <c r="M436" s="248"/>
      <c r="N436" s="248"/>
      <c r="O436" s="248"/>
    </row>
    <row r="437" spans="1:15" ht="30" customHeight="1" x14ac:dyDescent="0.2">
      <c r="A437" s="7654"/>
      <c r="B437" s="7717" t="s">
        <v>2524</v>
      </c>
      <c r="C437" s="7723" t="s">
        <v>1287</v>
      </c>
      <c r="D437" s="2882">
        <v>495000000</v>
      </c>
      <c r="E437" s="2896">
        <v>5.5E-2</v>
      </c>
      <c r="F437" s="2882">
        <f>D437*E437</f>
        <v>27225000</v>
      </c>
      <c r="G437" s="8040"/>
      <c r="H437" s="8040"/>
      <c r="I437" s="8040"/>
      <c r="J437" s="8040"/>
      <c r="K437" s="7563">
        <f>F441-J441</f>
        <v>-15000</v>
      </c>
      <c r="L437" s="7818"/>
    </row>
    <row r="438" spans="1:15" ht="30" customHeight="1" x14ac:dyDescent="0.2">
      <c r="A438" s="7656"/>
      <c r="B438" s="7717"/>
      <c r="C438" s="7747"/>
      <c r="D438" s="2882">
        <v>65000000</v>
      </c>
      <c r="E438" s="2896">
        <v>0.06</v>
      </c>
      <c r="F438" s="2882">
        <f>D438*E438</f>
        <v>3900000</v>
      </c>
      <c r="G438" s="8040"/>
      <c r="H438" s="8040"/>
      <c r="I438" s="8040"/>
      <c r="J438" s="8040"/>
      <c r="K438" s="7586"/>
      <c r="L438" s="7855"/>
    </row>
    <row r="439" spans="1:15" ht="30" customHeight="1" x14ac:dyDescent="0.2">
      <c r="A439" s="7656"/>
      <c r="B439" s="7717"/>
      <c r="C439" s="7747"/>
      <c r="D439" s="2882">
        <v>246000000</v>
      </c>
      <c r="E439" s="2896">
        <v>0.06</v>
      </c>
      <c r="F439" s="2882">
        <f>D439*E439</f>
        <v>14760000</v>
      </c>
      <c r="G439" s="8040"/>
      <c r="H439" s="8040"/>
      <c r="I439" s="8040"/>
      <c r="J439" s="8040"/>
      <c r="K439" s="7586"/>
      <c r="L439" s="7855"/>
    </row>
    <row r="440" spans="1:15" ht="30" customHeight="1" x14ac:dyDescent="0.2">
      <c r="A440" s="7656"/>
      <c r="B440" s="7717"/>
      <c r="C440" s="7747"/>
      <c r="D440" s="8004" t="s">
        <v>1787</v>
      </c>
      <c r="E440" s="8005"/>
      <c r="F440" s="2882">
        <v>1300000</v>
      </c>
      <c r="G440" s="8040"/>
      <c r="H440" s="8040"/>
      <c r="I440" s="8040"/>
      <c r="J440" s="8040"/>
      <c r="K440" s="7586"/>
      <c r="L440" s="7855"/>
    </row>
    <row r="441" spans="1:15" ht="30" customHeight="1" x14ac:dyDescent="0.2">
      <c r="A441" s="7656"/>
      <c r="B441" s="7717"/>
      <c r="C441" s="7747"/>
      <c r="D441" s="8063">
        <f>D437+D438+D439</f>
        <v>806000000</v>
      </c>
      <c r="E441" s="8065"/>
      <c r="F441" s="7559">
        <f>F437+F438+F439+F440</f>
        <v>47185000</v>
      </c>
      <c r="G441" s="7772">
        <v>47200000</v>
      </c>
      <c r="H441" s="7772" t="s">
        <v>5016</v>
      </c>
      <c r="I441" s="7772" t="s">
        <v>678</v>
      </c>
      <c r="J441" s="7772">
        <f>G441+G442</f>
        <v>47200000</v>
      </c>
      <c r="K441" s="7586"/>
      <c r="L441" s="7855"/>
    </row>
    <row r="442" spans="1:15" ht="30" customHeight="1" x14ac:dyDescent="0.2">
      <c r="A442" s="7656"/>
      <c r="B442" s="7717"/>
      <c r="C442" s="7747"/>
      <c r="D442" s="8066"/>
      <c r="E442" s="8068"/>
      <c r="F442" s="7560"/>
      <c r="G442" s="7773"/>
      <c r="H442" s="7773"/>
      <c r="I442" s="7773"/>
      <c r="J442" s="7773"/>
      <c r="K442" s="7564"/>
      <c r="L442" s="7819"/>
    </row>
    <row r="443" spans="1:15" ht="30" customHeight="1" x14ac:dyDescent="0.2">
      <c r="A443" s="2872">
        <v>273</v>
      </c>
      <c r="B443" s="2870" t="s">
        <v>127</v>
      </c>
      <c r="C443" s="2869" t="s">
        <v>1291</v>
      </c>
      <c r="D443" s="2817">
        <v>20000000</v>
      </c>
      <c r="E443" s="2867">
        <v>0.05</v>
      </c>
      <c r="F443" s="2817">
        <f t="shared" si="47"/>
        <v>1000000</v>
      </c>
      <c r="G443" s="2817">
        <v>1000000</v>
      </c>
      <c r="H443" s="2817" t="s">
        <v>5043</v>
      </c>
      <c r="I443" s="21" t="s">
        <v>480</v>
      </c>
      <c r="J443" s="2817">
        <f>G443</f>
        <v>1000000</v>
      </c>
      <c r="K443" s="2817">
        <f>F443-J443</f>
        <v>0</v>
      </c>
      <c r="L443" s="2870"/>
    </row>
    <row r="444" spans="1:15" ht="30" customHeight="1" x14ac:dyDescent="0.2">
      <c r="A444" s="3093">
        <v>274</v>
      </c>
      <c r="B444" s="19" t="s">
        <v>128</v>
      </c>
      <c r="C444" s="378"/>
      <c r="D444" s="3106">
        <v>50000000</v>
      </c>
      <c r="E444" s="3108">
        <v>0.05</v>
      </c>
      <c r="F444" s="2817">
        <f>D444*E444</f>
        <v>2500000</v>
      </c>
      <c r="G444" s="7954" t="s">
        <v>5039</v>
      </c>
      <c r="H444" s="7955"/>
      <c r="I444" s="7955"/>
      <c r="J444" s="7956"/>
      <c r="K444" s="2817">
        <f>F444-J444</f>
        <v>2500000</v>
      </c>
      <c r="L444" s="162"/>
    </row>
    <row r="445" spans="1:15" ht="30" customHeight="1" x14ac:dyDescent="0.2">
      <c r="A445" s="2872">
        <v>275</v>
      </c>
      <c r="B445" s="2870" t="s">
        <v>129</v>
      </c>
      <c r="C445" s="2843" t="s">
        <v>1291</v>
      </c>
      <c r="D445" s="2817">
        <v>130000000</v>
      </c>
      <c r="E445" s="2867">
        <v>0.05</v>
      </c>
      <c r="F445" s="2817">
        <f t="shared" si="47"/>
        <v>6500000</v>
      </c>
      <c r="G445" s="2817">
        <v>6500000</v>
      </c>
      <c r="H445" s="2817" t="s">
        <v>5043</v>
      </c>
      <c r="I445" s="21" t="s">
        <v>3175</v>
      </c>
      <c r="J445" s="2817">
        <f>G445</f>
        <v>6500000</v>
      </c>
      <c r="K445" s="2817">
        <f>F445-J445</f>
        <v>0</v>
      </c>
      <c r="L445" s="2870"/>
    </row>
    <row r="446" spans="1:15" ht="30" customHeight="1" x14ac:dyDescent="0.2">
      <c r="A446" s="2821">
        <v>277</v>
      </c>
      <c r="B446" s="2824" t="s">
        <v>131</v>
      </c>
      <c r="C446" s="2845" t="s">
        <v>2849</v>
      </c>
      <c r="D446" s="2827">
        <v>200000000</v>
      </c>
      <c r="E446" s="2818">
        <v>0.05</v>
      </c>
      <c r="F446" s="2827">
        <f t="shared" si="47"/>
        <v>10000000</v>
      </c>
      <c r="G446" s="2827">
        <v>10000000</v>
      </c>
      <c r="H446" s="2827" t="s">
        <v>5015</v>
      </c>
      <c r="I446" s="384" t="s">
        <v>4470</v>
      </c>
      <c r="J446" s="2827">
        <f>G446</f>
        <v>10000000</v>
      </c>
      <c r="K446" s="2827">
        <f>F446-J446</f>
        <v>0</v>
      </c>
      <c r="L446" s="2824"/>
    </row>
    <row r="447" spans="1:15" s="1539" customFormat="1" ht="30" customHeight="1" x14ac:dyDescent="0.2">
      <c r="A447" s="2821">
        <v>278</v>
      </c>
      <c r="B447" s="19" t="s">
        <v>620</v>
      </c>
      <c r="C447" s="2869" t="s">
        <v>3007</v>
      </c>
      <c r="D447" s="2844">
        <v>30000000</v>
      </c>
      <c r="E447" s="2867">
        <v>4.4999999999999998E-2</v>
      </c>
      <c r="F447" s="2844">
        <f t="shared" si="47"/>
        <v>1350000</v>
      </c>
      <c r="G447" s="2844">
        <v>1350000</v>
      </c>
      <c r="H447" s="2844" t="s">
        <v>5174</v>
      </c>
      <c r="I447" s="2864" t="s">
        <v>2066</v>
      </c>
      <c r="J447" s="2844">
        <f>G447</f>
        <v>1350000</v>
      </c>
      <c r="K447" s="2844">
        <f>F447-J447</f>
        <v>0</v>
      </c>
      <c r="L447" s="2856"/>
    </row>
    <row r="448" spans="1:15" ht="30" customHeight="1" x14ac:dyDescent="0.2">
      <c r="A448" s="2872">
        <v>279</v>
      </c>
      <c r="B448" s="2870" t="s">
        <v>132</v>
      </c>
      <c r="C448" s="2843" t="s">
        <v>402</v>
      </c>
      <c r="D448" s="2817">
        <v>11000000</v>
      </c>
      <c r="E448" s="2867">
        <v>4.4999999999999998E-2</v>
      </c>
      <c r="F448" s="2817">
        <v>500000</v>
      </c>
      <c r="G448" s="2817">
        <v>500000</v>
      </c>
      <c r="H448" s="2817" t="s">
        <v>4891</v>
      </c>
      <c r="I448" s="21" t="s">
        <v>730</v>
      </c>
      <c r="J448" s="2817">
        <f t="shared" ref="J448:J459" si="48">G448</f>
        <v>500000</v>
      </c>
      <c r="K448" s="2817">
        <f t="shared" ref="K448:K459" si="49">F448-J448</f>
        <v>0</v>
      </c>
      <c r="L448" s="2870"/>
    </row>
    <row r="449" spans="1:13" ht="30" customHeight="1" x14ac:dyDescent="0.2">
      <c r="A449" s="2872">
        <v>280</v>
      </c>
      <c r="B449" s="1949" t="s">
        <v>458</v>
      </c>
      <c r="C449" s="3287" t="s">
        <v>5213</v>
      </c>
      <c r="D449" s="2844">
        <v>20000000</v>
      </c>
      <c r="E449" s="2867">
        <v>0.05</v>
      </c>
      <c r="F449" s="2844">
        <f t="shared" si="47"/>
        <v>1000000</v>
      </c>
      <c r="G449" s="2844">
        <v>1000000</v>
      </c>
      <c r="H449" s="2844" t="s">
        <v>5227</v>
      </c>
      <c r="I449" s="2844" t="s">
        <v>3756</v>
      </c>
      <c r="J449" s="2844">
        <f t="shared" si="48"/>
        <v>1000000</v>
      </c>
      <c r="K449" s="2844">
        <f t="shared" si="49"/>
        <v>0</v>
      </c>
      <c r="L449" s="1024" t="s">
        <v>3097</v>
      </c>
    </row>
    <row r="450" spans="1:13" ht="30" customHeight="1" x14ac:dyDescent="0.2">
      <c r="A450" s="2822">
        <v>281</v>
      </c>
      <c r="B450" s="2865" t="s">
        <v>133</v>
      </c>
      <c r="C450" s="2843" t="s">
        <v>1290</v>
      </c>
      <c r="D450" s="2817">
        <v>40000000</v>
      </c>
      <c r="E450" s="2819">
        <v>0.05</v>
      </c>
      <c r="F450" s="2817">
        <f t="shared" si="47"/>
        <v>2000000</v>
      </c>
      <c r="G450" s="2817">
        <v>2000000</v>
      </c>
      <c r="H450" s="2817" t="s">
        <v>5154</v>
      </c>
      <c r="I450" s="2817" t="s">
        <v>635</v>
      </c>
      <c r="J450" s="2817">
        <f t="shared" si="48"/>
        <v>2000000</v>
      </c>
      <c r="K450" s="2817">
        <f t="shared" si="49"/>
        <v>0</v>
      </c>
      <c r="L450" s="2870"/>
    </row>
    <row r="451" spans="1:13" ht="30" customHeight="1" x14ac:dyDescent="0.2">
      <c r="A451" s="2872">
        <v>282</v>
      </c>
      <c r="B451" s="2870" t="s">
        <v>1024</v>
      </c>
      <c r="C451" s="2843" t="s">
        <v>371</v>
      </c>
      <c r="D451" s="2817">
        <v>20000000</v>
      </c>
      <c r="E451" s="2867">
        <v>0.04</v>
      </c>
      <c r="F451" s="2817">
        <f t="shared" si="47"/>
        <v>800000</v>
      </c>
      <c r="G451" s="2817">
        <v>800000</v>
      </c>
      <c r="H451" s="2817" t="s">
        <v>5083</v>
      </c>
      <c r="I451" s="2868" t="s">
        <v>2453</v>
      </c>
      <c r="J451" s="2817">
        <f t="shared" si="48"/>
        <v>800000</v>
      </c>
      <c r="K451" s="2817">
        <f t="shared" si="49"/>
        <v>0</v>
      </c>
      <c r="L451" s="2870"/>
    </row>
    <row r="452" spans="1:13" ht="30" customHeight="1" x14ac:dyDescent="0.2">
      <c r="A452" s="7654"/>
      <c r="B452" s="7652" t="s">
        <v>134</v>
      </c>
      <c r="C452" s="7723" t="s">
        <v>1294</v>
      </c>
      <c r="D452" s="2817">
        <v>50111000</v>
      </c>
      <c r="E452" s="2819">
        <v>0.05</v>
      </c>
      <c r="F452" s="2817">
        <f>D452*E452</f>
        <v>2505550</v>
      </c>
      <c r="G452" s="7563">
        <v>2667000</v>
      </c>
      <c r="H452" s="7563" t="s">
        <v>5154</v>
      </c>
      <c r="I452" s="7563" t="s">
        <v>630</v>
      </c>
      <c r="J452" s="7563">
        <f>G452</f>
        <v>2667000</v>
      </c>
      <c r="K452" s="7563">
        <f>F454-J452</f>
        <v>50</v>
      </c>
      <c r="L452" s="763"/>
    </row>
    <row r="453" spans="1:13" ht="30" customHeight="1" x14ac:dyDescent="0.2">
      <c r="A453" s="7656"/>
      <c r="B453" s="7665"/>
      <c r="C453" s="7747"/>
      <c r="D453" s="2817">
        <v>3230000</v>
      </c>
      <c r="E453" s="2819">
        <v>0.05</v>
      </c>
      <c r="F453" s="2817">
        <f>D453*E453</f>
        <v>161500</v>
      </c>
      <c r="G453" s="7586"/>
      <c r="H453" s="7586"/>
      <c r="I453" s="7586"/>
      <c r="J453" s="7586"/>
      <c r="K453" s="7586"/>
      <c r="L453" s="763" t="s">
        <v>4497</v>
      </c>
    </row>
    <row r="454" spans="1:13" ht="30" customHeight="1" x14ac:dyDescent="0.2">
      <c r="A454" s="7656"/>
      <c r="B454" s="7665"/>
      <c r="C454" s="7747"/>
      <c r="D454" s="2887">
        <f>D452+D453</f>
        <v>53341000</v>
      </c>
      <c r="E454" s="2889">
        <v>0.05</v>
      </c>
      <c r="F454" s="2887">
        <f>D454*E454</f>
        <v>2667050</v>
      </c>
      <c r="G454" s="7564"/>
      <c r="H454" s="7564"/>
      <c r="I454" s="7564"/>
      <c r="J454" s="7564"/>
      <c r="K454" s="7564"/>
      <c r="L454" s="763"/>
    </row>
    <row r="455" spans="1:13" ht="30" customHeight="1" x14ac:dyDescent="0.2">
      <c r="A455" s="7656"/>
      <c r="B455" s="7665"/>
      <c r="C455" s="7747"/>
      <c r="D455" s="3213">
        <v>4473000</v>
      </c>
      <c r="E455" s="3215">
        <v>0.05</v>
      </c>
      <c r="F455" s="3213">
        <f>D455*E455</f>
        <v>223650</v>
      </c>
      <c r="G455" s="3218"/>
      <c r="H455" s="3218"/>
      <c r="I455" s="3218"/>
      <c r="J455" s="3212"/>
      <c r="K455" s="3212"/>
      <c r="L455" s="763" t="s">
        <v>5152</v>
      </c>
    </row>
    <row r="456" spans="1:13" ht="30" customHeight="1" x14ac:dyDescent="0.2">
      <c r="A456" s="7656"/>
      <c r="B456" s="7665"/>
      <c r="C456" s="7747"/>
      <c r="D456" s="3213">
        <v>10000000</v>
      </c>
      <c r="E456" s="3215">
        <v>0.05</v>
      </c>
      <c r="F456" s="3213">
        <f t="shared" ref="F456:F457" si="50">D456*E456</f>
        <v>500000</v>
      </c>
      <c r="G456" s="3218"/>
      <c r="H456" s="3218"/>
      <c r="I456" s="3218"/>
      <c r="J456" s="3212"/>
      <c r="K456" s="3212"/>
      <c r="L456" s="763" t="s">
        <v>5153</v>
      </c>
    </row>
    <row r="457" spans="1:13" ht="30" customHeight="1" x14ac:dyDescent="0.2">
      <c r="A457" s="7656"/>
      <c r="B457" s="7665"/>
      <c r="C457" s="7747"/>
      <c r="D457" s="3213">
        <v>10000000</v>
      </c>
      <c r="E457" s="3215">
        <v>0.05</v>
      </c>
      <c r="F457" s="3213">
        <f t="shared" si="50"/>
        <v>500000</v>
      </c>
      <c r="G457" s="3218"/>
      <c r="H457" s="3218"/>
      <c r="I457" s="3218"/>
      <c r="J457" s="3212"/>
      <c r="K457" s="3212"/>
      <c r="L457" s="763" t="s">
        <v>5240</v>
      </c>
    </row>
    <row r="458" spans="1:13" ht="30" customHeight="1" x14ac:dyDescent="0.2">
      <c r="A458" s="7656"/>
      <c r="B458" s="7653"/>
      <c r="C458" s="7724"/>
      <c r="D458" s="3233">
        <f>D454+D455+D456+D457</f>
        <v>77814000</v>
      </c>
      <c r="E458" s="3234">
        <v>0.05</v>
      </c>
      <c r="F458" s="3233">
        <f>D458*E458</f>
        <v>3890700</v>
      </c>
      <c r="G458" s="3218"/>
      <c r="H458" s="3218"/>
      <c r="I458" s="3218"/>
      <c r="J458" s="3212"/>
      <c r="K458" s="3212"/>
      <c r="L458" s="763" t="s">
        <v>5208</v>
      </c>
    </row>
    <row r="459" spans="1:13" ht="30" customHeight="1" x14ac:dyDescent="0.2">
      <c r="A459" s="2823"/>
      <c r="B459" s="2870" t="s">
        <v>4246</v>
      </c>
      <c r="C459" s="2842"/>
      <c r="D459" s="2817">
        <v>67000000</v>
      </c>
      <c r="E459" s="2819">
        <v>0.05</v>
      </c>
      <c r="F459" s="2817">
        <f>D459*E459</f>
        <v>3350000</v>
      </c>
      <c r="G459" s="2844">
        <v>3350000</v>
      </c>
      <c r="H459" s="2844" t="s">
        <v>4860</v>
      </c>
      <c r="I459" s="2844" t="s">
        <v>4865</v>
      </c>
      <c r="J459" s="2844">
        <f t="shared" si="48"/>
        <v>3350000</v>
      </c>
      <c r="K459" s="2816">
        <f t="shared" si="49"/>
        <v>0</v>
      </c>
      <c r="L459" s="763" t="s">
        <v>4247</v>
      </c>
    </row>
    <row r="460" spans="1:13" ht="30" customHeight="1" x14ac:dyDescent="0.2">
      <c r="A460" s="7654"/>
      <c r="B460" s="7652" t="s">
        <v>1158</v>
      </c>
      <c r="C460" s="7723" t="s">
        <v>371</v>
      </c>
      <c r="D460" s="2878">
        <v>100000000</v>
      </c>
      <c r="E460" s="1929">
        <v>4.4999999999999998E-2</v>
      </c>
      <c r="F460" s="1542">
        <f t="shared" si="47"/>
        <v>4500000</v>
      </c>
      <c r="G460" s="7991"/>
      <c r="H460" s="7992"/>
      <c r="I460" s="7992"/>
      <c r="J460" s="7993"/>
      <c r="K460" s="7563"/>
      <c r="L460" s="763" t="s">
        <v>5057</v>
      </c>
      <c r="M460" t="s">
        <v>5056</v>
      </c>
    </row>
    <row r="461" spans="1:13" ht="30" customHeight="1" x14ac:dyDescent="0.2">
      <c r="A461" s="7656"/>
      <c r="B461" s="7665"/>
      <c r="C461" s="7747"/>
      <c r="D461" s="2878">
        <v>60000000</v>
      </c>
      <c r="E461" s="1929">
        <v>0.05</v>
      </c>
      <c r="F461" s="1542">
        <f t="shared" si="47"/>
        <v>3000000</v>
      </c>
      <c r="G461" s="7994"/>
      <c r="H461" s="7995"/>
      <c r="I461" s="7995"/>
      <c r="J461" s="7996"/>
      <c r="K461" s="7586"/>
      <c r="L461" s="8037" t="s">
        <v>5058</v>
      </c>
    </row>
    <row r="462" spans="1:13" ht="30" customHeight="1" x14ac:dyDescent="0.2">
      <c r="A462" s="7656"/>
      <c r="B462" s="7665"/>
      <c r="C462" s="7747"/>
      <c r="D462" s="2878">
        <v>30000000</v>
      </c>
      <c r="E462" s="1929">
        <v>0.05</v>
      </c>
      <c r="F462" s="1542">
        <f t="shared" si="47"/>
        <v>1500000</v>
      </c>
      <c r="G462" s="7994"/>
      <c r="H462" s="7995"/>
      <c r="I462" s="7995"/>
      <c r="J462" s="7996"/>
      <c r="K462" s="7586"/>
      <c r="L462" s="8037"/>
    </row>
    <row r="463" spans="1:13" ht="30" customHeight="1" x14ac:dyDescent="0.2">
      <c r="A463" s="7656"/>
      <c r="B463" s="7665"/>
      <c r="C463" s="7747"/>
      <c r="D463" s="2878">
        <v>40000000</v>
      </c>
      <c r="E463" s="1929">
        <v>0.05</v>
      </c>
      <c r="F463" s="1542">
        <f t="shared" si="47"/>
        <v>2000000</v>
      </c>
      <c r="G463" s="7997"/>
      <c r="H463" s="7998"/>
      <c r="I463" s="7998"/>
      <c r="J463" s="7999"/>
      <c r="K463" s="7564"/>
      <c r="L463" s="8037"/>
    </row>
    <row r="464" spans="1:13" ht="30" customHeight="1" x14ac:dyDescent="0.2">
      <c r="A464" s="7656"/>
      <c r="B464" s="7665"/>
      <c r="C464" s="7747"/>
      <c r="D464" s="2878">
        <f>SUM(D460:D463)</f>
        <v>230000000</v>
      </c>
      <c r="E464" s="1929"/>
      <c r="F464" s="1542">
        <f>SUM(F460:F463)</f>
        <v>11000000</v>
      </c>
      <c r="G464" s="2817">
        <v>11000000</v>
      </c>
      <c r="H464" s="2844" t="s">
        <v>5154</v>
      </c>
      <c r="I464" s="2844" t="s">
        <v>2219</v>
      </c>
      <c r="J464" s="2844">
        <f>G464</f>
        <v>11000000</v>
      </c>
      <c r="K464" s="2817">
        <f>F464-J464</f>
        <v>0</v>
      </c>
      <c r="L464" s="7758"/>
    </row>
    <row r="465" spans="1:12" ht="30" customHeight="1" x14ac:dyDescent="0.2">
      <c r="A465" s="7655"/>
      <c r="B465" s="7653"/>
      <c r="C465" s="7724"/>
      <c r="D465" s="8235" t="s">
        <v>5267</v>
      </c>
      <c r="E465" s="8236"/>
      <c r="F465" s="8237"/>
      <c r="G465" s="7470" t="s">
        <v>5268</v>
      </c>
      <c r="H465" s="7493"/>
      <c r="I465" s="7493"/>
      <c r="J465" s="7510"/>
      <c r="K465" s="3386"/>
      <c r="L465" s="3398" t="s">
        <v>5269</v>
      </c>
    </row>
    <row r="466" spans="1:12" ht="30" customHeight="1" x14ac:dyDescent="0.2">
      <c r="A466" s="2821">
        <v>286</v>
      </c>
      <c r="B466" s="2865" t="s">
        <v>1622</v>
      </c>
      <c r="C466" s="2869"/>
      <c r="D466" s="2844">
        <v>35000000</v>
      </c>
      <c r="E466" s="1027">
        <v>0.05</v>
      </c>
      <c r="F466" s="2844">
        <v>1700000</v>
      </c>
      <c r="G466" s="2844">
        <v>1700000</v>
      </c>
      <c r="H466" s="2844" t="s">
        <v>4891</v>
      </c>
      <c r="I466" s="18" t="s">
        <v>307</v>
      </c>
      <c r="J466" s="2844">
        <f>G466</f>
        <v>1700000</v>
      </c>
      <c r="K466" s="2844">
        <f>F466-J466</f>
        <v>0</v>
      </c>
      <c r="L466" s="2833"/>
    </row>
    <row r="467" spans="1:12" ht="30" customHeight="1" x14ac:dyDescent="0.2">
      <c r="A467" s="7654">
        <v>287</v>
      </c>
      <c r="B467" s="7652" t="s">
        <v>137</v>
      </c>
      <c r="C467" s="7723" t="s">
        <v>1294</v>
      </c>
      <c r="D467" s="2817">
        <v>15000000</v>
      </c>
      <c r="E467" s="2819">
        <v>0.05</v>
      </c>
      <c r="F467" s="2817">
        <f t="shared" si="47"/>
        <v>750000</v>
      </c>
      <c r="G467" s="7563">
        <v>3000000</v>
      </c>
      <c r="H467" s="7563" t="s">
        <v>5043</v>
      </c>
      <c r="I467" s="7561" t="s">
        <v>5121</v>
      </c>
      <c r="J467" s="7563">
        <f>G467+G468</f>
        <v>3000000</v>
      </c>
      <c r="K467" s="7563">
        <f>(F467+F468)-J467</f>
        <v>0</v>
      </c>
      <c r="L467" s="7657"/>
    </row>
    <row r="468" spans="1:12" ht="30" customHeight="1" x14ac:dyDescent="0.2">
      <c r="A468" s="7655"/>
      <c r="B468" s="7653"/>
      <c r="C468" s="7724"/>
      <c r="D468" s="2817">
        <v>45000000</v>
      </c>
      <c r="E468" s="2819">
        <v>0.05</v>
      </c>
      <c r="F468" s="2817">
        <f t="shared" si="47"/>
        <v>2250000</v>
      </c>
      <c r="G468" s="7564"/>
      <c r="H468" s="7564"/>
      <c r="I468" s="7562"/>
      <c r="J468" s="7564"/>
      <c r="K468" s="7564"/>
      <c r="L468" s="7658"/>
    </row>
    <row r="469" spans="1:12" ht="30" customHeight="1" x14ac:dyDescent="0.2">
      <c r="A469" s="2872">
        <v>288</v>
      </c>
      <c r="B469" s="2870" t="s">
        <v>138</v>
      </c>
      <c r="C469" s="2843" t="s">
        <v>1289</v>
      </c>
      <c r="D469" s="2817">
        <v>50000000</v>
      </c>
      <c r="E469" s="2867">
        <v>4.4999999999999998E-2</v>
      </c>
      <c r="F469" s="2817">
        <f t="shared" si="47"/>
        <v>2250000</v>
      </c>
      <c r="G469" s="2817">
        <v>2250000</v>
      </c>
      <c r="H469" s="2817" t="s">
        <v>5174</v>
      </c>
      <c r="I469" s="21" t="s">
        <v>673</v>
      </c>
      <c r="J469" s="2817">
        <f t="shared" ref="J469:J474" si="51">G469</f>
        <v>2250000</v>
      </c>
      <c r="K469" s="2817">
        <f t="shared" ref="K469:K474" si="52">F469-J469</f>
        <v>0</v>
      </c>
      <c r="L469" s="2870"/>
    </row>
    <row r="470" spans="1:12" ht="30" customHeight="1" x14ac:dyDescent="0.2">
      <c r="A470" s="2872">
        <v>289</v>
      </c>
      <c r="B470" s="2870" t="s">
        <v>637</v>
      </c>
      <c r="C470" s="2843" t="s">
        <v>1299</v>
      </c>
      <c r="D470" s="2817">
        <v>25000000</v>
      </c>
      <c r="E470" s="2867">
        <v>5.3999999999999999E-2</v>
      </c>
      <c r="F470" s="2817">
        <f t="shared" si="47"/>
        <v>1350000</v>
      </c>
      <c r="G470" s="2817">
        <v>1350000</v>
      </c>
      <c r="H470" s="2817" t="s">
        <v>5174</v>
      </c>
      <c r="I470" s="18" t="s">
        <v>4554</v>
      </c>
      <c r="J470" s="2817">
        <f t="shared" si="51"/>
        <v>1350000</v>
      </c>
      <c r="K470" s="2817">
        <f t="shared" si="52"/>
        <v>0</v>
      </c>
      <c r="L470" s="2870"/>
    </row>
    <row r="471" spans="1:12" ht="30" customHeight="1" x14ac:dyDescent="0.2">
      <c r="A471" s="2821">
        <v>290</v>
      </c>
      <c r="B471" s="2865" t="s">
        <v>3848</v>
      </c>
      <c r="C471" s="2843" t="s">
        <v>1288</v>
      </c>
      <c r="D471" s="2817">
        <v>1150000000</v>
      </c>
      <c r="E471" s="2867">
        <v>7.0000000000000007E-2</v>
      </c>
      <c r="F471" s="2817">
        <f>D471*E471</f>
        <v>80500000.000000015</v>
      </c>
      <c r="G471" s="2844">
        <v>80500000</v>
      </c>
      <c r="H471" s="2844" t="s">
        <v>5202</v>
      </c>
      <c r="I471" s="2844" t="s">
        <v>4095</v>
      </c>
      <c r="J471" s="2844">
        <f>G471</f>
        <v>80500000</v>
      </c>
      <c r="K471" s="2817">
        <f t="shared" si="52"/>
        <v>0</v>
      </c>
      <c r="L471" s="2856" t="s">
        <v>3859</v>
      </c>
    </row>
    <row r="472" spans="1:12" ht="30" customHeight="1" x14ac:dyDescent="0.2">
      <c r="A472" s="2872">
        <v>292</v>
      </c>
      <c r="B472" s="2870" t="s">
        <v>140</v>
      </c>
      <c r="C472" s="2869" t="s">
        <v>1299</v>
      </c>
      <c r="D472" s="2817">
        <v>100000000</v>
      </c>
      <c r="E472" s="2867">
        <v>0.05</v>
      </c>
      <c r="F472" s="2817">
        <f t="shared" si="47"/>
        <v>5000000</v>
      </c>
      <c r="G472" s="2817">
        <v>5000000</v>
      </c>
      <c r="H472" s="2817" t="s">
        <v>5174</v>
      </c>
      <c r="I472" s="65" t="s">
        <v>4552</v>
      </c>
      <c r="J472" s="2817">
        <f t="shared" si="51"/>
        <v>5000000</v>
      </c>
      <c r="K472" s="2817">
        <f t="shared" si="52"/>
        <v>0</v>
      </c>
      <c r="L472" s="2870"/>
    </row>
    <row r="473" spans="1:12" ht="30" customHeight="1" x14ac:dyDescent="0.2">
      <c r="A473" s="2872">
        <v>293</v>
      </c>
      <c r="B473" s="2870" t="s">
        <v>141</v>
      </c>
      <c r="C473" s="2843" t="s">
        <v>1299</v>
      </c>
      <c r="D473" s="2817">
        <v>75000000</v>
      </c>
      <c r="E473" s="2867">
        <v>0.04</v>
      </c>
      <c r="F473" s="2817">
        <f>D473*E473</f>
        <v>3000000</v>
      </c>
      <c r="G473" s="2817">
        <v>3000000</v>
      </c>
      <c r="H473" s="2817" t="s">
        <v>5174</v>
      </c>
      <c r="I473" s="18" t="s">
        <v>2540</v>
      </c>
      <c r="J473" s="2817">
        <f t="shared" si="51"/>
        <v>3000000</v>
      </c>
      <c r="K473" s="2817">
        <f t="shared" si="52"/>
        <v>0</v>
      </c>
      <c r="L473" s="2870"/>
    </row>
    <row r="474" spans="1:12" ht="30" customHeight="1" x14ac:dyDescent="0.2">
      <c r="A474" s="2883">
        <v>295</v>
      </c>
      <c r="B474" s="2865" t="s">
        <v>142</v>
      </c>
      <c r="C474" s="2842" t="s">
        <v>1299</v>
      </c>
      <c r="D474" s="2817">
        <v>100000000</v>
      </c>
      <c r="E474" s="2867">
        <v>0.05</v>
      </c>
      <c r="F474" s="2817">
        <f t="shared" si="47"/>
        <v>5000000</v>
      </c>
      <c r="G474" s="2844">
        <v>5000000</v>
      </c>
      <c r="H474" s="2844" t="s">
        <v>5202</v>
      </c>
      <c r="I474" s="2844" t="s">
        <v>5203</v>
      </c>
      <c r="J474" s="2844">
        <f t="shared" si="51"/>
        <v>5000000</v>
      </c>
      <c r="K474" s="2844">
        <f t="shared" si="52"/>
        <v>0</v>
      </c>
      <c r="L474" s="763"/>
    </row>
    <row r="475" spans="1:12" ht="30" customHeight="1" x14ac:dyDescent="0.2">
      <c r="A475" s="7654"/>
      <c r="B475" s="7652" t="s">
        <v>4556</v>
      </c>
      <c r="C475" s="7723"/>
      <c r="D475" s="2817">
        <v>10000000</v>
      </c>
      <c r="E475" s="2867">
        <v>0.05</v>
      </c>
      <c r="F475" s="2817">
        <f>D475*E475</f>
        <v>500000</v>
      </c>
      <c r="G475" s="7563">
        <v>1700000</v>
      </c>
      <c r="H475" s="7563" t="s">
        <v>5202</v>
      </c>
      <c r="I475" s="7563" t="s">
        <v>4558</v>
      </c>
      <c r="J475" s="7563">
        <f>G475</f>
        <v>1700000</v>
      </c>
      <c r="K475" s="7563">
        <f>(F475+F476+F477)-J475</f>
        <v>0</v>
      </c>
      <c r="L475" s="7811" t="s">
        <v>4557</v>
      </c>
    </row>
    <row r="476" spans="1:12" ht="30" customHeight="1" x14ac:dyDescent="0.2">
      <c r="A476" s="7656"/>
      <c r="B476" s="7665"/>
      <c r="C476" s="7747"/>
      <c r="D476" s="2837">
        <v>10000000</v>
      </c>
      <c r="E476" s="2819">
        <v>0.06</v>
      </c>
      <c r="F476" s="2838">
        <f>D476*E476</f>
        <v>600000</v>
      </c>
      <c r="G476" s="7586"/>
      <c r="H476" s="7586"/>
      <c r="I476" s="7586"/>
      <c r="J476" s="7586"/>
      <c r="K476" s="7586"/>
      <c r="L476" s="7812"/>
    </row>
    <row r="477" spans="1:12" ht="30" customHeight="1" x14ac:dyDescent="0.2">
      <c r="A477" s="7655"/>
      <c r="B477" s="7653"/>
      <c r="C477" s="7724"/>
      <c r="D477" s="2837">
        <v>10000000</v>
      </c>
      <c r="E477" s="2819">
        <v>0.06</v>
      </c>
      <c r="F477" s="2838">
        <f>D477*E477</f>
        <v>600000</v>
      </c>
      <c r="G477" s="7564"/>
      <c r="H477" s="7564"/>
      <c r="I477" s="7564"/>
      <c r="J477" s="7564"/>
      <c r="K477" s="7564"/>
      <c r="L477" s="2852" t="s">
        <v>4760</v>
      </c>
    </row>
    <row r="478" spans="1:12" ht="30" customHeight="1" x14ac:dyDescent="0.2">
      <c r="A478" s="2872">
        <v>296</v>
      </c>
      <c r="B478" s="2870" t="s">
        <v>143</v>
      </c>
      <c r="C478" s="2843" t="s">
        <v>1306</v>
      </c>
      <c r="D478" s="2817">
        <v>35000000</v>
      </c>
      <c r="E478" s="2867">
        <v>0.04</v>
      </c>
      <c r="F478" s="2817">
        <f t="shared" si="47"/>
        <v>1400000</v>
      </c>
      <c r="G478" s="2817">
        <v>1400000</v>
      </c>
      <c r="H478" s="2817" t="s">
        <v>5211</v>
      </c>
      <c r="I478" s="21" t="s">
        <v>1109</v>
      </c>
      <c r="J478" s="2817">
        <f>G478</f>
        <v>1400000</v>
      </c>
      <c r="K478" s="2817">
        <f>F478-J478</f>
        <v>0</v>
      </c>
      <c r="L478" s="2870"/>
    </row>
    <row r="479" spans="1:12" ht="30" customHeight="1" x14ac:dyDescent="0.2">
      <c r="A479" s="7654">
        <v>298</v>
      </c>
      <c r="B479" s="7652" t="s">
        <v>145</v>
      </c>
      <c r="C479" s="7723" t="s">
        <v>1134</v>
      </c>
      <c r="D479" s="2817">
        <v>38000000</v>
      </c>
      <c r="E479" s="2867">
        <v>5.1999999999999998E-2</v>
      </c>
      <c r="F479" s="2817">
        <v>2000000</v>
      </c>
      <c r="G479" s="2817">
        <v>500000</v>
      </c>
      <c r="H479" s="2817" t="s">
        <v>1491</v>
      </c>
      <c r="I479" s="21" t="s">
        <v>4150</v>
      </c>
      <c r="J479" s="2817">
        <f>G479</f>
        <v>500000</v>
      </c>
      <c r="K479" s="2817">
        <f>F479-J479</f>
        <v>1500000</v>
      </c>
      <c r="L479" s="2870"/>
    </row>
    <row r="480" spans="1:12" ht="30" customHeight="1" x14ac:dyDescent="0.2">
      <c r="A480" s="7655"/>
      <c r="B480" s="7653"/>
      <c r="C480" s="7724"/>
      <c r="D480" s="3417">
        <v>40000000</v>
      </c>
      <c r="E480" s="896">
        <v>0.05</v>
      </c>
      <c r="F480" s="3417">
        <f>D480*E480</f>
        <v>2000000</v>
      </c>
      <c r="G480" s="7732" t="s">
        <v>5274</v>
      </c>
      <c r="H480" s="7733"/>
      <c r="I480" s="7733"/>
      <c r="J480" s="7734"/>
      <c r="K480" s="3386"/>
      <c r="L480" s="3404"/>
    </row>
    <row r="481" spans="1:12" ht="30" customHeight="1" x14ac:dyDescent="0.2">
      <c r="A481" s="2872">
        <v>300</v>
      </c>
      <c r="B481" s="2865" t="s">
        <v>147</v>
      </c>
      <c r="C481" s="2869" t="s">
        <v>890</v>
      </c>
      <c r="D481" s="2844">
        <v>178000000</v>
      </c>
      <c r="E481" s="2867">
        <v>5.8999999999999997E-2</v>
      </c>
      <c r="F481" s="2844">
        <v>10500000</v>
      </c>
      <c r="G481" s="2817">
        <v>10500000</v>
      </c>
      <c r="H481" s="2817" t="s">
        <v>1491</v>
      </c>
      <c r="I481" s="21" t="s">
        <v>3469</v>
      </c>
      <c r="J481" s="2817">
        <f>G481</f>
        <v>10500000</v>
      </c>
      <c r="K481" s="2844">
        <f>F481-J481</f>
        <v>0</v>
      </c>
      <c r="L481" s="2870"/>
    </row>
    <row r="482" spans="1:12" ht="30" customHeight="1" x14ac:dyDescent="0.2">
      <c r="A482" s="2872">
        <v>301</v>
      </c>
      <c r="B482" s="2870" t="s">
        <v>2347</v>
      </c>
      <c r="C482" s="2843"/>
      <c r="D482" s="2817">
        <v>10000000</v>
      </c>
      <c r="E482" s="2819">
        <v>0.04</v>
      </c>
      <c r="F482" s="2817">
        <f>D482*E482</f>
        <v>400000</v>
      </c>
      <c r="G482" s="2817">
        <v>400000</v>
      </c>
      <c r="H482" s="2817" t="s">
        <v>5227</v>
      </c>
      <c r="I482" s="2846" t="s">
        <v>723</v>
      </c>
      <c r="J482" s="2817">
        <f>G482</f>
        <v>400000</v>
      </c>
      <c r="K482" s="2817">
        <f>F482-J482</f>
        <v>0</v>
      </c>
      <c r="L482" s="2894"/>
    </row>
    <row r="483" spans="1:12" ht="30" customHeight="1" x14ac:dyDescent="0.2">
      <c r="A483" s="7654">
        <v>302</v>
      </c>
      <c r="B483" s="7652" t="s">
        <v>149</v>
      </c>
      <c r="C483" s="7723" t="s">
        <v>1296</v>
      </c>
      <c r="D483" s="2817">
        <v>60000000</v>
      </c>
      <c r="E483" s="2867">
        <v>4.4999999999999998E-2</v>
      </c>
      <c r="F483" s="2817">
        <f t="shared" si="47"/>
        <v>2700000</v>
      </c>
      <c r="G483" s="7563">
        <v>4815000</v>
      </c>
      <c r="H483" s="7561" t="s">
        <v>5211</v>
      </c>
      <c r="I483" s="7561" t="s">
        <v>3179</v>
      </c>
      <c r="J483" s="8180">
        <f>G483</f>
        <v>4815000</v>
      </c>
      <c r="K483" s="7563"/>
      <c r="L483" s="2852" t="s">
        <v>4825</v>
      </c>
    </row>
    <row r="484" spans="1:12" ht="30" customHeight="1" x14ac:dyDescent="0.2">
      <c r="A484" s="7655"/>
      <c r="B484" s="7653"/>
      <c r="C484" s="7724"/>
      <c r="D484" s="2887">
        <v>100000000</v>
      </c>
      <c r="E484" s="896">
        <v>0.05</v>
      </c>
      <c r="F484" s="2887">
        <f>D484*E484</f>
        <v>5000000</v>
      </c>
      <c r="G484" s="7564"/>
      <c r="H484" s="7562"/>
      <c r="I484" s="7562"/>
      <c r="J484" s="7562"/>
      <c r="K484" s="7564"/>
      <c r="L484" s="2852" t="s">
        <v>4593</v>
      </c>
    </row>
    <row r="485" spans="1:12" ht="30" customHeight="1" x14ac:dyDescent="0.2">
      <c r="A485" s="7654"/>
      <c r="B485" s="7652" t="s">
        <v>150</v>
      </c>
      <c r="C485" s="7723" t="s">
        <v>1796</v>
      </c>
      <c r="D485" s="7820">
        <v>2222000000</v>
      </c>
      <c r="E485" s="7826">
        <f>F485/D485</f>
        <v>8.1903690369036899E-2</v>
      </c>
      <c r="F485" s="7820">
        <v>181990000</v>
      </c>
      <c r="G485" s="3352">
        <v>50000000</v>
      </c>
      <c r="H485" s="3352" t="s">
        <v>5106</v>
      </c>
      <c r="I485" s="3352" t="s">
        <v>1084</v>
      </c>
      <c r="J485" s="7820"/>
      <c r="K485" s="7820"/>
      <c r="L485" s="7818" t="s">
        <v>5425</v>
      </c>
    </row>
    <row r="486" spans="1:12" ht="30" customHeight="1" x14ac:dyDescent="0.2">
      <c r="A486" s="7656"/>
      <c r="B486" s="7665"/>
      <c r="C486" s="7747"/>
      <c r="D486" s="7821"/>
      <c r="E486" s="7827"/>
      <c r="F486" s="7821"/>
      <c r="G486" s="3352">
        <v>50000000</v>
      </c>
      <c r="H486" s="7858" t="s">
        <v>5403</v>
      </c>
      <c r="I486" s="7860"/>
      <c r="J486" s="7821"/>
      <c r="K486" s="7821"/>
      <c r="L486" s="7855"/>
    </row>
    <row r="487" spans="1:12" ht="30" customHeight="1" x14ac:dyDescent="0.2">
      <c r="A487" s="7656"/>
      <c r="B487" s="7665"/>
      <c r="C487" s="7747"/>
      <c r="D487" s="7822"/>
      <c r="E487" s="7828"/>
      <c r="F487" s="7822"/>
      <c r="G487" s="7858" t="s">
        <v>5424</v>
      </c>
      <c r="H487" s="7859"/>
      <c r="I487" s="7860"/>
      <c r="J487" s="7822"/>
      <c r="K487" s="7822"/>
      <c r="L487" s="7855"/>
    </row>
    <row r="488" spans="1:12" ht="30" customHeight="1" x14ac:dyDescent="0.2">
      <c r="A488" s="7656"/>
      <c r="B488" s="7665"/>
      <c r="C488" s="7747"/>
      <c r="D488" s="7494" t="s">
        <v>5205</v>
      </c>
      <c r="E488" s="7495"/>
      <c r="F488" s="7768"/>
      <c r="G488" s="3281">
        <v>130000000</v>
      </c>
      <c r="H488" s="3281" t="s">
        <v>5226</v>
      </c>
      <c r="I488" s="3285" t="s">
        <v>1084</v>
      </c>
      <c r="J488" s="7482">
        <f>G488+G490</f>
        <v>130000000</v>
      </c>
      <c r="K488" s="7482">
        <f>200000000-J488</f>
        <v>70000000</v>
      </c>
      <c r="L488" s="7855"/>
    </row>
    <row r="489" spans="1:12" ht="30" customHeight="1" x14ac:dyDescent="0.2">
      <c r="A489" s="7656"/>
      <c r="B489" s="7665"/>
      <c r="C489" s="7747"/>
      <c r="D489" s="7769"/>
      <c r="E489" s="7805"/>
      <c r="F489" s="7770"/>
      <c r="G489" s="7470" t="s">
        <v>5424</v>
      </c>
      <c r="H489" s="7493"/>
      <c r="I489" s="7510"/>
      <c r="J489" s="7482"/>
      <c r="K489" s="7482"/>
      <c r="L489" s="7819"/>
    </row>
    <row r="490" spans="1:12" ht="30" customHeight="1" x14ac:dyDescent="0.2">
      <c r="A490" s="7655"/>
      <c r="B490" s="7653"/>
      <c r="C490" s="7724"/>
      <c r="D490" s="3288">
        <f>D485-200000000</f>
        <v>2022000000</v>
      </c>
      <c r="E490" s="3294">
        <v>8.3000000000000004E-2</v>
      </c>
      <c r="F490" s="3288">
        <v>167990000</v>
      </c>
      <c r="G490" s="3281"/>
      <c r="H490" s="3281"/>
      <c r="I490" s="3285"/>
      <c r="J490" s="7"/>
      <c r="K490" s="7"/>
      <c r="L490" s="3292" t="s">
        <v>5206</v>
      </c>
    </row>
    <row r="491" spans="1:12" ht="30" customHeight="1" x14ac:dyDescent="0.2">
      <c r="A491" s="7654">
        <v>305</v>
      </c>
      <c r="B491" s="7652" t="s">
        <v>152</v>
      </c>
      <c r="C491" s="7723"/>
      <c r="D491" s="7563">
        <v>900000000</v>
      </c>
      <c r="E491" s="7659">
        <v>7.0000000000000007E-2</v>
      </c>
      <c r="F491" s="7563">
        <f>D491*E491</f>
        <v>63000000.000000007</v>
      </c>
      <c r="G491" s="2817"/>
      <c r="H491" s="2817"/>
      <c r="I491" s="21" t="s">
        <v>2394</v>
      </c>
      <c r="J491" s="7563">
        <f>G491+G492</f>
        <v>0</v>
      </c>
      <c r="K491" s="7563">
        <f>38000000-J491</f>
        <v>38000000</v>
      </c>
      <c r="L491" s="345" t="s">
        <v>5895</v>
      </c>
    </row>
    <row r="492" spans="1:12" ht="30" customHeight="1" x14ac:dyDescent="0.2">
      <c r="A492" s="7656"/>
      <c r="B492" s="7665"/>
      <c r="C492" s="7747"/>
      <c r="D492" s="7586"/>
      <c r="E492" s="7676"/>
      <c r="F492" s="7586"/>
      <c r="G492" s="2817"/>
      <c r="H492" s="2817"/>
      <c r="I492" s="21" t="s">
        <v>2394</v>
      </c>
      <c r="J492" s="7586"/>
      <c r="K492" s="7586"/>
      <c r="L492" s="345"/>
    </row>
    <row r="493" spans="1:12" ht="30" customHeight="1" x14ac:dyDescent="0.2">
      <c r="A493" s="7656"/>
      <c r="B493" s="7665"/>
      <c r="C493" s="7747"/>
      <c r="D493" s="7586"/>
      <c r="E493" s="7676"/>
      <c r="F493" s="7586"/>
      <c r="G493" s="2817"/>
      <c r="H493" s="2817"/>
      <c r="I493" s="21" t="s">
        <v>2394</v>
      </c>
      <c r="J493" s="7586"/>
      <c r="K493" s="7586"/>
      <c r="L493" s="345"/>
    </row>
    <row r="494" spans="1:12" ht="30" customHeight="1" x14ac:dyDescent="0.2">
      <c r="A494" s="7655"/>
      <c r="B494" s="7653"/>
      <c r="C494" s="7724"/>
      <c r="D494" s="7564"/>
      <c r="E494" s="7660"/>
      <c r="F494" s="7564"/>
      <c r="G494" s="2817"/>
      <c r="H494" s="2817"/>
      <c r="I494" s="21" t="s">
        <v>2394</v>
      </c>
      <c r="J494" s="7564"/>
      <c r="K494" s="7564"/>
      <c r="L494" s="345"/>
    </row>
    <row r="495" spans="1:12" ht="30" customHeight="1" x14ac:dyDescent="0.2">
      <c r="A495" s="7654">
        <v>307</v>
      </c>
      <c r="B495" s="7652" t="s">
        <v>154</v>
      </c>
      <c r="C495" s="7723" t="s">
        <v>1306</v>
      </c>
      <c r="D495" s="2817">
        <v>220000000</v>
      </c>
      <c r="E495" s="2867">
        <v>0.05</v>
      </c>
      <c r="F495" s="2817">
        <f t="shared" si="47"/>
        <v>11000000</v>
      </c>
      <c r="G495" s="2817"/>
      <c r="H495" s="2817"/>
      <c r="I495" s="21"/>
      <c r="J495" s="2817">
        <f>G495</f>
        <v>0</v>
      </c>
      <c r="K495" s="2817">
        <f>F495-J495</f>
        <v>11000000</v>
      </c>
      <c r="L495" s="2870"/>
    </row>
    <row r="496" spans="1:12" ht="30" customHeight="1" x14ac:dyDescent="0.2">
      <c r="A496" s="7656"/>
      <c r="B496" s="7665"/>
      <c r="C496" s="7747"/>
      <c r="D496" s="7482" t="s">
        <v>3428</v>
      </c>
      <c r="E496" s="7482"/>
      <c r="F496" s="7482"/>
      <c r="G496" s="3266">
        <v>20000000</v>
      </c>
      <c r="H496" s="3266" t="s">
        <v>4920</v>
      </c>
      <c r="I496" s="3272" t="s">
        <v>2655</v>
      </c>
      <c r="J496" s="3266">
        <f>G496+G497</f>
        <v>30000000</v>
      </c>
      <c r="K496" s="3266"/>
      <c r="L496" s="2975"/>
    </row>
    <row r="497" spans="1:12" ht="30" customHeight="1" x14ac:dyDescent="0.2">
      <c r="A497" s="7655"/>
      <c r="B497" s="7653"/>
      <c r="C497" s="7724"/>
      <c r="D497" s="3257">
        <v>200000000</v>
      </c>
      <c r="E497" s="435">
        <v>0.05</v>
      </c>
      <c r="F497" s="3262">
        <f>D497*E497</f>
        <v>10000000</v>
      </c>
      <c r="G497" s="2983">
        <v>10000000</v>
      </c>
      <c r="H497" s="2983" t="s">
        <v>5211</v>
      </c>
      <c r="I497" s="2989" t="s">
        <v>2409</v>
      </c>
      <c r="J497" s="3266">
        <f>G497</f>
        <v>10000000</v>
      </c>
      <c r="K497" s="3266">
        <f>F497-J497</f>
        <v>0</v>
      </c>
      <c r="L497" s="2975"/>
    </row>
    <row r="498" spans="1:12" ht="30" customHeight="1" x14ac:dyDescent="0.2">
      <c r="A498" s="2821">
        <v>308</v>
      </c>
      <c r="B498" s="2865" t="s">
        <v>155</v>
      </c>
      <c r="C498" s="2869" t="s">
        <v>1294</v>
      </c>
      <c r="D498" s="2844">
        <v>300000000</v>
      </c>
      <c r="E498" s="2867">
        <v>0.05</v>
      </c>
      <c r="F498" s="2844">
        <f t="shared" si="47"/>
        <v>15000000</v>
      </c>
      <c r="G498" s="3106">
        <v>15000000</v>
      </c>
      <c r="H498" s="3106" t="s">
        <v>5154</v>
      </c>
      <c r="I498" s="18" t="s">
        <v>1873</v>
      </c>
      <c r="J498" s="3106">
        <f>G498</f>
        <v>15000000</v>
      </c>
      <c r="K498" s="3106">
        <f>F498-J498</f>
        <v>0</v>
      </c>
      <c r="L498" s="7818"/>
    </row>
    <row r="499" spans="1:12" ht="30" customHeight="1" x14ac:dyDescent="0.2">
      <c r="A499" s="7654">
        <v>309</v>
      </c>
      <c r="B499" s="7652" t="s">
        <v>1874</v>
      </c>
      <c r="C499" s="7723" t="s">
        <v>372</v>
      </c>
      <c r="D499" s="2817">
        <v>180000000</v>
      </c>
      <c r="E499" s="2819">
        <v>0.05</v>
      </c>
      <c r="F499" s="2817">
        <f>D499*E499</f>
        <v>9000000</v>
      </c>
      <c r="G499" s="3106">
        <v>9000000</v>
      </c>
      <c r="H499" s="3106" t="s">
        <v>4936</v>
      </c>
      <c r="I499" s="18" t="s">
        <v>1873</v>
      </c>
      <c r="J499" s="3106">
        <f>G499</f>
        <v>9000000</v>
      </c>
      <c r="K499" s="3106">
        <f>F499-J499</f>
        <v>0</v>
      </c>
      <c r="L499" s="7819"/>
    </row>
    <row r="500" spans="1:12" ht="30" customHeight="1" x14ac:dyDescent="0.2">
      <c r="A500" s="7656"/>
      <c r="B500" s="7665"/>
      <c r="C500" s="7747"/>
      <c r="D500" s="7482">
        <v>20000000</v>
      </c>
      <c r="E500" s="7870">
        <v>0.05</v>
      </c>
      <c r="F500" s="7482">
        <f>D500*E500</f>
        <v>1000000</v>
      </c>
      <c r="G500" s="7494" t="s">
        <v>5534</v>
      </c>
      <c r="H500" s="7495"/>
      <c r="I500" s="7495"/>
      <c r="J500" s="7768"/>
      <c r="K500" s="7563"/>
      <c r="L500" s="5231" t="s">
        <v>6424</v>
      </c>
    </row>
    <row r="501" spans="1:12" ht="30" customHeight="1" x14ac:dyDescent="0.2">
      <c r="A501" s="7656"/>
      <c r="B501" s="7665"/>
      <c r="C501" s="7747"/>
      <c r="D501" s="7482"/>
      <c r="E501" s="7870"/>
      <c r="F501" s="7482"/>
      <c r="G501" s="7877"/>
      <c r="H501" s="7524"/>
      <c r="I501" s="7524"/>
      <c r="J501" s="7878"/>
      <c r="K501" s="7586"/>
      <c r="L501" s="5231" t="s">
        <v>6425</v>
      </c>
    </row>
    <row r="502" spans="1:12" ht="30" customHeight="1" x14ac:dyDescent="0.2">
      <c r="A502" s="7656"/>
      <c r="B502" s="7665"/>
      <c r="C502" s="7747"/>
      <c r="D502" s="7482"/>
      <c r="E502" s="7870"/>
      <c r="F502" s="7482"/>
      <c r="G502" s="7877"/>
      <c r="H502" s="7524"/>
      <c r="I502" s="7524"/>
      <c r="J502" s="7878"/>
      <c r="K502" s="7586"/>
      <c r="L502" s="5231" t="s">
        <v>6426</v>
      </c>
    </row>
    <row r="503" spans="1:12" ht="30" customHeight="1" x14ac:dyDescent="0.2">
      <c r="A503" s="7655"/>
      <c r="B503" s="7653"/>
      <c r="C503" s="7724"/>
      <c r="D503" s="5232">
        <f>D499+D500</f>
        <v>200000000</v>
      </c>
      <c r="E503" s="5233">
        <v>0.05</v>
      </c>
      <c r="F503" s="5232">
        <f>D503*E503</f>
        <v>10000000</v>
      </c>
      <c r="G503" s="7769"/>
      <c r="H503" s="7805"/>
      <c r="I503" s="7805"/>
      <c r="J503" s="7770"/>
      <c r="K503" s="7564"/>
      <c r="L503" s="5230"/>
    </row>
    <row r="504" spans="1:12" ht="30" customHeight="1" x14ac:dyDescent="0.2">
      <c r="A504" s="2821">
        <v>310</v>
      </c>
      <c r="B504" s="2870" t="s">
        <v>157</v>
      </c>
      <c r="C504" s="2843" t="s">
        <v>392</v>
      </c>
      <c r="D504" s="2817">
        <v>100000000</v>
      </c>
      <c r="E504" s="2819">
        <v>0.05</v>
      </c>
      <c r="F504" s="2817">
        <f t="shared" ref="F504:F526" si="53">D504*E504</f>
        <v>5000000</v>
      </c>
      <c r="G504" s="2817">
        <v>5000000</v>
      </c>
      <c r="H504" s="2817" t="s">
        <v>4875</v>
      </c>
      <c r="I504" s="21" t="s">
        <v>4884</v>
      </c>
      <c r="J504" s="2817">
        <f>G504</f>
        <v>5000000</v>
      </c>
      <c r="K504" s="2817">
        <f t="shared" ref="K504:K513" si="54">F504-J504</f>
        <v>0</v>
      </c>
      <c r="L504" s="2894" t="s">
        <v>4754</v>
      </c>
    </row>
    <row r="505" spans="1:12" ht="30" customHeight="1" x14ac:dyDescent="0.2">
      <c r="A505" s="7654">
        <v>311</v>
      </c>
      <c r="B505" s="7652" t="s">
        <v>158</v>
      </c>
      <c r="C505" s="7723" t="s">
        <v>889</v>
      </c>
      <c r="D505" s="2817">
        <v>85000000</v>
      </c>
      <c r="E505" s="2867">
        <v>0.05</v>
      </c>
      <c r="F505" s="2817">
        <f t="shared" si="53"/>
        <v>4250000</v>
      </c>
      <c r="G505" s="7563">
        <v>9250000</v>
      </c>
      <c r="H505" s="7563" t="s">
        <v>4860</v>
      </c>
      <c r="I505" s="7762" t="s">
        <v>3970</v>
      </c>
      <c r="J505" s="7563">
        <f>G505</f>
        <v>9250000</v>
      </c>
      <c r="K505" s="7563">
        <f>(F505+F506)-J505</f>
        <v>0</v>
      </c>
      <c r="L505" s="2977"/>
    </row>
    <row r="506" spans="1:12" ht="30" customHeight="1" x14ac:dyDescent="0.2">
      <c r="A506" s="7655"/>
      <c r="B506" s="7653"/>
      <c r="C506" s="7724"/>
      <c r="D506" s="2817">
        <v>100000000</v>
      </c>
      <c r="E506" s="2867">
        <v>0.05</v>
      </c>
      <c r="F506" s="2817">
        <f t="shared" si="53"/>
        <v>5000000</v>
      </c>
      <c r="G506" s="7564"/>
      <c r="H506" s="7564"/>
      <c r="I506" s="7763"/>
      <c r="J506" s="7564"/>
      <c r="K506" s="7564"/>
      <c r="L506" s="2978"/>
    </row>
    <row r="507" spans="1:12" ht="30" customHeight="1" x14ac:dyDescent="0.2">
      <c r="A507" s="2821">
        <v>312</v>
      </c>
      <c r="B507" s="2870" t="s">
        <v>159</v>
      </c>
      <c r="C507" s="2843"/>
      <c r="D507" s="2834"/>
      <c r="E507" s="2519"/>
      <c r="F507" s="2834">
        <f t="shared" si="53"/>
        <v>0</v>
      </c>
      <c r="G507" s="2817"/>
      <c r="H507" s="2817"/>
      <c r="I507" s="21"/>
      <c r="J507" s="2817">
        <f>G507</f>
        <v>0</v>
      </c>
      <c r="K507" s="2834">
        <f t="shared" si="54"/>
        <v>0</v>
      </c>
      <c r="L507" s="2870"/>
    </row>
    <row r="508" spans="1:12" ht="30" customHeight="1" x14ac:dyDescent="0.2">
      <c r="A508" s="7885">
        <v>313</v>
      </c>
      <c r="B508" s="7652" t="s">
        <v>161</v>
      </c>
      <c r="C508" s="7723" t="s">
        <v>1652</v>
      </c>
      <c r="D508" s="7563">
        <v>152000000</v>
      </c>
      <c r="E508" s="7659">
        <v>0.05</v>
      </c>
      <c r="F508" s="7563">
        <f>D508*E508</f>
        <v>7600000</v>
      </c>
      <c r="G508" s="2844">
        <v>7600000</v>
      </c>
      <c r="H508" s="2844" t="s">
        <v>4920</v>
      </c>
      <c r="I508" s="2864" t="s">
        <v>3468</v>
      </c>
      <c r="J508" s="2844">
        <f>G508</f>
        <v>7600000</v>
      </c>
      <c r="K508" s="2844">
        <f t="shared" si="54"/>
        <v>0</v>
      </c>
      <c r="L508" s="2879"/>
    </row>
    <row r="509" spans="1:12" ht="30" customHeight="1" x14ac:dyDescent="0.2">
      <c r="A509" s="7886"/>
      <c r="B509" s="7653"/>
      <c r="C509" s="7724"/>
      <c r="D509" s="7564"/>
      <c r="E509" s="7660"/>
      <c r="F509" s="7564"/>
      <c r="G509" s="3164">
        <v>4000000</v>
      </c>
      <c r="H509" s="3164" t="s">
        <v>5015</v>
      </c>
      <c r="I509" s="909" t="s">
        <v>3560</v>
      </c>
      <c r="J509" s="3164">
        <f>G509</f>
        <v>4000000</v>
      </c>
      <c r="K509" s="3172"/>
      <c r="L509" s="3171"/>
    </row>
    <row r="510" spans="1:12" ht="30" customHeight="1" x14ac:dyDescent="0.2">
      <c r="A510" s="7654">
        <v>315</v>
      </c>
      <c r="B510" s="7652" t="s">
        <v>163</v>
      </c>
      <c r="C510" s="7723" t="s">
        <v>1176</v>
      </c>
      <c r="D510" s="2844">
        <v>400000000</v>
      </c>
      <c r="E510" s="2867">
        <v>6.3E-2</v>
      </c>
      <c r="F510" s="2844">
        <v>25000000</v>
      </c>
      <c r="G510" s="7494" t="s">
        <v>5002</v>
      </c>
      <c r="H510" s="7495"/>
      <c r="I510" s="7495"/>
      <c r="J510" s="7768"/>
      <c r="K510" s="2844">
        <f t="shared" si="54"/>
        <v>25000000</v>
      </c>
      <c r="L510" s="2839"/>
    </row>
    <row r="511" spans="1:12" ht="30" customHeight="1" x14ac:dyDescent="0.2">
      <c r="A511" s="7655"/>
      <c r="B511" s="7653"/>
      <c r="C511" s="7724"/>
      <c r="D511" s="3077">
        <v>100000000</v>
      </c>
      <c r="E511" s="3078">
        <v>0.05</v>
      </c>
      <c r="F511" s="3077">
        <f>D511*E511</f>
        <v>5000000</v>
      </c>
      <c r="G511" s="7769"/>
      <c r="H511" s="7805"/>
      <c r="I511" s="7805"/>
      <c r="J511" s="7770"/>
      <c r="K511" s="3077"/>
      <c r="L511" s="3089" t="s">
        <v>5001</v>
      </c>
    </row>
    <row r="512" spans="1:12" ht="30" customHeight="1" x14ac:dyDescent="0.2">
      <c r="A512" s="2872">
        <v>316</v>
      </c>
      <c r="B512" s="2825" t="s">
        <v>164</v>
      </c>
      <c r="C512" s="2843"/>
      <c r="D512" s="2817">
        <v>35000000</v>
      </c>
      <c r="E512" s="2819">
        <v>0.04</v>
      </c>
      <c r="F512" s="2817">
        <f>D512*E512</f>
        <v>1400000</v>
      </c>
      <c r="G512" s="2817">
        <v>1400000</v>
      </c>
      <c r="H512" s="2817" t="s">
        <v>4936</v>
      </c>
      <c r="I512" s="2848" t="s">
        <v>288</v>
      </c>
      <c r="J512" s="2817">
        <f t="shared" ref="J512:J525" si="55">G512</f>
        <v>1400000</v>
      </c>
      <c r="K512" s="2817">
        <f t="shared" si="54"/>
        <v>0</v>
      </c>
      <c r="L512" s="2870"/>
    </row>
    <row r="513" spans="1:12" ht="30" customHeight="1" x14ac:dyDescent="0.2">
      <c r="A513" s="7654">
        <v>317</v>
      </c>
      <c r="B513" s="7652" t="s">
        <v>4529</v>
      </c>
      <c r="C513" s="7723" t="s">
        <v>359</v>
      </c>
      <c r="D513" s="2817">
        <v>100000000</v>
      </c>
      <c r="E513" s="2867">
        <v>0.05</v>
      </c>
      <c r="F513" s="2817">
        <f>D513*E513</f>
        <v>5000000</v>
      </c>
      <c r="G513" s="8105" t="s">
        <v>4996</v>
      </c>
      <c r="H513" s="8106"/>
      <c r="I513" s="8106"/>
      <c r="J513" s="8107"/>
      <c r="K513" s="2817">
        <f t="shared" si="54"/>
        <v>5000000</v>
      </c>
      <c r="L513" s="2894"/>
    </row>
    <row r="514" spans="1:12" ht="30" customHeight="1" x14ac:dyDescent="0.2">
      <c r="A514" s="7656"/>
      <c r="B514" s="7665"/>
      <c r="C514" s="7747"/>
      <c r="D514" s="2817">
        <v>100000000</v>
      </c>
      <c r="E514" s="2867">
        <v>0.05</v>
      </c>
      <c r="F514" s="2817">
        <f>D514*E514</f>
        <v>5000000</v>
      </c>
      <c r="G514" s="8111"/>
      <c r="H514" s="8112"/>
      <c r="I514" s="8112"/>
      <c r="J514" s="8113"/>
      <c r="K514" s="2817"/>
      <c r="L514" s="2894" t="s">
        <v>4916</v>
      </c>
    </row>
    <row r="515" spans="1:12" ht="30" customHeight="1" x14ac:dyDescent="0.2">
      <c r="A515" s="7656"/>
      <c r="B515" s="7665"/>
      <c r="C515" s="7747"/>
      <c r="D515" s="7563">
        <v>100000000</v>
      </c>
      <c r="E515" s="7659">
        <v>0.05</v>
      </c>
      <c r="F515" s="7563">
        <f>D515*E515</f>
        <v>5000000</v>
      </c>
      <c r="G515" s="7954" t="s">
        <v>4995</v>
      </c>
      <c r="H515" s="7955"/>
      <c r="I515" s="7955"/>
      <c r="J515" s="7956"/>
      <c r="K515" s="3052"/>
      <c r="L515" s="3072"/>
    </row>
    <row r="516" spans="1:12" ht="30" customHeight="1" x14ac:dyDescent="0.2">
      <c r="A516" s="7655"/>
      <c r="B516" s="7653"/>
      <c r="C516" s="7724"/>
      <c r="D516" s="7564"/>
      <c r="E516" s="7660"/>
      <c r="F516" s="7564"/>
      <c r="G516" s="7954" t="s">
        <v>4994</v>
      </c>
      <c r="H516" s="7955"/>
      <c r="I516" s="7955"/>
      <c r="J516" s="7956"/>
      <c r="K516" s="3052"/>
      <c r="L516" s="3072"/>
    </row>
    <row r="517" spans="1:12" ht="30" customHeight="1" x14ac:dyDescent="0.2">
      <c r="A517" s="7654"/>
      <c r="B517" s="7652" t="s">
        <v>165</v>
      </c>
      <c r="C517" s="7723" t="s">
        <v>1287</v>
      </c>
      <c r="D517" s="2817">
        <v>210000000</v>
      </c>
      <c r="E517" s="2867">
        <v>0.06</v>
      </c>
      <c r="F517" s="2817">
        <f>D517*E517</f>
        <v>12600000</v>
      </c>
      <c r="G517" s="7563">
        <v>38000000</v>
      </c>
      <c r="H517" s="7561" t="s">
        <v>5154</v>
      </c>
      <c r="I517" s="7561" t="s">
        <v>2996</v>
      </c>
      <c r="J517" s="8180">
        <f>G517</f>
        <v>38000000</v>
      </c>
      <c r="K517" s="7563">
        <f>(F517+F518+F519)-J517-100000</f>
        <v>1000000</v>
      </c>
      <c r="L517" s="2894" t="s">
        <v>2709</v>
      </c>
    </row>
    <row r="518" spans="1:12" ht="30" customHeight="1" x14ac:dyDescent="0.2">
      <c r="A518" s="7656"/>
      <c r="B518" s="7665"/>
      <c r="C518" s="7747"/>
      <c r="D518" s="2817">
        <v>200000000</v>
      </c>
      <c r="E518" s="2867">
        <v>0.06</v>
      </c>
      <c r="F518" s="2817">
        <f>D518*E518</f>
        <v>12000000</v>
      </c>
      <c r="G518" s="7586"/>
      <c r="H518" s="7672"/>
      <c r="I518" s="7672"/>
      <c r="J518" s="7672"/>
      <c r="K518" s="7586"/>
      <c r="L518" s="3275" t="s">
        <v>5090</v>
      </c>
    </row>
    <row r="519" spans="1:12" ht="30" customHeight="1" x14ac:dyDescent="0.2">
      <c r="A519" s="7655"/>
      <c r="B519" s="7653"/>
      <c r="C519" s="7724"/>
      <c r="D519" s="7470" t="s">
        <v>5163</v>
      </c>
      <c r="E519" s="7510"/>
      <c r="F519" s="3260">
        <v>14500000</v>
      </c>
      <c r="G519" s="7564"/>
      <c r="H519" s="7562"/>
      <c r="I519" s="7562"/>
      <c r="J519" s="7562"/>
      <c r="K519" s="7564"/>
      <c r="L519" s="3275" t="s">
        <v>5164</v>
      </c>
    </row>
    <row r="520" spans="1:12" ht="30" customHeight="1" x14ac:dyDescent="0.2">
      <c r="A520" s="7654">
        <v>318</v>
      </c>
      <c r="B520" s="7652" t="s">
        <v>167</v>
      </c>
      <c r="C520" s="7723"/>
      <c r="D520" s="2817">
        <v>80000000</v>
      </c>
      <c r="E520" s="2867">
        <v>0.05</v>
      </c>
      <c r="F520" s="2817">
        <f t="shared" si="53"/>
        <v>4000000</v>
      </c>
      <c r="G520" s="2817">
        <v>4000000</v>
      </c>
      <c r="H520" s="2817" t="s">
        <v>5052</v>
      </c>
      <c r="I520" s="18" t="s">
        <v>1814</v>
      </c>
      <c r="J520" s="2817">
        <f t="shared" si="55"/>
        <v>4000000</v>
      </c>
      <c r="K520" s="2817">
        <f>F520-J520</f>
        <v>0</v>
      </c>
      <c r="L520" s="2870"/>
    </row>
    <row r="521" spans="1:12" ht="30" customHeight="1" x14ac:dyDescent="0.2">
      <c r="A521" s="7655"/>
      <c r="B521" s="7653"/>
      <c r="C521" s="7724"/>
      <c r="D521" s="3281">
        <v>250000000</v>
      </c>
      <c r="E521" s="3294"/>
      <c r="F521" s="3281"/>
      <c r="G521" s="3283"/>
      <c r="H521" s="3283"/>
      <c r="I521" s="3289"/>
      <c r="J521" s="3283"/>
      <c r="K521" s="3283"/>
      <c r="L521" s="3300" t="s">
        <v>5207</v>
      </c>
    </row>
    <row r="522" spans="1:12" ht="30" customHeight="1" x14ac:dyDescent="0.2">
      <c r="A522" s="7654">
        <v>320</v>
      </c>
      <c r="B522" s="7652" t="s">
        <v>169</v>
      </c>
      <c r="C522" s="7723" t="s">
        <v>1300</v>
      </c>
      <c r="D522" s="2817">
        <v>135000000</v>
      </c>
      <c r="E522" s="2867">
        <v>0.06</v>
      </c>
      <c r="F522" s="2817">
        <v>8000000</v>
      </c>
      <c r="G522" s="7563">
        <v>9750000</v>
      </c>
      <c r="H522" s="7563" t="s">
        <v>5015</v>
      </c>
      <c r="I522" s="7561" t="s">
        <v>2078</v>
      </c>
      <c r="J522" s="7563">
        <f t="shared" si="55"/>
        <v>9750000</v>
      </c>
      <c r="K522" s="7563">
        <f>(F522+F523)-J522</f>
        <v>0</v>
      </c>
      <c r="L522" s="2894"/>
    </row>
    <row r="523" spans="1:12" ht="30" customHeight="1" x14ac:dyDescent="0.2">
      <c r="A523" s="7655"/>
      <c r="B523" s="7653"/>
      <c r="C523" s="7724"/>
      <c r="D523" s="2817">
        <v>35000000</v>
      </c>
      <c r="E523" s="2867">
        <v>0.05</v>
      </c>
      <c r="F523" s="2817">
        <f>D523*E523</f>
        <v>1750000</v>
      </c>
      <c r="G523" s="7564"/>
      <c r="H523" s="7564"/>
      <c r="I523" s="7562"/>
      <c r="J523" s="7564"/>
      <c r="K523" s="7564"/>
      <c r="L523" s="1024" t="s">
        <v>3458</v>
      </c>
    </row>
    <row r="524" spans="1:12" ht="30" customHeight="1" x14ac:dyDescent="0.2">
      <c r="A524" s="3279">
        <v>321</v>
      </c>
      <c r="B524" s="19" t="s">
        <v>171</v>
      </c>
      <c r="C524" s="3295" t="s">
        <v>3007</v>
      </c>
      <c r="D524" s="3288">
        <v>5000000</v>
      </c>
      <c r="E524" s="3294">
        <v>0.04</v>
      </c>
      <c r="F524" s="3288">
        <f t="shared" si="53"/>
        <v>200000</v>
      </c>
      <c r="G524" s="3288">
        <v>200000</v>
      </c>
      <c r="H524" s="3288" t="s">
        <v>5174</v>
      </c>
      <c r="I524" s="3293" t="s">
        <v>1097</v>
      </c>
      <c r="J524" s="3288">
        <f t="shared" si="55"/>
        <v>200000</v>
      </c>
      <c r="K524" s="3288">
        <f>F524-J524</f>
        <v>0</v>
      </c>
      <c r="L524" s="2894"/>
    </row>
    <row r="525" spans="1:12" ht="30" customHeight="1" x14ac:dyDescent="0.2">
      <c r="A525" s="2821">
        <v>322</v>
      </c>
      <c r="B525" s="19" t="s">
        <v>1378</v>
      </c>
      <c r="C525" s="2869" t="s">
        <v>1081</v>
      </c>
      <c r="D525" s="2844">
        <v>10000000</v>
      </c>
      <c r="E525" s="2867">
        <v>0.05</v>
      </c>
      <c r="F525" s="2844">
        <f t="shared" si="53"/>
        <v>500000</v>
      </c>
      <c r="G525" s="2844">
        <v>500000</v>
      </c>
      <c r="H525" s="2844" t="s">
        <v>4839</v>
      </c>
      <c r="I525" s="2863" t="s">
        <v>1376</v>
      </c>
      <c r="J525" s="2844">
        <f t="shared" si="55"/>
        <v>500000</v>
      </c>
      <c r="K525" s="2844">
        <f>F525-J525</f>
        <v>0</v>
      </c>
      <c r="L525" s="2894"/>
    </row>
    <row r="526" spans="1:12" ht="30" customHeight="1" x14ac:dyDescent="0.2">
      <c r="A526" s="2872">
        <v>323</v>
      </c>
      <c r="B526" s="2825" t="s">
        <v>172</v>
      </c>
      <c r="C526" s="2843"/>
      <c r="D526" s="2817">
        <v>60000000</v>
      </c>
      <c r="E526" s="2819">
        <v>4.4999999999999998E-2</v>
      </c>
      <c r="F526" s="2817">
        <f t="shared" si="53"/>
        <v>2700000</v>
      </c>
      <c r="G526" s="2817"/>
      <c r="H526" s="2817"/>
      <c r="I526" s="2846"/>
      <c r="J526" s="2817">
        <f>G526</f>
        <v>0</v>
      </c>
      <c r="K526" s="2817">
        <f>F526-J526</f>
        <v>2700000</v>
      </c>
      <c r="L526" s="2870"/>
    </row>
    <row r="527" spans="1:12" ht="30" customHeight="1" x14ac:dyDescent="0.2">
      <c r="A527" s="2872">
        <v>324</v>
      </c>
      <c r="B527" s="2870" t="s">
        <v>173</v>
      </c>
      <c r="C527" s="2843" t="s">
        <v>889</v>
      </c>
      <c r="D527" s="2817">
        <v>20000000</v>
      </c>
      <c r="E527" s="2867">
        <v>0.05</v>
      </c>
      <c r="F527" s="2817">
        <f>D527*E527</f>
        <v>1000000</v>
      </c>
      <c r="G527" s="3136">
        <v>3000000</v>
      </c>
      <c r="H527" s="3136" t="s">
        <v>5052</v>
      </c>
      <c r="I527" s="3143" t="s">
        <v>1740</v>
      </c>
      <c r="J527" s="3136">
        <f>G527</f>
        <v>3000000</v>
      </c>
      <c r="K527" s="3136"/>
      <c r="L527" s="3142" t="s">
        <v>5063</v>
      </c>
    </row>
    <row r="528" spans="1:12" ht="30" customHeight="1" x14ac:dyDescent="0.2">
      <c r="A528" s="7654">
        <v>325</v>
      </c>
      <c r="B528" s="7652" t="s">
        <v>270</v>
      </c>
      <c r="C528" s="7723" t="s">
        <v>262</v>
      </c>
      <c r="D528" s="2817">
        <v>300000000</v>
      </c>
      <c r="E528" s="2867">
        <v>0.1</v>
      </c>
      <c r="F528" s="2817">
        <v>30750000</v>
      </c>
      <c r="G528" s="7563">
        <v>46000000</v>
      </c>
      <c r="H528" s="7563" t="s">
        <v>4936</v>
      </c>
      <c r="I528" s="7561" t="s">
        <v>5049</v>
      </c>
      <c r="J528" s="7563">
        <f>G528</f>
        <v>46000000</v>
      </c>
      <c r="K528" s="7563">
        <f>(F528+F529)-J528</f>
        <v>-5450000</v>
      </c>
      <c r="L528" s="7723"/>
    </row>
    <row r="529" spans="1:12" ht="30" customHeight="1" x14ac:dyDescent="0.2">
      <c r="A529" s="7656"/>
      <c r="B529" s="7665"/>
      <c r="C529" s="7747"/>
      <c r="D529" s="2817">
        <v>140000000</v>
      </c>
      <c r="E529" s="2867">
        <v>7.0000000000000007E-2</v>
      </c>
      <c r="F529" s="2817">
        <v>9800000</v>
      </c>
      <c r="G529" s="7586"/>
      <c r="H529" s="7586"/>
      <c r="I529" s="7672"/>
      <c r="J529" s="7586"/>
      <c r="K529" s="7586"/>
      <c r="L529" s="7747"/>
    </row>
    <row r="530" spans="1:12" ht="30" customHeight="1" x14ac:dyDescent="0.2">
      <c r="A530" s="7656"/>
      <c r="B530" s="7665"/>
      <c r="C530" s="7747"/>
      <c r="D530" s="2817">
        <v>70000000</v>
      </c>
      <c r="E530" s="2867">
        <v>0.06</v>
      </c>
      <c r="F530" s="2817">
        <f>D530*E530</f>
        <v>4200000</v>
      </c>
      <c r="G530" s="7564"/>
      <c r="H530" s="7564"/>
      <c r="I530" s="7562"/>
      <c r="J530" s="7564"/>
      <c r="K530" s="7564"/>
      <c r="L530" s="3142" t="s">
        <v>4506</v>
      </c>
    </row>
    <row r="531" spans="1:12" ht="30" customHeight="1" x14ac:dyDescent="0.2">
      <c r="A531" s="7656"/>
      <c r="B531" s="7665"/>
      <c r="C531" s="7747"/>
      <c r="D531" s="3127">
        <v>100000000</v>
      </c>
      <c r="E531" s="3144">
        <v>0.06</v>
      </c>
      <c r="F531" s="3127">
        <f>D531*E531</f>
        <v>6000000</v>
      </c>
      <c r="G531" s="3136"/>
      <c r="H531" s="3136"/>
      <c r="I531" s="3143"/>
      <c r="J531" s="3127"/>
      <c r="K531" s="3127"/>
      <c r="L531" s="3142" t="s">
        <v>5048</v>
      </c>
    </row>
    <row r="532" spans="1:12" ht="30" customHeight="1" x14ac:dyDescent="0.2">
      <c r="A532" s="7656"/>
      <c r="B532" s="7665"/>
      <c r="C532" s="7747"/>
      <c r="D532" s="3438">
        <f>SUM(D528:D531)</f>
        <v>610000000</v>
      </c>
      <c r="E532" s="435"/>
      <c r="F532" s="3438">
        <v>52000000</v>
      </c>
      <c r="G532" s="3446"/>
      <c r="H532" s="3446"/>
      <c r="I532" s="3453"/>
      <c r="J532" s="3435"/>
      <c r="K532" s="3435"/>
      <c r="L532" s="3452"/>
    </row>
    <row r="533" spans="1:12" ht="30" customHeight="1" x14ac:dyDescent="0.2">
      <c r="A533" s="7656"/>
      <c r="B533" s="7665"/>
      <c r="C533" s="7747"/>
      <c r="D533" s="3628">
        <v>238000000</v>
      </c>
      <c r="E533" s="3640"/>
      <c r="F533" s="3628"/>
      <c r="G533" s="3635"/>
      <c r="H533" s="3635"/>
      <c r="I533" s="3639"/>
      <c r="J533" s="3628"/>
      <c r="K533" s="3628"/>
      <c r="L533" s="3638"/>
    </row>
    <row r="534" spans="1:12" ht="30" customHeight="1" x14ac:dyDescent="0.2">
      <c r="A534" s="7656"/>
      <c r="B534" s="7665"/>
      <c r="C534" s="7747"/>
      <c r="D534" s="3628">
        <v>100000000</v>
      </c>
      <c r="E534" s="3640"/>
      <c r="F534" s="3628"/>
      <c r="G534" s="3635"/>
      <c r="H534" s="3635"/>
      <c r="I534" s="3639"/>
      <c r="J534" s="3628"/>
      <c r="K534" s="3628"/>
      <c r="L534" s="3638" t="s">
        <v>5371</v>
      </c>
    </row>
    <row r="535" spans="1:12" ht="30" customHeight="1" x14ac:dyDescent="0.2">
      <c r="A535" s="7656"/>
      <c r="B535" s="7665"/>
      <c r="C535" s="7747"/>
      <c r="D535" s="3435">
        <v>50000000</v>
      </c>
      <c r="E535" s="3454"/>
      <c r="F535" s="3435"/>
      <c r="G535" s="3136"/>
      <c r="H535" s="3136"/>
      <c r="I535" s="3143"/>
      <c r="J535" s="3127"/>
      <c r="K535" s="3127"/>
      <c r="L535" s="3142" t="s">
        <v>5372</v>
      </c>
    </row>
    <row r="536" spans="1:12" ht="30" customHeight="1" x14ac:dyDescent="0.2">
      <c r="A536" s="7656"/>
      <c r="B536" s="7665"/>
      <c r="C536" s="7747"/>
      <c r="D536" s="3631">
        <v>2000000</v>
      </c>
      <c r="E536" s="3640"/>
      <c r="F536" s="3628"/>
      <c r="G536" s="3635"/>
      <c r="H536" s="3635"/>
      <c r="I536" s="3639"/>
      <c r="J536" s="3628"/>
      <c r="K536" s="3628"/>
      <c r="L536" s="3638" t="s">
        <v>5373</v>
      </c>
    </row>
    <row r="537" spans="1:12" ht="30" customHeight="1" x14ac:dyDescent="0.2">
      <c r="A537" s="7656"/>
      <c r="B537" s="7665"/>
      <c r="C537" s="7747"/>
      <c r="D537" s="3631">
        <f>D532+D533+D534+D535+D536</f>
        <v>1000000000</v>
      </c>
      <c r="E537" s="3640"/>
      <c r="F537" s="3628"/>
      <c r="G537" s="3635"/>
      <c r="H537" s="3635"/>
      <c r="I537" s="3639"/>
      <c r="J537" s="3628"/>
      <c r="K537" s="3628"/>
      <c r="L537" s="3638"/>
    </row>
    <row r="538" spans="1:12" ht="30" customHeight="1" x14ac:dyDescent="0.2">
      <c r="A538" s="7656"/>
      <c r="B538" s="7665"/>
      <c r="C538" s="7747"/>
      <c r="D538" s="7470" t="s">
        <v>5306</v>
      </c>
      <c r="E538" s="7493"/>
      <c r="F538" s="7493"/>
      <c r="G538" s="7493"/>
      <c r="H538" s="7493"/>
      <c r="I538" s="7493"/>
      <c r="J538" s="7510"/>
      <c r="K538" s="3435"/>
      <c r="L538" s="3452"/>
    </row>
    <row r="539" spans="1:12" ht="30" customHeight="1" x14ac:dyDescent="0.2">
      <c r="A539" s="7655"/>
      <c r="B539" s="7653"/>
      <c r="C539" s="7724"/>
      <c r="D539" s="3438">
        <v>1000000000</v>
      </c>
      <c r="E539" s="435">
        <v>0.06</v>
      </c>
      <c r="F539" s="3438">
        <v>61400000</v>
      </c>
      <c r="G539" s="3446"/>
      <c r="H539" s="3446"/>
      <c r="I539" s="3453"/>
      <c r="J539" s="3435"/>
      <c r="K539" s="3435"/>
      <c r="L539" s="3452"/>
    </row>
    <row r="540" spans="1:12" ht="30" customHeight="1" x14ac:dyDescent="0.2">
      <c r="A540" s="3076">
        <v>326</v>
      </c>
      <c r="B540" s="19" t="s">
        <v>176</v>
      </c>
      <c r="C540" s="3086" t="s">
        <v>1300</v>
      </c>
      <c r="D540" s="3083">
        <v>500000000</v>
      </c>
      <c r="E540" s="3084">
        <v>0.05</v>
      </c>
      <c r="F540" s="3083">
        <f>D540*E540</f>
        <v>25000000</v>
      </c>
      <c r="G540" s="233">
        <v>25000000</v>
      </c>
      <c r="H540" s="3172" t="s">
        <v>5015</v>
      </c>
      <c r="I540" s="3173" t="s">
        <v>5099</v>
      </c>
      <c r="J540" s="3172">
        <f>G540</f>
        <v>25000000</v>
      </c>
      <c r="K540" s="3172">
        <f>F540-J540</f>
        <v>0</v>
      </c>
      <c r="L540" s="3082"/>
    </row>
    <row r="541" spans="1:12" ht="30" customHeight="1" x14ac:dyDescent="0.2">
      <c r="A541" s="2872">
        <v>327</v>
      </c>
      <c r="B541" s="2825" t="s">
        <v>1232</v>
      </c>
      <c r="C541" s="2843"/>
      <c r="D541" s="2817">
        <v>60000000</v>
      </c>
      <c r="E541" s="2819">
        <v>0.05</v>
      </c>
      <c r="F541" s="2817">
        <f t="shared" ref="F541:F543" si="56">D541*E541</f>
        <v>3000000</v>
      </c>
      <c r="G541" s="2817"/>
      <c r="H541" s="2817"/>
      <c r="I541" s="21" t="s">
        <v>1231</v>
      </c>
      <c r="J541" s="2817">
        <f>G541</f>
        <v>0</v>
      </c>
      <c r="K541" s="2817">
        <f t="shared" ref="K541:K546" si="57">F541-J541</f>
        <v>3000000</v>
      </c>
      <c r="L541" s="2894"/>
    </row>
    <row r="542" spans="1:12" ht="30" customHeight="1" x14ac:dyDescent="0.2">
      <c r="A542" s="3486">
        <v>328</v>
      </c>
      <c r="B542" s="3530" t="s">
        <v>2675</v>
      </c>
      <c r="C542" s="345" t="s">
        <v>942</v>
      </c>
      <c r="D542" s="3513">
        <v>685000000</v>
      </c>
      <c r="E542" s="3523">
        <v>0.06</v>
      </c>
      <c r="F542" s="3513">
        <v>41700000</v>
      </c>
      <c r="G542" s="3483"/>
      <c r="H542" s="3483"/>
      <c r="I542" s="3582" t="s">
        <v>1434</v>
      </c>
      <c r="J542" s="3483">
        <f>G542</f>
        <v>0</v>
      </c>
      <c r="K542" s="3483">
        <f t="shared" si="57"/>
        <v>41700000</v>
      </c>
      <c r="L542" s="2894"/>
    </row>
    <row r="543" spans="1:12" ht="30" customHeight="1" x14ac:dyDescent="0.2">
      <c r="A543" s="2821">
        <v>329</v>
      </c>
      <c r="B543" s="2865" t="s">
        <v>181</v>
      </c>
      <c r="C543" s="378"/>
      <c r="D543" s="2815"/>
      <c r="E543" s="2519"/>
      <c r="F543" s="2815">
        <f t="shared" si="56"/>
        <v>0</v>
      </c>
      <c r="G543" s="2844"/>
      <c r="H543" s="2844"/>
      <c r="I543" s="2864"/>
      <c r="J543" s="2844"/>
      <c r="K543" s="2815">
        <f t="shared" si="57"/>
        <v>0</v>
      </c>
      <c r="L543" s="2839"/>
    </row>
    <row r="544" spans="1:12" ht="30" customHeight="1" x14ac:dyDescent="0.2">
      <c r="A544" s="3428">
        <v>330</v>
      </c>
      <c r="B544" s="2551" t="s">
        <v>1170</v>
      </c>
      <c r="C544" s="3420" t="s">
        <v>1138</v>
      </c>
      <c r="D544" s="3419">
        <v>30000000</v>
      </c>
      <c r="E544" s="2556">
        <f>F544/D544</f>
        <v>0.05</v>
      </c>
      <c r="F544" s="3419">
        <v>1500000</v>
      </c>
      <c r="G544" s="3419">
        <v>30000000</v>
      </c>
      <c r="H544" s="3419" t="s">
        <v>5226</v>
      </c>
      <c r="I544" s="287" t="s">
        <v>5287</v>
      </c>
      <c r="J544" s="3419">
        <f>G544</f>
        <v>30000000</v>
      </c>
      <c r="K544" s="3419">
        <f t="shared" si="57"/>
        <v>-28500000</v>
      </c>
      <c r="L544" s="2551"/>
    </row>
    <row r="545" spans="1:12" ht="30" customHeight="1" x14ac:dyDescent="0.2">
      <c r="A545" s="2883">
        <v>331</v>
      </c>
      <c r="B545" s="2870" t="s">
        <v>339</v>
      </c>
      <c r="C545" s="2869" t="s">
        <v>371</v>
      </c>
      <c r="D545" s="2844">
        <v>290000000</v>
      </c>
      <c r="E545" s="2867">
        <v>0.06</v>
      </c>
      <c r="F545" s="2844">
        <f t="shared" ref="F545:F550" si="58">D545*E545</f>
        <v>17400000</v>
      </c>
      <c r="G545" s="2844">
        <v>17400000</v>
      </c>
      <c r="H545" s="2844" t="s">
        <v>5083</v>
      </c>
      <c r="I545" s="2844" t="s">
        <v>1840</v>
      </c>
      <c r="J545" s="2844">
        <f>G545</f>
        <v>17400000</v>
      </c>
      <c r="K545" s="2844">
        <f t="shared" si="57"/>
        <v>0</v>
      </c>
      <c r="L545" s="2894"/>
    </row>
    <row r="546" spans="1:12" ht="30" customHeight="1" x14ac:dyDescent="0.2">
      <c r="A546" s="8132">
        <v>332</v>
      </c>
      <c r="B546" s="8132" t="s">
        <v>370</v>
      </c>
      <c r="C546" s="8134" t="s">
        <v>371</v>
      </c>
      <c r="D546" s="3351">
        <v>30000000</v>
      </c>
      <c r="E546" s="2556">
        <v>0.05</v>
      </c>
      <c r="F546" s="3351">
        <f t="shared" si="58"/>
        <v>1500000</v>
      </c>
      <c r="G546" s="3351">
        <v>1500000</v>
      </c>
      <c r="H546" s="3351" t="s">
        <v>5083</v>
      </c>
      <c r="I546" s="287" t="s">
        <v>3575</v>
      </c>
      <c r="J546" s="3354">
        <f>G546</f>
        <v>1500000</v>
      </c>
      <c r="K546" s="3354">
        <f t="shared" si="57"/>
        <v>0</v>
      </c>
      <c r="L546" s="3353" t="s">
        <v>5118</v>
      </c>
    </row>
    <row r="547" spans="1:12" ht="30" customHeight="1" x14ac:dyDescent="0.2">
      <c r="A547" s="8133"/>
      <c r="B547" s="8133"/>
      <c r="C547" s="8135"/>
      <c r="D547" s="8139" t="s">
        <v>2045</v>
      </c>
      <c r="E547" s="8140"/>
      <c r="F547" s="8141"/>
      <c r="G547" s="3354">
        <v>30000000</v>
      </c>
      <c r="H547" s="3354" t="s">
        <v>5211</v>
      </c>
      <c r="I547" s="3357" t="s">
        <v>1220</v>
      </c>
      <c r="J547" s="2548">
        <f>G547</f>
        <v>30000000</v>
      </c>
      <c r="K547" s="2548"/>
      <c r="L547" s="3353"/>
    </row>
    <row r="548" spans="1:12" ht="30" customHeight="1" x14ac:dyDescent="0.2">
      <c r="A548" s="7654">
        <v>333</v>
      </c>
      <c r="B548" s="7652" t="s">
        <v>888</v>
      </c>
      <c r="C548" s="7723" t="s">
        <v>889</v>
      </c>
      <c r="D548" s="2817">
        <v>320000000</v>
      </c>
      <c r="E548" s="2867">
        <v>0.05</v>
      </c>
      <c r="F548" s="2817">
        <f t="shared" si="58"/>
        <v>16000000</v>
      </c>
      <c r="G548" s="7563">
        <v>21000000</v>
      </c>
      <c r="H548" s="7563" t="s">
        <v>4860</v>
      </c>
      <c r="I548" s="7561" t="s">
        <v>1323</v>
      </c>
      <c r="J548" s="7482">
        <f>G548</f>
        <v>21000000</v>
      </c>
      <c r="K548" s="7482">
        <f>(F548+F549)-J548</f>
        <v>0</v>
      </c>
      <c r="L548" s="7818"/>
    </row>
    <row r="549" spans="1:12" ht="30" customHeight="1" x14ac:dyDescent="0.2">
      <c r="A549" s="7655"/>
      <c r="B549" s="7653"/>
      <c r="C549" s="7724"/>
      <c r="D549" s="2817">
        <v>100000000</v>
      </c>
      <c r="E549" s="2867">
        <v>0.05</v>
      </c>
      <c r="F549" s="2817">
        <f t="shared" si="58"/>
        <v>5000000</v>
      </c>
      <c r="G549" s="7564"/>
      <c r="H549" s="7564"/>
      <c r="I549" s="7562"/>
      <c r="J549" s="7482"/>
      <c r="K549" s="7482"/>
      <c r="L549" s="7819"/>
    </row>
    <row r="550" spans="1:12" ht="30" customHeight="1" x14ac:dyDescent="0.2">
      <c r="A550" s="2821">
        <v>335</v>
      </c>
      <c r="B550" s="19" t="s">
        <v>1276</v>
      </c>
      <c r="C550" s="2869" t="s">
        <v>889</v>
      </c>
      <c r="D550" s="2817">
        <v>15000000</v>
      </c>
      <c r="E550" s="2867">
        <v>0.05</v>
      </c>
      <c r="F550" s="2817">
        <f t="shared" si="58"/>
        <v>750000</v>
      </c>
      <c r="G550" s="2817">
        <v>750000</v>
      </c>
      <c r="H550" s="2817" t="s">
        <v>5083</v>
      </c>
      <c r="I550" s="21" t="s">
        <v>2747</v>
      </c>
      <c r="J550" s="2817">
        <f>G550</f>
        <v>750000</v>
      </c>
      <c r="K550" s="2817">
        <f>F550-J550</f>
        <v>0</v>
      </c>
      <c r="L550" s="2894"/>
    </row>
    <row r="551" spans="1:12" ht="30" customHeight="1" x14ac:dyDescent="0.2">
      <c r="A551" s="2872">
        <v>336</v>
      </c>
      <c r="B551" s="2825" t="s">
        <v>2576</v>
      </c>
      <c r="C551" s="2843" t="s">
        <v>889</v>
      </c>
      <c r="D551" s="2817">
        <v>210000000</v>
      </c>
      <c r="E551" s="2867">
        <v>0.05</v>
      </c>
      <c r="F551" s="2817">
        <f>D551*E551</f>
        <v>10500000</v>
      </c>
      <c r="G551" s="2817">
        <v>10500000</v>
      </c>
      <c r="H551" s="2817" t="s">
        <v>4839</v>
      </c>
      <c r="I551" s="21" t="s">
        <v>3408</v>
      </c>
      <c r="J551" s="2817">
        <f>G551</f>
        <v>10500000</v>
      </c>
      <c r="K551" s="2817">
        <f>F551-J551</f>
        <v>0</v>
      </c>
      <c r="L551" s="2870"/>
    </row>
    <row r="552" spans="1:12" ht="30" customHeight="1" x14ac:dyDescent="0.2">
      <c r="A552" s="7654">
        <v>337</v>
      </c>
      <c r="B552" s="7652" t="s">
        <v>1304</v>
      </c>
      <c r="C552" s="7723" t="s">
        <v>889</v>
      </c>
      <c r="D552" s="2817">
        <v>80000000</v>
      </c>
      <c r="E552" s="2867">
        <v>7.0000000000000007E-2</v>
      </c>
      <c r="F552" s="2817">
        <f t="shared" ref="F552:F578" si="59">D552*E552</f>
        <v>5600000.0000000009</v>
      </c>
      <c r="G552" s="8105" t="s">
        <v>4838</v>
      </c>
      <c r="H552" s="8106"/>
      <c r="I552" s="8107"/>
      <c r="J552" s="7563"/>
      <c r="K552" s="7563"/>
      <c r="L552" s="2870"/>
    </row>
    <row r="553" spans="1:12" ht="30" customHeight="1" x14ac:dyDescent="0.2">
      <c r="A553" s="7656"/>
      <c r="B553" s="7665"/>
      <c r="C553" s="7747"/>
      <c r="D553" s="2817">
        <v>200000000</v>
      </c>
      <c r="E553" s="2867">
        <v>0.06</v>
      </c>
      <c r="F553" s="2817">
        <f t="shared" si="59"/>
        <v>12000000</v>
      </c>
      <c r="G553" s="8111"/>
      <c r="H553" s="8112"/>
      <c r="I553" s="8113"/>
      <c r="J553" s="7564"/>
      <c r="K553" s="7564"/>
      <c r="L553" s="2825"/>
    </row>
    <row r="554" spans="1:12" ht="30" customHeight="1" x14ac:dyDescent="0.2">
      <c r="A554" s="7655"/>
      <c r="B554" s="7653"/>
      <c r="C554" s="7724"/>
      <c r="D554" s="3473">
        <v>380000000</v>
      </c>
      <c r="E554" s="896">
        <v>7.0000000000000007E-2</v>
      </c>
      <c r="F554" s="3473">
        <f t="shared" si="59"/>
        <v>26600000.000000004</v>
      </c>
      <c r="G554" s="1661"/>
      <c r="H554" s="1661"/>
      <c r="I554" s="1661"/>
      <c r="J554" s="3468"/>
      <c r="K554" s="3468"/>
      <c r="L554" s="3471" t="s">
        <v>5337</v>
      </c>
    </row>
    <row r="555" spans="1:12" ht="30" customHeight="1" x14ac:dyDescent="0.2">
      <c r="A555" s="7654"/>
      <c r="B555" s="7652" t="s">
        <v>1677</v>
      </c>
      <c r="C555" s="7723" t="s">
        <v>889</v>
      </c>
      <c r="D555" s="3251">
        <v>235500000</v>
      </c>
      <c r="E555" s="2867">
        <v>0.05</v>
      </c>
      <c r="F555" s="2817">
        <f t="shared" si="59"/>
        <v>11775000</v>
      </c>
      <c r="G555" s="2811"/>
      <c r="H555" s="2813"/>
      <c r="I555" s="2813"/>
      <c r="J555" s="2813"/>
      <c r="K555" s="1604"/>
      <c r="L555" s="3471" t="s">
        <v>5300</v>
      </c>
    </row>
    <row r="556" spans="1:12" ht="30" customHeight="1" x14ac:dyDescent="0.2">
      <c r="A556" s="7656"/>
      <c r="B556" s="7665"/>
      <c r="C556" s="7747"/>
      <c r="D556" s="3247">
        <v>300000000</v>
      </c>
      <c r="E556" s="3249">
        <v>7.0000000000000007E-2</v>
      </c>
      <c r="F556" s="3247">
        <f t="shared" si="59"/>
        <v>21000000.000000004</v>
      </c>
      <c r="G556" s="7732" t="s">
        <v>5290</v>
      </c>
      <c r="H556" s="7733"/>
      <c r="I556" s="7733"/>
      <c r="J556" s="7733"/>
      <c r="K556" s="7734"/>
      <c r="L556" s="2850"/>
    </row>
    <row r="557" spans="1:12" ht="30" customHeight="1" x14ac:dyDescent="0.2">
      <c r="A557" s="7656"/>
      <c r="B557" s="7665"/>
      <c r="C557" s="7747"/>
      <c r="D557" s="3247">
        <v>30000000</v>
      </c>
      <c r="E557" s="3249">
        <v>7.0000000000000007E-2</v>
      </c>
      <c r="F557" s="3247">
        <f t="shared" si="59"/>
        <v>2100000</v>
      </c>
      <c r="G557" s="7732" t="s">
        <v>5299</v>
      </c>
      <c r="H557" s="7733"/>
      <c r="I557" s="7733"/>
      <c r="J557" s="7733"/>
      <c r="K557" s="7734"/>
      <c r="L557" s="2850"/>
    </row>
    <row r="558" spans="1:12" ht="30" customHeight="1" x14ac:dyDescent="0.2">
      <c r="A558" s="7656"/>
      <c r="B558" s="7665"/>
      <c r="C558" s="7747"/>
      <c r="D558" s="3248">
        <v>20000000</v>
      </c>
      <c r="E558" s="3250">
        <v>7.0000000000000007E-2</v>
      </c>
      <c r="F558" s="3248">
        <f>D558*E558</f>
        <v>1400000.0000000002</v>
      </c>
      <c r="G558" s="7732" t="s">
        <v>5296</v>
      </c>
      <c r="H558" s="7733"/>
      <c r="I558" s="7733"/>
      <c r="J558" s="7733"/>
      <c r="K558" s="7734"/>
      <c r="L558" s="2850"/>
    </row>
    <row r="559" spans="1:12" ht="30" customHeight="1" x14ac:dyDescent="0.2">
      <c r="A559" s="7656"/>
      <c r="B559" s="7665"/>
      <c r="C559" s="7747"/>
      <c r="D559" s="3248">
        <v>12000000</v>
      </c>
      <c r="E559" s="3250">
        <v>7.0000000000000007E-2</v>
      </c>
      <c r="F559" s="3248">
        <f>D559*E559</f>
        <v>840000.00000000012</v>
      </c>
      <c r="G559" s="7732" t="s">
        <v>5291</v>
      </c>
      <c r="H559" s="7733"/>
      <c r="I559" s="7733"/>
      <c r="J559" s="7733"/>
      <c r="K559" s="7734"/>
      <c r="L559" s="2850"/>
    </row>
    <row r="560" spans="1:12" ht="30" customHeight="1" x14ac:dyDescent="0.2">
      <c r="A560" s="7656"/>
      <c r="B560" s="7665"/>
      <c r="C560" s="7747"/>
      <c r="D560" s="3248">
        <f>SUM(D556:D559)</f>
        <v>362000000</v>
      </c>
      <c r="E560" s="3250">
        <v>7.0000000000000007E-2</v>
      </c>
      <c r="F560" s="3248">
        <f>D560*E560</f>
        <v>25340000.000000004</v>
      </c>
      <c r="G560" s="2811"/>
      <c r="H560" s="2813"/>
      <c r="I560" s="2813"/>
      <c r="J560" s="2813"/>
      <c r="K560" s="1604"/>
      <c r="L560" s="2850"/>
    </row>
    <row r="561" spans="1:12" ht="30" customHeight="1" x14ac:dyDescent="0.2">
      <c r="A561" s="7656"/>
      <c r="B561" s="7665"/>
      <c r="C561" s="7747"/>
      <c r="D561" s="8015">
        <f>D555+D560</f>
        <v>597500000</v>
      </c>
      <c r="E561" s="8016"/>
      <c r="F561" s="3248">
        <f>F555+F560</f>
        <v>37115000</v>
      </c>
      <c r="G561" s="2811"/>
      <c r="H561" s="2813"/>
      <c r="I561" s="2813"/>
      <c r="J561" s="2813"/>
      <c r="K561" s="1604"/>
      <c r="L561" s="2850"/>
    </row>
    <row r="562" spans="1:12" ht="30" customHeight="1" x14ac:dyDescent="0.2">
      <c r="A562" s="7656"/>
      <c r="B562" s="7665"/>
      <c r="C562" s="7747"/>
      <c r="D562" s="3235">
        <v>45000000</v>
      </c>
      <c r="E562" s="3224">
        <v>7.0000000000000007E-2</v>
      </c>
      <c r="F562" s="3235">
        <f>D562*E562</f>
        <v>3150000.0000000005</v>
      </c>
      <c r="G562" s="7732" t="s">
        <v>5292</v>
      </c>
      <c r="H562" s="7733"/>
      <c r="I562" s="7733"/>
      <c r="J562" s="7733"/>
      <c r="K562" s="7734"/>
      <c r="L562" s="2850"/>
    </row>
    <row r="563" spans="1:12" ht="30" customHeight="1" x14ac:dyDescent="0.2">
      <c r="A563" s="7656"/>
      <c r="B563" s="7665"/>
      <c r="C563" s="7747"/>
      <c r="D563" s="3235">
        <v>100000000</v>
      </c>
      <c r="E563" s="3224">
        <v>7.0000000000000007E-2</v>
      </c>
      <c r="F563" s="3235">
        <f>D563*E563</f>
        <v>7000000.0000000009</v>
      </c>
      <c r="G563" s="7732" t="s">
        <v>5293</v>
      </c>
      <c r="H563" s="7733"/>
      <c r="I563" s="7733"/>
      <c r="J563" s="7733"/>
      <c r="K563" s="7734"/>
      <c r="L563" s="2850"/>
    </row>
    <row r="564" spans="1:12" ht="30" customHeight="1" x14ac:dyDescent="0.2">
      <c r="A564" s="7656"/>
      <c r="B564" s="7665"/>
      <c r="C564" s="7747"/>
      <c r="D564" s="3235">
        <v>80000000</v>
      </c>
      <c r="E564" s="3224">
        <v>7.0000000000000007E-2</v>
      </c>
      <c r="F564" s="3235">
        <f t="shared" ref="F564:F565" si="60">D564*E564</f>
        <v>5600000.0000000009</v>
      </c>
      <c r="G564" s="7732" t="s">
        <v>5294</v>
      </c>
      <c r="H564" s="7733"/>
      <c r="I564" s="7733"/>
      <c r="J564" s="7733"/>
      <c r="K564" s="7734"/>
      <c r="L564" s="2850"/>
    </row>
    <row r="565" spans="1:12" ht="30" customHeight="1" x14ac:dyDescent="0.2">
      <c r="A565" s="7656"/>
      <c r="B565" s="7665"/>
      <c r="C565" s="7747"/>
      <c r="D565" s="3235">
        <v>55000000</v>
      </c>
      <c r="E565" s="3224">
        <v>7.0000000000000007E-2</v>
      </c>
      <c r="F565" s="3235">
        <f t="shared" si="60"/>
        <v>3850000.0000000005</v>
      </c>
      <c r="G565" s="7732" t="s">
        <v>5295</v>
      </c>
      <c r="H565" s="7733"/>
      <c r="I565" s="7733"/>
      <c r="J565" s="7733"/>
      <c r="K565" s="7734"/>
      <c r="L565" s="2850"/>
    </row>
    <row r="566" spans="1:12" ht="30" customHeight="1" x14ac:dyDescent="0.2">
      <c r="A566" s="7656"/>
      <c r="B566" s="7665"/>
      <c r="C566" s="7747"/>
      <c r="D566" s="7858">
        <f>D561+D562+D563+D564+D565</f>
        <v>877500000</v>
      </c>
      <c r="E566" s="7860"/>
      <c r="F566" s="3235">
        <f>F561+F562+F563+F564+F565</f>
        <v>56715000</v>
      </c>
      <c r="G566" s="7806" t="s">
        <v>3673</v>
      </c>
      <c r="H566" s="7807"/>
      <c r="I566" s="7807"/>
      <c r="J566" s="7807"/>
      <c r="K566" s="7808"/>
      <c r="L566" s="2850"/>
    </row>
    <row r="567" spans="1:12" ht="30" customHeight="1" x14ac:dyDescent="0.2">
      <c r="A567" s="7656"/>
      <c r="B567" s="7665"/>
      <c r="C567" s="7747"/>
      <c r="D567" s="1855">
        <v>150000000</v>
      </c>
      <c r="E567" s="2895">
        <v>7.0000000000000007E-2</v>
      </c>
      <c r="F567" s="1855">
        <f>D567*E567</f>
        <v>10500000.000000002</v>
      </c>
      <c r="G567" s="7732" t="s">
        <v>5298</v>
      </c>
      <c r="H567" s="7733"/>
      <c r="I567" s="7733"/>
      <c r="J567" s="7733"/>
      <c r="K567" s="7734"/>
      <c r="L567" s="2850"/>
    </row>
    <row r="568" spans="1:12" ht="30" customHeight="1" x14ac:dyDescent="0.2">
      <c r="A568" s="7656"/>
      <c r="B568" s="7665"/>
      <c r="C568" s="7747"/>
      <c r="D568" s="1855">
        <v>100000000</v>
      </c>
      <c r="E568" s="2895">
        <v>7.0000000000000007E-2</v>
      </c>
      <c r="F568" s="1855">
        <f>D568*E568</f>
        <v>7000000.0000000009</v>
      </c>
      <c r="G568" s="7732" t="s">
        <v>5297</v>
      </c>
      <c r="H568" s="7733"/>
      <c r="I568" s="7733"/>
      <c r="J568" s="7733"/>
      <c r="K568" s="7734"/>
      <c r="L568" s="2850"/>
    </row>
    <row r="569" spans="1:12" ht="30" customHeight="1" x14ac:dyDescent="0.2">
      <c r="A569" s="7656"/>
      <c r="B569" s="7665"/>
      <c r="C569" s="7747"/>
      <c r="D569" s="8004">
        <f>D566+D567+D568</f>
        <v>1127500000</v>
      </c>
      <c r="E569" s="8005"/>
      <c r="F569" s="1855">
        <f>F566+F567+F568</f>
        <v>74215000</v>
      </c>
      <c r="G569" s="8085" t="s">
        <v>3882</v>
      </c>
      <c r="H569" s="8086"/>
      <c r="I569" s="8086"/>
      <c r="J569" s="8086"/>
      <c r="K569" s="8087"/>
      <c r="L569" s="2850"/>
    </row>
    <row r="570" spans="1:12" ht="30" customHeight="1" x14ac:dyDescent="0.2">
      <c r="A570" s="7656"/>
      <c r="B570" s="7665"/>
      <c r="C570" s="7747"/>
      <c r="D570" s="3229">
        <v>70000000</v>
      </c>
      <c r="E570" s="3245">
        <v>7.0000000000000007E-2</v>
      </c>
      <c r="F570" s="3229">
        <f>D570*E570</f>
        <v>4900000.0000000009</v>
      </c>
      <c r="G570" s="2844">
        <v>4215000</v>
      </c>
      <c r="H570" s="2844" t="s">
        <v>1193</v>
      </c>
      <c r="I570" s="2844" t="s">
        <v>1720</v>
      </c>
      <c r="J570" s="2844">
        <f>G570</f>
        <v>4215000</v>
      </c>
      <c r="K570" s="2844">
        <v>0</v>
      </c>
      <c r="L570" s="2850" t="s">
        <v>4378</v>
      </c>
    </row>
    <row r="571" spans="1:12" ht="30" customHeight="1" x14ac:dyDescent="0.2">
      <c r="A571" s="7656"/>
      <c r="B571" s="7665"/>
      <c r="C571" s="7747"/>
      <c r="D571" s="7883">
        <f>D569+D570</f>
        <v>1197500000</v>
      </c>
      <c r="E571" s="7884"/>
      <c r="F571" s="3229">
        <f>F569+F570</f>
        <v>79115000</v>
      </c>
      <c r="G571" s="8255" t="s">
        <v>4366</v>
      </c>
      <c r="H571" s="8256"/>
      <c r="I571" s="8256"/>
      <c r="J571" s="8256"/>
      <c r="K571" s="8257"/>
      <c r="L571" s="2850"/>
    </row>
    <row r="572" spans="1:12" ht="30" customHeight="1" x14ac:dyDescent="0.2">
      <c r="A572" s="7656"/>
      <c r="B572" s="7665"/>
      <c r="C572" s="7747"/>
      <c r="D572" s="3239">
        <v>79115000</v>
      </c>
      <c r="E572" s="3246">
        <v>7.0000000000000007E-2</v>
      </c>
      <c r="F572" s="3239">
        <f>D572*E572</f>
        <v>5538050.0000000009</v>
      </c>
      <c r="G572" s="7732" t="s">
        <v>4974</v>
      </c>
      <c r="H572" s="7733"/>
      <c r="I572" s="7733"/>
      <c r="J572" s="7733"/>
      <c r="K572" s="7734"/>
      <c r="L572" s="2850"/>
    </row>
    <row r="573" spans="1:12" ht="30" customHeight="1" x14ac:dyDescent="0.2">
      <c r="A573" s="7656"/>
      <c r="B573" s="7665"/>
      <c r="C573" s="7747"/>
      <c r="D573" s="3239">
        <v>100000000</v>
      </c>
      <c r="E573" s="3246">
        <v>7.0000000000000007E-2</v>
      </c>
      <c r="F573" s="3239">
        <f>D573*E573</f>
        <v>7000000.0000000009</v>
      </c>
      <c r="G573" s="7732" t="s">
        <v>4973</v>
      </c>
      <c r="H573" s="7733"/>
      <c r="I573" s="7733"/>
      <c r="J573" s="7733"/>
      <c r="K573" s="7734"/>
      <c r="L573" s="3064"/>
    </row>
    <row r="574" spans="1:12" ht="30" customHeight="1" x14ac:dyDescent="0.2">
      <c r="A574" s="7656"/>
      <c r="B574" s="7665"/>
      <c r="C574" s="7747"/>
      <c r="D574" s="3239">
        <f>71051000-166000</f>
        <v>70885000</v>
      </c>
      <c r="E574" s="3246">
        <v>7.0000000000000007E-2</v>
      </c>
      <c r="F574" s="3239">
        <f>D574*E574</f>
        <v>4961950.0000000009</v>
      </c>
      <c r="G574" s="8099" t="s">
        <v>5165</v>
      </c>
      <c r="H574" s="8100"/>
      <c r="I574" s="8100"/>
      <c r="J574" s="8100"/>
      <c r="K574" s="8101"/>
      <c r="L574" s="3064"/>
    </row>
    <row r="575" spans="1:12" ht="30" customHeight="1" x14ac:dyDescent="0.2">
      <c r="A575" s="7656"/>
      <c r="B575" s="7665"/>
      <c r="C575" s="7747"/>
      <c r="D575" s="3239">
        <v>100000000</v>
      </c>
      <c r="E575" s="3240">
        <v>7.0000000000000007E-2</v>
      </c>
      <c r="F575" s="3239">
        <f>D575*E575</f>
        <v>7000000.0000000009</v>
      </c>
      <c r="G575" s="7732" t="s">
        <v>5018</v>
      </c>
      <c r="H575" s="7733"/>
      <c r="I575" s="7733"/>
      <c r="J575" s="7733"/>
      <c r="K575" s="7734"/>
      <c r="L575" s="3114"/>
    </row>
    <row r="576" spans="1:12" ht="30" customHeight="1" x14ac:dyDescent="0.2">
      <c r="A576" s="7656"/>
      <c r="B576" s="7665"/>
      <c r="C576" s="7747"/>
      <c r="D576" s="8250">
        <f>D571+D572+D573+D574+D575</f>
        <v>1547500000</v>
      </c>
      <c r="E576" s="8251"/>
      <c r="F576" s="3239">
        <f>F571+F572+F573+F574+F575</f>
        <v>103615000</v>
      </c>
      <c r="G576" s="8258" t="s">
        <v>4975</v>
      </c>
      <c r="H576" s="8259"/>
      <c r="I576" s="8259"/>
      <c r="J576" s="8259"/>
      <c r="K576" s="8260"/>
      <c r="L576" s="7798" t="s">
        <v>4976</v>
      </c>
    </row>
    <row r="577" spans="1:17" ht="30" customHeight="1" x14ac:dyDescent="0.2">
      <c r="A577" s="7655"/>
      <c r="B577" s="7653"/>
      <c r="C577" s="7724"/>
      <c r="D577" s="8248">
        <f>D576+70000000</f>
        <v>1617500000</v>
      </c>
      <c r="E577" s="8249"/>
      <c r="F577" s="3218"/>
      <c r="G577" s="233"/>
      <c r="H577" s="233"/>
      <c r="I577" s="233"/>
      <c r="J577" s="233"/>
      <c r="K577" s="233"/>
      <c r="L577" s="7800"/>
    </row>
    <row r="578" spans="1:17" ht="30" customHeight="1" x14ac:dyDescent="0.2">
      <c r="A578" s="2884">
        <v>339</v>
      </c>
      <c r="B578" s="2866" t="s">
        <v>170</v>
      </c>
      <c r="C578" s="2843" t="s">
        <v>1306</v>
      </c>
      <c r="D578" s="2844">
        <v>200000000</v>
      </c>
      <c r="E578" s="2867">
        <v>7.0000000000000007E-2</v>
      </c>
      <c r="F578" s="2844">
        <f t="shared" si="59"/>
        <v>14000000.000000002</v>
      </c>
      <c r="G578" s="233"/>
      <c r="H578" s="233"/>
      <c r="I578" s="1388"/>
      <c r="J578" s="233"/>
      <c r="K578" s="387"/>
      <c r="L578" s="2875"/>
      <c r="M578" s="386"/>
      <c r="N578" s="386"/>
      <c r="O578" s="386"/>
      <c r="P578" s="386"/>
      <c r="Q578" s="386"/>
    </row>
    <row r="579" spans="1:17" ht="30" customHeight="1" x14ac:dyDescent="0.2">
      <c r="A579" s="1028"/>
      <c r="B579" s="19" t="s">
        <v>67</v>
      </c>
      <c r="C579" s="378" t="s">
        <v>1138</v>
      </c>
      <c r="D579" s="2931">
        <v>111000000</v>
      </c>
      <c r="E579" s="2941">
        <v>0.05</v>
      </c>
      <c r="F579" s="2931">
        <f>D579*E579</f>
        <v>5550000</v>
      </c>
      <c r="G579" s="3399">
        <v>5527000</v>
      </c>
      <c r="H579" s="3399" t="s">
        <v>5226</v>
      </c>
      <c r="I579" s="3399" t="s">
        <v>5288</v>
      </c>
      <c r="J579" s="3399">
        <f>G579</f>
        <v>5527000</v>
      </c>
      <c r="K579" s="2855"/>
      <c r="L579" s="7732" t="s">
        <v>3316</v>
      </c>
      <c r="M579" s="7733"/>
      <c r="N579" s="7733"/>
      <c r="O579" s="7734"/>
      <c r="P579" s="386"/>
      <c r="Q579" s="386"/>
    </row>
    <row r="580" spans="1:17" ht="30" customHeight="1" x14ac:dyDescent="0.2">
      <c r="A580" s="7654">
        <v>341</v>
      </c>
      <c r="B580" s="7652" t="s">
        <v>1357</v>
      </c>
      <c r="C580" s="7723"/>
      <c r="D580" s="7563">
        <v>150000000</v>
      </c>
      <c r="E580" s="7659">
        <f>F580/D580</f>
        <v>4.6666666666666669E-2</v>
      </c>
      <c r="F580" s="7563">
        <v>7000000</v>
      </c>
      <c r="G580" s="2817">
        <v>700000</v>
      </c>
      <c r="H580" s="2817" t="s">
        <v>4839</v>
      </c>
      <c r="I580" s="2837" t="s">
        <v>4842</v>
      </c>
      <c r="J580" s="7563">
        <f>G580+G581</f>
        <v>7000000</v>
      </c>
      <c r="K580" s="7816">
        <f>F580-J580</f>
        <v>0</v>
      </c>
      <c r="L580" s="2875"/>
      <c r="M580" s="386"/>
      <c r="N580" s="386"/>
      <c r="O580" s="386"/>
      <c r="P580" s="386"/>
      <c r="Q580" s="386"/>
    </row>
    <row r="581" spans="1:17" ht="30" customHeight="1" x14ac:dyDescent="0.2">
      <c r="A581" s="7655"/>
      <c r="B581" s="7653"/>
      <c r="C581" s="7724"/>
      <c r="D581" s="7564"/>
      <c r="E581" s="7660"/>
      <c r="F581" s="7564"/>
      <c r="G581" s="2955">
        <v>6300000</v>
      </c>
      <c r="H581" s="2955" t="s">
        <v>4846</v>
      </c>
      <c r="I581" s="2956" t="s">
        <v>4842</v>
      </c>
      <c r="J581" s="7564"/>
      <c r="K581" s="7817"/>
      <c r="L581" s="2957"/>
      <c r="M581" s="386"/>
      <c r="N581" s="386"/>
      <c r="O581" s="386"/>
      <c r="P581" s="386"/>
      <c r="Q581" s="386"/>
    </row>
    <row r="582" spans="1:17" ht="30" customHeight="1" x14ac:dyDescent="0.2">
      <c r="A582" s="2821">
        <v>342</v>
      </c>
      <c r="B582" s="2865" t="s">
        <v>71</v>
      </c>
      <c r="C582" s="345" t="s">
        <v>2363</v>
      </c>
      <c r="D582" s="2817">
        <v>70000000</v>
      </c>
      <c r="E582" s="2867">
        <v>0.05</v>
      </c>
      <c r="F582" s="2817">
        <f>D582*E582</f>
        <v>3500000</v>
      </c>
      <c r="G582" s="2817">
        <v>5000000</v>
      </c>
      <c r="H582" s="2817" t="s">
        <v>4875</v>
      </c>
      <c r="I582" s="2837" t="s">
        <v>4108</v>
      </c>
      <c r="J582" s="2817">
        <f t="shared" ref="J582:J588" si="61">G582</f>
        <v>5000000</v>
      </c>
      <c r="K582" s="2855">
        <f>F582-J582</f>
        <v>-1500000</v>
      </c>
      <c r="L582" s="2875" t="s">
        <v>5255</v>
      </c>
      <c r="M582" s="386"/>
      <c r="N582" s="386"/>
      <c r="O582" s="386"/>
      <c r="P582" s="386"/>
      <c r="Q582" s="386"/>
    </row>
    <row r="583" spans="1:17" ht="30" customHeight="1" x14ac:dyDescent="0.2">
      <c r="A583" s="1028">
        <v>343</v>
      </c>
      <c r="B583" s="19" t="s">
        <v>1365</v>
      </c>
      <c r="C583" s="2869" t="s">
        <v>1796</v>
      </c>
      <c r="D583" s="2844">
        <v>8000000</v>
      </c>
      <c r="E583" s="2867">
        <v>0.04</v>
      </c>
      <c r="F583" s="2844">
        <f>D583*E583</f>
        <v>320000</v>
      </c>
      <c r="G583" s="2844">
        <v>320000</v>
      </c>
      <c r="H583" s="2844" t="s">
        <v>5226</v>
      </c>
      <c r="I583" s="2844" t="s">
        <v>1366</v>
      </c>
      <c r="J583" s="2844">
        <f t="shared" si="61"/>
        <v>320000</v>
      </c>
      <c r="K583" s="2812">
        <f>F583-J583</f>
        <v>0</v>
      </c>
      <c r="L583" s="2854"/>
      <c r="M583" s="386"/>
      <c r="N583" s="386"/>
      <c r="O583" s="386"/>
      <c r="P583" s="386"/>
      <c r="Q583" s="386"/>
    </row>
    <row r="584" spans="1:17" ht="30" customHeight="1" x14ac:dyDescent="0.2">
      <c r="A584" s="2822">
        <v>344</v>
      </c>
      <c r="B584" s="2825" t="s">
        <v>1373</v>
      </c>
      <c r="C584" s="2843"/>
      <c r="D584" s="2834"/>
      <c r="E584" s="2835"/>
      <c r="F584" s="2834"/>
      <c r="G584" s="2817">
        <v>6500000</v>
      </c>
      <c r="H584" s="2817" t="s">
        <v>4891</v>
      </c>
      <c r="I584" s="2837" t="s">
        <v>4369</v>
      </c>
      <c r="J584" s="2817">
        <f t="shared" si="61"/>
        <v>6500000</v>
      </c>
      <c r="K584" s="2861">
        <f>F584-J584</f>
        <v>-6500000</v>
      </c>
      <c r="L584" s="2875"/>
      <c r="M584" s="386"/>
      <c r="N584" s="386"/>
      <c r="O584" s="386"/>
      <c r="P584" s="386"/>
      <c r="Q584" s="386"/>
    </row>
    <row r="585" spans="1:17" ht="30" customHeight="1" x14ac:dyDescent="0.2">
      <c r="A585" s="2822">
        <v>345</v>
      </c>
      <c r="B585" s="2825" t="s">
        <v>2080</v>
      </c>
      <c r="C585" s="2843" t="s">
        <v>1299</v>
      </c>
      <c r="D585" s="2817">
        <v>60000000</v>
      </c>
      <c r="E585" s="2867">
        <v>7.0000000000000007E-2</v>
      </c>
      <c r="F585" s="2817">
        <f>D585*E585</f>
        <v>4200000</v>
      </c>
      <c r="G585" s="2817">
        <v>4200000</v>
      </c>
      <c r="H585" s="2817" t="s">
        <v>5202</v>
      </c>
      <c r="I585" s="2837" t="s">
        <v>4126</v>
      </c>
      <c r="J585" s="2817">
        <f t="shared" si="61"/>
        <v>4200000</v>
      </c>
      <c r="K585" s="2855">
        <f>G585-J585</f>
        <v>0</v>
      </c>
      <c r="L585" s="2875"/>
      <c r="M585" s="386"/>
      <c r="N585" s="386"/>
      <c r="O585" s="386"/>
      <c r="P585" s="386"/>
      <c r="Q585" s="386"/>
    </row>
    <row r="586" spans="1:17" ht="30" customHeight="1" x14ac:dyDescent="0.2">
      <c r="A586" s="2822">
        <v>346</v>
      </c>
      <c r="B586" s="2825" t="s">
        <v>1380</v>
      </c>
      <c r="C586" s="2843" t="s">
        <v>1172</v>
      </c>
      <c r="D586" s="2817">
        <v>5000000</v>
      </c>
      <c r="E586" s="2867">
        <v>0.05</v>
      </c>
      <c r="F586" s="2817">
        <f>D586*E586</f>
        <v>250000</v>
      </c>
      <c r="G586" s="2817">
        <v>250000</v>
      </c>
      <c r="H586" s="2817" t="s">
        <v>5083</v>
      </c>
      <c r="I586" s="2837" t="s">
        <v>1381</v>
      </c>
      <c r="J586" s="2817">
        <f t="shared" si="61"/>
        <v>250000</v>
      </c>
      <c r="K586" s="2855">
        <f t="shared" ref="K586:K593" si="62">F586-J586</f>
        <v>0</v>
      </c>
      <c r="L586" s="2875"/>
      <c r="M586" s="386"/>
      <c r="N586" s="386"/>
      <c r="O586" s="386"/>
      <c r="P586" s="386"/>
      <c r="Q586" s="386"/>
    </row>
    <row r="587" spans="1:17" ht="30" customHeight="1" x14ac:dyDescent="0.2">
      <c r="A587" s="2822">
        <v>347</v>
      </c>
      <c r="B587" s="2825" t="s">
        <v>178</v>
      </c>
      <c r="C587" s="2843" t="s">
        <v>1796</v>
      </c>
      <c r="D587" s="2817">
        <v>130000000</v>
      </c>
      <c r="E587" s="2867">
        <v>0.05</v>
      </c>
      <c r="F587" s="2817">
        <f>D587*E587</f>
        <v>6500000</v>
      </c>
      <c r="G587" s="2817"/>
      <c r="H587" s="2817"/>
      <c r="I587" s="2837" t="s">
        <v>3951</v>
      </c>
      <c r="J587" s="2817">
        <f t="shared" si="61"/>
        <v>0</v>
      </c>
      <c r="K587" s="2855">
        <f t="shared" si="62"/>
        <v>6500000</v>
      </c>
      <c r="L587" s="2875"/>
      <c r="M587" s="386"/>
      <c r="N587" s="386"/>
      <c r="O587" s="386"/>
      <c r="P587" s="386"/>
      <c r="Q587" s="386"/>
    </row>
    <row r="588" spans="1:17" ht="30" customHeight="1" x14ac:dyDescent="0.2">
      <c r="A588" s="2872">
        <v>348</v>
      </c>
      <c r="B588" s="19" t="s">
        <v>1408</v>
      </c>
      <c r="C588" s="2869" t="s">
        <v>1306</v>
      </c>
      <c r="D588" s="2844">
        <v>50000000</v>
      </c>
      <c r="E588" s="2867">
        <v>0.04</v>
      </c>
      <c r="F588" s="2844">
        <f>D588*E588</f>
        <v>2000000</v>
      </c>
      <c r="G588" s="2844">
        <v>2000000</v>
      </c>
      <c r="H588" s="2844" t="s">
        <v>1491</v>
      </c>
      <c r="I588" s="2837" t="s">
        <v>1409</v>
      </c>
      <c r="J588" s="2817">
        <f t="shared" si="61"/>
        <v>2000000</v>
      </c>
      <c r="K588" s="2855">
        <f t="shared" si="62"/>
        <v>0</v>
      </c>
      <c r="L588" s="2875"/>
      <c r="M588" s="386"/>
      <c r="N588" s="386"/>
      <c r="O588" s="386"/>
      <c r="P588" s="386"/>
      <c r="Q588" s="386"/>
    </row>
    <row r="589" spans="1:17" ht="30" customHeight="1" x14ac:dyDescent="0.2">
      <c r="A589" s="2822">
        <v>350</v>
      </c>
      <c r="B589" s="2825" t="s">
        <v>1554</v>
      </c>
      <c r="C589" s="2843"/>
      <c r="D589" s="2817">
        <v>110000000</v>
      </c>
      <c r="E589" s="7898" t="s">
        <v>1556</v>
      </c>
      <c r="F589" s="7899"/>
      <c r="G589" s="2817"/>
      <c r="H589" s="2817"/>
      <c r="I589" s="2837" t="s">
        <v>3469</v>
      </c>
      <c r="J589" s="2817">
        <f t="shared" ref="J589:J598" si="63">G589</f>
        <v>0</v>
      </c>
      <c r="K589" s="2861">
        <f t="shared" si="62"/>
        <v>0</v>
      </c>
      <c r="L589" s="2875"/>
      <c r="M589" s="386"/>
      <c r="N589" s="386"/>
      <c r="O589" s="386"/>
      <c r="P589" s="386"/>
      <c r="Q589" s="386"/>
    </row>
    <row r="590" spans="1:17" ht="30" customHeight="1" x14ac:dyDescent="0.2">
      <c r="A590" s="2872"/>
      <c r="B590" s="19" t="s">
        <v>1558</v>
      </c>
      <c r="C590" s="2869" t="s">
        <v>1172</v>
      </c>
      <c r="D590" s="2844">
        <v>680000000</v>
      </c>
      <c r="E590" s="2867">
        <v>7.0000000000000007E-2</v>
      </c>
      <c r="F590" s="2844">
        <f t="shared" ref="F590:F599" si="64">D590*E590</f>
        <v>47600000.000000007</v>
      </c>
      <c r="G590" s="2844">
        <v>47600000</v>
      </c>
      <c r="H590" s="2844" t="s">
        <v>4920</v>
      </c>
      <c r="I590" s="2844" t="s">
        <v>2460</v>
      </c>
      <c r="J590" s="2844">
        <f t="shared" si="63"/>
        <v>47600000</v>
      </c>
      <c r="K590" s="2855">
        <f t="shared" si="62"/>
        <v>0</v>
      </c>
      <c r="L590" s="2852"/>
      <c r="M590" s="386"/>
      <c r="N590" s="386"/>
      <c r="O590" s="386"/>
      <c r="P590" s="386"/>
      <c r="Q590" s="386"/>
    </row>
    <row r="591" spans="1:17" ht="30" customHeight="1" x14ac:dyDescent="0.2">
      <c r="A591" s="2822">
        <v>352</v>
      </c>
      <c r="B591" s="2825" t="s">
        <v>1561</v>
      </c>
      <c r="C591" s="2843" t="s">
        <v>1081</v>
      </c>
      <c r="D591" s="2817">
        <v>50000000</v>
      </c>
      <c r="E591" s="2819">
        <v>7.0000000000000007E-2</v>
      </c>
      <c r="F591" s="2817">
        <f t="shared" si="64"/>
        <v>3500000.0000000005</v>
      </c>
      <c r="G591" s="2817">
        <v>3500000</v>
      </c>
      <c r="H591" s="2817" t="s">
        <v>4839</v>
      </c>
      <c r="I591" s="21" t="s">
        <v>3517</v>
      </c>
      <c r="J591" s="2817">
        <f t="shared" si="63"/>
        <v>3500000</v>
      </c>
      <c r="K591" s="2855">
        <f t="shared" si="62"/>
        <v>0</v>
      </c>
      <c r="L591" s="2875"/>
      <c r="M591" s="386"/>
      <c r="N591" s="386"/>
      <c r="O591" s="386"/>
      <c r="P591" s="386"/>
      <c r="Q591" s="386"/>
    </row>
    <row r="592" spans="1:17" ht="30" customHeight="1" x14ac:dyDescent="0.2">
      <c r="A592" s="7879">
        <v>353</v>
      </c>
      <c r="B592" s="7717" t="s">
        <v>1565</v>
      </c>
      <c r="C592" s="2869" t="s">
        <v>1172</v>
      </c>
      <c r="D592" s="2817">
        <v>50000000</v>
      </c>
      <c r="E592" s="2867">
        <v>0.05</v>
      </c>
      <c r="F592" s="2817">
        <f t="shared" si="64"/>
        <v>2500000</v>
      </c>
      <c r="G592" s="2817">
        <v>2500000</v>
      </c>
      <c r="H592" s="2817" t="s">
        <v>4891</v>
      </c>
      <c r="I592" s="2837" t="s">
        <v>3718</v>
      </c>
      <c r="J592" s="2817">
        <f t="shared" si="63"/>
        <v>2500000</v>
      </c>
      <c r="K592" s="2855">
        <f t="shared" si="62"/>
        <v>0</v>
      </c>
      <c r="L592" s="2875"/>
      <c r="M592" s="386"/>
      <c r="N592" s="386"/>
      <c r="O592" s="386"/>
      <c r="P592" s="386"/>
      <c r="Q592" s="386"/>
    </row>
    <row r="593" spans="1:17" ht="30" customHeight="1" x14ac:dyDescent="0.2">
      <c r="A593" s="7879"/>
      <c r="B593" s="7717"/>
      <c r="C593" s="2869" t="s">
        <v>1299</v>
      </c>
      <c r="D593" s="2817">
        <v>20000000</v>
      </c>
      <c r="E593" s="2867">
        <v>0.05</v>
      </c>
      <c r="F593" s="2817">
        <f t="shared" si="64"/>
        <v>1000000</v>
      </c>
      <c r="G593" s="1455">
        <v>1000000</v>
      </c>
      <c r="H593" s="1455" t="s">
        <v>5154</v>
      </c>
      <c r="I593" s="1455" t="s">
        <v>3718</v>
      </c>
      <c r="J593" s="1455">
        <f t="shared" si="63"/>
        <v>1000000</v>
      </c>
      <c r="K593" s="2855">
        <f t="shared" si="62"/>
        <v>0</v>
      </c>
      <c r="L593" s="2875"/>
      <c r="M593" s="386"/>
      <c r="N593" s="386"/>
      <c r="O593" s="386"/>
      <c r="P593" s="386"/>
      <c r="Q593" s="386"/>
    </row>
    <row r="594" spans="1:17" ht="30" customHeight="1" x14ac:dyDescent="0.2">
      <c r="A594" s="7654">
        <v>355</v>
      </c>
      <c r="B594" s="7652" t="s">
        <v>1582</v>
      </c>
      <c r="C594" s="7723" t="s">
        <v>2644</v>
      </c>
      <c r="D594" s="2817">
        <v>115000000</v>
      </c>
      <c r="E594" s="2867">
        <v>0.05</v>
      </c>
      <c r="F594" s="2817">
        <f t="shared" si="64"/>
        <v>5750000</v>
      </c>
      <c r="G594" s="2817">
        <v>5750000</v>
      </c>
      <c r="H594" s="2817" t="s">
        <v>4875</v>
      </c>
      <c r="I594" s="472" t="s">
        <v>3411</v>
      </c>
      <c r="J594" s="2817">
        <f t="shared" si="63"/>
        <v>5750000</v>
      </c>
      <c r="K594" s="2855">
        <f>F594-J594</f>
        <v>0</v>
      </c>
      <c r="L594" s="2875"/>
      <c r="M594" s="386"/>
      <c r="N594" s="386"/>
      <c r="O594" s="386"/>
      <c r="P594" s="386"/>
      <c r="Q594" s="386"/>
    </row>
    <row r="595" spans="1:17" ht="30" customHeight="1" x14ac:dyDescent="0.2">
      <c r="A595" s="7656"/>
      <c r="B595" s="7665"/>
      <c r="C595" s="7747"/>
      <c r="D595" s="3359">
        <v>100000000</v>
      </c>
      <c r="E595" s="3368">
        <v>0.05</v>
      </c>
      <c r="F595" s="3359">
        <f t="shared" si="64"/>
        <v>5000000</v>
      </c>
      <c r="G595" s="3365"/>
      <c r="H595" s="3365"/>
      <c r="I595" s="2694"/>
      <c r="J595" s="3365"/>
      <c r="K595" s="3358"/>
      <c r="L595" s="3366" t="s">
        <v>5236</v>
      </c>
      <c r="M595" s="386"/>
      <c r="N595" s="386"/>
      <c r="O595" s="386"/>
      <c r="P595" s="386"/>
      <c r="Q595" s="386"/>
    </row>
    <row r="596" spans="1:17" ht="30" customHeight="1" x14ac:dyDescent="0.2">
      <c r="A596" s="7656"/>
      <c r="B596" s="7665"/>
      <c r="C596" s="7747"/>
      <c r="D596" s="3359">
        <v>50000000</v>
      </c>
      <c r="E596" s="3368">
        <v>0.05</v>
      </c>
      <c r="F596" s="3359">
        <f t="shared" si="64"/>
        <v>2500000</v>
      </c>
      <c r="G596" s="3365"/>
      <c r="H596" s="3365"/>
      <c r="I596" s="2694"/>
      <c r="J596" s="3365"/>
      <c r="K596" s="3358"/>
      <c r="L596" s="3366" t="s">
        <v>5237</v>
      </c>
      <c r="M596" s="386"/>
      <c r="N596" s="386"/>
      <c r="O596" s="386"/>
      <c r="P596" s="386"/>
      <c r="Q596" s="386"/>
    </row>
    <row r="597" spans="1:17" ht="30" customHeight="1" x14ac:dyDescent="0.2">
      <c r="A597" s="7655"/>
      <c r="B597" s="7653"/>
      <c r="C597" s="7724"/>
      <c r="D597" s="3372">
        <f>SUM(D594:D596)</f>
        <v>265000000</v>
      </c>
      <c r="E597" s="896">
        <v>0.05</v>
      </c>
      <c r="F597" s="3372">
        <f>D597*E597</f>
        <v>13250000</v>
      </c>
      <c r="G597" s="3365"/>
      <c r="H597" s="3365"/>
      <c r="I597" s="2694"/>
      <c r="J597" s="3365"/>
      <c r="K597" s="3358"/>
      <c r="L597" s="3366"/>
      <c r="M597" s="386"/>
      <c r="N597" s="386"/>
      <c r="O597" s="386"/>
      <c r="P597" s="386"/>
      <c r="Q597" s="386"/>
    </row>
    <row r="598" spans="1:17" ht="30" customHeight="1" x14ac:dyDescent="0.2">
      <c r="A598" s="7654">
        <v>356</v>
      </c>
      <c r="B598" s="7652" t="s">
        <v>1590</v>
      </c>
      <c r="C598" s="7723"/>
      <c r="D598" s="2817">
        <v>60000000</v>
      </c>
      <c r="E598" s="2867">
        <v>0.04</v>
      </c>
      <c r="F598" s="2817">
        <f t="shared" si="64"/>
        <v>2400000</v>
      </c>
      <c r="G598" s="7563">
        <v>2800000</v>
      </c>
      <c r="H598" s="7563" t="s">
        <v>4875</v>
      </c>
      <c r="I598" s="7889" t="s">
        <v>3924</v>
      </c>
      <c r="J598" s="7563">
        <f t="shared" si="63"/>
        <v>2800000</v>
      </c>
      <c r="K598" s="7816">
        <f>(F598+F599)-J598</f>
        <v>0</v>
      </c>
      <c r="L598" s="7816"/>
      <c r="M598" s="386"/>
      <c r="N598" s="386"/>
      <c r="O598" s="386"/>
      <c r="P598" s="386"/>
      <c r="Q598" s="386"/>
    </row>
    <row r="599" spans="1:17" ht="30" customHeight="1" x14ac:dyDescent="0.2">
      <c r="A599" s="7655"/>
      <c r="B599" s="7653"/>
      <c r="C599" s="7724"/>
      <c r="D599" s="2817">
        <v>10000000</v>
      </c>
      <c r="E599" s="2867">
        <v>0.04</v>
      </c>
      <c r="F599" s="2817">
        <f t="shared" si="64"/>
        <v>400000</v>
      </c>
      <c r="G599" s="7564"/>
      <c r="H599" s="7564"/>
      <c r="I599" s="7890"/>
      <c r="J599" s="7564"/>
      <c r="K599" s="7817"/>
      <c r="L599" s="7817"/>
      <c r="M599" s="386"/>
      <c r="N599" s="386"/>
      <c r="O599" s="386"/>
      <c r="P599" s="386"/>
      <c r="Q599" s="386"/>
    </row>
    <row r="600" spans="1:17" ht="30" customHeight="1" x14ac:dyDescent="0.2">
      <c r="A600" s="2822">
        <v>357</v>
      </c>
      <c r="B600" s="2825" t="s">
        <v>1592</v>
      </c>
      <c r="C600" s="2843"/>
      <c r="D600" s="2817">
        <v>70000000</v>
      </c>
      <c r="E600" s="2519"/>
      <c r="F600" s="2834"/>
      <c r="G600" s="2817"/>
      <c r="H600" s="2817"/>
      <c r="I600" s="472"/>
      <c r="J600" s="2817"/>
      <c r="K600" s="2861"/>
      <c r="L600" s="2875"/>
      <c r="M600" s="386"/>
      <c r="N600" s="386"/>
      <c r="O600" s="386"/>
      <c r="P600" s="386"/>
      <c r="Q600" s="386"/>
    </row>
    <row r="601" spans="1:17" ht="30" customHeight="1" x14ac:dyDescent="0.2">
      <c r="A601" s="1028">
        <v>358</v>
      </c>
      <c r="B601" s="2870" t="s">
        <v>1597</v>
      </c>
      <c r="C601" s="2869"/>
      <c r="D601" s="2815"/>
      <c r="E601" s="2519"/>
      <c r="F601" s="2815"/>
      <c r="G601" s="2844"/>
      <c r="H601" s="2844"/>
      <c r="I601" s="2694" t="s">
        <v>1598</v>
      </c>
      <c r="J601" s="2844">
        <f>G601</f>
        <v>0</v>
      </c>
      <c r="K601" s="1030">
        <f>F601-J601</f>
        <v>0</v>
      </c>
      <c r="L601" s="2875" t="s">
        <v>4130</v>
      </c>
      <c r="M601" s="386"/>
      <c r="N601" s="386"/>
      <c r="O601" s="386"/>
      <c r="P601" s="386"/>
      <c r="Q601" s="386"/>
    </row>
    <row r="602" spans="1:17" ht="30" customHeight="1" x14ac:dyDescent="0.2">
      <c r="A602" s="7654">
        <v>359</v>
      </c>
      <c r="B602" s="7652" t="s">
        <v>1599</v>
      </c>
      <c r="C602" s="7723"/>
      <c r="D602" s="7677"/>
      <c r="E602" s="7691"/>
      <c r="F602" s="7677"/>
      <c r="G602" s="2817"/>
      <c r="H602" s="2817"/>
      <c r="I602" s="472"/>
      <c r="J602" s="7563">
        <f>G602+G603</f>
        <v>0</v>
      </c>
      <c r="K602" s="7841">
        <f>F602-J602</f>
        <v>0</v>
      </c>
      <c r="L602" s="7816"/>
      <c r="M602" s="386"/>
      <c r="N602" s="386"/>
      <c r="O602" s="386"/>
      <c r="P602" s="386"/>
      <c r="Q602" s="386"/>
    </row>
    <row r="603" spans="1:17" ht="30" customHeight="1" x14ac:dyDescent="0.2">
      <c r="A603" s="7655"/>
      <c r="B603" s="7653"/>
      <c r="C603" s="7724"/>
      <c r="D603" s="7678"/>
      <c r="E603" s="7693"/>
      <c r="F603" s="7678"/>
      <c r="G603" s="2817"/>
      <c r="H603" s="2817"/>
      <c r="I603" s="472"/>
      <c r="J603" s="7564"/>
      <c r="K603" s="7842"/>
      <c r="L603" s="7817"/>
      <c r="M603" s="386"/>
      <c r="N603" s="386"/>
      <c r="O603" s="386"/>
      <c r="P603" s="386"/>
      <c r="Q603" s="386"/>
    </row>
    <row r="604" spans="1:17" ht="30" customHeight="1" x14ac:dyDescent="0.2">
      <c r="A604" s="7879">
        <v>360</v>
      </c>
      <c r="B604" s="7717" t="s">
        <v>1614</v>
      </c>
      <c r="C604" s="7873" t="s">
        <v>889</v>
      </c>
      <c r="D604" s="2844">
        <v>290000000</v>
      </c>
      <c r="E604" s="2867">
        <v>0.05</v>
      </c>
      <c r="F604" s="2844">
        <f>D604*E604</f>
        <v>14500000</v>
      </c>
      <c r="G604" s="2296"/>
      <c r="H604" s="2296"/>
      <c r="I604" s="2296"/>
      <c r="J604" s="7482">
        <f>G604+G605</f>
        <v>0</v>
      </c>
      <c r="K604" s="7499">
        <f>(F604+F605)-J604</f>
        <v>27100000</v>
      </c>
      <c r="L604" s="7888"/>
      <c r="M604" s="386"/>
      <c r="N604" s="386"/>
      <c r="O604" s="386"/>
      <c r="P604" s="386"/>
      <c r="Q604" s="386"/>
    </row>
    <row r="605" spans="1:17" ht="30" customHeight="1" x14ac:dyDescent="0.2">
      <c r="A605" s="7879"/>
      <c r="B605" s="7717"/>
      <c r="C605" s="7873"/>
      <c r="D605" s="2844">
        <v>210000000</v>
      </c>
      <c r="E605" s="2867">
        <v>0.06</v>
      </c>
      <c r="F605" s="2844">
        <f>D605*E605</f>
        <v>12600000</v>
      </c>
      <c r="G605" s="2296"/>
      <c r="H605" s="2296"/>
      <c r="I605" s="2296"/>
      <c r="J605" s="7482"/>
      <c r="K605" s="7499"/>
      <c r="L605" s="7888"/>
      <c r="M605" s="386"/>
      <c r="N605" s="386"/>
      <c r="O605" s="386"/>
      <c r="P605" s="386"/>
      <c r="Q605" s="386"/>
    </row>
    <row r="606" spans="1:17" ht="30" customHeight="1" x14ac:dyDescent="0.2">
      <c r="A606" s="7879"/>
      <c r="B606" s="7717"/>
      <c r="C606" s="7873"/>
      <c r="D606" s="1854">
        <v>150000000</v>
      </c>
      <c r="E606" s="896"/>
      <c r="F606" s="1854">
        <v>36100000</v>
      </c>
      <c r="G606" s="2973">
        <v>36100000</v>
      </c>
      <c r="H606" s="2973" t="s">
        <v>4920</v>
      </c>
      <c r="I606" s="472" t="s">
        <v>1611</v>
      </c>
      <c r="J606" s="2973">
        <f>G606</f>
        <v>36100000</v>
      </c>
      <c r="K606" s="2812">
        <f>F606-J606</f>
        <v>0</v>
      </c>
      <c r="L606" s="2875"/>
      <c r="M606" s="386"/>
      <c r="N606" s="386"/>
      <c r="O606" s="386"/>
      <c r="P606" s="386"/>
      <c r="Q606" s="386"/>
    </row>
    <row r="607" spans="1:17" ht="30" customHeight="1" x14ac:dyDescent="0.2">
      <c r="A607" s="7654">
        <v>361</v>
      </c>
      <c r="B607" s="7652" t="s">
        <v>1612</v>
      </c>
      <c r="C607" s="7723"/>
      <c r="D607" s="7482">
        <v>2985000000</v>
      </c>
      <c r="E607" s="7870"/>
      <c r="F607" s="7482">
        <v>95200000</v>
      </c>
      <c r="G607" s="2817">
        <v>18000000</v>
      </c>
      <c r="H607" s="7470" t="s">
        <v>5156</v>
      </c>
      <c r="I607" s="7510"/>
      <c r="J607" s="7563">
        <f>G607</f>
        <v>18000000</v>
      </c>
      <c r="K607" s="7816">
        <f>95200000-G607</f>
        <v>77200000</v>
      </c>
      <c r="L607" s="2949" t="s">
        <v>4625</v>
      </c>
      <c r="M607" s="386"/>
      <c r="N607" s="386"/>
      <c r="O607" s="386"/>
      <c r="P607" s="386"/>
      <c r="Q607" s="386"/>
    </row>
    <row r="608" spans="1:17" ht="30" customHeight="1" x14ac:dyDescent="0.2">
      <c r="A608" s="7656"/>
      <c r="B608" s="7665"/>
      <c r="C608" s="7747"/>
      <c r="D608" s="7482"/>
      <c r="E608" s="7870"/>
      <c r="F608" s="7482"/>
      <c r="G608" s="7482" t="s">
        <v>5157</v>
      </c>
      <c r="H608" s="7482"/>
      <c r="I608" s="7482"/>
      <c r="J608" s="7586"/>
      <c r="K608" s="7882"/>
      <c r="L608" s="2949" t="s">
        <v>4626</v>
      </c>
      <c r="M608" s="386"/>
      <c r="N608" s="386"/>
      <c r="O608" s="386"/>
      <c r="P608" s="386"/>
      <c r="Q608" s="386"/>
    </row>
    <row r="609" spans="1:17" ht="30" customHeight="1" x14ac:dyDescent="0.2">
      <c r="A609" s="7656"/>
      <c r="B609" s="7665"/>
      <c r="C609" s="7747"/>
      <c r="D609" s="7482"/>
      <c r="E609" s="7870"/>
      <c r="F609" s="7482"/>
      <c r="G609" s="7482"/>
      <c r="H609" s="7482"/>
      <c r="I609" s="7482"/>
      <c r="J609" s="7586"/>
      <c r="K609" s="7882"/>
      <c r="L609" s="2876"/>
      <c r="M609" s="386"/>
      <c r="N609" s="386"/>
      <c r="O609" s="386"/>
      <c r="P609" s="386"/>
      <c r="Q609" s="386"/>
    </row>
    <row r="610" spans="1:17" ht="30" customHeight="1" x14ac:dyDescent="0.2">
      <c r="A610" s="7656"/>
      <c r="B610" s="7665"/>
      <c r="C610" s="7747"/>
      <c r="D610" s="7482"/>
      <c r="E610" s="7870"/>
      <c r="F610" s="7482"/>
      <c r="G610" s="7482"/>
      <c r="H610" s="7482"/>
      <c r="I610" s="7482"/>
      <c r="J610" s="7586"/>
      <c r="K610" s="7882"/>
      <c r="L610" s="2876"/>
      <c r="M610" s="386"/>
      <c r="N610" s="386"/>
      <c r="O610" s="386"/>
      <c r="P610" s="386"/>
      <c r="Q610" s="386"/>
    </row>
    <row r="611" spans="1:17" ht="30" customHeight="1" x14ac:dyDescent="0.2">
      <c r="A611" s="7656"/>
      <c r="B611" s="7665"/>
      <c r="C611" s="7747"/>
      <c r="D611" s="7482"/>
      <c r="E611" s="7870"/>
      <c r="F611" s="7482"/>
      <c r="G611" s="7482"/>
      <c r="H611" s="7482"/>
      <c r="I611" s="7482"/>
      <c r="J611" s="7586"/>
      <c r="K611" s="7882"/>
      <c r="L611" s="848"/>
      <c r="M611" s="386"/>
      <c r="N611" s="386"/>
      <c r="O611" s="386"/>
      <c r="P611" s="386"/>
      <c r="Q611" s="386"/>
    </row>
    <row r="612" spans="1:17" ht="30" customHeight="1" x14ac:dyDescent="0.2">
      <c r="A612" s="7656"/>
      <c r="B612" s="7665"/>
      <c r="C612" s="7747"/>
      <c r="D612" s="7482"/>
      <c r="E612" s="7870"/>
      <c r="F612" s="7482"/>
      <c r="G612" s="7482"/>
      <c r="H612" s="7482"/>
      <c r="I612" s="7482"/>
      <c r="J612" s="7586"/>
      <c r="K612" s="7882"/>
      <c r="L612" s="2876"/>
      <c r="M612" s="386"/>
      <c r="N612" s="386"/>
      <c r="O612" s="386"/>
      <c r="P612" s="386"/>
      <c r="Q612" s="386"/>
    </row>
    <row r="613" spans="1:17" ht="30" customHeight="1" x14ac:dyDescent="0.2">
      <c r="A613" s="7656"/>
      <c r="B613" s="7665"/>
      <c r="C613" s="7747"/>
      <c r="D613" s="7482"/>
      <c r="E613" s="7870"/>
      <c r="F613" s="7482"/>
      <c r="G613" s="7482"/>
      <c r="H613" s="7482"/>
      <c r="I613" s="7482"/>
      <c r="J613" s="7586"/>
      <c r="K613" s="7882"/>
      <c r="L613" s="2876" t="s">
        <v>4626</v>
      </c>
      <c r="M613" s="386"/>
      <c r="N613" s="386"/>
      <c r="O613" s="386"/>
      <c r="P613" s="386"/>
      <c r="Q613" s="386"/>
    </row>
    <row r="614" spans="1:17" ht="30" customHeight="1" x14ac:dyDescent="0.2">
      <c r="A614" s="7656"/>
      <c r="B614" s="7665"/>
      <c r="C614" s="7747"/>
      <c r="D614" s="7482"/>
      <c r="E614" s="7870"/>
      <c r="F614" s="7482"/>
      <c r="G614" s="7482"/>
      <c r="H614" s="7482"/>
      <c r="I614" s="7482"/>
      <c r="J614" s="7586"/>
      <c r="K614" s="7882"/>
      <c r="L614" s="848"/>
      <c r="M614" s="386"/>
      <c r="N614" s="386"/>
      <c r="O614" s="386"/>
      <c r="P614" s="386"/>
      <c r="Q614" s="386"/>
    </row>
    <row r="615" spans="1:17" ht="30" customHeight="1" x14ac:dyDescent="0.2">
      <c r="A615" s="7656"/>
      <c r="B615" s="7665"/>
      <c r="C615" s="7747"/>
      <c r="D615" s="7482"/>
      <c r="E615" s="7870"/>
      <c r="F615" s="7482"/>
      <c r="G615" s="7482"/>
      <c r="H615" s="7482"/>
      <c r="I615" s="7482"/>
      <c r="J615" s="7586"/>
      <c r="K615" s="7882"/>
      <c r="L615" s="848"/>
      <c r="M615" s="386"/>
      <c r="N615" s="386"/>
      <c r="O615" s="386"/>
      <c r="P615" s="386"/>
      <c r="Q615" s="386"/>
    </row>
    <row r="616" spans="1:17" ht="30" customHeight="1" x14ac:dyDescent="0.2">
      <c r="A616" s="7655"/>
      <c r="B616" s="7653"/>
      <c r="C616" s="7724"/>
      <c r="D616" s="3260">
        <v>3160000000</v>
      </c>
      <c r="E616" s="3261"/>
      <c r="F616" s="3260">
        <v>106575000</v>
      </c>
      <c r="G616" s="1965"/>
      <c r="H616" s="2297"/>
      <c r="I616" s="1928"/>
      <c r="J616" s="7564"/>
      <c r="K616" s="7817"/>
      <c r="L616" s="898"/>
      <c r="M616" s="386"/>
      <c r="N616" s="386"/>
      <c r="O616" s="386"/>
      <c r="P616" s="386"/>
      <c r="Q616" s="386"/>
    </row>
    <row r="617" spans="1:17" ht="30" customHeight="1" x14ac:dyDescent="0.2">
      <c r="A617" s="3180"/>
      <c r="B617" s="3192" t="s">
        <v>4179</v>
      </c>
      <c r="C617" s="3193"/>
      <c r="D617" s="3190">
        <v>30000000</v>
      </c>
      <c r="E617" s="3191">
        <v>6.5000000000000002E-2</v>
      </c>
      <c r="F617" s="3190">
        <f>D617*E617</f>
        <v>1950000</v>
      </c>
      <c r="G617" s="3190">
        <v>1900000</v>
      </c>
      <c r="H617" s="3190" t="s">
        <v>5043</v>
      </c>
      <c r="I617" s="3190" t="s">
        <v>2369</v>
      </c>
      <c r="J617" s="3190">
        <f>G617</f>
        <v>1900000</v>
      </c>
      <c r="K617" s="3178">
        <f>F617-J617</f>
        <v>50000</v>
      </c>
      <c r="L617" s="2875"/>
      <c r="M617" s="2875"/>
      <c r="N617" s="2875"/>
      <c r="O617" s="2875"/>
      <c r="P617" s="386"/>
      <c r="Q617" s="386"/>
    </row>
    <row r="618" spans="1:17" ht="30" customHeight="1" x14ac:dyDescent="0.2">
      <c r="A618" s="2872">
        <v>362</v>
      </c>
      <c r="B618" s="19" t="s">
        <v>1619</v>
      </c>
      <c r="C618" s="2869" t="s">
        <v>1652</v>
      </c>
      <c r="D618" s="2817">
        <v>360000000</v>
      </c>
      <c r="E618" s="2867">
        <v>4.4999999999999998E-2</v>
      </c>
      <c r="F618" s="2817">
        <v>16500000</v>
      </c>
      <c r="G618" s="2817">
        <v>16500000</v>
      </c>
      <c r="H618" s="2817" t="s">
        <v>4920</v>
      </c>
      <c r="I618" s="472" t="s">
        <v>1620</v>
      </c>
      <c r="J618" s="2817">
        <f t="shared" ref="J618:J631" si="65">G618</f>
        <v>16500000</v>
      </c>
      <c r="K618" s="2855">
        <f t="shared" ref="K618:K631" si="66">F618-J618</f>
        <v>0</v>
      </c>
      <c r="L618" s="2875"/>
      <c r="M618" s="2875"/>
      <c r="N618" s="2875"/>
      <c r="O618" s="2875"/>
      <c r="P618" s="386"/>
      <c r="Q618" s="386"/>
    </row>
    <row r="619" spans="1:17" ht="30" customHeight="1" x14ac:dyDescent="0.2">
      <c r="A619" s="2822">
        <v>363</v>
      </c>
      <c r="B619" s="2825" t="s">
        <v>1641</v>
      </c>
      <c r="C619" s="2843"/>
      <c r="D619" s="2834"/>
      <c r="E619" s="2519"/>
      <c r="F619" s="2834"/>
      <c r="G619" s="2817">
        <v>1575000</v>
      </c>
      <c r="H619" s="2817"/>
      <c r="I619" s="472" t="s">
        <v>1621</v>
      </c>
      <c r="J619" s="2817">
        <f t="shared" si="65"/>
        <v>1575000</v>
      </c>
      <c r="K619" s="2855">
        <f t="shared" si="66"/>
        <v>-1575000</v>
      </c>
      <c r="L619" s="2875"/>
      <c r="M619" s="386"/>
      <c r="N619" s="386"/>
      <c r="O619" s="386"/>
      <c r="P619" s="386"/>
      <c r="Q619" s="386"/>
    </row>
    <row r="620" spans="1:17" ht="30" customHeight="1" x14ac:dyDescent="0.2">
      <c r="A620" s="7654">
        <v>364</v>
      </c>
      <c r="B620" s="7652" t="s">
        <v>1637</v>
      </c>
      <c r="C620" s="7723"/>
      <c r="D620" s="2834"/>
      <c r="E620" s="2519"/>
      <c r="F620" s="2834"/>
      <c r="G620" s="2817"/>
      <c r="H620" s="2817"/>
      <c r="I620" s="472" t="s">
        <v>4039</v>
      </c>
      <c r="J620" s="2817">
        <f t="shared" si="65"/>
        <v>0</v>
      </c>
      <c r="K620" s="2861">
        <f t="shared" si="66"/>
        <v>0</v>
      </c>
      <c r="L620" s="2875"/>
      <c r="M620" s="386"/>
      <c r="N620" s="386"/>
      <c r="O620" s="386"/>
      <c r="P620" s="386"/>
      <c r="Q620" s="386"/>
    </row>
    <row r="621" spans="1:17" ht="30" customHeight="1" x14ac:dyDescent="0.2">
      <c r="A621" s="7655"/>
      <c r="B621" s="7653"/>
      <c r="C621" s="7724"/>
      <c r="D621" s="2980"/>
      <c r="E621" s="2519"/>
      <c r="F621" s="2980"/>
      <c r="G621" s="2973"/>
      <c r="H621" s="2973"/>
      <c r="I621" s="472"/>
      <c r="J621" s="2973"/>
      <c r="K621" s="2985"/>
      <c r="L621" s="2991" t="s">
        <v>4873</v>
      </c>
      <c r="M621" s="386"/>
      <c r="N621" s="386"/>
      <c r="O621" s="386"/>
      <c r="P621" s="386"/>
      <c r="Q621" s="386"/>
    </row>
    <row r="622" spans="1:17" ht="30" customHeight="1" x14ac:dyDescent="0.2">
      <c r="A622" s="2872">
        <v>365</v>
      </c>
      <c r="B622" s="2870" t="s">
        <v>1639</v>
      </c>
      <c r="C622" s="2869" t="s">
        <v>1718</v>
      </c>
      <c r="D622" s="2817">
        <v>250000000</v>
      </c>
      <c r="E622" s="2867">
        <v>0.05</v>
      </c>
      <c r="F622" s="2817">
        <f>D622*E622</f>
        <v>12500000</v>
      </c>
      <c r="G622" s="2844">
        <v>12500000</v>
      </c>
      <c r="H622" s="2844" t="s">
        <v>5009</v>
      </c>
      <c r="I622" s="2844" t="s">
        <v>2808</v>
      </c>
      <c r="J622" s="2844">
        <f t="shared" si="65"/>
        <v>12500000</v>
      </c>
      <c r="K622" s="2855">
        <f t="shared" si="66"/>
        <v>0</v>
      </c>
      <c r="L622" s="2852"/>
      <c r="M622" s="386"/>
      <c r="N622" s="386"/>
      <c r="O622" s="386"/>
      <c r="P622" s="386"/>
      <c r="Q622" s="386"/>
    </row>
    <row r="623" spans="1:17" ht="30" customHeight="1" x14ac:dyDescent="0.2">
      <c r="A623" s="7654">
        <v>366</v>
      </c>
      <c r="B623" s="7652" t="s">
        <v>4684</v>
      </c>
      <c r="C623" s="7723" t="s">
        <v>1107</v>
      </c>
      <c r="D623" s="1854">
        <v>70000000</v>
      </c>
      <c r="E623" s="3294">
        <v>6.3E-2</v>
      </c>
      <c r="F623" s="3288">
        <v>4400000</v>
      </c>
      <c r="G623" s="7563">
        <v>11150000</v>
      </c>
      <c r="H623" s="7563" t="s">
        <v>1491</v>
      </c>
      <c r="I623" s="7889" t="s">
        <v>4781</v>
      </c>
      <c r="J623" s="7563">
        <f>G623</f>
        <v>11150000</v>
      </c>
      <c r="K623" s="7816"/>
      <c r="L623" s="2875"/>
      <c r="M623" s="386"/>
      <c r="N623" s="386"/>
      <c r="O623" s="386"/>
      <c r="P623" s="386"/>
      <c r="Q623" s="386"/>
    </row>
    <row r="624" spans="1:17" ht="30" customHeight="1" x14ac:dyDescent="0.2">
      <c r="A624" s="7656"/>
      <c r="B624" s="7665"/>
      <c r="C624" s="7747"/>
      <c r="D624" s="2887">
        <v>96900000</v>
      </c>
      <c r="E624" s="2819"/>
      <c r="F624" s="2817"/>
      <c r="G624" s="7586"/>
      <c r="H624" s="7586"/>
      <c r="I624" s="8036"/>
      <c r="J624" s="7586"/>
      <c r="K624" s="7882"/>
      <c r="L624" s="2810" t="s">
        <v>4796</v>
      </c>
      <c r="M624" s="386"/>
      <c r="N624" s="386"/>
      <c r="O624" s="386"/>
      <c r="P624" s="386"/>
      <c r="Q624" s="386"/>
    </row>
    <row r="625" spans="1:17" ht="30" customHeight="1" x14ac:dyDescent="0.2">
      <c r="A625" s="7656"/>
      <c r="B625" s="7665"/>
      <c r="C625" s="7747"/>
      <c r="D625" s="2887">
        <v>7100000</v>
      </c>
      <c r="E625" s="2867"/>
      <c r="F625" s="2817"/>
      <c r="G625" s="7586"/>
      <c r="H625" s="7586"/>
      <c r="I625" s="8036"/>
      <c r="J625" s="7586"/>
      <c r="K625" s="7882"/>
      <c r="L625" s="2810" t="s">
        <v>4685</v>
      </c>
      <c r="M625" s="386"/>
      <c r="N625" s="386"/>
      <c r="O625" s="386"/>
      <c r="P625" s="386"/>
      <c r="Q625" s="386"/>
    </row>
    <row r="626" spans="1:17" ht="30" customHeight="1" x14ac:dyDescent="0.2">
      <c r="A626" s="7656"/>
      <c r="B626" s="7665"/>
      <c r="C626" s="7747"/>
      <c r="D626" s="2887">
        <v>3000000</v>
      </c>
      <c r="E626" s="2867"/>
      <c r="F626" s="2817"/>
      <c r="G626" s="7586"/>
      <c r="H626" s="7586"/>
      <c r="I626" s="8036"/>
      <c r="J626" s="7586"/>
      <c r="K626" s="7882"/>
      <c r="L626" s="2810" t="s">
        <v>4686</v>
      </c>
      <c r="M626" s="386"/>
      <c r="N626" s="386"/>
      <c r="O626" s="386"/>
      <c r="P626" s="386"/>
      <c r="Q626" s="386"/>
    </row>
    <row r="627" spans="1:17" ht="30" customHeight="1" x14ac:dyDescent="0.2">
      <c r="A627" s="7656"/>
      <c r="B627" s="7665"/>
      <c r="C627" s="7747"/>
      <c r="D627" s="2887">
        <v>10000000</v>
      </c>
      <c r="E627" s="2867"/>
      <c r="F627" s="2817"/>
      <c r="G627" s="7586"/>
      <c r="H627" s="7586"/>
      <c r="I627" s="8036"/>
      <c r="J627" s="7586"/>
      <c r="K627" s="7882"/>
      <c r="L627" s="2810" t="s">
        <v>4688</v>
      </c>
      <c r="M627" s="386"/>
      <c r="N627" s="386"/>
      <c r="O627" s="386"/>
      <c r="P627" s="386"/>
      <c r="Q627" s="386"/>
    </row>
    <row r="628" spans="1:17" ht="30" customHeight="1" x14ac:dyDescent="0.2">
      <c r="A628" s="7656"/>
      <c r="B628" s="7665"/>
      <c r="C628" s="7747"/>
      <c r="D628" s="2887">
        <v>10000000</v>
      </c>
      <c r="E628" s="2867"/>
      <c r="F628" s="2817"/>
      <c r="G628" s="7586"/>
      <c r="H628" s="7586"/>
      <c r="I628" s="8036"/>
      <c r="J628" s="7586"/>
      <c r="K628" s="7882"/>
      <c r="L628" s="2810" t="s">
        <v>4687</v>
      </c>
      <c r="M628" s="386"/>
      <c r="N628" s="386"/>
      <c r="O628" s="386"/>
      <c r="P628" s="386"/>
      <c r="Q628" s="386"/>
    </row>
    <row r="629" spans="1:17" ht="30" customHeight="1" x14ac:dyDescent="0.2">
      <c r="A629" s="7656"/>
      <c r="B629" s="7665"/>
      <c r="C629" s="7747"/>
      <c r="D629" s="2887">
        <v>8000000</v>
      </c>
      <c r="E629" s="2867"/>
      <c r="F629" s="2817"/>
      <c r="G629" s="7586"/>
      <c r="H629" s="7586"/>
      <c r="I629" s="8036"/>
      <c r="J629" s="7586"/>
      <c r="K629" s="7882"/>
      <c r="L629" s="2810" t="s">
        <v>4689</v>
      </c>
      <c r="M629" s="386"/>
      <c r="N629" s="386"/>
      <c r="O629" s="386"/>
      <c r="P629" s="386"/>
      <c r="Q629" s="386"/>
    </row>
    <row r="630" spans="1:17" ht="30" customHeight="1" x14ac:dyDescent="0.2">
      <c r="A630" s="7655"/>
      <c r="B630" s="7653"/>
      <c r="C630" s="7724"/>
      <c r="D630" s="2887">
        <f>SUM(D623:D629)</f>
        <v>205000000</v>
      </c>
      <c r="E630" s="2867"/>
      <c r="F630" s="2817"/>
      <c r="G630" s="7564"/>
      <c r="H630" s="7564"/>
      <c r="I630" s="7890"/>
      <c r="J630" s="7564"/>
      <c r="K630" s="7817"/>
      <c r="L630" s="2875" t="s">
        <v>4690</v>
      </c>
      <c r="M630" s="386"/>
      <c r="N630" s="386"/>
      <c r="O630" s="386"/>
      <c r="P630" s="386"/>
      <c r="Q630" s="386"/>
    </row>
    <row r="631" spans="1:17" ht="30" customHeight="1" x14ac:dyDescent="0.2">
      <c r="A631" s="2822">
        <v>367</v>
      </c>
      <c r="B631" s="2825" t="s">
        <v>1666</v>
      </c>
      <c r="C631" s="2843" t="s">
        <v>1172</v>
      </c>
      <c r="D631" s="2817">
        <v>25000000</v>
      </c>
      <c r="E631" s="2867">
        <v>0.05</v>
      </c>
      <c r="F631" s="2817">
        <f>D631*E631</f>
        <v>1250000</v>
      </c>
      <c r="G631" s="2817">
        <v>1250000</v>
      </c>
      <c r="H631" s="2817" t="s">
        <v>4920</v>
      </c>
      <c r="I631" s="472" t="s">
        <v>4929</v>
      </c>
      <c r="J631" s="2817">
        <f t="shared" si="65"/>
        <v>1250000</v>
      </c>
      <c r="K631" s="2855">
        <f t="shared" si="66"/>
        <v>0</v>
      </c>
      <c r="L631" s="2875"/>
      <c r="M631" s="386"/>
      <c r="N631" s="386"/>
      <c r="O631" s="386"/>
      <c r="P631" s="386"/>
      <c r="Q631" s="386"/>
    </row>
    <row r="632" spans="1:17" ht="30" customHeight="1" x14ac:dyDescent="0.2">
      <c r="A632" s="2942">
        <v>368</v>
      </c>
      <c r="B632" s="19" t="s">
        <v>1793</v>
      </c>
      <c r="C632" s="2944" t="s">
        <v>392</v>
      </c>
      <c r="D632" s="2931">
        <v>818000000</v>
      </c>
      <c r="E632" s="2932">
        <v>7.0000000000000007E-2</v>
      </c>
      <c r="F632" s="2931">
        <f>D632*E632</f>
        <v>57260000.000000007</v>
      </c>
      <c r="G632" s="2844">
        <v>57260000</v>
      </c>
      <c r="H632" s="39" t="s">
        <v>4874</v>
      </c>
      <c r="I632" s="2694" t="s">
        <v>2579</v>
      </c>
      <c r="J632" s="2844">
        <f>G632</f>
        <v>57260000</v>
      </c>
      <c r="K632" s="2812">
        <f>F632-J632</f>
        <v>0</v>
      </c>
      <c r="L632" s="2945"/>
      <c r="M632" s="386"/>
      <c r="N632" s="386"/>
      <c r="O632" s="386"/>
      <c r="P632" s="386"/>
      <c r="Q632" s="386"/>
    </row>
    <row r="633" spans="1:17" ht="30" customHeight="1" x14ac:dyDescent="0.2">
      <c r="A633" s="7879">
        <v>369</v>
      </c>
      <c r="B633" s="7717" t="s">
        <v>1676</v>
      </c>
      <c r="C633" s="7873" t="s">
        <v>1652</v>
      </c>
      <c r="D633" s="2817">
        <v>250000000</v>
      </c>
      <c r="E633" s="2819">
        <v>0.05</v>
      </c>
      <c r="F633" s="2817">
        <f t="shared" ref="F633:F643" si="67">D633*E633</f>
        <v>12500000</v>
      </c>
      <c r="G633" s="7563">
        <v>27800000</v>
      </c>
      <c r="H633" s="7563" t="s">
        <v>4891</v>
      </c>
      <c r="I633" s="7563" t="s">
        <v>4896</v>
      </c>
      <c r="J633" s="7563">
        <f>G633</f>
        <v>27800000</v>
      </c>
      <c r="K633" s="7563">
        <f>(F633+F634+F635+F636)-J633</f>
        <v>0</v>
      </c>
      <c r="L633" s="2990"/>
      <c r="M633" s="386"/>
      <c r="N633" s="386"/>
      <c r="O633" s="386"/>
      <c r="P633" s="386"/>
      <c r="Q633" s="386"/>
    </row>
    <row r="634" spans="1:17" ht="30" customHeight="1" x14ac:dyDescent="0.2">
      <c r="A634" s="7879"/>
      <c r="B634" s="7717"/>
      <c r="C634" s="7873"/>
      <c r="D634" s="2817">
        <v>150000000</v>
      </c>
      <c r="E634" s="2819">
        <v>0.06</v>
      </c>
      <c r="F634" s="2817">
        <f t="shared" si="67"/>
        <v>9000000</v>
      </c>
      <c r="G634" s="7586"/>
      <c r="H634" s="7586"/>
      <c r="I634" s="7586"/>
      <c r="J634" s="7586"/>
      <c r="K634" s="7586"/>
      <c r="L634" s="2995"/>
      <c r="M634" s="386"/>
      <c r="N634" s="386"/>
      <c r="O634" s="386"/>
      <c r="P634" s="386"/>
      <c r="Q634" s="386"/>
    </row>
    <row r="635" spans="1:17" ht="30" customHeight="1" x14ac:dyDescent="0.2">
      <c r="A635" s="7879"/>
      <c r="B635" s="7717"/>
      <c r="C635" s="7873"/>
      <c r="D635" s="2817">
        <v>50000000</v>
      </c>
      <c r="E635" s="2819">
        <v>0.06</v>
      </c>
      <c r="F635" s="2817">
        <f t="shared" si="67"/>
        <v>3000000</v>
      </c>
      <c r="G635" s="7586"/>
      <c r="H635" s="7586"/>
      <c r="I635" s="7586"/>
      <c r="J635" s="7586"/>
      <c r="K635" s="7586"/>
      <c r="L635" s="2995"/>
      <c r="M635" s="386"/>
      <c r="N635" s="386"/>
      <c r="O635" s="386"/>
      <c r="P635" s="386"/>
      <c r="Q635" s="386"/>
    </row>
    <row r="636" spans="1:17" ht="30" customHeight="1" x14ac:dyDescent="0.2">
      <c r="A636" s="7879"/>
      <c r="B636" s="7717"/>
      <c r="C636" s="7873"/>
      <c r="D636" s="2817">
        <v>55000000</v>
      </c>
      <c r="E636" s="2819">
        <v>0.06</v>
      </c>
      <c r="F636" s="2817">
        <f t="shared" si="67"/>
        <v>3300000</v>
      </c>
      <c r="G636" s="7564"/>
      <c r="H636" s="7564"/>
      <c r="I636" s="7564"/>
      <c r="J636" s="7564"/>
      <c r="K636" s="7564"/>
      <c r="L636" s="2991"/>
      <c r="M636" s="386"/>
      <c r="N636" s="386"/>
      <c r="O636" s="386"/>
      <c r="P636" s="386"/>
      <c r="Q636" s="386"/>
    </row>
    <row r="637" spans="1:17" ht="30" customHeight="1" x14ac:dyDescent="0.2">
      <c r="A637" s="7654"/>
      <c r="B637" s="7717" t="s">
        <v>5179</v>
      </c>
      <c r="C637" s="7723" t="s">
        <v>1652</v>
      </c>
      <c r="D637" s="3281">
        <v>177000000</v>
      </c>
      <c r="E637" s="3282">
        <v>7.0000000000000007E-2</v>
      </c>
      <c r="F637" s="3281">
        <f t="shared" si="67"/>
        <v>12390000.000000002</v>
      </c>
      <c r="G637" s="3281"/>
      <c r="H637" s="3281"/>
      <c r="I637" s="3285"/>
      <c r="J637" s="3281"/>
      <c r="K637" s="3281"/>
      <c r="L637" s="3290" t="s">
        <v>5181</v>
      </c>
      <c r="M637" s="386"/>
      <c r="N637" s="386"/>
      <c r="O637" s="386"/>
      <c r="P637" s="386"/>
      <c r="Q637" s="386"/>
    </row>
    <row r="638" spans="1:17" ht="30" customHeight="1" x14ac:dyDescent="0.2">
      <c r="A638" s="7656"/>
      <c r="B638" s="7717"/>
      <c r="C638" s="7747"/>
      <c r="D638" s="3281">
        <v>223000000</v>
      </c>
      <c r="E638" s="3282">
        <v>7.0000000000000007E-2</v>
      </c>
      <c r="F638" s="3281">
        <f t="shared" si="67"/>
        <v>15610000.000000002</v>
      </c>
      <c r="G638" s="3281"/>
      <c r="H638" s="3281"/>
      <c r="I638" s="3285"/>
      <c r="J638" s="3281"/>
      <c r="K638" s="3281"/>
      <c r="L638" s="3290" t="s">
        <v>5180</v>
      </c>
      <c r="M638" s="386"/>
      <c r="N638" s="386"/>
      <c r="O638" s="386"/>
      <c r="P638" s="386"/>
      <c r="Q638" s="386"/>
    </row>
    <row r="639" spans="1:17" ht="30" customHeight="1" x14ac:dyDescent="0.2">
      <c r="A639" s="7655"/>
      <c r="B639" s="7717"/>
      <c r="C639" s="7724"/>
      <c r="D639" s="3298">
        <v>400000000</v>
      </c>
      <c r="E639" s="3299">
        <v>7.0000000000000007E-2</v>
      </c>
      <c r="F639" s="3298">
        <f t="shared" si="67"/>
        <v>28000000.000000004</v>
      </c>
      <c r="G639" s="3281"/>
      <c r="H639" s="3281"/>
      <c r="I639" s="3285"/>
      <c r="J639" s="3281"/>
      <c r="K639" s="3281"/>
      <c r="L639" s="3290"/>
      <c r="M639" s="386"/>
      <c r="N639" s="386"/>
      <c r="O639" s="386"/>
      <c r="P639" s="386"/>
      <c r="Q639" s="386"/>
    </row>
    <row r="640" spans="1:17" ht="30" customHeight="1" x14ac:dyDescent="0.2">
      <c r="A640" s="3297"/>
      <c r="B640" s="3280" t="s">
        <v>5182</v>
      </c>
      <c r="C640" s="3287" t="s">
        <v>3390</v>
      </c>
      <c r="D640" s="3281">
        <v>150000000</v>
      </c>
      <c r="E640" s="3282"/>
      <c r="F640" s="3281"/>
      <c r="G640" s="3281"/>
      <c r="H640" s="3281"/>
      <c r="I640" s="3285"/>
      <c r="J640" s="3281"/>
      <c r="K640" s="3281"/>
      <c r="L640" s="3290" t="s">
        <v>5183</v>
      </c>
      <c r="M640" s="386"/>
      <c r="N640" s="386"/>
      <c r="O640" s="386"/>
      <c r="P640" s="386"/>
      <c r="Q640" s="386"/>
    </row>
    <row r="641" spans="1:17" ht="30" customHeight="1" x14ac:dyDescent="0.2">
      <c r="A641" s="7654">
        <v>370</v>
      </c>
      <c r="B641" s="7652" t="s">
        <v>1696</v>
      </c>
      <c r="C641" s="7723" t="s">
        <v>3323</v>
      </c>
      <c r="D641" s="7563">
        <v>200000000</v>
      </c>
      <c r="E641" s="7659">
        <v>0.05</v>
      </c>
      <c r="F641" s="7563">
        <f t="shared" si="67"/>
        <v>10000000</v>
      </c>
      <c r="G641" s="2817">
        <v>10000000</v>
      </c>
      <c r="H641" s="2817" t="s">
        <v>4875</v>
      </c>
      <c r="I641" s="472" t="s">
        <v>3400</v>
      </c>
      <c r="J641" s="2817">
        <f t="shared" ref="J641:J655" si="68">G641</f>
        <v>10000000</v>
      </c>
      <c r="K641" s="2855">
        <f>F641-J641</f>
        <v>0</v>
      </c>
      <c r="L641" s="2875" t="s">
        <v>4437</v>
      </c>
      <c r="M641" s="386"/>
      <c r="N641" s="386"/>
      <c r="O641" s="386"/>
      <c r="P641" s="386"/>
      <c r="Q641" s="386"/>
    </row>
    <row r="642" spans="1:17" ht="30" customHeight="1" x14ac:dyDescent="0.2">
      <c r="A642" s="7655"/>
      <c r="B642" s="7653"/>
      <c r="C642" s="7724"/>
      <c r="D642" s="7564"/>
      <c r="E642" s="7660"/>
      <c r="F642" s="7564"/>
      <c r="G642" s="3435">
        <v>10000000</v>
      </c>
      <c r="H642" s="3435" t="s">
        <v>5106</v>
      </c>
      <c r="I642" s="472" t="s">
        <v>3400</v>
      </c>
      <c r="J642" s="3435">
        <f>G642</f>
        <v>10000000</v>
      </c>
      <c r="K642" s="3450">
        <f>F641-J642</f>
        <v>0</v>
      </c>
      <c r="L642" s="3457" t="s">
        <v>4905</v>
      </c>
      <c r="M642" s="386"/>
      <c r="N642" s="386"/>
      <c r="O642" s="386"/>
      <c r="P642" s="386"/>
      <c r="Q642" s="386"/>
    </row>
    <row r="643" spans="1:17" ht="30" customHeight="1" x14ac:dyDescent="0.2">
      <c r="A643" s="1028">
        <v>371</v>
      </c>
      <c r="B643" s="2943" t="s">
        <v>1698</v>
      </c>
      <c r="C643" s="2944" t="s">
        <v>942</v>
      </c>
      <c r="D643" s="2937">
        <v>50000000</v>
      </c>
      <c r="E643" s="2941">
        <v>0.04</v>
      </c>
      <c r="F643" s="2937">
        <f t="shared" si="67"/>
        <v>2000000</v>
      </c>
      <c r="G643" s="2844">
        <v>2000000</v>
      </c>
      <c r="H643" s="2844" t="s">
        <v>5106</v>
      </c>
      <c r="I643" s="2694" t="s">
        <v>1720</v>
      </c>
      <c r="J643" s="2844">
        <f t="shared" si="68"/>
        <v>2000000</v>
      </c>
      <c r="K643" s="2812">
        <f>F643-J643</f>
        <v>0</v>
      </c>
      <c r="L643" s="2875"/>
      <c r="M643" s="386"/>
      <c r="N643" s="386"/>
      <c r="O643" s="386"/>
      <c r="P643" s="386"/>
      <c r="Q643" s="386"/>
    </row>
    <row r="644" spans="1:17" ht="30" customHeight="1" x14ac:dyDescent="0.2">
      <c r="A644" s="2822">
        <v>372</v>
      </c>
      <c r="B644" s="2825" t="s">
        <v>1706</v>
      </c>
      <c r="C644" s="2843"/>
      <c r="D644" s="2834"/>
      <c r="E644" s="2519"/>
      <c r="F644" s="2834"/>
      <c r="G644" s="2817"/>
      <c r="H644" s="2817"/>
      <c r="I644" s="472"/>
      <c r="J644" s="2817">
        <f t="shared" si="68"/>
        <v>0</v>
      </c>
      <c r="K644" s="2861"/>
      <c r="L644" s="2875"/>
      <c r="M644" s="386"/>
      <c r="N644" s="386"/>
      <c r="O644" s="386"/>
      <c r="P644" s="386"/>
      <c r="Q644" s="386"/>
    </row>
    <row r="645" spans="1:17" ht="30" customHeight="1" x14ac:dyDescent="0.2">
      <c r="A645" s="7654"/>
      <c r="B645" s="7652" t="s">
        <v>1725</v>
      </c>
      <c r="C645" s="7723" t="s">
        <v>1718</v>
      </c>
      <c r="D645" s="2844">
        <v>20000000</v>
      </c>
      <c r="E645" s="2867">
        <v>0.05</v>
      </c>
      <c r="F645" s="2844">
        <f>D645*E645</f>
        <v>1000000</v>
      </c>
      <c r="G645" s="7563">
        <v>1500000</v>
      </c>
      <c r="H645" s="7563" t="s">
        <v>4936</v>
      </c>
      <c r="I645" s="7563" t="s">
        <v>3486</v>
      </c>
      <c r="J645" s="7563">
        <f t="shared" si="68"/>
        <v>1500000</v>
      </c>
      <c r="K645" s="7816">
        <f>(F645+F646)-J645</f>
        <v>0</v>
      </c>
      <c r="L645" s="2875"/>
      <c r="M645" s="386"/>
      <c r="N645" s="386"/>
      <c r="O645" s="386"/>
      <c r="P645" s="386"/>
      <c r="Q645" s="386"/>
    </row>
    <row r="646" spans="1:17" ht="30" customHeight="1" x14ac:dyDescent="0.2">
      <c r="A646" s="7655"/>
      <c r="B646" s="7653"/>
      <c r="C646" s="7724"/>
      <c r="D646" s="2817">
        <v>10000000</v>
      </c>
      <c r="E646" s="2867">
        <v>0.05</v>
      </c>
      <c r="F646" s="2844">
        <f>D646*E646</f>
        <v>500000</v>
      </c>
      <c r="G646" s="7564"/>
      <c r="H646" s="7564"/>
      <c r="I646" s="7564"/>
      <c r="J646" s="7564"/>
      <c r="K646" s="7817"/>
      <c r="L646" s="2875" t="s">
        <v>4282</v>
      </c>
      <c r="M646" s="386"/>
      <c r="N646" s="386"/>
      <c r="O646" s="386"/>
      <c r="P646" s="386"/>
      <c r="Q646" s="386"/>
    </row>
    <row r="647" spans="1:17" ht="30" customHeight="1" x14ac:dyDescent="0.2">
      <c r="A647" s="2822">
        <v>374</v>
      </c>
      <c r="B647" s="2825" t="s">
        <v>1727</v>
      </c>
      <c r="C647" s="2843"/>
      <c r="D647" s="2834"/>
      <c r="E647" s="2835"/>
      <c r="F647" s="2834"/>
      <c r="G647" s="2817"/>
      <c r="H647" s="2817"/>
      <c r="I647" s="472"/>
      <c r="J647" s="2817">
        <f t="shared" si="68"/>
        <v>0</v>
      </c>
      <c r="K647" s="2861">
        <f t="shared" ref="K647:K656" si="69">F647-J647</f>
        <v>0</v>
      </c>
      <c r="L647" s="2875"/>
      <c r="M647" s="386"/>
      <c r="N647" s="386"/>
      <c r="O647" s="386"/>
      <c r="P647" s="386"/>
      <c r="Q647" s="386"/>
    </row>
    <row r="648" spans="1:17" ht="30" customHeight="1" x14ac:dyDescent="0.2">
      <c r="A648" s="7654">
        <v>375</v>
      </c>
      <c r="B648" s="7652" t="s">
        <v>1735</v>
      </c>
      <c r="C648" s="7723"/>
      <c r="D648" s="7563">
        <v>900000000</v>
      </c>
      <c r="E648" s="7659">
        <v>7.0000000000000007E-2</v>
      </c>
      <c r="F648" s="7563">
        <f>D648*E648</f>
        <v>63000000.000000007</v>
      </c>
      <c r="G648" s="7991" t="s">
        <v>4826</v>
      </c>
      <c r="H648" s="7992"/>
      <c r="I648" s="7992"/>
      <c r="J648" s="7993"/>
      <c r="K648" s="7816"/>
      <c r="L648" s="2881" t="s">
        <v>4608</v>
      </c>
      <c r="M648" s="386"/>
      <c r="N648" s="386"/>
      <c r="O648" s="386"/>
      <c r="P648" s="386"/>
      <c r="Q648" s="386"/>
    </row>
    <row r="649" spans="1:17" ht="30" customHeight="1" x14ac:dyDescent="0.2">
      <c r="A649" s="7656"/>
      <c r="B649" s="7665"/>
      <c r="C649" s="7747"/>
      <c r="D649" s="7564"/>
      <c r="E649" s="7660"/>
      <c r="F649" s="7564"/>
      <c r="G649" s="7994"/>
      <c r="H649" s="7995"/>
      <c r="I649" s="7995"/>
      <c r="J649" s="7996"/>
      <c r="K649" s="7882"/>
      <c r="L649" s="2875"/>
      <c r="M649" s="386"/>
      <c r="N649" s="386"/>
      <c r="O649" s="386"/>
      <c r="P649" s="386"/>
      <c r="Q649" s="386"/>
    </row>
    <row r="650" spans="1:17" ht="30" customHeight="1" x14ac:dyDescent="0.2">
      <c r="A650" s="7656"/>
      <c r="B650" s="7665"/>
      <c r="C650" s="7747"/>
      <c r="D650" s="2901">
        <v>63000000</v>
      </c>
      <c r="E650" s="2902">
        <v>7.0000000000000007E-2</v>
      </c>
      <c r="F650" s="2901">
        <f>D650*E650</f>
        <v>4410000</v>
      </c>
      <c r="G650" s="7997"/>
      <c r="H650" s="7998"/>
      <c r="I650" s="7998"/>
      <c r="J650" s="7999"/>
      <c r="K650" s="7817"/>
      <c r="L650" s="2921"/>
      <c r="M650" s="386"/>
      <c r="N650" s="386"/>
      <c r="O650" s="386"/>
      <c r="P650" s="386"/>
      <c r="Q650" s="386"/>
    </row>
    <row r="651" spans="1:17" ht="30" customHeight="1" x14ac:dyDescent="0.2">
      <c r="A651" s="7656"/>
      <c r="B651" s="7665"/>
      <c r="C651" s="7747"/>
      <c r="D651" s="2901">
        <v>37000000</v>
      </c>
      <c r="E651" s="2902">
        <v>7.0000000000000007E-2</v>
      </c>
      <c r="F651" s="2901">
        <f>D651*E651</f>
        <v>2590000.0000000005</v>
      </c>
      <c r="G651" s="7732" t="s">
        <v>4812</v>
      </c>
      <c r="H651" s="7733"/>
      <c r="I651" s="7733"/>
      <c r="J651" s="7734"/>
      <c r="K651" s="2911"/>
      <c r="L651" s="2921"/>
      <c r="M651" s="386"/>
      <c r="N651" s="386"/>
      <c r="O651" s="386"/>
      <c r="P651" s="386"/>
      <c r="Q651" s="386"/>
    </row>
    <row r="652" spans="1:17" ht="30" customHeight="1" x14ac:dyDescent="0.2">
      <c r="A652" s="7655"/>
      <c r="B652" s="7653"/>
      <c r="C652" s="7724"/>
      <c r="D652" s="2934">
        <v>1000000000</v>
      </c>
      <c r="E652" s="2935">
        <v>7.0000000000000007E-2</v>
      </c>
      <c r="F652" s="2934">
        <f>D652*E652</f>
        <v>70000000</v>
      </c>
      <c r="G652" s="7732" t="s">
        <v>4827</v>
      </c>
      <c r="H652" s="7733"/>
      <c r="I652" s="7733"/>
      <c r="J652" s="7734"/>
      <c r="K652" s="2940"/>
      <c r="L652" s="2950"/>
      <c r="M652" s="386"/>
      <c r="N652" s="386"/>
      <c r="O652" s="386"/>
      <c r="P652" s="386"/>
      <c r="Q652" s="386"/>
    </row>
    <row r="653" spans="1:17" ht="30" customHeight="1" x14ac:dyDescent="0.2">
      <c r="A653" s="2822">
        <v>376</v>
      </c>
      <c r="B653" s="2825" t="s">
        <v>3580</v>
      </c>
      <c r="C653" s="2843" t="s">
        <v>262</v>
      </c>
      <c r="D653" s="2817">
        <v>50000000</v>
      </c>
      <c r="E653" s="2867">
        <v>0.06</v>
      </c>
      <c r="F653" s="2817">
        <f>D653*E653</f>
        <v>3000000</v>
      </c>
      <c r="G653" s="2817">
        <v>3000000</v>
      </c>
      <c r="H653" s="2817" t="s">
        <v>4936</v>
      </c>
      <c r="I653" s="472" t="s">
        <v>4093</v>
      </c>
      <c r="J653" s="2817">
        <f t="shared" si="68"/>
        <v>3000000</v>
      </c>
      <c r="K653" s="2855">
        <f t="shared" si="69"/>
        <v>0</v>
      </c>
      <c r="L653" s="2875"/>
      <c r="M653" s="386"/>
      <c r="N653" s="386"/>
      <c r="O653" s="386"/>
      <c r="P653" s="386"/>
      <c r="Q653" s="386"/>
    </row>
    <row r="654" spans="1:17" ht="30" customHeight="1" x14ac:dyDescent="0.2">
      <c r="A654" s="2822">
        <v>377</v>
      </c>
      <c r="B654" s="2825" t="s">
        <v>1752</v>
      </c>
      <c r="C654" s="2843" t="s">
        <v>1652</v>
      </c>
      <c r="D654" s="2817">
        <v>153000000</v>
      </c>
      <c r="E654" s="2867">
        <v>7.0000000000000007E-2</v>
      </c>
      <c r="F654" s="2817">
        <f>D654*E654</f>
        <v>10710000.000000002</v>
      </c>
      <c r="G654" s="2817">
        <v>10710000</v>
      </c>
      <c r="H654" s="2817" t="s">
        <v>4920</v>
      </c>
      <c r="I654" s="472" t="s">
        <v>1952</v>
      </c>
      <c r="J654" s="2817">
        <f t="shared" si="68"/>
        <v>10710000</v>
      </c>
      <c r="K654" s="2855">
        <f t="shared" si="69"/>
        <v>0</v>
      </c>
      <c r="L654" s="2875"/>
      <c r="M654" s="386"/>
      <c r="N654" s="386"/>
      <c r="O654" s="386"/>
      <c r="P654" s="386"/>
      <c r="Q654" s="386"/>
    </row>
    <row r="655" spans="1:17" ht="30" customHeight="1" x14ac:dyDescent="0.2">
      <c r="A655" s="2822">
        <v>378</v>
      </c>
      <c r="B655" s="2825" t="s">
        <v>1790</v>
      </c>
      <c r="C655" s="2843" t="s">
        <v>889</v>
      </c>
      <c r="D655" s="2817">
        <v>300000000</v>
      </c>
      <c r="E655" s="2867">
        <v>5.0999999999999997E-2</v>
      </c>
      <c r="F655" s="2817">
        <v>15500000</v>
      </c>
      <c r="G655" s="2817">
        <v>15500000</v>
      </c>
      <c r="H655" s="2817" t="s">
        <v>4860</v>
      </c>
      <c r="I655" s="472" t="s">
        <v>4943</v>
      </c>
      <c r="J655" s="2817">
        <f t="shared" si="68"/>
        <v>15500000</v>
      </c>
      <c r="K655" s="2855">
        <f t="shared" si="69"/>
        <v>0</v>
      </c>
      <c r="L655" s="2875"/>
      <c r="M655" s="386"/>
      <c r="N655" s="386"/>
      <c r="O655" s="386"/>
      <c r="P655" s="386"/>
      <c r="Q655" s="386"/>
    </row>
    <row r="656" spans="1:17" ht="30" customHeight="1" x14ac:dyDescent="0.2">
      <c r="A656" s="7654">
        <v>379</v>
      </c>
      <c r="B656" s="7652" t="s">
        <v>1753</v>
      </c>
      <c r="C656" s="7723" t="s">
        <v>372</v>
      </c>
      <c r="D656" s="7563">
        <v>50000000</v>
      </c>
      <c r="E656" s="7659">
        <v>0.04</v>
      </c>
      <c r="F656" s="7563">
        <f>D656*E656</f>
        <v>2000000</v>
      </c>
      <c r="G656" s="7563">
        <v>2000000</v>
      </c>
      <c r="H656" s="7563" t="s">
        <v>4936</v>
      </c>
      <c r="I656" s="7889" t="s">
        <v>4429</v>
      </c>
      <c r="J656" s="7563">
        <f>G656+G657</f>
        <v>2000000</v>
      </c>
      <c r="K656" s="7816">
        <f t="shared" si="69"/>
        <v>0</v>
      </c>
      <c r="L656" s="7816"/>
      <c r="M656" s="386"/>
      <c r="N656" s="386"/>
      <c r="O656" s="386"/>
      <c r="P656" s="386"/>
      <c r="Q656" s="386"/>
    </row>
    <row r="657" spans="1:17" ht="30" customHeight="1" x14ac:dyDescent="0.2">
      <c r="A657" s="7655"/>
      <c r="B657" s="7653"/>
      <c r="C657" s="7724"/>
      <c r="D657" s="7564"/>
      <c r="E657" s="7660"/>
      <c r="F657" s="7564"/>
      <c r="G657" s="7564"/>
      <c r="H657" s="7564"/>
      <c r="I657" s="7890"/>
      <c r="J657" s="7564"/>
      <c r="K657" s="7817"/>
      <c r="L657" s="7817"/>
      <c r="M657" s="386"/>
      <c r="N657" s="386"/>
      <c r="O657" s="386"/>
      <c r="P657" s="386"/>
      <c r="Q657" s="386"/>
    </row>
    <row r="658" spans="1:17" ht="30" customHeight="1" x14ac:dyDescent="0.2">
      <c r="A658" s="2822">
        <v>381</v>
      </c>
      <c r="B658" s="2825" t="s">
        <v>1797</v>
      </c>
      <c r="C658" s="2843" t="s">
        <v>889</v>
      </c>
      <c r="D658" s="2817">
        <v>50000000</v>
      </c>
      <c r="E658" s="2867">
        <v>0.05</v>
      </c>
      <c r="F658" s="2817">
        <f>D658*E658</f>
        <v>2500000</v>
      </c>
      <c r="G658" s="2817">
        <v>2500000</v>
      </c>
      <c r="H658" s="2817" t="s">
        <v>4839</v>
      </c>
      <c r="I658" s="472" t="s">
        <v>3516</v>
      </c>
      <c r="J658" s="2817">
        <f>G658</f>
        <v>2500000</v>
      </c>
      <c r="K658" s="2855">
        <f>F658-J658</f>
        <v>0</v>
      </c>
      <c r="L658" s="2875"/>
      <c r="M658" s="386"/>
      <c r="N658" s="386"/>
      <c r="O658" s="386"/>
      <c r="P658" s="386"/>
      <c r="Q658" s="386"/>
    </row>
    <row r="659" spans="1:17" ht="30" customHeight="1" x14ac:dyDescent="0.2">
      <c r="A659" s="2822">
        <v>382</v>
      </c>
      <c r="B659" s="2825" t="s">
        <v>1812</v>
      </c>
      <c r="C659" s="2843" t="s">
        <v>262</v>
      </c>
      <c r="D659" s="2817">
        <v>150000000</v>
      </c>
      <c r="E659" s="2867"/>
      <c r="F659" s="2817"/>
      <c r="G659" s="2817"/>
      <c r="H659" s="2817"/>
      <c r="I659" s="472"/>
      <c r="J659" s="2817"/>
      <c r="K659" s="2855"/>
      <c r="L659" s="2875"/>
      <c r="M659" s="386"/>
      <c r="N659" s="386"/>
      <c r="O659" s="386"/>
      <c r="P659" s="386"/>
      <c r="Q659" s="386"/>
    </row>
    <row r="660" spans="1:17" ht="30" customHeight="1" x14ac:dyDescent="0.2">
      <c r="A660" s="2822">
        <v>383</v>
      </c>
      <c r="B660" s="2825" t="s">
        <v>1823</v>
      </c>
      <c r="C660" s="2843" t="s">
        <v>262</v>
      </c>
      <c r="D660" s="2817">
        <v>10000000</v>
      </c>
      <c r="E660" s="2867">
        <v>7.0000000000000007E-2</v>
      </c>
      <c r="F660" s="2817">
        <f t="shared" ref="F660:F666" si="70">D660*E660</f>
        <v>700000.00000000012</v>
      </c>
      <c r="G660" s="2817">
        <v>700000</v>
      </c>
      <c r="H660" s="2817" t="s">
        <v>5052</v>
      </c>
      <c r="I660" s="472" t="s">
        <v>2928</v>
      </c>
      <c r="J660" s="2817">
        <f>G660</f>
        <v>700000</v>
      </c>
      <c r="K660" s="2855">
        <f>F660-J660</f>
        <v>0</v>
      </c>
      <c r="L660" s="2875"/>
      <c r="M660" s="386"/>
      <c r="N660" s="386"/>
      <c r="O660" s="386"/>
      <c r="P660" s="386"/>
      <c r="Q660" s="386"/>
    </row>
    <row r="661" spans="1:17" ht="30" customHeight="1" x14ac:dyDescent="0.2">
      <c r="A661" s="624">
        <v>384</v>
      </c>
      <c r="B661" s="2825" t="s">
        <v>1861</v>
      </c>
      <c r="C661" s="2843" t="s">
        <v>262</v>
      </c>
      <c r="D661" s="2817">
        <v>150000000</v>
      </c>
      <c r="E661" s="2867">
        <v>7.0000000000000007E-2</v>
      </c>
      <c r="F661" s="2817">
        <f t="shared" si="70"/>
        <v>10500000.000000002</v>
      </c>
      <c r="G661" s="2817">
        <v>10500000</v>
      </c>
      <c r="H661" s="2817" t="s">
        <v>5015</v>
      </c>
      <c r="I661" s="472" t="s">
        <v>1960</v>
      </c>
      <c r="J661" s="2817">
        <f>G661</f>
        <v>10500000</v>
      </c>
      <c r="K661" s="2855">
        <f>F661-J661</f>
        <v>0</v>
      </c>
      <c r="L661" s="2875"/>
      <c r="M661" s="386"/>
      <c r="N661" s="386"/>
      <c r="O661" s="386"/>
      <c r="P661" s="386"/>
      <c r="Q661" s="386"/>
    </row>
    <row r="662" spans="1:17" ht="30" customHeight="1" x14ac:dyDescent="0.2">
      <c r="A662" s="2822">
        <v>385</v>
      </c>
      <c r="B662" s="2825" t="s">
        <v>1877</v>
      </c>
      <c r="C662" s="2843" t="s">
        <v>371</v>
      </c>
      <c r="D662" s="2817">
        <v>12000000</v>
      </c>
      <c r="E662" s="2867">
        <v>0.05</v>
      </c>
      <c r="F662" s="2817">
        <f t="shared" si="70"/>
        <v>600000</v>
      </c>
      <c r="G662" s="2817">
        <v>600000</v>
      </c>
      <c r="H662" s="2817" t="s">
        <v>5083</v>
      </c>
      <c r="I662" s="472" t="s">
        <v>2855</v>
      </c>
      <c r="J662" s="2817">
        <f>G662</f>
        <v>600000</v>
      </c>
      <c r="K662" s="2855">
        <f>F662-J662</f>
        <v>0</v>
      </c>
      <c r="L662" s="2875" t="s">
        <v>1878</v>
      </c>
      <c r="M662" s="386"/>
      <c r="N662" s="386"/>
      <c r="O662" s="386"/>
      <c r="P662" s="386"/>
      <c r="Q662" s="386"/>
    </row>
    <row r="663" spans="1:17" ht="30" customHeight="1" x14ac:dyDescent="0.2">
      <c r="A663" s="7654">
        <v>386</v>
      </c>
      <c r="B663" s="7652" t="s">
        <v>3092</v>
      </c>
      <c r="C663" s="7723" t="s">
        <v>1306</v>
      </c>
      <c r="D663" s="2816">
        <v>100000000</v>
      </c>
      <c r="E663" s="2818">
        <v>7.0000000000000007E-2</v>
      </c>
      <c r="F663" s="2816">
        <f t="shared" si="70"/>
        <v>7000000.0000000009</v>
      </c>
      <c r="G663" s="2817">
        <v>7000000</v>
      </c>
      <c r="H663" s="2937" t="s">
        <v>5211</v>
      </c>
      <c r="I663" s="2694" t="s">
        <v>1943</v>
      </c>
      <c r="J663" s="2816">
        <f>G663</f>
        <v>7000000</v>
      </c>
      <c r="K663" s="2854">
        <f>F663-J663</f>
        <v>0</v>
      </c>
      <c r="L663" s="2945" t="s">
        <v>4477</v>
      </c>
      <c r="M663" s="386"/>
      <c r="N663" s="386"/>
      <c r="O663" s="386"/>
      <c r="P663" s="386"/>
      <c r="Q663" s="386"/>
    </row>
    <row r="664" spans="1:17" ht="30" customHeight="1" x14ac:dyDescent="0.2">
      <c r="A664" s="7656"/>
      <c r="B664" s="7653"/>
      <c r="C664" s="7724"/>
      <c r="D664" s="7494" t="s">
        <v>4876</v>
      </c>
      <c r="E664" s="7495"/>
      <c r="F664" s="7768"/>
      <c r="G664" s="2817">
        <v>10000000</v>
      </c>
      <c r="H664" s="2937" t="s">
        <v>4875</v>
      </c>
      <c r="I664" s="2694" t="s">
        <v>1943</v>
      </c>
      <c r="J664" s="2930">
        <f>G664</f>
        <v>10000000</v>
      </c>
      <c r="K664" s="2939"/>
      <c r="L664" s="2854"/>
      <c r="M664" s="386"/>
      <c r="N664" s="386"/>
      <c r="O664" s="386"/>
      <c r="P664" s="386"/>
      <c r="Q664" s="386"/>
    </row>
    <row r="665" spans="1:17" ht="30" customHeight="1" x14ac:dyDescent="0.2">
      <c r="A665" s="4090">
        <v>387</v>
      </c>
      <c r="B665" s="4091" t="s">
        <v>1923</v>
      </c>
      <c r="C665" s="4092"/>
      <c r="D665" s="4082">
        <v>75000000</v>
      </c>
      <c r="E665" s="4088">
        <v>0.04</v>
      </c>
      <c r="F665" s="4082">
        <f t="shared" si="70"/>
        <v>3000000</v>
      </c>
      <c r="G665" s="2694"/>
      <c r="H665" s="2694"/>
      <c r="I665" s="2694"/>
      <c r="J665" s="2694"/>
      <c r="K665" s="2812"/>
      <c r="L665" s="2945"/>
      <c r="M665" s="386"/>
      <c r="N665" s="386"/>
      <c r="O665" s="386"/>
      <c r="P665" s="386"/>
      <c r="Q665" s="386"/>
    </row>
    <row r="666" spans="1:17" ht="30" customHeight="1" x14ac:dyDescent="0.2">
      <c r="A666" s="7879"/>
      <c r="B666" s="7717" t="s">
        <v>1953</v>
      </c>
      <c r="C666" s="7873" t="s">
        <v>3302</v>
      </c>
      <c r="D666" s="7482">
        <v>150000000</v>
      </c>
      <c r="E666" s="7870">
        <v>0.05</v>
      </c>
      <c r="F666" s="7482">
        <f t="shared" si="70"/>
        <v>7500000</v>
      </c>
      <c r="G666" s="7772">
        <v>7500000</v>
      </c>
      <c r="H666" s="7772" t="s">
        <v>5211</v>
      </c>
      <c r="I666" s="7772" t="s">
        <v>4581</v>
      </c>
      <c r="J666" s="7772">
        <f>G666</f>
        <v>7500000</v>
      </c>
      <c r="K666" s="7816">
        <f>G666-J666</f>
        <v>0</v>
      </c>
      <c r="L666" s="2881" t="s">
        <v>3300</v>
      </c>
      <c r="M666" s="386"/>
      <c r="N666" s="386"/>
      <c r="O666" s="386"/>
      <c r="P666" s="386"/>
      <c r="Q666" s="386"/>
    </row>
    <row r="667" spans="1:17" ht="30" customHeight="1" x14ac:dyDescent="0.2">
      <c r="A667" s="7879"/>
      <c r="B667" s="7717"/>
      <c r="C667" s="7873"/>
      <c r="D667" s="7482"/>
      <c r="E667" s="7870"/>
      <c r="F667" s="7482"/>
      <c r="G667" s="7773"/>
      <c r="H667" s="7773"/>
      <c r="I667" s="7773"/>
      <c r="J667" s="7773"/>
      <c r="K667" s="7817"/>
      <c r="L667" s="2875" t="s">
        <v>3301</v>
      </c>
      <c r="M667" s="386"/>
      <c r="N667" s="386"/>
      <c r="O667" s="386"/>
      <c r="P667" s="386"/>
      <c r="Q667" s="386"/>
    </row>
    <row r="668" spans="1:17" ht="30" customHeight="1" x14ac:dyDescent="0.2">
      <c r="A668" s="2822">
        <v>390</v>
      </c>
      <c r="B668" s="2825" t="s">
        <v>1996</v>
      </c>
      <c r="C668" s="2843" t="s">
        <v>889</v>
      </c>
      <c r="D668" s="2817">
        <v>5000000</v>
      </c>
      <c r="E668" s="2819">
        <v>0.05</v>
      </c>
      <c r="F668" s="2817">
        <f>D668*E668</f>
        <v>250000</v>
      </c>
      <c r="G668" s="2817">
        <v>250000</v>
      </c>
      <c r="H668" s="2817" t="s">
        <v>4846</v>
      </c>
      <c r="I668" s="472" t="s">
        <v>2533</v>
      </c>
      <c r="J668" s="2817">
        <f>G668</f>
        <v>250000</v>
      </c>
      <c r="K668" s="2855">
        <f>F668-J668</f>
        <v>0</v>
      </c>
      <c r="L668" s="2875"/>
      <c r="M668" s="386"/>
      <c r="N668" s="386"/>
      <c r="O668" s="386"/>
      <c r="P668" s="386"/>
      <c r="Q668" s="386"/>
    </row>
    <row r="669" spans="1:17" ht="30" customHeight="1" x14ac:dyDescent="0.2">
      <c r="A669" s="7879">
        <v>391</v>
      </c>
      <c r="B669" s="7717" t="s">
        <v>2003</v>
      </c>
      <c r="C669" s="7873" t="s">
        <v>3390</v>
      </c>
      <c r="D669" s="7482">
        <v>1000000000</v>
      </c>
      <c r="E669" s="7870">
        <v>0.05</v>
      </c>
      <c r="F669" s="7482">
        <f>D669*E669</f>
        <v>50000000</v>
      </c>
      <c r="G669" s="7563">
        <v>50000000</v>
      </c>
      <c r="H669" s="7563" t="s">
        <v>5202</v>
      </c>
      <c r="I669" s="7563" t="s">
        <v>3200</v>
      </c>
      <c r="J669" s="7563">
        <f>G669</f>
        <v>50000000</v>
      </c>
      <c r="K669" s="7563">
        <f>F669-J669</f>
        <v>0</v>
      </c>
      <c r="L669" s="7811"/>
      <c r="M669" s="386"/>
      <c r="N669" s="386"/>
      <c r="O669" s="386"/>
      <c r="P669" s="386"/>
      <c r="Q669" s="386"/>
    </row>
    <row r="670" spans="1:17" ht="30" customHeight="1" x14ac:dyDescent="0.2">
      <c r="A670" s="7879"/>
      <c r="B670" s="7717"/>
      <c r="C670" s="7873"/>
      <c r="D670" s="7482"/>
      <c r="E670" s="7870"/>
      <c r="F670" s="7482"/>
      <c r="G670" s="7564"/>
      <c r="H670" s="7564"/>
      <c r="I670" s="7564"/>
      <c r="J670" s="7564"/>
      <c r="K670" s="7564"/>
      <c r="L670" s="7812"/>
      <c r="M670" s="386"/>
      <c r="N670" s="386"/>
      <c r="O670" s="386"/>
      <c r="P670" s="386"/>
      <c r="Q670" s="386"/>
    </row>
    <row r="671" spans="1:17" ht="30" customHeight="1" x14ac:dyDescent="0.2">
      <c r="A671" s="2822">
        <v>392</v>
      </c>
      <c r="B671" s="2825" t="s">
        <v>2048</v>
      </c>
      <c r="C671" s="2843" t="s">
        <v>1294</v>
      </c>
      <c r="D671" s="2817">
        <v>50000000</v>
      </c>
      <c r="E671" s="2867">
        <v>0.05</v>
      </c>
      <c r="F671" s="2817">
        <f>D671*E671</f>
        <v>2500000</v>
      </c>
      <c r="G671" s="2817">
        <v>2500000</v>
      </c>
      <c r="H671" s="2817" t="s">
        <v>5226</v>
      </c>
      <c r="I671" s="472" t="s">
        <v>3047</v>
      </c>
      <c r="J671" s="2817">
        <f>G671</f>
        <v>2500000</v>
      </c>
      <c r="K671" s="2855">
        <f>F671-J671</f>
        <v>0</v>
      </c>
      <c r="L671" s="2875"/>
      <c r="M671" s="386"/>
      <c r="N671" s="386"/>
      <c r="O671" s="386"/>
      <c r="P671" s="386"/>
      <c r="Q671" s="386"/>
    </row>
    <row r="672" spans="1:17" ht="30" customHeight="1" x14ac:dyDescent="0.2">
      <c r="A672" s="2872"/>
      <c r="B672" s="19" t="s">
        <v>2040</v>
      </c>
      <c r="C672" s="2869"/>
      <c r="D672" s="2814">
        <v>70000000</v>
      </c>
      <c r="E672" s="2867">
        <v>0.05</v>
      </c>
      <c r="F672" s="2844">
        <f>D672*E672</f>
        <v>3500000</v>
      </c>
      <c r="G672" s="2844">
        <v>3500000</v>
      </c>
      <c r="H672" s="2844" t="s">
        <v>5174</v>
      </c>
      <c r="I672" s="2844" t="s">
        <v>3537</v>
      </c>
      <c r="J672" s="2844">
        <f>G672</f>
        <v>3500000</v>
      </c>
      <c r="K672" s="2812">
        <f>F672-J672</f>
        <v>0</v>
      </c>
      <c r="L672" s="2875"/>
      <c r="M672" s="386"/>
      <c r="N672" s="386"/>
      <c r="O672" s="386"/>
      <c r="P672" s="386"/>
      <c r="Q672" s="386"/>
    </row>
    <row r="673" spans="1:17" ht="30" customHeight="1" x14ac:dyDescent="0.2">
      <c r="A673" s="7656"/>
      <c r="B673" s="2885" t="s">
        <v>2052</v>
      </c>
      <c r="C673" s="8024" t="s">
        <v>1306</v>
      </c>
      <c r="D673" s="2882">
        <v>600000000</v>
      </c>
      <c r="E673" s="2896">
        <v>0.06</v>
      </c>
      <c r="F673" s="2882">
        <f>D673*E673</f>
        <v>36000000</v>
      </c>
      <c r="G673" s="7586"/>
      <c r="H673" s="7586"/>
      <c r="I673" s="8036"/>
      <c r="J673" s="7586"/>
      <c r="K673" s="2855"/>
      <c r="L673" s="2875"/>
      <c r="M673" s="386"/>
      <c r="N673" s="386"/>
      <c r="O673" s="386"/>
      <c r="P673" s="386"/>
      <c r="Q673" s="386"/>
    </row>
    <row r="674" spans="1:17" ht="30" customHeight="1" x14ac:dyDescent="0.2">
      <c r="A674" s="7656"/>
      <c r="B674" s="2885" t="s">
        <v>2049</v>
      </c>
      <c r="C674" s="8024"/>
      <c r="D674" s="2882">
        <v>310000000</v>
      </c>
      <c r="E674" s="679">
        <v>0.06</v>
      </c>
      <c r="F674" s="2882">
        <f t="shared" ref="F674:F678" si="71">D674*E674</f>
        <v>18600000</v>
      </c>
      <c r="G674" s="7586"/>
      <c r="H674" s="7586"/>
      <c r="I674" s="8036"/>
      <c r="J674" s="7586"/>
      <c r="K674" s="2855"/>
      <c r="L674" s="2875"/>
      <c r="M674" s="386"/>
      <c r="N674" s="386"/>
      <c r="O674" s="386"/>
      <c r="P674" s="386"/>
      <c r="Q674" s="386"/>
    </row>
    <row r="675" spans="1:17" ht="30" customHeight="1" x14ac:dyDescent="0.2">
      <c r="A675" s="7656"/>
      <c r="B675" s="2885" t="s">
        <v>2053</v>
      </c>
      <c r="C675" s="8024"/>
      <c r="D675" s="2882">
        <v>50000000</v>
      </c>
      <c r="E675" s="679">
        <v>0.06</v>
      </c>
      <c r="F675" s="2882">
        <f t="shared" si="71"/>
        <v>3000000</v>
      </c>
      <c r="G675" s="7586"/>
      <c r="H675" s="7586"/>
      <c r="I675" s="8036"/>
      <c r="J675" s="7586"/>
      <c r="K675" s="2855"/>
      <c r="L675" s="2875"/>
      <c r="M675" s="386"/>
      <c r="N675" s="386"/>
      <c r="O675" s="386"/>
      <c r="P675" s="386"/>
      <c r="Q675" s="386"/>
    </row>
    <row r="676" spans="1:17" ht="30" customHeight="1" x14ac:dyDescent="0.2">
      <c r="A676" s="7656"/>
      <c r="B676" s="2885" t="s">
        <v>2050</v>
      </c>
      <c r="C676" s="8024"/>
      <c r="D676" s="2882">
        <v>110000000</v>
      </c>
      <c r="E676" s="679">
        <v>0.06</v>
      </c>
      <c r="F676" s="2882">
        <f t="shared" si="71"/>
        <v>6600000</v>
      </c>
      <c r="G676" s="7586"/>
      <c r="H676" s="7586"/>
      <c r="I676" s="8036"/>
      <c r="J676" s="7586"/>
      <c r="K676" s="2855"/>
      <c r="L676" s="2875"/>
      <c r="M676" s="386"/>
      <c r="N676" s="386"/>
      <c r="O676" s="386"/>
      <c r="P676" s="386"/>
      <c r="Q676" s="386"/>
    </row>
    <row r="677" spans="1:17" ht="30" customHeight="1" x14ac:dyDescent="0.2">
      <c r="A677" s="7656"/>
      <c r="B677" s="2885" t="s">
        <v>2051</v>
      </c>
      <c r="C677" s="8025"/>
      <c r="D677" s="2882">
        <v>100000000</v>
      </c>
      <c r="E677" s="679">
        <v>0.06</v>
      </c>
      <c r="F677" s="2882">
        <f t="shared" si="71"/>
        <v>6000000</v>
      </c>
      <c r="G677" s="7564"/>
      <c r="H677" s="7564"/>
      <c r="I677" s="7890"/>
      <c r="J677" s="7564"/>
      <c r="K677" s="2855"/>
      <c r="L677" s="2875"/>
      <c r="M677" s="386"/>
      <c r="N677" s="386"/>
      <c r="O677" s="386"/>
      <c r="P677" s="386"/>
      <c r="Q677" s="386"/>
    </row>
    <row r="678" spans="1:17" ht="30" customHeight="1" x14ac:dyDescent="0.2">
      <c r="A678" s="7656"/>
      <c r="B678" s="1790" t="s">
        <v>4588</v>
      </c>
      <c r="C678" s="2890"/>
      <c r="D678" s="2891">
        <v>50000000</v>
      </c>
      <c r="E678" s="2895">
        <v>0.06</v>
      </c>
      <c r="F678" s="2891">
        <f t="shared" si="71"/>
        <v>3000000</v>
      </c>
      <c r="G678" s="7732" t="s">
        <v>4590</v>
      </c>
      <c r="H678" s="7733"/>
      <c r="I678" s="7733"/>
      <c r="J678" s="7734"/>
      <c r="K678" s="2873"/>
      <c r="L678" s="2851"/>
      <c r="M678" s="386"/>
      <c r="N678" s="386"/>
      <c r="O678" s="386"/>
      <c r="P678" s="386"/>
      <c r="Q678" s="386"/>
    </row>
    <row r="679" spans="1:17" ht="30" customHeight="1" x14ac:dyDescent="0.2">
      <c r="A679" s="7656"/>
      <c r="B679" s="8021" t="s">
        <v>3423</v>
      </c>
      <c r="C679" s="8023" t="s">
        <v>1306</v>
      </c>
      <c r="D679" s="8001">
        <f>SUM(D673:D678)</f>
        <v>1220000000</v>
      </c>
      <c r="E679" s="8083"/>
      <c r="F679" s="8001">
        <f>SUM(F673:F678)</f>
        <v>73200000</v>
      </c>
      <c r="G679" s="8193" t="s">
        <v>4589</v>
      </c>
      <c r="H679" s="8194"/>
      <c r="I679" s="8194"/>
      <c r="J679" s="8195"/>
      <c r="K679" s="7816">
        <f>F679-J679</f>
        <v>73200000</v>
      </c>
      <c r="L679" s="7816"/>
      <c r="M679" s="386"/>
      <c r="N679" s="386"/>
      <c r="O679" s="386"/>
      <c r="P679" s="386"/>
      <c r="Q679" s="386"/>
    </row>
    <row r="680" spans="1:17" ht="30" customHeight="1" x14ac:dyDescent="0.2">
      <c r="A680" s="7655"/>
      <c r="B680" s="8022"/>
      <c r="C680" s="8025"/>
      <c r="D680" s="8002"/>
      <c r="E680" s="8084"/>
      <c r="F680" s="8002"/>
      <c r="G680" s="8196"/>
      <c r="H680" s="8197"/>
      <c r="I680" s="8197"/>
      <c r="J680" s="8198"/>
      <c r="K680" s="7817"/>
      <c r="L680" s="7817"/>
      <c r="M680" s="386"/>
      <c r="N680" s="386"/>
      <c r="O680" s="386"/>
      <c r="P680" s="386"/>
      <c r="Q680" s="386"/>
    </row>
    <row r="681" spans="1:17" ht="30" customHeight="1" x14ac:dyDescent="0.2">
      <c r="A681" s="2872"/>
      <c r="B681" s="2870" t="s">
        <v>2069</v>
      </c>
      <c r="C681" s="2869" t="s">
        <v>3323</v>
      </c>
      <c r="D681" s="2844">
        <v>200000000</v>
      </c>
      <c r="E681" s="2867">
        <v>7.0000000000000007E-2</v>
      </c>
      <c r="F681" s="2844">
        <f t="shared" ref="F681:F685" si="72">D681*E681</f>
        <v>14000000.000000002</v>
      </c>
      <c r="G681" s="2817">
        <v>14000000</v>
      </c>
      <c r="H681" s="2817" t="s">
        <v>5106</v>
      </c>
      <c r="I681" s="472" t="s">
        <v>1076</v>
      </c>
      <c r="J681" s="2844">
        <f>G681</f>
        <v>14000000</v>
      </c>
      <c r="K681" s="2812">
        <f>F681-J681</f>
        <v>0</v>
      </c>
      <c r="L681" s="2854"/>
      <c r="M681" s="386"/>
      <c r="N681" s="386"/>
      <c r="O681" s="386"/>
      <c r="P681" s="386"/>
      <c r="Q681" s="386"/>
    </row>
    <row r="682" spans="1:17" ht="30" customHeight="1" x14ac:dyDescent="0.2">
      <c r="A682" s="2822"/>
      <c r="B682" s="2825" t="s">
        <v>2089</v>
      </c>
      <c r="C682" s="2843" t="s">
        <v>2278</v>
      </c>
      <c r="D682" s="2817">
        <v>13000000</v>
      </c>
      <c r="E682" s="2867">
        <v>0.05</v>
      </c>
      <c r="F682" s="2817">
        <f t="shared" si="72"/>
        <v>650000</v>
      </c>
      <c r="G682" s="2817">
        <v>650000</v>
      </c>
      <c r="H682" s="2817" t="s">
        <v>5154</v>
      </c>
      <c r="I682" s="472" t="s">
        <v>2984</v>
      </c>
      <c r="J682" s="2817">
        <f>G682</f>
        <v>650000</v>
      </c>
      <c r="K682" s="2855">
        <f>F682-J682</f>
        <v>0</v>
      </c>
      <c r="L682" s="2875"/>
      <c r="M682" s="386"/>
      <c r="N682" s="386"/>
      <c r="O682" s="386"/>
      <c r="P682" s="386"/>
      <c r="Q682" s="386"/>
    </row>
    <row r="683" spans="1:17" ht="30" customHeight="1" x14ac:dyDescent="0.2">
      <c r="A683" s="2822"/>
      <c r="B683" s="2825" t="s">
        <v>2128</v>
      </c>
      <c r="C683" s="2843" t="s">
        <v>1287</v>
      </c>
      <c r="D683" s="2817">
        <v>50000000</v>
      </c>
      <c r="E683" s="2867">
        <v>0.04</v>
      </c>
      <c r="F683" s="2817">
        <f t="shared" si="72"/>
        <v>2000000</v>
      </c>
      <c r="G683" s="2817">
        <v>2000000</v>
      </c>
      <c r="H683" s="2817" t="s">
        <v>5016</v>
      </c>
      <c r="I683" s="472" t="s">
        <v>2169</v>
      </c>
      <c r="J683" s="2817">
        <f>G683</f>
        <v>2000000</v>
      </c>
      <c r="K683" s="2855">
        <f>F683-G683</f>
        <v>0</v>
      </c>
      <c r="L683" s="2875"/>
      <c r="M683" s="386"/>
      <c r="N683" s="386"/>
      <c r="O683" s="386"/>
      <c r="P683" s="386"/>
      <c r="Q683" s="386"/>
    </row>
    <row r="684" spans="1:17" ht="30" customHeight="1" x14ac:dyDescent="0.2">
      <c r="A684" s="2821"/>
      <c r="B684" s="2865" t="s">
        <v>2129</v>
      </c>
      <c r="C684" s="2843" t="s">
        <v>372</v>
      </c>
      <c r="D684" s="2816">
        <v>100000000</v>
      </c>
      <c r="E684" s="2818">
        <v>0.05</v>
      </c>
      <c r="F684" s="2816">
        <f t="shared" si="72"/>
        <v>5000000</v>
      </c>
      <c r="G684" s="2827">
        <v>5000000</v>
      </c>
      <c r="H684" s="2827" t="s">
        <v>5052</v>
      </c>
      <c r="I684" s="1663" t="s">
        <v>3581</v>
      </c>
      <c r="J684" s="2816">
        <f>G684</f>
        <v>5000000</v>
      </c>
      <c r="K684" s="2854">
        <f>F684-J684</f>
        <v>0</v>
      </c>
      <c r="L684" s="2854"/>
      <c r="M684" s="386"/>
      <c r="N684" s="386"/>
      <c r="O684" s="386"/>
      <c r="P684" s="386"/>
      <c r="Q684" s="386"/>
    </row>
    <row r="685" spans="1:17" s="1539" customFormat="1" ht="30" customHeight="1" x14ac:dyDescent="0.2">
      <c r="A685" s="2872"/>
      <c r="B685" s="2870" t="s">
        <v>2208</v>
      </c>
      <c r="C685" s="2869" t="s">
        <v>1306</v>
      </c>
      <c r="D685" s="2844">
        <v>30000000</v>
      </c>
      <c r="E685" s="2867">
        <v>0.05</v>
      </c>
      <c r="F685" s="2844">
        <f t="shared" si="72"/>
        <v>1500000</v>
      </c>
      <c r="G685" s="2844">
        <v>1500000</v>
      </c>
      <c r="H685" s="2844" t="s">
        <v>5227</v>
      </c>
      <c r="I685" s="2844" t="s">
        <v>3204</v>
      </c>
      <c r="J685" s="2844">
        <f>G685</f>
        <v>1500000</v>
      </c>
      <c r="K685" s="2844">
        <f>F685-J685</f>
        <v>0</v>
      </c>
      <c r="L685" s="2875"/>
      <c r="M685" s="387"/>
      <c r="N685" s="387"/>
      <c r="O685" s="387"/>
      <c r="P685" s="387"/>
      <c r="Q685" s="387"/>
    </row>
    <row r="686" spans="1:17" ht="30" customHeight="1" x14ac:dyDescent="0.2">
      <c r="A686" s="2822"/>
      <c r="B686" s="2825" t="s">
        <v>2303</v>
      </c>
      <c r="C686" s="2843"/>
      <c r="D686" s="2817">
        <v>100000000</v>
      </c>
      <c r="E686" s="2867">
        <v>4.4999999999999998E-2</v>
      </c>
      <c r="F686" s="2817">
        <f>D686*E686</f>
        <v>4500000</v>
      </c>
      <c r="G686" s="2817"/>
      <c r="H686" s="2817"/>
      <c r="I686" s="472" t="s">
        <v>2304</v>
      </c>
      <c r="J686" s="2817">
        <f t="shared" ref="J686:J690" si="73">G686</f>
        <v>0</v>
      </c>
      <c r="K686" s="2855">
        <f>F686-J686</f>
        <v>4500000</v>
      </c>
      <c r="L686" s="2875" t="s">
        <v>4828</v>
      </c>
      <c r="M686" s="386"/>
      <c r="N686" s="386"/>
      <c r="O686" s="386"/>
      <c r="P686" s="386"/>
      <c r="Q686" s="386"/>
    </row>
    <row r="687" spans="1:17" ht="30" customHeight="1" x14ac:dyDescent="0.2">
      <c r="A687" s="2822"/>
      <c r="B687" s="2825" t="s">
        <v>2344</v>
      </c>
      <c r="C687" s="2843" t="s">
        <v>1306</v>
      </c>
      <c r="D687" s="2817">
        <v>25000000</v>
      </c>
      <c r="E687" s="2867">
        <v>0.04</v>
      </c>
      <c r="F687" s="2817">
        <f>D687*E687</f>
        <v>1000000</v>
      </c>
      <c r="G687" s="2817">
        <v>1000000</v>
      </c>
      <c r="H687" s="2817" t="s">
        <v>5226</v>
      </c>
      <c r="I687" s="472" t="s">
        <v>2346</v>
      </c>
      <c r="J687" s="2817">
        <f t="shared" si="73"/>
        <v>1000000</v>
      </c>
      <c r="K687" s="2855">
        <f>F687-J687</f>
        <v>0</v>
      </c>
      <c r="L687" s="2875"/>
      <c r="M687" s="386"/>
      <c r="N687" s="386"/>
      <c r="O687" s="386"/>
      <c r="P687" s="386"/>
      <c r="Q687" s="386"/>
    </row>
    <row r="688" spans="1:17" ht="30" customHeight="1" x14ac:dyDescent="0.2">
      <c r="A688" s="2822"/>
      <c r="B688" s="2825" t="s">
        <v>2385</v>
      </c>
      <c r="C688" s="2843"/>
      <c r="D688" s="2834"/>
      <c r="E688" s="2519"/>
      <c r="F688" s="2834"/>
      <c r="G688" s="2817"/>
      <c r="H688" s="2817"/>
      <c r="I688" s="472"/>
      <c r="J688" s="2817">
        <f t="shared" si="73"/>
        <v>0</v>
      </c>
      <c r="K688" s="2861">
        <f>F688-J688</f>
        <v>0</v>
      </c>
      <c r="L688" s="2875"/>
      <c r="M688" s="386"/>
      <c r="N688" s="386"/>
      <c r="O688" s="386"/>
      <c r="P688" s="386"/>
      <c r="Q688" s="386"/>
    </row>
    <row r="689" spans="1:17" ht="30" customHeight="1" x14ac:dyDescent="0.2">
      <c r="A689" s="1028"/>
      <c r="B689" s="2987" t="s">
        <v>2388</v>
      </c>
      <c r="C689" s="2988" t="s">
        <v>1172</v>
      </c>
      <c r="D689" s="2931">
        <v>110000000</v>
      </c>
      <c r="E689" s="2941">
        <v>0.05</v>
      </c>
      <c r="F689" s="2931">
        <f>D689*E689</f>
        <v>5500000</v>
      </c>
      <c r="G689" s="2937">
        <v>3500000</v>
      </c>
      <c r="H689" s="2937" t="s">
        <v>4891</v>
      </c>
      <c r="I689" s="2694" t="s">
        <v>4907</v>
      </c>
      <c r="J689" s="2937">
        <f>G689</f>
        <v>3500000</v>
      </c>
      <c r="K689" s="2928">
        <v>0</v>
      </c>
      <c r="L689" s="2875" t="s">
        <v>4829</v>
      </c>
      <c r="M689" s="386"/>
      <c r="N689" s="386"/>
      <c r="O689" s="386"/>
      <c r="P689" s="386"/>
      <c r="Q689" s="386"/>
    </row>
    <row r="690" spans="1:17" ht="30" customHeight="1" x14ac:dyDescent="0.2">
      <c r="A690" s="7654"/>
      <c r="B690" s="7652" t="s">
        <v>2647</v>
      </c>
      <c r="C690" s="7873" t="s">
        <v>1652</v>
      </c>
      <c r="D690" s="2817">
        <v>100000000</v>
      </c>
      <c r="E690" s="2867">
        <v>0.05</v>
      </c>
      <c r="F690" s="2817">
        <f t="shared" ref="F690:F713" si="74">D690*E690</f>
        <v>5000000</v>
      </c>
      <c r="G690" s="7563">
        <v>16000000</v>
      </c>
      <c r="H690" s="7563" t="s">
        <v>4891</v>
      </c>
      <c r="I690" s="7563" t="s">
        <v>4505</v>
      </c>
      <c r="J690" s="7563">
        <f t="shared" si="73"/>
        <v>16000000</v>
      </c>
      <c r="K690" s="7816">
        <f>(F690+F691)-J690</f>
        <v>0</v>
      </c>
      <c r="L690" s="7811"/>
      <c r="M690" s="386"/>
      <c r="N690" s="386"/>
      <c r="O690" s="386"/>
      <c r="P690" s="386"/>
      <c r="Q690" s="386"/>
    </row>
    <row r="691" spans="1:17" ht="30" customHeight="1" x14ac:dyDescent="0.2">
      <c r="A691" s="7656"/>
      <c r="B691" s="7665"/>
      <c r="C691" s="7873"/>
      <c r="D691" s="2817">
        <v>220000000</v>
      </c>
      <c r="E691" s="2867">
        <v>0.05</v>
      </c>
      <c r="F691" s="2817">
        <f t="shared" si="74"/>
        <v>11000000</v>
      </c>
      <c r="G691" s="7564"/>
      <c r="H691" s="7564"/>
      <c r="I691" s="7564"/>
      <c r="J691" s="7564"/>
      <c r="K691" s="7817"/>
      <c r="L691" s="7812"/>
      <c r="M691" s="386"/>
      <c r="N691" s="386"/>
      <c r="O691" s="386"/>
      <c r="P691" s="386"/>
      <c r="Q691" s="386"/>
    </row>
    <row r="692" spans="1:17" ht="30" customHeight="1" x14ac:dyDescent="0.2">
      <c r="A692" s="7656"/>
      <c r="B692" s="7665"/>
      <c r="C692" s="7723" t="s">
        <v>3390</v>
      </c>
      <c r="D692" s="7563">
        <v>1000000000</v>
      </c>
      <c r="E692" s="7659">
        <v>6.5000000000000002E-2</v>
      </c>
      <c r="F692" s="7563">
        <f>D692*E692</f>
        <v>65000000</v>
      </c>
      <c r="G692" s="7563">
        <v>65000000</v>
      </c>
      <c r="H692" s="7563" t="s">
        <v>5202</v>
      </c>
      <c r="I692" s="7563" t="s">
        <v>4505</v>
      </c>
      <c r="J692" s="7563">
        <f>G692+G693</f>
        <v>65000000</v>
      </c>
      <c r="K692" s="7816">
        <f>F692-J692</f>
        <v>0</v>
      </c>
      <c r="L692" s="2852"/>
      <c r="M692" s="386"/>
      <c r="N692" s="386"/>
      <c r="O692" s="386"/>
      <c r="P692" s="386"/>
      <c r="Q692" s="386"/>
    </row>
    <row r="693" spans="1:17" ht="30" customHeight="1" x14ac:dyDescent="0.2">
      <c r="A693" s="7655"/>
      <c r="B693" s="7653"/>
      <c r="C693" s="7724"/>
      <c r="D693" s="7564"/>
      <c r="E693" s="7660"/>
      <c r="F693" s="7564"/>
      <c r="G693" s="7564"/>
      <c r="H693" s="7564"/>
      <c r="I693" s="7564"/>
      <c r="J693" s="7564"/>
      <c r="K693" s="7817"/>
      <c r="L693" s="2875"/>
      <c r="M693" s="386"/>
      <c r="N693" s="386"/>
      <c r="O693" s="386"/>
      <c r="P693" s="386"/>
      <c r="Q693" s="386"/>
    </row>
    <row r="694" spans="1:17" ht="30" customHeight="1" x14ac:dyDescent="0.2">
      <c r="A694" s="7654"/>
      <c r="B694" s="7652" t="s">
        <v>2407</v>
      </c>
      <c r="C694" s="7723" t="s">
        <v>1299</v>
      </c>
      <c r="D694" s="2817">
        <v>20000000</v>
      </c>
      <c r="E694" s="2867">
        <v>0.05</v>
      </c>
      <c r="F694" s="2817">
        <f t="shared" si="74"/>
        <v>1000000</v>
      </c>
      <c r="G694" s="7563">
        <v>1600000</v>
      </c>
      <c r="H694" s="7563" t="s">
        <v>5174</v>
      </c>
      <c r="I694" s="7889" t="s">
        <v>4124</v>
      </c>
      <c r="J694" s="7563">
        <f>G694</f>
        <v>1600000</v>
      </c>
      <c r="K694" s="7816"/>
      <c r="L694" s="2875"/>
      <c r="M694" s="386"/>
      <c r="N694" s="386"/>
      <c r="O694" s="386"/>
      <c r="P694" s="386"/>
      <c r="Q694" s="386"/>
    </row>
    <row r="695" spans="1:17" ht="30" customHeight="1" x14ac:dyDescent="0.2">
      <c r="A695" s="7655"/>
      <c r="B695" s="7653"/>
      <c r="C695" s="7724"/>
      <c r="D695" s="2973">
        <v>20000000</v>
      </c>
      <c r="E695" s="3220">
        <v>0.06</v>
      </c>
      <c r="F695" s="3213">
        <f t="shared" si="74"/>
        <v>1200000</v>
      </c>
      <c r="G695" s="7564"/>
      <c r="H695" s="7564"/>
      <c r="I695" s="7890"/>
      <c r="J695" s="7564"/>
      <c r="K695" s="7817"/>
      <c r="L695" s="3424" t="s">
        <v>5256</v>
      </c>
      <c r="M695" s="386"/>
      <c r="N695" s="386"/>
      <c r="O695" s="386"/>
      <c r="P695" s="386"/>
      <c r="Q695" s="386"/>
    </row>
    <row r="696" spans="1:17" ht="30" customHeight="1" x14ac:dyDescent="0.2">
      <c r="A696" s="7654"/>
      <c r="B696" s="7652" t="s">
        <v>4881</v>
      </c>
      <c r="C696" s="7723" t="s">
        <v>402</v>
      </c>
      <c r="D696" s="2973">
        <v>30000000</v>
      </c>
      <c r="E696" s="2986">
        <v>0.06</v>
      </c>
      <c r="F696" s="2973">
        <f t="shared" si="74"/>
        <v>1800000</v>
      </c>
      <c r="G696" s="2973"/>
      <c r="H696" s="2973"/>
      <c r="I696" s="472"/>
      <c r="J696" s="2973"/>
      <c r="K696" s="3022"/>
      <c r="L696" s="3424" t="s">
        <v>5257</v>
      </c>
      <c r="M696" s="386"/>
      <c r="N696" s="386"/>
      <c r="O696" s="386"/>
      <c r="P696" s="386"/>
      <c r="Q696" s="386"/>
    </row>
    <row r="697" spans="1:17" ht="30" customHeight="1" x14ac:dyDescent="0.2">
      <c r="A697" s="7655"/>
      <c r="B697" s="7653"/>
      <c r="C697" s="7724"/>
      <c r="D697" s="3435">
        <v>20000000</v>
      </c>
      <c r="E697" s="3454">
        <v>0.06</v>
      </c>
      <c r="F697" s="3435">
        <f t="shared" si="74"/>
        <v>1200000</v>
      </c>
      <c r="G697" s="3443"/>
      <c r="H697" s="3448"/>
      <c r="I697" s="3474"/>
      <c r="J697" s="3444"/>
      <c r="K697" s="3022"/>
      <c r="L697" s="3449" t="s">
        <v>5323</v>
      </c>
      <c r="M697" s="386"/>
      <c r="N697" s="386"/>
      <c r="O697" s="386"/>
      <c r="P697" s="386"/>
      <c r="Q697" s="386"/>
    </row>
    <row r="698" spans="1:17" ht="30" customHeight="1" x14ac:dyDescent="0.2">
      <c r="A698" s="7654"/>
      <c r="B698" s="7652" t="s">
        <v>234</v>
      </c>
      <c r="C698" s="7723" t="s">
        <v>1172</v>
      </c>
      <c r="D698" s="3207">
        <v>60000000</v>
      </c>
      <c r="E698" s="3208">
        <v>0.05</v>
      </c>
      <c r="F698" s="3207">
        <f>D698*E698</f>
        <v>3000000</v>
      </c>
      <c r="G698" s="7732" t="s">
        <v>4901</v>
      </c>
      <c r="H698" s="7733"/>
      <c r="I698" s="7733"/>
      <c r="J698" s="7734"/>
      <c r="K698" s="3022"/>
      <c r="L698" s="3449" t="s">
        <v>4269</v>
      </c>
      <c r="M698" s="386"/>
      <c r="N698" s="386"/>
      <c r="O698" s="386"/>
      <c r="P698" s="386"/>
      <c r="Q698" s="386"/>
    </row>
    <row r="699" spans="1:17" ht="30" customHeight="1" x14ac:dyDescent="0.2">
      <c r="A699" s="7655"/>
      <c r="B699" s="7653"/>
      <c r="C699" s="7724"/>
      <c r="D699" s="3435">
        <v>30000000</v>
      </c>
      <c r="E699" s="3454">
        <v>0.06</v>
      </c>
      <c r="F699" s="3435">
        <f>D699*E699</f>
        <v>1800000</v>
      </c>
      <c r="G699" s="3440"/>
      <c r="H699" s="3458"/>
      <c r="I699" s="3458"/>
      <c r="J699" s="3459"/>
      <c r="K699" s="3475"/>
      <c r="L699" s="3449" t="s">
        <v>5324</v>
      </c>
      <c r="M699" s="386"/>
      <c r="N699" s="386"/>
      <c r="O699" s="386"/>
      <c r="P699" s="386"/>
      <c r="Q699" s="386"/>
    </row>
    <row r="700" spans="1:17" ht="30" customHeight="1" x14ac:dyDescent="0.2">
      <c r="A700" s="7654"/>
      <c r="B700" s="7652" t="s">
        <v>4946</v>
      </c>
      <c r="C700" s="7723" t="s">
        <v>1299</v>
      </c>
      <c r="D700" s="3052">
        <v>30000000</v>
      </c>
      <c r="E700" s="3061">
        <v>0.05</v>
      </c>
      <c r="F700" s="3052">
        <f>D700*E700</f>
        <v>1500000</v>
      </c>
      <c r="G700" s="7482">
        <v>1200000</v>
      </c>
      <c r="H700" s="7563" t="s">
        <v>5202</v>
      </c>
      <c r="I700" s="7563" t="s">
        <v>5204</v>
      </c>
      <c r="J700" s="7563">
        <f>G700</f>
        <v>1200000</v>
      </c>
      <c r="K700" s="7563"/>
      <c r="L700" s="3449" t="s">
        <v>5149</v>
      </c>
      <c r="M700" s="386"/>
      <c r="N700" s="386"/>
      <c r="O700" s="386"/>
      <c r="P700" s="386"/>
      <c r="Q700" s="386"/>
    </row>
    <row r="701" spans="1:17" ht="30" customHeight="1" x14ac:dyDescent="0.2">
      <c r="A701" s="7655"/>
      <c r="B701" s="7653"/>
      <c r="C701" s="7724"/>
      <c r="D701" s="3207">
        <v>10000000</v>
      </c>
      <c r="E701" s="3208">
        <v>7.0000000000000007E-2</v>
      </c>
      <c r="F701" s="3207">
        <f>D701*E701</f>
        <v>700000.00000000012</v>
      </c>
      <c r="G701" s="7482"/>
      <c r="H701" s="7564"/>
      <c r="I701" s="7564"/>
      <c r="J701" s="7564"/>
      <c r="K701" s="7564"/>
      <c r="L701" s="3449" t="s">
        <v>5150</v>
      </c>
      <c r="M701" s="386"/>
      <c r="N701" s="386"/>
      <c r="O701" s="386"/>
      <c r="P701" s="386"/>
      <c r="Q701" s="386"/>
    </row>
    <row r="702" spans="1:17" ht="30" customHeight="1" x14ac:dyDescent="0.2">
      <c r="A702" s="7654"/>
      <c r="B702" s="7652" t="s">
        <v>2471</v>
      </c>
      <c r="C702" s="7723" t="s">
        <v>889</v>
      </c>
      <c r="D702" s="2973">
        <v>57120000</v>
      </c>
      <c r="E702" s="2986">
        <v>0.06</v>
      </c>
      <c r="F702" s="2973">
        <f t="shared" si="74"/>
        <v>3427200</v>
      </c>
      <c r="G702" s="2983">
        <v>3427000</v>
      </c>
      <c r="H702" s="2983" t="s">
        <v>4875</v>
      </c>
      <c r="I702" s="233" t="s">
        <v>4041</v>
      </c>
      <c r="J702" s="2983">
        <f>G702</f>
        <v>3427000</v>
      </c>
      <c r="K702" s="2970">
        <f>F702-J702</f>
        <v>200</v>
      </c>
      <c r="L702" s="2996"/>
      <c r="M702" s="386"/>
      <c r="N702" s="386"/>
      <c r="O702" s="386"/>
      <c r="P702" s="386"/>
      <c r="Q702" s="386"/>
    </row>
    <row r="703" spans="1:17" ht="30" customHeight="1" x14ac:dyDescent="0.2">
      <c r="A703" s="7656"/>
      <c r="B703" s="7665"/>
      <c r="C703" s="7747"/>
      <c r="D703" s="3052">
        <v>10000000</v>
      </c>
      <c r="E703" s="3061"/>
      <c r="F703" s="3052"/>
      <c r="G703" s="3060"/>
      <c r="H703" s="3060"/>
      <c r="I703" s="233"/>
      <c r="J703" s="3060"/>
      <c r="K703" s="3051"/>
      <c r="L703" s="3065" t="s">
        <v>4983</v>
      </c>
      <c r="M703" s="386"/>
      <c r="N703" s="386"/>
      <c r="O703" s="386"/>
      <c r="P703" s="386"/>
      <c r="Q703" s="386"/>
    </row>
    <row r="704" spans="1:17" ht="30" customHeight="1" x14ac:dyDescent="0.2">
      <c r="A704" s="7656"/>
      <c r="B704" s="7665"/>
      <c r="C704" s="7747"/>
      <c r="D704" s="3052">
        <v>6000000</v>
      </c>
      <c r="E704" s="3061"/>
      <c r="F704" s="3052"/>
      <c r="G704" s="3060"/>
      <c r="H704" s="3060"/>
      <c r="I704" s="233"/>
      <c r="J704" s="3060"/>
      <c r="K704" s="3051"/>
      <c r="L704" s="3065" t="s">
        <v>4984</v>
      </c>
      <c r="M704" s="386"/>
      <c r="N704" s="386"/>
      <c r="O704" s="386"/>
      <c r="P704" s="386"/>
      <c r="Q704" s="386"/>
    </row>
    <row r="705" spans="1:17" ht="30" customHeight="1" x14ac:dyDescent="0.2">
      <c r="A705" s="7656"/>
      <c r="B705" s="7665"/>
      <c r="C705" s="7747"/>
      <c r="D705" s="3052">
        <v>10000000</v>
      </c>
      <c r="E705" s="3061"/>
      <c r="F705" s="3052"/>
      <c r="G705" s="3060"/>
      <c r="H705" s="3060"/>
      <c r="I705" s="233"/>
      <c r="J705" s="3060"/>
      <c r="K705" s="3051"/>
      <c r="L705" s="3065" t="s">
        <v>4985</v>
      </c>
      <c r="M705" s="386"/>
      <c r="N705" s="386"/>
      <c r="O705" s="386"/>
      <c r="P705" s="386"/>
      <c r="Q705" s="386"/>
    </row>
    <row r="706" spans="1:17" ht="30" customHeight="1" x14ac:dyDescent="0.2">
      <c r="A706" s="7656"/>
      <c r="B706" s="7665"/>
      <c r="C706" s="7747"/>
      <c r="D706" s="3052">
        <v>9000000</v>
      </c>
      <c r="E706" s="3061"/>
      <c r="F706" s="3052"/>
      <c r="G706" s="3060"/>
      <c r="H706" s="3060"/>
      <c r="I706" s="233"/>
      <c r="J706" s="3060"/>
      <c r="K706" s="3051"/>
      <c r="L706" s="3065" t="s">
        <v>4986</v>
      </c>
      <c r="M706" s="386"/>
      <c r="N706" s="386"/>
      <c r="O706" s="386"/>
      <c r="P706" s="386"/>
      <c r="Q706" s="386"/>
    </row>
    <row r="707" spans="1:17" ht="30" customHeight="1" x14ac:dyDescent="0.2">
      <c r="A707" s="7656"/>
      <c r="B707" s="7665"/>
      <c r="C707" s="7747"/>
      <c r="D707" s="3052">
        <v>10000000</v>
      </c>
      <c r="E707" s="3061"/>
      <c r="F707" s="3052"/>
      <c r="G707" s="3060"/>
      <c r="H707" s="3060"/>
      <c r="I707" s="233"/>
      <c r="J707" s="3060"/>
      <c r="K707" s="3051"/>
      <c r="L707" s="3065" t="s">
        <v>4988</v>
      </c>
      <c r="M707" s="386"/>
      <c r="N707" s="386"/>
      <c r="O707" s="386"/>
      <c r="P707" s="386"/>
      <c r="Q707" s="386"/>
    </row>
    <row r="708" spans="1:17" ht="30" customHeight="1" x14ac:dyDescent="0.2">
      <c r="A708" s="7656"/>
      <c r="B708" s="7665"/>
      <c r="C708" s="7747"/>
      <c r="D708" s="3052">
        <v>8000000</v>
      </c>
      <c r="E708" s="3061"/>
      <c r="F708" s="3052"/>
      <c r="G708" s="3060"/>
      <c r="H708" s="3060"/>
      <c r="I708" s="233"/>
      <c r="J708" s="3060"/>
      <c r="K708" s="3051"/>
      <c r="L708" s="3065" t="s">
        <v>4987</v>
      </c>
      <c r="M708" s="386"/>
      <c r="N708" s="386"/>
      <c r="O708" s="386"/>
      <c r="P708" s="386"/>
      <c r="Q708" s="386"/>
    </row>
    <row r="709" spans="1:17" ht="30" customHeight="1" x14ac:dyDescent="0.2">
      <c r="A709" s="7655"/>
      <c r="B709" s="7653"/>
      <c r="C709" s="7724"/>
      <c r="D709" s="3052"/>
      <c r="E709" s="3061"/>
      <c r="F709" s="3052"/>
      <c r="G709" s="3060"/>
      <c r="H709" s="3060"/>
      <c r="I709" s="233"/>
      <c r="J709" s="3060"/>
      <c r="K709" s="3051"/>
      <c r="L709" s="3065"/>
      <c r="M709" s="386"/>
      <c r="N709" s="386"/>
      <c r="O709" s="386"/>
      <c r="P709" s="386"/>
      <c r="Q709" s="386"/>
    </row>
    <row r="710" spans="1:17" ht="30" customHeight="1" x14ac:dyDescent="0.2">
      <c r="A710" s="7654"/>
      <c r="B710" s="7652" t="s">
        <v>2517</v>
      </c>
      <c r="C710" s="7723" t="s">
        <v>1080</v>
      </c>
      <c r="D710" s="2817">
        <v>134700000</v>
      </c>
      <c r="E710" s="2867">
        <v>0.05</v>
      </c>
      <c r="F710" s="2817">
        <f t="shared" si="74"/>
        <v>6735000</v>
      </c>
      <c r="G710" s="2937"/>
      <c r="H710" s="2937"/>
      <c r="I710" s="2937"/>
      <c r="J710" s="2937"/>
      <c r="K710" s="2844">
        <f>F710-J710</f>
        <v>6735000</v>
      </c>
      <c r="L710" s="7811" t="s">
        <v>4736</v>
      </c>
      <c r="M710" s="386"/>
      <c r="N710" s="386"/>
      <c r="O710" s="386"/>
      <c r="P710" s="386"/>
      <c r="Q710" s="386"/>
    </row>
    <row r="711" spans="1:17" ht="30" customHeight="1" x14ac:dyDescent="0.2">
      <c r="A711" s="7656"/>
      <c r="B711" s="7665"/>
      <c r="C711" s="7747"/>
      <c r="D711" s="2817">
        <v>6735000</v>
      </c>
      <c r="E711" s="2867">
        <v>0.05</v>
      </c>
      <c r="F711" s="2817">
        <f t="shared" si="74"/>
        <v>336750</v>
      </c>
      <c r="G711" s="2937"/>
      <c r="H711" s="2937"/>
      <c r="I711" s="2937"/>
      <c r="J711" s="2937"/>
      <c r="K711" s="2816"/>
      <c r="L711" s="7812"/>
      <c r="M711" s="386"/>
      <c r="N711" s="386"/>
      <c r="O711" s="386"/>
      <c r="P711" s="386"/>
      <c r="Q711" s="386"/>
    </row>
    <row r="712" spans="1:17" ht="30" customHeight="1" x14ac:dyDescent="0.2">
      <c r="A712" s="7656"/>
      <c r="B712" s="7665"/>
      <c r="C712" s="7747"/>
      <c r="D712" s="2817">
        <v>100000000</v>
      </c>
      <c r="E712" s="2867">
        <v>0.05</v>
      </c>
      <c r="F712" s="2817">
        <f t="shared" si="74"/>
        <v>5000000</v>
      </c>
      <c r="G712" s="2937"/>
      <c r="H712" s="2937"/>
      <c r="I712" s="2937"/>
      <c r="J712" s="2937"/>
      <c r="K712" s="2816"/>
      <c r="L712" s="2945" t="s">
        <v>4830</v>
      </c>
      <c r="M712" s="386"/>
      <c r="N712" s="386"/>
      <c r="O712" s="386"/>
      <c r="P712" s="386"/>
      <c r="Q712" s="386"/>
    </row>
    <row r="713" spans="1:17" ht="30" customHeight="1" x14ac:dyDescent="0.2">
      <c r="A713" s="7656"/>
      <c r="B713" s="7665"/>
      <c r="C713" s="7747"/>
      <c r="D713" s="2817">
        <v>8565000</v>
      </c>
      <c r="E713" s="2867">
        <v>0.05</v>
      </c>
      <c r="F713" s="2817">
        <f t="shared" si="74"/>
        <v>428250</v>
      </c>
      <c r="G713" s="2937"/>
      <c r="H713" s="2937"/>
      <c r="I713" s="2937"/>
      <c r="J713" s="2937"/>
      <c r="K713" s="2816"/>
      <c r="L713" s="2945" t="s">
        <v>4794</v>
      </c>
      <c r="M713" s="386"/>
      <c r="N713" s="386"/>
      <c r="O713" s="386"/>
      <c r="P713" s="386"/>
      <c r="Q713" s="386"/>
    </row>
    <row r="714" spans="1:17" ht="30" customHeight="1" x14ac:dyDescent="0.2">
      <c r="A714" s="7656"/>
      <c r="B714" s="7665"/>
      <c r="C714" s="7747"/>
      <c r="D714" s="1854">
        <f>SUM(D710:D713)</f>
        <v>250000000</v>
      </c>
      <c r="E714" s="896">
        <v>0.05</v>
      </c>
      <c r="F714" s="1854">
        <f>D714*E714</f>
        <v>12500000</v>
      </c>
      <c r="G714" s="2937"/>
      <c r="H714" s="2937"/>
      <c r="I714" s="2937"/>
      <c r="J714" s="2937"/>
      <c r="K714" s="2816"/>
      <c r="L714" s="2945" t="s">
        <v>4737</v>
      </c>
      <c r="M714" s="386"/>
      <c r="N714" s="386"/>
      <c r="O714" s="386"/>
      <c r="P714" s="386"/>
      <c r="Q714" s="386"/>
    </row>
    <row r="715" spans="1:17" ht="30" customHeight="1" x14ac:dyDescent="0.2">
      <c r="A715" s="7654"/>
      <c r="B715" s="7652" t="s">
        <v>2633</v>
      </c>
      <c r="C715" s="7723" t="s">
        <v>1172</v>
      </c>
      <c r="D715" s="7563">
        <v>60000000</v>
      </c>
      <c r="E715" s="7659">
        <v>0.05</v>
      </c>
      <c r="F715" s="7563">
        <f>D715*E715</f>
        <v>3000000</v>
      </c>
      <c r="G715" s="3429"/>
      <c r="H715" s="3429"/>
      <c r="I715" s="3429"/>
      <c r="J715" s="233"/>
      <c r="K715" s="233"/>
      <c r="L715" s="1114" t="s">
        <v>5201</v>
      </c>
      <c r="M715" s="386"/>
      <c r="N715" s="386"/>
      <c r="O715" s="386"/>
      <c r="P715" s="386"/>
      <c r="Q715" s="386"/>
    </row>
    <row r="716" spans="1:17" ht="30" customHeight="1" x14ac:dyDescent="0.2">
      <c r="A716" s="7655"/>
      <c r="B716" s="7653"/>
      <c r="C716" s="7724"/>
      <c r="D716" s="7564"/>
      <c r="E716" s="7660"/>
      <c r="F716" s="7564"/>
      <c r="G716" s="3429"/>
      <c r="H716" s="3429"/>
      <c r="I716" s="3429"/>
      <c r="J716" s="233"/>
      <c r="K716" s="233"/>
      <c r="L716" s="3430" t="s">
        <v>5301</v>
      </c>
      <c r="M716" s="386"/>
      <c r="N716" s="386"/>
      <c r="O716" s="386"/>
      <c r="P716" s="386"/>
      <c r="Q716" s="386"/>
    </row>
    <row r="717" spans="1:17" ht="30" customHeight="1" x14ac:dyDescent="0.2">
      <c r="A717" s="7654"/>
      <c r="B717" s="7652" t="s">
        <v>4903</v>
      </c>
      <c r="C717" s="7723" t="s">
        <v>3390</v>
      </c>
      <c r="D717" s="7563">
        <v>30000000</v>
      </c>
      <c r="E717" s="7659">
        <v>0.05</v>
      </c>
      <c r="F717" s="7563">
        <f>D717*E717</f>
        <v>1500000</v>
      </c>
      <c r="G717" s="3429"/>
      <c r="H717" s="3429"/>
      <c r="I717" s="3429"/>
      <c r="J717" s="233"/>
      <c r="K717" s="233"/>
      <c r="L717" s="3431" t="s">
        <v>5302</v>
      </c>
      <c r="M717" s="386"/>
      <c r="N717" s="386"/>
      <c r="O717" s="386"/>
      <c r="P717" s="386"/>
      <c r="Q717" s="386"/>
    </row>
    <row r="718" spans="1:17" ht="30" customHeight="1" x14ac:dyDescent="0.2">
      <c r="A718" s="7655"/>
      <c r="B718" s="7653"/>
      <c r="C718" s="7724"/>
      <c r="D718" s="7564"/>
      <c r="E718" s="7660"/>
      <c r="F718" s="7564"/>
      <c r="G718" s="3429"/>
      <c r="H718" s="3429"/>
      <c r="I718" s="3429"/>
      <c r="J718" s="233"/>
      <c r="K718" s="233"/>
      <c r="L718" s="3430" t="s">
        <v>5303</v>
      </c>
      <c r="M718" s="386"/>
      <c r="N718" s="386"/>
      <c r="O718" s="386"/>
      <c r="P718" s="386"/>
      <c r="Q718" s="386"/>
    </row>
    <row r="719" spans="1:17" ht="30" customHeight="1" x14ac:dyDescent="0.2">
      <c r="A719" s="7654"/>
      <c r="B719" s="7652" t="s">
        <v>2551</v>
      </c>
      <c r="C719" s="7723"/>
      <c r="D719" s="2817">
        <v>10000000</v>
      </c>
      <c r="E719" s="2867"/>
      <c r="F719" s="2817"/>
      <c r="G719" s="2817"/>
      <c r="H719" s="2817"/>
      <c r="I719" s="472"/>
      <c r="J719" s="2817"/>
      <c r="K719" s="2855"/>
      <c r="L719" s="2875"/>
      <c r="M719" s="386"/>
      <c r="N719" s="386"/>
      <c r="O719" s="386"/>
      <c r="P719" s="386"/>
      <c r="Q719" s="386"/>
    </row>
    <row r="720" spans="1:17" ht="30" customHeight="1" x14ac:dyDescent="0.2">
      <c r="A720" s="7655"/>
      <c r="B720" s="7653"/>
      <c r="C720" s="7724"/>
      <c r="D720" s="2817">
        <v>5000000</v>
      </c>
      <c r="E720" s="2867"/>
      <c r="F720" s="2817"/>
      <c r="G720" s="2817"/>
      <c r="H720" s="2817"/>
      <c r="I720" s="472"/>
      <c r="J720" s="2817"/>
      <c r="K720" s="2855"/>
      <c r="L720" s="2851"/>
      <c r="M720" s="386"/>
      <c r="N720" s="386"/>
      <c r="O720" s="386"/>
      <c r="P720" s="386"/>
      <c r="Q720" s="386"/>
    </row>
    <row r="721" spans="1:17" ht="30" customHeight="1" x14ac:dyDescent="0.2">
      <c r="A721" s="2823"/>
      <c r="B721" s="2825" t="s">
        <v>2573</v>
      </c>
      <c r="C721" s="2843" t="s">
        <v>1172</v>
      </c>
      <c r="D721" s="2817">
        <v>60000000</v>
      </c>
      <c r="E721" s="2819">
        <v>5.5E-2</v>
      </c>
      <c r="F721" s="2817">
        <f t="shared" ref="F721" si="75">D721*E721</f>
        <v>3300000</v>
      </c>
      <c r="G721" s="2817">
        <v>3300000</v>
      </c>
      <c r="H721" s="2844" t="s">
        <v>5083</v>
      </c>
      <c r="I721" s="2694" t="s">
        <v>3103</v>
      </c>
      <c r="J721" s="2817">
        <f>G721</f>
        <v>3300000</v>
      </c>
      <c r="K721" s="2855">
        <v>0</v>
      </c>
      <c r="L721" s="2875" t="s">
        <v>3522</v>
      </c>
      <c r="M721" s="386"/>
      <c r="N721" s="386"/>
      <c r="O721" s="386"/>
      <c r="P721" s="386"/>
      <c r="Q721" s="386"/>
    </row>
    <row r="722" spans="1:17" ht="30" customHeight="1" x14ac:dyDescent="0.2">
      <c r="A722" s="7654"/>
      <c r="B722" s="7652" t="s">
        <v>2714</v>
      </c>
      <c r="C722" s="7723" t="s">
        <v>262</v>
      </c>
      <c r="D722" s="7563">
        <v>186000000</v>
      </c>
      <c r="E722" s="7659">
        <v>5.5E-2</v>
      </c>
      <c r="F722" s="7563">
        <f>D722*E722</f>
        <v>10230000</v>
      </c>
      <c r="G722" s="2983">
        <v>500000</v>
      </c>
      <c r="H722" s="2983" t="s">
        <v>4891</v>
      </c>
      <c r="I722" s="2694" t="s">
        <v>2715</v>
      </c>
      <c r="J722" s="2983">
        <f>G722</f>
        <v>500000</v>
      </c>
      <c r="K722" s="2969"/>
      <c r="L722" s="2851" t="s">
        <v>4260</v>
      </c>
      <c r="M722" s="386"/>
      <c r="N722" s="386"/>
      <c r="O722" s="386"/>
      <c r="P722" s="386"/>
      <c r="Q722" s="386"/>
    </row>
    <row r="723" spans="1:17" ht="30" customHeight="1" x14ac:dyDescent="0.2">
      <c r="A723" s="7656"/>
      <c r="B723" s="7665"/>
      <c r="C723" s="7747"/>
      <c r="D723" s="7586"/>
      <c r="E723" s="7676"/>
      <c r="F723" s="7586"/>
      <c r="G723" s="2983"/>
      <c r="H723" s="2983"/>
      <c r="I723" s="2694"/>
      <c r="J723" s="2983"/>
      <c r="K723" s="2969"/>
      <c r="L723" s="2851"/>
      <c r="M723" s="386"/>
      <c r="N723" s="386"/>
      <c r="O723" s="386"/>
      <c r="P723" s="386"/>
      <c r="Q723" s="386"/>
    </row>
    <row r="724" spans="1:17" ht="30" customHeight="1" x14ac:dyDescent="0.2">
      <c r="A724" s="7656"/>
      <c r="B724" s="7665"/>
      <c r="C724" s="7747"/>
      <c r="D724" s="7564"/>
      <c r="E724" s="7660"/>
      <c r="F724" s="7564"/>
      <c r="G724" s="2983"/>
      <c r="H724" s="2983"/>
      <c r="I724" s="2694"/>
      <c r="J724" s="2983"/>
      <c r="K724" s="2969"/>
      <c r="L724" s="2851"/>
      <c r="M724" s="386"/>
      <c r="N724" s="386"/>
      <c r="O724" s="386"/>
      <c r="P724" s="386"/>
      <c r="Q724" s="386"/>
    </row>
    <row r="725" spans="1:17" ht="30" customHeight="1" x14ac:dyDescent="0.2">
      <c r="A725" s="7656"/>
      <c r="B725" s="7665"/>
      <c r="C725" s="7747"/>
      <c r="D725" s="2817">
        <v>10000000</v>
      </c>
      <c r="E725" s="2819">
        <v>5.5E-2</v>
      </c>
      <c r="F725" s="2817">
        <f t="shared" ref="F725:F731" si="76">D725*E725</f>
        <v>550000</v>
      </c>
      <c r="G725" s="2983"/>
      <c r="H725" s="2983"/>
      <c r="I725" s="2694"/>
      <c r="J725" s="2983"/>
      <c r="K725" s="2969"/>
      <c r="L725" s="2851"/>
      <c r="M725" s="386"/>
      <c r="N725" s="386"/>
      <c r="O725" s="386"/>
      <c r="P725" s="386"/>
      <c r="Q725" s="386"/>
    </row>
    <row r="726" spans="1:17" ht="30" customHeight="1" x14ac:dyDescent="0.2">
      <c r="A726" s="7656"/>
      <c r="B726" s="7665"/>
      <c r="C726" s="7747"/>
      <c r="D726" s="2817">
        <v>4000000</v>
      </c>
      <c r="E726" s="2819">
        <v>5.5E-2</v>
      </c>
      <c r="F726" s="2817">
        <f t="shared" si="76"/>
        <v>220000</v>
      </c>
      <c r="G726" s="2983"/>
      <c r="H726" s="2983"/>
      <c r="I726" s="2694"/>
      <c r="J726" s="2983"/>
      <c r="K726" s="2969"/>
      <c r="L726" s="2851"/>
      <c r="M726" s="386"/>
      <c r="N726" s="386"/>
      <c r="O726" s="386"/>
      <c r="P726" s="386"/>
      <c r="Q726" s="386"/>
    </row>
    <row r="727" spans="1:17" ht="30" customHeight="1" x14ac:dyDescent="0.2">
      <c r="A727" s="7656"/>
      <c r="B727" s="7665"/>
      <c r="C727" s="7747"/>
      <c r="D727" s="2887">
        <v>200000000</v>
      </c>
      <c r="E727" s="2889">
        <v>5.5E-2</v>
      </c>
      <c r="F727" s="2887">
        <f t="shared" si="76"/>
        <v>11000000</v>
      </c>
      <c r="G727" s="7946" t="s">
        <v>3882</v>
      </c>
      <c r="H727" s="7947"/>
      <c r="I727" s="7947"/>
      <c r="J727" s="7948"/>
      <c r="K727" s="2349"/>
      <c r="L727" s="2851"/>
      <c r="M727" s="386"/>
      <c r="N727" s="386"/>
      <c r="O727" s="386"/>
      <c r="P727" s="386"/>
      <c r="Q727" s="386"/>
    </row>
    <row r="728" spans="1:17" ht="30" customHeight="1" x14ac:dyDescent="0.2">
      <c r="A728" s="7656"/>
      <c r="B728" s="7665"/>
      <c r="C728" s="7747"/>
      <c r="D728" s="2817">
        <v>19000000</v>
      </c>
      <c r="E728" s="2819">
        <v>5.5E-2</v>
      </c>
      <c r="F728" s="2817">
        <f t="shared" si="76"/>
        <v>1045000</v>
      </c>
      <c r="G728" s="7732" t="s">
        <v>4560</v>
      </c>
      <c r="H728" s="7733"/>
      <c r="I728" s="7733"/>
      <c r="J728" s="7734"/>
      <c r="K728" s="2349"/>
      <c r="L728" s="2851"/>
      <c r="M728" s="386"/>
      <c r="N728" s="386"/>
      <c r="O728" s="386"/>
      <c r="P728" s="386"/>
      <c r="Q728" s="386"/>
    </row>
    <row r="729" spans="1:17" ht="30" customHeight="1" x14ac:dyDescent="0.2">
      <c r="A729" s="7656"/>
      <c r="B729" s="7665"/>
      <c r="C729" s="7747"/>
      <c r="D729" s="2817">
        <v>9000000</v>
      </c>
      <c r="E729" s="2819">
        <v>5.5E-2</v>
      </c>
      <c r="F729" s="2817">
        <f t="shared" si="76"/>
        <v>495000</v>
      </c>
      <c r="G729" s="7732" t="s">
        <v>4652</v>
      </c>
      <c r="H729" s="7733"/>
      <c r="I729" s="7733"/>
      <c r="J729" s="7734"/>
      <c r="K729" s="2349"/>
      <c r="L729" s="2851"/>
      <c r="M729" s="386"/>
      <c r="N729" s="386"/>
      <c r="O729" s="386"/>
      <c r="P729" s="386"/>
      <c r="Q729" s="386"/>
    </row>
    <row r="730" spans="1:17" ht="30" customHeight="1" x14ac:dyDescent="0.2">
      <c r="A730" s="7656"/>
      <c r="B730" s="7665"/>
      <c r="C730" s="7747"/>
      <c r="D730" s="2817">
        <v>2000000</v>
      </c>
      <c r="E730" s="2819">
        <v>5.5E-2</v>
      </c>
      <c r="F730" s="2817">
        <f t="shared" si="76"/>
        <v>110000</v>
      </c>
      <c r="G730" s="7732" t="s">
        <v>4698</v>
      </c>
      <c r="H730" s="7733"/>
      <c r="I730" s="7733"/>
      <c r="J730" s="7734"/>
      <c r="K730" s="2349"/>
      <c r="L730" s="2851"/>
      <c r="M730" s="386"/>
      <c r="N730" s="386"/>
      <c r="O730" s="386"/>
      <c r="P730" s="386"/>
      <c r="Q730" s="386"/>
    </row>
    <row r="731" spans="1:17" ht="30" customHeight="1" x14ac:dyDescent="0.2">
      <c r="A731" s="7656"/>
      <c r="B731" s="7665"/>
      <c r="C731" s="7747"/>
      <c r="D731" s="8246">
        <f>D727+D728+D729+D730</f>
        <v>230000000</v>
      </c>
      <c r="E731" s="8244">
        <v>5.5E-2</v>
      </c>
      <c r="F731" s="8246">
        <f t="shared" si="76"/>
        <v>12650000</v>
      </c>
      <c r="G731" s="8201" t="s">
        <v>3217</v>
      </c>
      <c r="H731" s="8202"/>
      <c r="I731" s="8202"/>
      <c r="J731" s="8203"/>
      <c r="K731" s="2349"/>
      <c r="L731" s="2851"/>
      <c r="M731" s="386"/>
      <c r="N731" s="386"/>
      <c r="O731" s="386"/>
      <c r="P731" s="386"/>
      <c r="Q731" s="386"/>
    </row>
    <row r="732" spans="1:17" ht="30" customHeight="1" x14ac:dyDescent="0.2">
      <c r="A732" s="7655"/>
      <c r="B732" s="7653"/>
      <c r="C732" s="7724"/>
      <c r="D732" s="8247"/>
      <c r="E732" s="8245"/>
      <c r="F732" s="8247"/>
      <c r="G732" s="2937">
        <v>12208000</v>
      </c>
      <c r="H732" s="2937" t="s">
        <v>5083</v>
      </c>
      <c r="I732" s="2937" t="s">
        <v>3103</v>
      </c>
      <c r="J732" s="2937">
        <f>G732</f>
        <v>12208000</v>
      </c>
      <c r="K732" s="2349"/>
      <c r="L732" s="2851"/>
      <c r="M732" s="386"/>
      <c r="N732" s="386"/>
      <c r="O732" s="386"/>
      <c r="P732" s="386"/>
      <c r="Q732" s="386"/>
    </row>
    <row r="733" spans="1:17" ht="30" customHeight="1" x14ac:dyDescent="0.2">
      <c r="A733" s="2822"/>
      <c r="B733" s="2825" t="s">
        <v>2609</v>
      </c>
      <c r="C733" s="2843"/>
      <c r="D733" s="2834"/>
      <c r="E733" s="2519"/>
      <c r="F733" s="2834"/>
      <c r="G733" s="2817">
        <v>1200000</v>
      </c>
      <c r="H733" s="2817" t="s">
        <v>5052</v>
      </c>
      <c r="I733" s="472" t="s">
        <v>4460</v>
      </c>
      <c r="J733" s="2817">
        <f>G733</f>
        <v>1200000</v>
      </c>
      <c r="K733" s="2861">
        <f>F733-J733</f>
        <v>-1200000</v>
      </c>
      <c r="L733" s="2875"/>
      <c r="M733" s="386"/>
      <c r="N733" s="386"/>
      <c r="O733" s="386"/>
      <c r="P733" s="386"/>
      <c r="Q733" s="386"/>
    </row>
    <row r="734" spans="1:17" ht="30" customHeight="1" x14ac:dyDescent="0.2">
      <c r="A734" s="7654"/>
      <c r="B734" s="7652" t="s">
        <v>3818</v>
      </c>
      <c r="C734" s="7723" t="s">
        <v>5649</v>
      </c>
      <c r="D734" s="3229">
        <v>4215000000</v>
      </c>
      <c r="E734" s="3242">
        <v>0.05</v>
      </c>
      <c r="F734" s="3229">
        <f>D734*E734</f>
        <v>210750000</v>
      </c>
      <c r="G734" s="7991" t="s">
        <v>5146</v>
      </c>
      <c r="H734" s="7992"/>
      <c r="I734" s="7992"/>
      <c r="J734" s="7993"/>
      <c r="K734" s="8238">
        <f>SUM(F734:F736)</f>
        <v>577850000</v>
      </c>
      <c r="L734" s="2851"/>
      <c r="M734" s="386"/>
      <c r="N734" s="386"/>
      <c r="O734" s="386"/>
      <c r="P734" s="386"/>
      <c r="Q734" s="386"/>
    </row>
    <row r="735" spans="1:17" ht="30" customHeight="1" x14ac:dyDescent="0.2">
      <c r="A735" s="7656"/>
      <c r="B735" s="7665"/>
      <c r="C735" s="7747"/>
      <c r="D735" s="3229">
        <v>2000000000</v>
      </c>
      <c r="E735" s="3242">
        <v>7.0000000000000007E-2</v>
      </c>
      <c r="F735" s="3229">
        <f t="shared" ref="F735:F739" si="77">D735*E735</f>
        <v>140000000</v>
      </c>
      <c r="G735" s="7994"/>
      <c r="H735" s="7995"/>
      <c r="I735" s="7995"/>
      <c r="J735" s="7996"/>
      <c r="K735" s="8239"/>
      <c r="L735" s="898"/>
      <c r="M735" s="386"/>
      <c r="N735" s="386"/>
      <c r="O735" s="386"/>
      <c r="P735" s="386"/>
      <c r="Q735" s="386"/>
    </row>
    <row r="736" spans="1:17" ht="30" customHeight="1" x14ac:dyDescent="0.2">
      <c r="A736" s="7656"/>
      <c r="B736" s="7665"/>
      <c r="C736" s="7747"/>
      <c r="D736" s="3229">
        <v>3785000000</v>
      </c>
      <c r="E736" s="3242">
        <v>0.06</v>
      </c>
      <c r="F736" s="3229">
        <f t="shared" si="77"/>
        <v>227100000</v>
      </c>
      <c r="G736" s="7997"/>
      <c r="H736" s="7998"/>
      <c r="I736" s="7998"/>
      <c r="J736" s="7999"/>
      <c r="K736" s="8240"/>
      <c r="L736" s="2852"/>
      <c r="M736" s="386"/>
      <c r="N736" s="386"/>
      <c r="O736" s="386"/>
      <c r="P736" s="386"/>
      <c r="Q736" s="386"/>
    </row>
    <row r="737" spans="1:17" ht="30" customHeight="1" x14ac:dyDescent="0.2">
      <c r="A737" s="7656"/>
      <c r="B737" s="7665"/>
      <c r="C737" s="7747"/>
      <c r="D737" s="3237">
        <v>2915000000</v>
      </c>
      <c r="E737" s="3243">
        <v>0.08</v>
      </c>
      <c r="F737" s="3237">
        <f t="shared" si="77"/>
        <v>233200000</v>
      </c>
      <c r="G737" s="7991" t="s">
        <v>5147</v>
      </c>
      <c r="H737" s="7992"/>
      <c r="I737" s="7992"/>
      <c r="J737" s="7993"/>
      <c r="K737" s="8261">
        <f>F737+F738+F739</f>
        <v>362400000</v>
      </c>
      <c r="L737" s="2852"/>
      <c r="M737" s="386"/>
      <c r="N737" s="386"/>
      <c r="O737" s="386"/>
      <c r="P737" s="386"/>
      <c r="Q737" s="386"/>
    </row>
    <row r="738" spans="1:17" ht="30" customHeight="1" x14ac:dyDescent="0.2">
      <c r="A738" s="7656"/>
      <c r="B738" s="7665"/>
      <c r="C738" s="7747"/>
      <c r="D738" s="3237">
        <v>690000000</v>
      </c>
      <c r="E738" s="3243">
        <v>0.08</v>
      </c>
      <c r="F738" s="3237">
        <f t="shared" si="77"/>
        <v>55200000</v>
      </c>
      <c r="G738" s="7994"/>
      <c r="H738" s="7995"/>
      <c r="I738" s="7995"/>
      <c r="J738" s="7996"/>
      <c r="K738" s="8262"/>
      <c r="L738" s="2852"/>
      <c r="M738" s="386"/>
      <c r="N738" s="386"/>
      <c r="O738" s="386"/>
      <c r="P738" s="386"/>
      <c r="Q738" s="386"/>
    </row>
    <row r="739" spans="1:17" ht="30" customHeight="1" x14ac:dyDescent="0.2">
      <c r="A739" s="7656"/>
      <c r="B739" s="7665"/>
      <c r="C739" s="7747"/>
      <c r="D739" s="3238">
        <v>925000000</v>
      </c>
      <c r="E739" s="3243">
        <v>0.08</v>
      </c>
      <c r="F739" s="3238">
        <f t="shared" si="77"/>
        <v>74000000</v>
      </c>
      <c r="G739" s="7997"/>
      <c r="H739" s="7998"/>
      <c r="I739" s="7998"/>
      <c r="J739" s="7999"/>
      <c r="K739" s="8263"/>
      <c r="L739" s="2855"/>
      <c r="M739" s="386"/>
      <c r="N739" s="386"/>
      <c r="O739" s="386"/>
      <c r="P739" s="386"/>
      <c r="Q739" s="386"/>
    </row>
    <row r="740" spans="1:17" ht="30" customHeight="1" x14ac:dyDescent="0.2">
      <c r="A740" s="7656"/>
      <c r="B740" s="7665"/>
      <c r="C740" s="7747"/>
      <c r="D740" s="8004">
        <f>SUM(D734:D739)</f>
        <v>14530000000</v>
      </c>
      <c r="E740" s="8005"/>
      <c r="F740" s="3232">
        <f>SUM(F734:F739)</f>
        <v>940250000</v>
      </c>
      <c r="G740" s="7991" t="s">
        <v>5140</v>
      </c>
      <c r="H740" s="7992"/>
      <c r="I740" s="7992"/>
      <c r="J740" s="7993"/>
      <c r="K740" s="7816"/>
      <c r="L740" s="3219"/>
      <c r="M740" s="386"/>
      <c r="N740" s="386"/>
      <c r="O740" s="386"/>
      <c r="P740" s="386"/>
      <c r="Q740" s="386"/>
    </row>
    <row r="741" spans="1:17" ht="30" customHeight="1" x14ac:dyDescent="0.2">
      <c r="A741" s="7656"/>
      <c r="B741" s="7665"/>
      <c r="C741" s="7747"/>
      <c r="D741" s="8004" t="s">
        <v>5141</v>
      </c>
      <c r="E741" s="8005"/>
      <c r="F741" s="3307">
        <v>1600000</v>
      </c>
      <c r="G741" s="7994"/>
      <c r="H741" s="7995"/>
      <c r="I741" s="7995"/>
      <c r="J741" s="7996"/>
      <c r="K741" s="7882"/>
      <c r="L741" s="3219"/>
      <c r="M741" s="386"/>
      <c r="N741" s="386"/>
      <c r="O741" s="386"/>
      <c r="P741" s="386"/>
      <c r="Q741" s="386"/>
    </row>
    <row r="742" spans="1:17" ht="30" customHeight="1" x14ac:dyDescent="0.2">
      <c r="A742" s="7656"/>
      <c r="B742" s="7665"/>
      <c r="C742" s="7747"/>
      <c r="D742" s="8004" t="s">
        <v>5142</v>
      </c>
      <c r="E742" s="8005"/>
      <c r="F742" s="3307">
        <v>1300000</v>
      </c>
      <c r="G742" s="7994"/>
      <c r="H742" s="7995"/>
      <c r="I742" s="7995"/>
      <c r="J742" s="7996"/>
      <c r="K742" s="7882"/>
      <c r="L742" s="3219"/>
      <c r="M742" s="386"/>
      <c r="N742" s="386"/>
      <c r="O742" s="386"/>
      <c r="P742" s="386"/>
      <c r="Q742" s="386"/>
    </row>
    <row r="743" spans="1:17" ht="30" customHeight="1" x14ac:dyDescent="0.2">
      <c r="A743" s="7656"/>
      <c r="B743" s="7665"/>
      <c r="C743" s="7747"/>
      <c r="D743" s="8004" t="s">
        <v>5143</v>
      </c>
      <c r="E743" s="8005"/>
      <c r="F743" s="3232">
        <f>SUM(F740:F742)</f>
        <v>943150000</v>
      </c>
      <c r="G743" s="7994"/>
      <c r="H743" s="7995"/>
      <c r="I743" s="7995"/>
      <c r="J743" s="7996"/>
      <c r="K743" s="7882"/>
      <c r="L743" s="3219"/>
      <c r="M743" s="386"/>
      <c r="N743" s="386"/>
      <c r="O743" s="386"/>
      <c r="P743" s="386"/>
      <c r="Q743" s="386"/>
    </row>
    <row r="744" spans="1:17" ht="30" customHeight="1" x14ac:dyDescent="0.2">
      <c r="A744" s="7656"/>
      <c r="B744" s="7665"/>
      <c r="C744" s="7747"/>
      <c r="D744" s="8004" t="s">
        <v>5167</v>
      </c>
      <c r="E744" s="8005"/>
      <c r="F744" s="3276">
        <v>6850000</v>
      </c>
      <c r="G744" s="7994"/>
      <c r="H744" s="7995"/>
      <c r="I744" s="7995"/>
      <c r="J744" s="7996"/>
      <c r="K744" s="7882"/>
      <c r="L744" s="3273" t="s">
        <v>5169</v>
      </c>
      <c r="M744" s="386"/>
      <c r="N744" s="386"/>
      <c r="O744" s="386"/>
      <c r="P744" s="386"/>
      <c r="Q744" s="386"/>
    </row>
    <row r="745" spans="1:17" ht="30" customHeight="1" x14ac:dyDescent="0.2">
      <c r="A745" s="7656"/>
      <c r="B745" s="7665"/>
      <c r="C745" s="7747"/>
      <c r="D745" s="8004" t="s">
        <v>5168</v>
      </c>
      <c r="E745" s="8005"/>
      <c r="F745" s="3276">
        <f>F743+F744</f>
        <v>950000000</v>
      </c>
      <c r="G745" s="7997"/>
      <c r="H745" s="7998"/>
      <c r="I745" s="7998"/>
      <c r="J745" s="7999"/>
      <c r="K745" s="7817"/>
      <c r="L745" s="3269"/>
      <c r="M745" s="386"/>
      <c r="N745" s="386"/>
      <c r="O745" s="386"/>
      <c r="P745" s="386"/>
      <c r="Q745" s="386"/>
    </row>
    <row r="746" spans="1:17" ht="30" customHeight="1" x14ac:dyDescent="0.2">
      <c r="A746" s="7656"/>
      <c r="B746" s="7665"/>
      <c r="C746" s="7747"/>
      <c r="D746" s="744">
        <v>850000000</v>
      </c>
      <c r="E746" s="3241">
        <v>0.08</v>
      </c>
      <c r="F746" s="744">
        <f>D746*E746</f>
        <v>68000000</v>
      </c>
      <c r="G746" s="8000" t="s">
        <v>5172</v>
      </c>
      <c r="H746" s="8000"/>
      <c r="I746" s="8000"/>
      <c r="J746" s="8000"/>
      <c r="K746" s="3219"/>
      <c r="L746" s="3225" t="s">
        <v>5145</v>
      </c>
      <c r="M746" s="386"/>
      <c r="N746" s="386"/>
      <c r="O746" s="386"/>
      <c r="P746" s="386"/>
      <c r="Q746" s="386"/>
    </row>
    <row r="747" spans="1:17" ht="30" customHeight="1" x14ac:dyDescent="0.2">
      <c r="A747" s="7656"/>
      <c r="B747" s="7665"/>
      <c r="C747" s="7747"/>
      <c r="D747" s="8212">
        <f>D740+D746</f>
        <v>15380000000</v>
      </c>
      <c r="E747" s="8213"/>
      <c r="F747" s="3244">
        <f>F740+F746</f>
        <v>1008250000</v>
      </c>
      <c r="G747" s="8000"/>
      <c r="H747" s="8000"/>
      <c r="I747" s="8000"/>
      <c r="J747" s="8000"/>
      <c r="K747" s="3219"/>
      <c r="L747" s="3219"/>
      <c r="M747" s="386"/>
      <c r="N747" s="386"/>
      <c r="O747" s="386"/>
      <c r="P747" s="386"/>
      <c r="Q747" s="386"/>
    </row>
    <row r="748" spans="1:17" ht="30" customHeight="1" x14ac:dyDescent="0.2">
      <c r="A748" s="7656"/>
      <c r="B748" s="7665"/>
      <c r="C748" s="7747"/>
      <c r="D748" s="3244">
        <v>50000000</v>
      </c>
      <c r="E748" s="3241">
        <v>0.08</v>
      </c>
      <c r="F748" s="3244">
        <f>D748*E748</f>
        <v>4000000</v>
      </c>
      <c r="G748" s="8000"/>
      <c r="H748" s="8000"/>
      <c r="I748" s="8000"/>
      <c r="J748" s="8000"/>
      <c r="K748" s="3219"/>
      <c r="L748" s="3225" t="s">
        <v>5166</v>
      </c>
      <c r="M748" s="386"/>
      <c r="N748" s="386"/>
      <c r="O748" s="386"/>
      <c r="P748" s="386"/>
      <c r="Q748" s="386"/>
    </row>
    <row r="749" spans="1:17" ht="30" customHeight="1" x14ac:dyDescent="0.2">
      <c r="A749" s="7656"/>
      <c r="B749" s="7665"/>
      <c r="C749" s="7747"/>
      <c r="D749" s="8212">
        <f>D747+D748</f>
        <v>15430000000</v>
      </c>
      <c r="E749" s="8213"/>
      <c r="F749" s="3244">
        <f>F747+F748</f>
        <v>1012250000</v>
      </c>
      <c r="G749" s="8000"/>
      <c r="H749" s="8000"/>
      <c r="I749" s="8000"/>
      <c r="J749" s="8000"/>
      <c r="K749" s="3219"/>
      <c r="L749" s="3219"/>
      <c r="M749" s="386"/>
      <c r="N749" s="386"/>
      <c r="O749" s="386"/>
      <c r="P749" s="386"/>
      <c r="Q749" s="386"/>
    </row>
    <row r="750" spans="1:17" ht="30" customHeight="1" x14ac:dyDescent="0.2">
      <c r="A750" s="7656"/>
      <c r="B750" s="7665"/>
      <c r="C750" s="7747"/>
      <c r="D750" s="3468"/>
      <c r="E750" s="3468"/>
      <c r="F750" s="3468"/>
      <c r="G750" s="3468">
        <v>40000000</v>
      </c>
      <c r="H750" s="3468" t="s">
        <v>3898</v>
      </c>
      <c r="I750" s="3468" t="s">
        <v>2686</v>
      </c>
      <c r="J750" s="3468">
        <f>G750</f>
        <v>40000000</v>
      </c>
      <c r="K750" s="3469"/>
      <c r="L750" s="3469"/>
      <c r="M750" s="386"/>
      <c r="N750" s="386"/>
      <c r="O750" s="386"/>
      <c r="P750" s="386"/>
      <c r="Q750" s="386"/>
    </row>
    <row r="751" spans="1:17" ht="30" customHeight="1" x14ac:dyDescent="0.2">
      <c r="A751" s="7656"/>
      <c r="B751" s="7665"/>
      <c r="C751" s="7747"/>
      <c r="D751" s="3468"/>
      <c r="E751" s="3468"/>
      <c r="F751" s="3468"/>
      <c r="G751" s="3468"/>
      <c r="H751" s="3468"/>
      <c r="I751" s="3468"/>
      <c r="J751" s="3468"/>
      <c r="K751" s="3469"/>
      <c r="L751" s="3469"/>
      <c r="M751" s="386"/>
      <c r="N751" s="386"/>
      <c r="O751" s="386"/>
      <c r="P751" s="386"/>
      <c r="Q751" s="386"/>
    </row>
    <row r="752" spans="1:17" ht="30" customHeight="1" x14ac:dyDescent="0.2">
      <c r="A752" s="7655"/>
      <c r="B752" s="7653"/>
      <c r="C752" s="7724"/>
      <c r="D752" s="3468"/>
      <c r="E752" s="3468"/>
      <c r="F752" s="3468"/>
      <c r="G752" s="3468"/>
      <c r="H752" s="3468"/>
      <c r="I752" s="3468"/>
      <c r="J752" s="3468"/>
      <c r="K752" s="3269"/>
      <c r="L752" s="3269"/>
      <c r="M752" s="386"/>
      <c r="N752" s="386"/>
      <c r="O752" s="386"/>
      <c r="P752" s="386"/>
      <c r="Q752" s="386"/>
    </row>
    <row r="753" spans="1:17" ht="30" customHeight="1" x14ac:dyDescent="0.2">
      <c r="A753" s="2942"/>
      <c r="B753" s="2943" t="s">
        <v>2622</v>
      </c>
      <c r="C753" s="2944"/>
      <c r="D753" s="2937">
        <v>160000000</v>
      </c>
      <c r="E753" s="2941">
        <v>0.05</v>
      </c>
      <c r="F753" s="2937">
        <f t="shared" ref="F753:F757" si="78">D753*E753</f>
        <v>8000000</v>
      </c>
      <c r="G753" s="2937">
        <v>8000000</v>
      </c>
      <c r="H753" s="2937" t="s">
        <v>4875</v>
      </c>
      <c r="I753" s="2694" t="s">
        <v>4364</v>
      </c>
      <c r="J753" s="2937">
        <f>G753</f>
        <v>8000000</v>
      </c>
      <c r="K753" s="2928">
        <f>F753-J753</f>
        <v>0</v>
      </c>
      <c r="L753" s="2875"/>
      <c r="M753" s="386"/>
      <c r="N753" s="386"/>
      <c r="O753" s="386"/>
      <c r="P753" s="386"/>
      <c r="Q753" s="386"/>
    </row>
    <row r="754" spans="1:17" ht="30" customHeight="1" x14ac:dyDescent="0.2">
      <c r="A754" s="2872"/>
      <c r="B754" s="2870" t="s">
        <v>2639</v>
      </c>
      <c r="C754" s="2843" t="s">
        <v>1172</v>
      </c>
      <c r="D754" s="2817">
        <v>80000000</v>
      </c>
      <c r="E754" s="2867">
        <v>0.05</v>
      </c>
      <c r="F754" s="2817">
        <f t="shared" si="78"/>
        <v>4000000</v>
      </c>
      <c r="G754" s="2817">
        <v>4000000</v>
      </c>
      <c r="H754" s="2817" t="s">
        <v>4920</v>
      </c>
      <c r="I754" s="472" t="s">
        <v>4020</v>
      </c>
      <c r="J754" s="2817">
        <f t="shared" ref="J754:J774" si="79">G754</f>
        <v>4000000</v>
      </c>
      <c r="K754" s="2855">
        <f t="shared" ref="K754:K775" si="80">F754-J754</f>
        <v>0</v>
      </c>
      <c r="L754" s="2875"/>
      <c r="M754" s="386"/>
      <c r="N754" s="386"/>
      <c r="O754" s="386"/>
      <c r="P754" s="386"/>
      <c r="Q754" s="386"/>
    </row>
    <row r="755" spans="1:17" ht="30" customHeight="1" x14ac:dyDescent="0.2">
      <c r="A755" s="2872"/>
      <c r="B755" s="2870" t="s">
        <v>4021</v>
      </c>
      <c r="C755" s="2843" t="s">
        <v>1172</v>
      </c>
      <c r="D755" s="2817">
        <v>100000000</v>
      </c>
      <c r="E755" s="2867">
        <v>0.05</v>
      </c>
      <c r="F755" s="2817">
        <f t="shared" si="78"/>
        <v>5000000</v>
      </c>
      <c r="G755" s="2817">
        <v>5000000</v>
      </c>
      <c r="H755" s="2817" t="s">
        <v>4920</v>
      </c>
      <c r="I755" s="472" t="s">
        <v>4063</v>
      </c>
      <c r="J755" s="2817">
        <f>G755</f>
        <v>5000000</v>
      </c>
      <c r="K755" s="2855">
        <f>F755-J755</f>
        <v>0</v>
      </c>
      <c r="L755" s="2875"/>
      <c r="M755" s="386"/>
      <c r="N755" s="386"/>
      <c r="O755" s="386"/>
      <c r="P755" s="386"/>
      <c r="Q755" s="386"/>
    </row>
    <row r="756" spans="1:17" ht="30" customHeight="1" x14ac:dyDescent="0.2">
      <c r="A756" s="2872"/>
      <c r="B756" s="2870" t="s">
        <v>3997</v>
      </c>
      <c r="C756" s="2869" t="s">
        <v>1652</v>
      </c>
      <c r="D756" s="2844">
        <v>25000000</v>
      </c>
      <c r="E756" s="2867">
        <v>0.04</v>
      </c>
      <c r="F756" s="2844">
        <f t="shared" si="78"/>
        <v>1000000</v>
      </c>
      <c r="G756" s="2844">
        <v>2000000</v>
      </c>
      <c r="H756" s="2844" t="s">
        <v>5009</v>
      </c>
      <c r="I756" s="2694" t="s">
        <v>2651</v>
      </c>
      <c r="J756" s="2844">
        <f t="shared" si="79"/>
        <v>2000000</v>
      </c>
      <c r="K756" s="2812">
        <f t="shared" si="80"/>
        <v>-1000000</v>
      </c>
      <c r="L756" s="2875" t="s">
        <v>5011</v>
      </c>
      <c r="M756" s="386"/>
      <c r="N756" s="386"/>
      <c r="O756" s="386"/>
      <c r="P756" s="386"/>
      <c r="Q756" s="386"/>
    </row>
    <row r="757" spans="1:17" ht="30" customHeight="1" x14ac:dyDescent="0.2">
      <c r="A757" s="7654"/>
      <c r="B757" s="7661" t="s">
        <v>2692</v>
      </c>
      <c r="C757" s="7723" t="s">
        <v>371</v>
      </c>
      <c r="D757" s="2844">
        <v>200000000</v>
      </c>
      <c r="E757" s="2867">
        <v>7.0000000000000007E-2</v>
      </c>
      <c r="F757" s="1855">
        <f t="shared" si="78"/>
        <v>14000000.000000002</v>
      </c>
      <c r="G757" s="8092"/>
      <c r="H757" s="8093"/>
      <c r="I757" s="8093"/>
      <c r="J757" s="8094"/>
      <c r="K757" s="387"/>
      <c r="L757" s="2875"/>
      <c r="M757" s="386"/>
      <c r="N757" s="386"/>
      <c r="O757" s="386"/>
      <c r="P757" s="386"/>
      <c r="Q757" s="386"/>
    </row>
    <row r="758" spans="1:17" ht="30" customHeight="1" x14ac:dyDescent="0.2">
      <c r="A758" s="7656"/>
      <c r="B758" s="7662"/>
      <c r="C758" s="7747"/>
      <c r="D758" s="2816">
        <v>14000000</v>
      </c>
      <c r="E758" s="2867">
        <v>7.0000000000000007E-2</v>
      </c>
      <c r="F758" s="1855">
        <f t="shared" ref="F758:F762" si="81">D758*E758</f>
        <v>980000.00000000012</v>
      </c>
      <c r="G758" s="8092" t="s">
        <v>4284</v>
      </c>
      <c r="H758" s="8093"/>
      <c r="I758" s="8093"/>
      <c r="J758" s="8094"/>
      <c r="K758" s="387"/>
      <c r="L758" s="2851"/>
      <c r="M758" s="386"/>
      <c r="N758" s="386"/>
      <c r="O758" s="386"/>
      <c r="P758" s="386"/>
      <c r="Q758" s="386"/>
    </row>
    <row r="759" spans="1:17" ht="30" customHeight="1" x14ac:dyDescent="0.2">
      <c r="A759" s="7656"/>
      <c r="B759" s="7662"/>
      <c r="C759" s="7747"/>
      <c r="D759" s="2816">
        <v>100000000</v>
      </c>
      <c r="E759" s="2867">
        <v>7.0000000000000007E-2</v>
      </c>
      <c r="F759" s="2844">
        <f t="shared" si="81"/>
        <v>7000000.0000000009</v>
      </c>
      <c r="G759" s="8092" t="s">
        <v>4713</v>
      </c>
      <c r="H759" s="8093"/>
      <c r="I759" s="8093"/>
      <c r="J759" s="8094"/>
      <c r="K759" s="387"/>
      <c r="L759" s="2726" t="s">
        <v>4715</v>
      </c>
      <c r="M759" s="386"/>
      <c r="N759" s="386"/>
      <c r="O759" s="386"/>
      <c r="P759" s="386"/>
      <c r="Q759" s="386"/>
    </row>
    <row r="760" spans="1:17" ht="30" customHeight="1" x14ac:dyDescent="0.2">
      <c r="A760" s="7656"/>
      <c r="B760" s="7662"/>
      <c r="C760" s="7747"/>
      <c r="D760" s="2816">
        <v>145000000</v>
      </c>
      <c r="E760" s="2867">
        <v>7.0000000000000007E-2</v>
      </c>
      <c r="F760" s="2844">
        <f t="shared" si="81"/>
        <v>10150000.000000002</v>
      </c>
      <c r="G760" s="8092" t="s">
        <v>4798</v>
      </c>
      <c r="H760" s="8093"/>
      <c r="I760" s="8093"/>
      <c r="J760" s="8094"/>
      <c r="K760" s="387"/>
      <c r="L760" s="2726" t="s">
        <v>4997</v>
      </c>
      <c r="M760" s="386"/>
      <c r="N760" s="386"/>
      <c r="O760" s="386"/>
      <c r="P760" s="386"/>
      <c r="Q760" s="386"/>
    </row>
    <row r="761" spans="1:17" ht="30" customHeight="1" x14ac:dyDescent="0.2">
      <c r="A761" s="7656"/>
      <c r="B761" s="7662"/>
      <c r="C761" s="7747"/>
      <c r="D761" s="2816">
        <v>6000000</v>
      </c>
      <c r="E761" s="2867">
        <v>7.0000000000000007E-2</v>
      </c>
      <c r="F761" s="2844">
        <f t="shared" si="81"/>
        <v>420000.00000000006</v>
      </c>
      <c r="G761" s="8092" t="s">
        <v>4717</v>
      </c>
      <c r="H761" s="8093"/>
      <c r="I761" s="8093"/>
      <c r="J761" s="8094"/>
      <c r="K761" s="387"/>
      <c r="L761" s="2726" t="s">
        <v>4718</v>
      </c>
      <c r="M761" s="386"/>
      <c r="N761" s="386"/>
      <c r="O761" s="386"/>
      <c r="P761" s="386"/>
      <c r="Q761" s="386"/>
    </row>
    <row r="762" spans="1:17" ht="30" customHeight="1" x14ac:dyDescent="0.2">
      <c r="A762" s="7656"/>
      <c r="B762" s="7662"/>
      <c r="C762" s="7747"/>
      <c r="D762" s="2816">
        <v>35000000</v>
      </c>
      <c r="E762" s="2867">
        <v>7.0000000000000007E-2</v>
      </c>
      <c r="F762" s="2844">
        <f t="shared" si="81"/>
        <v>2450000.0000000005</v>
      </c>
      <c r="G762" s="8092" t="s">
        <v>4799</v>
      </c>
      <c r="H762" s="8093"/>
      <c r="I762" s="8093"/>
      <c r="J762" s="8094"/>
      <c r="K762" s="387"/>
      <c r="L762" s="2726" t="s">
        <v>4998</v>
      </c>
      <c r="M762" s="386"/>
      <c r="N762" s="386"/>
      <c r="O762" s="386"/>
      <c r="P762" s="386"/>
      <c r="Q762" s="386"/>
    </row>
    <row r="763" spans="1:17" ht="30" customHeight="1" x14ac:dyDescent="0.2">
      <c r="A763" s="7656"/>
      <c r="B763" s="7662"/>
      <c r="C763" s="7747"/>
      <c r="D763" s="7563">
        <v>500000000</v>
      </c>
      <c r="E763" s="7659">
        <v>7.0000000000000007E-2</v>
      </c>
      <c r="F763" s="8001">
        <f>F757+F758+4900000+5750000+294000+1550000</f>
        <v>27474000</v>
      </c>
      <c r="G763" s="8204" t="s">
        <v>4714</v>
      </c>
      <c r="H763" s="8205"/>
      <c r="I763" s="8205"/>
      <c r="J763" s="8206"/>
      <c r="K763" s="7499">
        <f>F763-J764</f>
        <v>0</v>
      </c>
      <c r="L763" s="7811" t="s">
        <v>4905</v>
      </c>
      <c r="M763" s="386"/>
      <c r="N763" s="386"/>
      <c r="O763" s="386"/>
      <c r="P763" s="386"/>
      <c r="Q763" s="386"/>
    </row>
    <row r="764" spans="1:17" ht="30" customHeight="1" x14ac:dyDescent="0.2">
      <c r="A764" s="7656"/>
      <c r="B764" s="7662"/>
      <c r="C764" s="7747"/>
      <c r="D764" s="7564"/>
      <c r="E764" s="7660"/>
      <c r="F764" s="8002"/>
      <c r="G764" s="3200">
        <v>27474000</v>
      </c>
      <c r="H764" s="3200" t="s">
        <v>5015</v>
      </c>
      <c r="I764" s="3200" t="s">
        <v>5093</v>
      </c>
      <c r="J764" s="3200">
        <f>G764</f>
        <v>27474000</v>
      </c>
      <c r="K764" s="7499"/>
      <c r="L764" s="7812"/>
      <c r="M764" s="386"/>
      <c r="N764" s="386"/>
      <c r="O764" s="386"/>
      <c r="P764" s="386"/>
      <c r="Q764" s="386"/>
    </row>
    <row r="765" spans="1:17" ht="30" customHeight="1" x14ac:dyDescent="0.2">
      <c r="A765" s="7656"/>
      <c r="B765" s="7662"/>
      <c r="C765" s="7747"/>
      <c r="D765" s="2886">
        <v>500000000</v>
      </c>
      <c r="E765" s="2888">
        <v>7.0000000000000007E-2</v>
      </c>
      <c r="F765" s="2886">
        <f>D765*E765</f>
        <v>35000000</v>
      </c>
      <c r="G765" s="8190" t="s">
        <v>4716</v>
      </c>
      <c r="H765" s="8191"/>
      <c r="I765" s="8191"/>
      <c r="J765" s="8192"/>
      <c r="K765" s="387"/>
      <c r="L765" s="387"/>
      <c r="M765" s="386"/>
      <c r="N765" s="386"/>
      <c r="O765" s="386"/>
      <c r="P765" s="386"/>
      <c r="Q765" s="386"/>
    </row>
    <row r="766" spans="1:17" ht="30" customHeight="1" x14ac:dyDescent="0.2">
      <c r="A766" s="7654"/>
      <c r="B766" s="7661" t="s">
        <v>4699</v>
      </c>
      <c r="C766" s="7723" t="s">
        <v>371</v>
      </c>
      <c r="D766" s="3041">
        <v>183930000</v>
      </c>
      <c r="E766" s="3044">
        <v>7.0000000000000007E-2</v>
      </c>
      <c r="F766" s="3041">
        <f>D766*E766</f>
        <v>12875100.000000002</v>
      </c>
      <c r="G766" s="3136">
        <v>4309000</v>
      </c>
      <c r="H766" s="638" t="s">
        <v>5083</v>
      </c>
      <c r="I766" s="638" t="s">
        <v>5087</v>
      </c>
      <c r="J766" s="638">
        <f>G766</f>
        <v>4309000</v>
      </c>
      <c r="K766" s="2855"/>
      <c r="L766" s="7811" t="s">
        <v>4700</v>
      </c>
      <c r="M766" s="386"/>
      <c r="N766" s="386"/>
      <c r="O766" s="386"/>
      <c r="P766" s="386"/>
      <c r="Q766" s="386"/>
    </row>
    <row r="767" spans="1:17" ht="30" customHeight="1" x14ac:dyDescent="0.2">
      <c r="A767" s="7656"/>
      <c r="B767" s="7662"/>
      <c r="C767" s="7747"/>
      <c r="D767" s="3041">
        <v>183000000</v>
      </c>
      <c r="E767" s="3044">
        <v>7.0000000000000007E-2</v>
      </c>
      <c r="F767" s="3041">
        <f>D767*E767</f>
        <v>12810000.000000002</v>
      </c>
      <c r="G767" s="8092" t="s">
        <v>4962</v>
      </c>
      <c r="H767" s="8093"/>
      <c r="I767" s="8093"/>
      <c r="J767" s="8094"/>
      <c r="K767" s="3042"/>
      <c r="L767" s="7812"/>
      <c r="M767" s="386"/>
      <c r="N767" s="386"/>
      <c r="O767" s="386"/>
      <c r="P767" s="386"/>
      <c r="Q767" s="386"/>
    </row>
    <row r="768" spans="1:17" ht="30" customHeight="1" x14ac:dyDescent="0.2">
      <c r="A768" s="7656"/>
      <c r="B768" s="7662"/>
      <c r="C768" s="7747"/>
      <c r="D768" s="3041">
        <v>33070000</v>
      </c>
      <c r="E768" s="3044">
        <v>7.0000000000000007E-2</v>
      </c>
      <c r="F768" s="3041">
        <f>D768*E768</f>
        <v>2314900</v>
      </c>
      <c r="G768" s="8092" t="s">
        <v>4960</v>
      </c>
      <c r="H768" s="8093"/>
      <c r="I768" s="8093"/>
      <c r="J768" s="8094"/>
      <c r="K768" s="3042"/>
      <c r="L768" s="2021" t="s">
        <v>4961</v>
      </c>
      <c r="M768" s="386"/>
      <c r="N768" s="386"/>
      <c r="O768" s="386"/>
      <c r="P768" s="386"/>
      <c r="Q768" s="386"/>
    </row>
    <row r="769" spans="1:17" ht="30" customHeight="1" x14ac:dyDescent="0.2">
      <c r="A769" s="7655"/>
      <c r="B769" s="7663"/>
      <c r="C769" s="7724"/>
      <c r="D769" s="3035">
        <v>400000000</v>
      </c>
      <c r="E769" s="435">
        <v>7.0000000000000007E-2</v>
      </c>
      <c r="F769" s="3035">
        <f>D769*E769</f>
        <v>28000000.000000004</v>
      </c>
      <c r="G769" s="8092" t="s">
        <v>5088</v>
      </c>
      <c r="H769" s="8093"/>
      <c r="I769" s="8093"/>
      <c r="J769" s="8094"/>
      <c r="K769" s="2855"/>
      <c r="L769" s="2852"/>
      <c r="M769" s="386"/>
      <c r="N769" s="386"/>
      <c r="O769" s="386"/>
      <c r="P769" s="386"/>
      <c r="Q769" s="386"/>
    </row>
    <row r="770" spans="1:17" ht="30" customHeight="1" x14ac:dyDescent="0.2">
      <c r="A770" s="2872"/>
      <c r="B770" s="2870" t="s">
        <v>2702</v>
      </c>
      <c r="C770" s="2843" t="s">
        <v>262</v>
      </c>
      <c r="D770" s="2817">
        <v>30000000</v>
      </c>
      <c r="E770" s="2867">
        <v>0.05</v>
      </c>
      <c r="F770" s="2817">
        <f t="shared" ref="F770:F778" si="82">D770*E770</f>
        <v>1500000</v>
      </c>
      <c r="G770" s="2844">
        <v>1500000</v>
      </c>
      <c r="H770" s="2844" t="s">
        <v>4936</v>
      </c>
      <c r="I770" s="2844" t="s">
        <v>3536</v>
      </c>
      <c r="J770" s="2844">
        <f t="shared" si="79"/>
        <v>1500000</v>
      </c>
      <c r="K770" s="2855">
        <f t="shared" si="80"/>
        <v>0</v>
      </c>
      <c r="L770" s="2875"/>
      <c r="M770" s="386"/>
      <c r="N770" s="386"/>
      <c r="O770" s="386"/>
      <c r="P770" s="386"/>
      <c r="Q770" s="386"/>
    </row>
    <row r="771" spans="1:17" ht="30" customHeight="1" x14ac:dyDescent="0.2">
      <c r="A771" s="2872"/>
      <c r="B771" s="2870" t="s">
        <v>2727</v>
      </c>
      <c r="C771" s="2843" t="s">
        <v>392</v>
      </c>
      <c r="D771" s="2817">
        <v>140000000</v>
      </c>
      <c r="E771" s="2867">
        <v>7.0000000000000007E-2</v>
      </c>
      <c r="F771" s="2817">
        <f t="shared" si="82"/>
        <v>9800000.0000000019</v>
      </c>
      <c r="G771" s="2844">
        <v>9800000</v>
      </c>
      <c r="H771" s="2844" t="s">
        <v>4920</v>
      </c>
      <c r="I771" s="2844" t="s">
        <v>4931</v>
      </c>
      <c r="J771" s="2844">
        <f t="shared" si="79"/>
        <v>9800000</v>
      </c>
      <c r="K771" s="2855">
        <f t="shared" si="80"/>
        <v>0</v>
      </c>
      <c r="L771" s="2875"/>
      <c r="M771" s="386"/>
      <c r="N771" s="386"/>
      <c r="O771" s="386"/>
      <c r="P771" s="386"/>
      <c r="Q771" s="386"/>
    </row>
    <row r="772" spans="1:17" ht="30" customHeight="1" x14ac:dyDescent="0.2">
      <c r="A772" s="2872"/>
      <c r="B772" s="2870" t="s">
        <v>2735</v>
      </c>
      <c r="C772" s="2843" t="s">
        <v>889</v>
      </c>
      <c r="D772" s="2817">
        <v>85000000</v>
      </c>
      <c r="E772" s="2867">
        <v>0.05</v>
      </c>
      <c r="F772" s="2817">
        <f t="shared" si="82"/>
        <v>4250000</v>
      </c>
      <c r="G772" s="2844">
        <v>4250000</v>
      </c>
      <c r="H772" s="2844" t="s">
        <v>4860</v>
      </c>
      <c r="I772" s="2694" t="s">
        <v>3529</v>
      </c>
      <c r="J772" s="2844">
        <f t="shared" si="79"/>
        <v>4250000</v>
      </c>
      <c r="K772" s="2855">
        <f t="shared" si="80"/>
        <v>0</v>
      </c>
      <c r="L772" s="2875"/>
      <c r="M772" s="386"/>
      <c r="N772" s="386"/>
      <c r="O772" s="386"/>
      <c r="P772" s="386"/>
      <c r="Q772" s="386"/>
    </row>
    <row r="773" spans="1:17" ht="30" customHeight="1" x14ac:dyDescent="0.2">
      <c r="A773" s="2872"/>
      <c r="B773" s="2870" t="s">
        <v>3534</v>
      </c>
      <c r="C773" s="2843" t="s">
        <v>372</v>
      </c>
      <c r="D773" s="2817">
        <v>50000000</v>
      </c>
      <c r="E773" s="2867">
        <v>0.05</v>
      </c>
      <c r="F773" s="2817">
        <f t="shared" si="82"/>
        <v>2500000</v>
      </c>
      <c r="G773" s="2844">
        <v>2500000</v>
      </c>
      <c r="H773" s="2844" t="s">
        <v>4936</v>
      </c>
      <c r="I773" s="2844" t="s">
        <v>4091</v>
      </c>
      <c r="J773" s="2844">
        <f t="shared" si="79"/>
        <v>2500000</v>
      </c>
      <c r="K773" s="2855">
        <f t="shared" si="80"/>
        <v>0</v>
      </c>
      <c r="L773" s="2875"/>
      <c r="M773" s="386"/>
      <c r="N773" s="386"/>
      <c r="O773" s="386"/>
      <c r="P773" s="386"/>
      <c r="Q773" s="386"/>
    </row>
    <row r="774" spans="1:17" ht="30" customHeight="1" x14ac:dyDescent="0.2">
      <c r="A774" s="2872"/>
      <c r="B774" s="2870" t="s">
        <v>2738</v>
      </c>
      <c r="C774" s="2843" t="s">
        <v>372</v>
      </c>
      <c r="D774" s="2817">
        <v>25000000</v>
      </c>
      <c r="E774" s="2867">
        <v>0.05</v>
      </c>
      <c r="F774" s="2817">
        <f t="shared" si="82"/>
        <v>1250000</v>
      </c>
      <c r="G774" s="2844">
        <v>1250000</v>
      </c>
      <c r="H774" s="2844" t="s">
        <v>4936</v>
      </c>
      <c r="I774" s="2844" t="s">
        <v>4017</v>
      </c>
      <c r="J774" s="2844">
        <f t="shared" si="79"/>
        <v>1250000</v>
      </c>
      <c r="K774" s="2855">
        <f t="shared" si="80"/>
        <v>0</v>
      </c>
      <c r="L774" s="2875"/>
      <c r="M774" s="386"/>
      <c r="N774" s="386"/>
      <c r="O774" s="386"/>
      <c r="P774" s="386"/>
      <c r="Q774" s="386"/>
    </row>
    <row r="775" spans="1:17" ht="30" customHeight="1" x14ac:dyDescent="0.2">
      <c r="A775" s="7654"/>
      <c r="B775" s="7652" t="s">
        <v>2767</v>
      </c>
      <c r="C775" s="7723"/>
      <c r="D775" s="3218">
        <v>300000000</v>
      </c>
      <c r="E775" s="3220">
        <v>5.5E-2</v>
      </c>
      <c r="F775" s="3218">
        <f t="shared" si="82"/>
        <v>16500000</v>
      </c>
      <c r="G775" s="3218">
        <v>16500000</v>
      </c>
      <c r="H775" s="3218" t="s">
        <v>5009</v>
      </c>
      <c r="I775" s="3218" t="s">
        <v>3477</v>
      </c>
      <c r="J775" s="3218">
        <f>G775+G776</f>
        <v>52500000</v>
      </c>
      <c r="K775" s="3210">
        <f t="shared" si="80"/>
        <v>-36000000</v>
      </c>
      <c r="L775" s="847"/>
      <c r="M775" s="386"/>
      <c r="N775" s="386"/>
      <c r="O775" s="386"/>
      <c r="P775" s="386"/>
      <c r="Q775" s="386"/>
    </row>
    <row r="776" spans="1:17" ht="30" customHeight="1" x14ac:dyDescent="0.2">
      <c r="A776" s="7656"/>
      <c r="B776" s="7665"/>
      <c r="C776" s="7747"/>
      <c r="D776" s="3213">
        <v>50000000</v>
      </c>
      <c r="E776" s="3215">
        <v>5.5E-2</v>
      </c>
      <c r="F776" s="3213">
        <f t="shared" si="82"/>
        <v>2750000</v>
      </c>
      <c r="G776" s="7563">
        <v>36000000</v>
      </c>
      <c r="H776" s="7563" t="s">
        <v>5345</v>
      </c>
      <c r="I776" s="7563" t="s">
        <v>5497</v>
      </c>
      <c r="J776" s="7563">
        <f>G776</f>
        <v>36000000</v>
      </c>
      <c r="K776" s="7816">
        <f>F779-J776</f>
        <v>0</v>
      </c>
      <c r="L776" s="2021" t="s">
        <v>5190</v>
      </c>
      <c r="M776" s="386"/>
      <c r="N776" s="386"/>
      <c r="O776" s="386"/>
      <c r="P776" s="386"/>
      <c r="Q776" s="386"/>
    </row>
    <row r="777" spans="1:17" ht="30" customHeight="1" x14ac:dyDescent="0.2">
      <c r="A777" s="7656"/>
      <c r="B777" s="7665"/>
      <c r="C777" s="7747"/>
      <c r="D777" s="3213">
        <v>100000000</v>
      </c>
      <c r="E777" s="3215">
        <v>5.5E-2</v>
      </c>
      <c r="F777" s="3213">
        <f t="shared" si="82"/>
        <v>5500000</v>
      </c>
      <c r="G777" s="7586"/>
      <c r="H777" s="7586"/>
      <c r="I777" s="7586"/>
      <c r="J777" s="7586"/>
      <c r="K777" s="7882"/>
      <c r="L777" s="2021" t="s">
        <v>5191</v>
      </c>
      <c r="M777" s="386"/>
      <c r="N777" s="386"/>
      <c r="O777" s="386"/>
      <c r="P777" s="386"/>
      <c r="Q777" s="386"/>
    </row>
    <row r="778" spans="1:17" ht="30" customHeight="1" x14ac:dyDescent="0.2">
      <c r="A778" s="7656"/>
      <c r="B778" s="7665"/>
      <c r="C778" s="7747"/>
      <c r="D778" s="3281">
        <v>200000000</v>
      </c>
      <c r="E778" s="3282">
        <v>0.05</v>
      </c>
      <c r="F778" s="3281">
        <f t="shared" si="82"/>
        <v>10000000</v>
      </c>
      <c r="G778" s="7586"/>
      <c r="H778" s="7586"/>
      <c r="I778" s="7586"/>
      <c r="J778" s="7586"/>
      <c r="K778" s="7882"/>
      <c r="L778" s="2021" t="s">
        <v>5192</v>
      </c>
      <c r="M778" s="386"/>
      <c r="N778" s="386"/>
      <c r="O778" s="386"/>
      <c r="P778" s="386"/>
      <c r="Q778" s="386"/>
    </row>
    <row r="779" spans="1:17" ht="30" customHeight="1" x14ac:dyDescent="0.2">
      <c r="A779" s="7655"/>
      <c r="B779" s="7653"/>
      <c r="C779" s="7724"/>
      <c r="D779" s="3298">
        <f>SUM(D775:D778)</f>
        <v>650000000</v>
      </c>
      <c r="E779" s="3234">
        <v>5.5E-2</v>
      </c>
      <c r="F779" s="3233">
        <v>36000000</v>
      </c>
      <c r="G779" s="7564"/>
      <c r="H779" s="7564"/>
      <c r="I779" s="7564"/>
      <c r="J779" s="7564"/>
      <c r="K779" s="7817"/>
      <c r="L779" s="2021" t="s">
        <v>5193</v>
      </c>
      <c r="M779" s="386"/>
      <c r="N779" s="386"/>
      <c r="O779" s="386"/>
      <c r="P779" s="386"/>
      <c r="Q779" s="386"/>
    </row>
    <row r="780" spans="1:17" ht="30" customHeight="1" x14ac:dyDescent="0.2">
      <c r="A780" s="2872"/>
      <c r="B780" s="2870" t="s">
        <v>2799</v>
      </c>
      <c r="C780" s="2843"/>
      <c r="D780" s="2817">
        <v>85000000</v>
      </c>
      <c r="E780" s="2867"/>
      <c r="F780" s="2817"/>
      <c r="G780" s="2844"/>
      <c r="H780" s="2844"/>
      <c r="I780" s="2844"/>
      <c r="J780" s="2844"/>
      <c r="K780" s="2855"/>
      <c r="L780" s="2875" t="s">
        <v>2800</v>
      </c>
      <c r="M780" s="386"/>
      <c r="N780" s="386"/>
      <c r="O780" s="386"/>
      <c r="P780" s="386"/>
      <c r="Q780" s="386"/>
    </row>
    <row r="781" spans="1:17" ht="30" customHeight="1" x14ac:dyDescent="0.2">
      <c r="A781" s="2872"/>
      <c r="B781" s="2870" t="s">
        <v>2802</v>
      </c>
      <c r="C781" s="2843" t="s">
        <v>359</v>
      </c>
      <c r="D781" s="2817">
        <v>20000000</v>
      </c>
      <c r="E781" s="2867">
        <v>0.05</v>
      </c>
      <c r="F781" s="2817">
        <f t="shared" ref="F781:F788" si="83">D781*E781</f>
        <v>1000000</v>
      </c>
      <c r="G781" s="2844">
        <v>1000000</v>
      </c>
      <c r="H781" s="2844" t="s">
        <v>5083</v>
      </c>
      <c r="I781" s="2844" t="s">
        <v>3556</v>
      </c>
      <c r="J781" s="2844">
        <f>G781</f>
        <v>1000000</v>
      </c>
      <c r="K781" s="2855">
        <f>F781-J781</f>
        <v>0</v>
      </c>
      <c r="L781" s="2875"/>
      <c r="M781" s="386"/>
      <c r="N781" s="386"/>
      <c r="O781" s="386"/>
      <c r="P781" s="386"/>
      <c r="Q781" s="386"/>
    </row>
    <row r="782" spans="1:17" ht="30" customHeight="1" x14ac:dyDescent="0.2">
      <c r="A782" s="2821"/>
      <c r="B782" s="7652" t="s">
        <v>2904</v>
      </c>
      <c r="C782" s="7723" t="s">
        <v>1081</v>
      </c>
      <c r="D782" s="7563">
        <v>40000000</v>
      </c>
      <c r="E782" s="7659">
        <v>0.04</v>
      </c>
      <c r="F782" s="7563">
        <f t="shared" si="83"/>
        <v>1600000</v>
      </c>
      <c r="G782" s="2844">
        <v>1600000</v>
      </c>
      <c r="H782" s="2844" t="s">
        <v>4846</v>
      </c>
      <c r="I782" s="2844" t="s">
        <v>4314</v>
      </c>
      <c r="J782" s="2844">
        <f>G782</f>
        <v>1600000</v>
      </c>
      <c r="K782" s="2855">
        <f>F782-J782</f>
        <v>0</v>
      </c>
      <c r="L782" s="2875" t="s">
        <v>4437</v>
      </c>
      <c r="M782" s="386"/>
      <c r="N782" s="386"/>
      <c r="O782" s="386"/>
      <c r="P782" s="386"/>
      <c r="Q782" s="386"/>
    </row>
    <row r="783" spans="1:17" ht="30" customHeight="1" x14ac:dyDescent="0.2">
      <c r="A783" s="3388"/>
      <c r="B783" s="7653"/>
      <c r="C783" s="7724"/>
      <c r="D783" s="7564"/>
      <c r="E783" s="7660"/>
      <c r="F783" s="7564"/>
      <c r="G783" s="3399">
        <v>1600000</v>
      </c>
      <c r="H783" s="3399" t="s">
        <v>5226</v>
      </c>
      <c r="I783" s="3399" t="s">
        <v>4314</v>
      </c>
      <c r="J783" s="3399">
        <f>G783</f>
        <v>1600000</v>
      </c>
      <c r="K783" s="3401">
        <f>F782-J783</f>
        <v>0</v>
      </c>
      <c r="L783" s="3412" t="s">
        <v>4905</v>
      </c>
      <c r="M783" s="386"/>
      <c r="N783" s="386"/>
      <c r="O783" s="386"/>
      <c r="P783" s="386"/>
      <c r="Q783" s="386"/>
    </row>
    <row r="784" spans="1:17" ht="30" customHeight="1" x14ac:dyDescent="0.2">
      <c r="A784" s="7654"/>
      <c r="B784" s="7652" t="s">
        <v>2834</v>
      </c>
      <c r="C784" s="7723" t="s">
        <v>2849</v>
      </c>
      <c r="D784" s="2817">
        <v>20000000</v>
      </c>
      <c r="E784" s="2819">
        <v>0.05</v>
      </c>
      <c r="F784" s="2817">
        <f t="shared" si="83"/>
        <v>1000000</v>
      </c>
      <c r="G784" s="7732" t="s">
        <v>5505</v>
      </c>
      <c r="H784" s="7733"/>
      <c r="I784" s="7733"/>
      <c r="J784" s="7734"/>
      <c r="K784" s="2855"/>
      <c r="L784" s="2875"/>
      <c r="M784" s="386"/>
      <c r="N784" s="386"/>
      <c r="O784" s="386"/>
      <c r="P784" s="386"/>
      <c r="Q784" s="386"/>
    </row>
    <row r="785" spans="1:17" ht="30" customHeight="1" x14ac:dyDescent="0.2">
      <c r="A785" s="7655"/>
      <c r="B785" s="7653"/>
      <c r="C785" s="7724"/>
      <c r="D785" s="3127">
        <v>20000000</v>
      </c>
      <c r="E785" s="3128">
        <v>0.05</v>
      </c>
      <c r="F785" s="3127">
        <f t="shared" si="83"/>
        <v>1000000</v>
      </c>
      <c r="G785" s="7732" t="s">
        <v>5504</v>
      </c>
      <c r="H785" s="7733"/>
      <c r="I785" s="7733"/>
      <c r="J785" s="7734"/>
      <c r="K785" s="3138"/>
      <c r="L785" s="3148" t="s">
        <v>5068</v>
      </c>
      <c r="M785" s="386"/>
      <c r="N785" s="386"/>
      <c r="O785" s="386"/>
      <c r="P785" s="386"/>
      <c r="Q785" s="386"/>
    </row>
    <row r="786" spans="1:17" ht="30" customHeight="1" x14ac:dyDescent="0.2">
      <c r="A786" s="2822"/>
      <c r="B786" s="2962" t="s">
        <v>2899</v>
      </c>
      <c r="C786" s="2964" t="s">
        <v>1718</v>
      </c>
      <c r="D786" s="2963">
        <v>400000000</v>
      </c>
      <c r="E786" s="2965">
        <v>7.0000000000000007E-2</v>
      </c>
      <c r="F786" s="2963">
        <f t="shared" si="83"/>
        <v>28000000.000000004</v>
      </c>
      <c r="G786" s="3002">
        <v>28000000</v>
      </c>
      <c r="H786" s="3002" t="s">
        <v>4936</v>
      </c>
      <c r="I786" s="3005" t="s">
        <v>2868</v>
      </c>
      <c r="J786" s="3002">
        <f t="shared" ref="J786:J792" si="84">G786</f>
        <v>28000000</v>
      </c>
      <c r="K786" s="2855">
        <f>F786-J786</f>
        <v>0</v>
      </c>
      <c r="L786" s="2876" t="s">
        <v>4694</v>
      </c>
      <c r="M786" s="386"/>
      <c r="N786" s="386"/>
      <c r="O786" s="386"/>
      <c r="P786" s="386"/>
      <c r="Q786" s="386"/>
    </row>
    <row r="787" spans="1:17" ht="30" customHeight="1" x14ac:dyDescent="0.2">
      <c r="A787" s="2822"/>
      <c r="B787" s="2962" t="s">
        <v>4692</v>
      </c>
      <c r="C787" s="2964" t="s">
        <v>2278</v>
      </c>
      <c r="D787" s="2963">
        <v>100000000</v>
      </c>
      <c r="E787" s="2965">
        <v>7.0000000000000007E-2</v>
      </c>
      <c r="F787" s="2963">
        <f t="shared" si="83"/>
        <v>7000000.0000000009</v>
      </c>
      <c r="G787" s="3281">
        <v>7000000</v>
      </c>
      <c r="H787" s="3281" t="s">
        <v>5174</v>
      </c>
      <c r="I787" s="3285" t="s">
        <v>2868</v>
      </c>
      <c r="J787" s="3281">
        <f t="shared" si="84"/>
        <v>7000000</v>
      </c>
      <c r="K787" s="3291">
        <f>F787-G787</f>
        <v>0</v>
      </c>
      <c r="L787" s="2876" t="s">
        <v>4693</v>
      </c>
      <c r="M787" s="386"/>
      <c r="N787" s="386"/>
      <c r="O787" s="386"/>
      <c r="P787" s="386"/>
      <c r="Q787" s="386"/>
    </row>
    <row r="788" spans="1:17" ht="30" customHeight="1" x14ac:dyDescent="0.2">
      <c r="A788" s="2872"/>
      <c r="B788" s="2962" t="s">
        <v>2206</v>
      </c>
      <c r="C788" s="2964" t="s">
        <v>1306</v>
      </c>
      <c r="D788" s="2963">
        <v>150000000</v>
      </c>
      <c r="E788" s="2965">
        <v>0.05</v>
      </c>
      <c r="F788" s="2963">
        <f t="shared" si="83"/>
        <v>7500000</v>
      </c>
      <c r="G788" s="2817">
        <v>7500000</v>
      </c>
      <c r="H788" s="2817" t="s">
        <v>5211</v>
      </c>
      <c r="I788" s="2837" t="s">
        <v>4539</v>
      </c>
      <c r="J788" s="2817">
        <f t="shared" si="84"/>
        <v>7500000</v>
      </c>
      <c r="K788" s="2855">
        <f>F788-J788</f>
        <v>0</v>
      </c>
      <c r="L788" s="2852"/>
      <c r="M788" s="386"/>
      <c r="N788" s="386"/>
      <c r="O788" s="386"/>
      <c r="P788" s="386"/>
      <c r="Q788" s="386"/>
    </row>
    <row r="789" spans="1:17" ht="30" customHeight="1" x14ac:dyDescent="0.2">
      <c r="A789" s="2872"/>
      <c r="B789" s="19" t="s">
        <v>180</v>
      </c>
      <c r="C789" s="2843" t="s">
        <v>2849</v>
      </c>
      <c r="D789" s="2817">
        <v>126000000</v>
      </c>
      <c r="E789" s="2867">
        <f>F789/D789</f>
        <v>0.05</v>
      </c>
      <c r="F789" s="2817">
        <v>6300000</v>
      </c>
      <c r="G789" s="2844">
        <v>6300000</v>
      </c>
      <c r="H789" s="2844" t="s">
        <v>4875</v>
      </c>
      <c r="I789" s="2844" t="s">
        <v>4880</v>
      </c>
      <c r="J789" s="2844">
        <f t="shared" si="84"/>
        <v>6300000</v>
      </c>
      <c r="K789" s="2855">
        <f t="shared" ref="K789:K795" si="85">F789-J789</f>
        <v>0</v>
      </c>
      <c r="L789" s="2875"/>
      <c r="M789" s="386"/>
      <c r="N789" s="386"/>
      <c r="O789" s="386"/>
      <c r="P789" s="386"/>
      <c r="Q789" s="386"/>
    </row>
    <row r="790" spans="1:17" ht="30" customHeight="1" x14ac:dyDescent="0.2">
      <c r="A790" s="2872"/>
      <c r="B790" s="19" t="s">
        <v>4695</v>
      </c>
      <c r="C790" s="2843" t="s">
        <v>989</v>
      </c>
      <c r="D790" s="2817">
        <v>50000000</v>
      </c>
      <c r="E790" s="2867">
        <v>0.05</v>
      </c>
      <c r="F790" s="2817">
        <f>D790*E790</f>
        <v>2500000</v>
      </c>
      <c r="G790" s="2817">
        <v>2500000</v>
      </c>
      <c r="H790" s="2817" t="s">
        <v>1491</v>
      </c>
      <c r="I790" s="2837" t="s">
        <v>4764</v>
      </c>
      <c r="J790" s="2817">
        <f t="shared" si="84"/>
        <v>2500000</v>
      </c>
      <c r="K790" s="2855">
        <f>F790-J790</f>
        <v>0</v>
      </c>
      <c r="L790" s="2700"/>
      <c r="M790" s="386"/>
      <c r="N790" s="386"/>
      <c r="O790" s="386"/>
      <c r="P790" s="386"/>
      <c r="Q790" s="386"/>
    </row>
    <row r="791" spans="1:17" ht="30" customHeight="1" x14ac:dyDescent="0.2">
      <c r="A791" s="2872"/>
      <c r="B791" s="2870" t="s">
        <v>2873</v>
      </c>
      <c r="C791" s="2843" t="s">
        <v>1172</v>
      </c>
      <c r="D791" s="2817">
        <v>40000000</v>
      </c>
      <c r="E791" s="2867">
        <v>0.05</v>
      </c>
      <c r="F791" s="2817">
        <f>D791*E791</f>
        <v>2000000</v>
      </c>
      <c r="G791" s="2817">
        <v>2000000</v>
      </c>
      <c r="H791" s="2817" t="s">
        <v>5083</v>
      </c>
      <c r="I791" s="2837" t="s">
        <v>4078</v>
      </c>
      <c r="J791" s="2817">
        <f t="shared" si="84"/>
        <v>2000000</v>
      </c>
      <c r="K791" s="2855">
        <f t="shared" si="85"/>
        <v>0</v>
      </c>
      <c r="L791" s="2875"/>
      <c r="M791" s="386"/>
      <c r="N791" s="386"/>
      <c r="O791" s="386"/>
      <c r="P791" s="386"/>
      <c r="Q791" s="386"/>
    </row>
    <row r="792" spans="1:17" ht="30" customHeight="1" x14ac:dyDescent="0.2">
      <c r="A792" s="2872"/>
      <c r="B792" s="2870" t="s">
        <v>2878</v>
      </c>
      <c r="C792" s="2843" t="s">
        <v>1718</v>
      </c>
      <c r="D792" s="2817">
        <v>25000000</v>
      </c>
      <c r="E792" s="2867">
        <v>0.04</v>
      </c>
      <c r="F792" s="2817">
        <f>D792*E792</f>
        <v>1000000</v>
      </c>
      <c r="G792" s="2817">
        <v>1000000</v>
      </c>
      <c r="H792" s="2817" t="s">
        <v>5083</v>
      </c>
      <c r="I792" s="2837" t="s">
        <v>4062</v>
      </c>
      <c r="J792" s="2817">
        <f t="shared" si="84"/>
        <v>1000000</v>
      </c>
      <c r="K792" s="2855">
        <f t="shared" si="85"/>
        <v>0</v>
      </c>
      <c r="L792" s="2875"/>
      <c r="M792" s="386"/>
      <c r="N792" s="386"/>
      <c r="O792" s="386"/>
      <c r="P792" s="386"/>
      <c r="Q792" s="386"/>
    </row>
    <row r="793" spans="1:17" ht="30" customHeight="1" x14ac:dyDescent="0.2">
      <c r="A793" s="2872"/>
      <c r="B793" s="2870" t="s">
        <v>2932</v>
      </c>
      <c r="C793" s="2843" t="s">
        <v>1172</v>
      </c>
      <c r="D793" s="2817">
        <v>50000000</v>
      </c>
      <c r="E793" s="2867">
        <v>0.05</v>
      </c>
      <c r="F793" s="2817">
        <f>D793*E793</f>
        <v>2500000</v>
      </c>
      <c r="G793" s="2817">
        <v>2500000</v>
      </c>
      <c r="H793" s="2817" t="s">
        <v>4891</v>
      </c>
      <c r="I793" s="2837" t="s">
        <v>4092</v>
      </c>
      <c r="J793" s="2817">
        <f t="shared" ref="J793:J796" si="86">G793</f>
        <v>2500000</v>
      </c>
      <c r="K793" s="2855">
        <f t="shared" si="85"/>
        <v>0</v>
      </c>
      <c r="L793" s="2875"/>
      <c r="M793" s="386"/>
      <c r="N793" s="386"/>
      <c r="O793" s="386"/>
      <c r="P793" s="386"/>
      <c r="Q793" s="386"/>
    </row>
    <row r="794" spans="1:17" ht="30" customHeight="1" x14ac:dyDescent="0.2">
      <c r="A794" s="2821"/>
      <c r="B794" s="19" t="s">
        <v>2938</v>
      </c>
      <c r="C794" s="2869" t="s">
        <v>1138</v>
      </c>
      <c r="D794" s="2844">
        <v>10000000</v>
      </c>
      <c r="E794" s="2867">
        <v>0.05</v>
      </c>
      <c r="F794" s="2844">
        <f>D794*E794</f>
        <v>500000</v>
      </c>
      <c r="G794" s="2844">
        <v>500000</v>
      </c>
      <c r="H794" s="2844" t="s">
        <v>4875</v>
      </c>
      <c r="I794" s="2844" t="s">
        <v>2939</v>
      </c>
      <c r="J794" s="2844">
        <f t="shared" si="86"/>
        <v>500000</v>
      </c>
      <c r="K794" s="2855">
        <f t="shared" si="85"/>
        <v>0</v>
      </c>
      <c r="L794" s="2875" t="s">
        <v>5258</v>
      </c>
      <c r="M794" s="386"/>
      <c r="N794" s="386"/>
      <c r="O794" s="386"/>
      <c r="P794" s="386"/>
      <c r="Q794" s="386"/>
    </row>
    <row r="795" spans="1:17" ht="30" customHeight="1" x14ac:dyDescent="0.2">
      <c r="A795" s="2872"/>
      <c r="B795" s="2825" t="s">
        <v>2943</v>
      </c>
      <c r="C795" s="2843"/>
      <c r="D795" s="2834"/>
      <c r="E795" s="2835"/>
      <c r="F795" s="2834"/>
      <c r="G795" s="2817"/>
      <c r="H795" s="2817"/>
      <c r="I795" s="2837"/>
      <c r="J795" s="2817">
        <f t="shared" si="86"/>
        <v>0</v>
      </c>
      <c r="K795" s="2861">
        <f t="shared" si="85"/>
        <v>0</v>
      </c>
      <c r="L795" s="2875"/>
      <c r="M795" s="386"/>
      <c r="N795" s="386"/>
      <c r="O795" s="386"/>
      <c r="P795" s="386"/>
      <c r="Q795" s="386"/>
    </row>
    <row r="796" spans="1:17" ht="30" customHeight="1" x14ac:dyDescent="0.2">
      <c r="A796" s="7654"/>
      <c r="B796" s="7652" t="s">
        <v>3037</v>
      </c>
      <c r="C796" s="7723" t="s">
        <v>1306</v>
      </c>
      <c r="D796" s="3284">
        <v>30000000</v>
      </c>
      <c r="E796" s="435">
        <v>0.05</v>
      </c>
      <c r="F796" s="3284">
        <f t="shared" ref="F796:F803" si="87">D796*E796</f>
        <v>1500000</v>
      </c>
      <c r="G796" s="2844">
        <v>3000000</v>
      </c>
      <c r="H796" s="2844" t="s">
        <v>5202</v>
      </c>
      <c r="I796" s="2844" t="s">
        <v>3719</v>
      </c>
      <c r="J796" s="2844">
        <f t="shared" si="86"/>
        <v>3000000</v>
      </c>
      <c r="K796" s="2855">
        <f>(F796+F797+F798)-J796</f>
        <v>0</v>
      </c>
      <c r="L796" s="2875"/>
      <c r="M796" s="386"/>
      <c r="N796" s="386"/>
      <c r="O796" s="386"/>
      <c r="P796" s="386"/>
      <c r="Q796" s="386"/>
    </row>
    <row r="797" spans="1:17" ht="30" customHeight="1" x14ac:dyDescent="0.2">
      <c r="A797" s="7656"/>
      <c r="B797" s="7665"/>
      <c r="C797" s="7747"/>
      <c r="D797" s="3284">
        <v>15000000</v>
      </c>
      <c r="E797" s="435">
        <v>0.05</v>
      </c>
      <c r="F797" s="3284">
        <f t="shared" si="87"/>
        <v>750000</v>
      </c>
      <c r="G797" s="7470" t="s">
        <v>4492</v>
      </c>
      <c r="H797" s="7493"/>
      <c r="I797" s="7493"/>
      <c r="J797" s="7510"/>
      <c r="K797" s="2855"/>
      <c r="L797" s="2875"/>
      <c r="M797" s="386"/>
      <c r="N797" s="386"/>
      <c r="O797" s="386"/>
      <c r="P797" s="386"/>
      <c r="Q797" s="386"/>
    </row>
    <row r="798" spans="1:17" ht="30" customHeight="1" x14ac:dyDescent="0.2">
      <c r="A798" s="7655"/>
      <c r="B798" s="7653"/>
      <c r="C798" s="7724"/>
      <c r="D798" s="3284">
        <v>15000000</v>
      </c>
      <c r="E798" s="435">
        <v>0.05</v>
      </c>
      <c r="F798" s="3284">
        <f t="shared" si="87"/>
        <v>750000</v>
      </c>
      <c r="G798" s="7470" t="s">
        <v>4493</v>
      </c>
      <c r="H798" s="7493"/>
      <c r="I798" s="7493"/>
      <c r="J798" s="7510"/>
      <c r="K798" s="2855"/>
      <c r="L798" s="2875" t="s">
        <v>4683</v>
      </c>
      <c r="M798" s="386"/>
      <c r="N798" s="386"/>
      <c r="O798" s="386"/>
      <c r="P798" s="386"/>
      <c r="Q798" s="386"/>
    </row>
    <row r="799" spans="1:17" ht="30" customHeight="1" x14ac:dyDescent="0.2">
      <c r="A799" s="7654"/>
      <c r="B799" s="7652" t="s">
        <v>3040</v>
      </c>
      <c r="C799" s="7723" t="s">
        <v>1172</v>
      </c>
      <c r="D799" s="2817">
        <f>1000000000+19000000</f>
        <v>1019000000</v>
      </c>
      <c r="E799" s="2867">
        <v>7.0000000000000007E-2</v>
      </c>
      <c r="F799" s="2817">
        <f t="shared" si="87"/>
        <v>71330000</v>
      </c>
      <c r="G799" s="2817">
        <v>71330000</v>
      </c>
      <c r="H799" s="7563" t="s">
        <v>4920</v>
      </c>
      <c r="I799" s="7563" t="s">
        <v>4942</v>
      </c>
      <c r="J799" s="7563">
        <f>G799+G800</f>
        <v>90330000</v>
      </c>
      <c r="K799" s="7816">
        <v>0</v>
      </c>
      <c r="L799" s="3010"/>
      <c r="M799" s="386"/>
      <c r="N799" s="386"/>
      <c r="O799" s="386"/>
      <c r="P799" s="386"/>
      <c r="Q799" s="386"/>
    </row>
    <row r="800" spans="1:17" ht="30" customHeight="1" x14ac:dyDescent="0.2">
      <c r="A800" s="7656"/>
      <c r="B800" s="7665"/>
      <c r="C800" s="7747"/>
      <c r="D800" s="7470" t="s">
        <v>4941</v>
      </c>
      <c r="E800" s="7493"/>
      <c r="F800" s="7510"/>
      <c r="G800" s="3002">
        <v>19000000</v>
      </c>
      <c r="H800" s="7564"/>
      <c r="I800" s="7564"/>
      <c r="J800" s="7564"/>
      <c r="K800" s="7817"/>
      <c r="L800" s="3018"/>
      <c r="M800" s="386"/>
      <c r="N800" s="386"/>
      <c r="O800" s="386"/>
      <c r="P800" s="386"/>
      <c r="Q800" s="386"/>
    </row>
    <row r="801" spans="1:17" ht="30" customHeight="1" x14ac:dyDescent="0.2">
      <c r="A801" s="7655"/>
      <c r="B801" s="7653"/>
      <c r="C801" s="7724"/>
      <c r="D801" s="3002">
        <v>1000000000</v>
      </c>
      <c r="E801" s="3015">
        <v>7.0000000000000007E-2</v>
      </c>
      <c r="F801" s="3002">
        <f>D801*E801</f>
        <v>70000000</v>
      </c>
      <c r="G801" s="3002"/>
      <c r="H801" s="3002"/>
      <c r="I801" s="3005"/>
      <c r="J801" s="3002"/>
      <c r="K801" s="3012"/>
      <c r="L801" s="3011"/>
      <c r="M801" s="386"/>
      <c r="N801" s="386"/>
      <c r="O801" s="386"/>
      <c r="P801" s="386"/>
      <c r="Q801" s="386"/>
    </row>
    <row r="802" spans="1:17" ht="30" customHeight="1" x14ac:dyDescent="0.2">
      <c r="A802" s="2872"/>
      <c r="B802" s="2870" t="s">
        <v>3071</v>
      </c>
      <c r="C802" s="2843" t="s">
        <v>889</v>
      </c>
      <c r="D802" s="2817">
        <v>100000000</v>
      </c>
      <c r="E802" s="2867">
        <v>0.05</v>
      </c>
      <c r="F802" s="2817">
        <f t="shared" si="87"/>
        <v>5000000</v>
      </c>
      <c r="G802" s="2817">
        <v>5000000</v>
      </c>
      <c r="H802" s="2817" t="s">
        <v>4839</v>
      </c>
      <c r="I802" s="2837" t="s">
        <v>3966</v>
      </c>
      <c r="J802" s="2817">
        <f>G802</f>
        <v>5000000</v>
      </c>
      <c r="K802" s="2855">
        <f>F802-J802</f>
        <v>0</v>
      </c>
      <c r="L802" s="2950"/>
      <c r="M802" s="2950"/>
      <c r="N802" s="2950"/>
      <c r="O802" s="2950"/>
      <c r="P802" s="2950"/>
      <c r="Q802" s="386"/>
    </row>
    <row r="803" spans="1:17" ht="30" customHeight="1" x14ac:dyDescent="0.2">
      <c r="A803" s="2942"/>
      <c r="B803" s="2943" t="s">
        <v>3764</v>
      </c>
      <c r="C803" s="2944"/>
      <c r="D803" s="2937">
        <v>30000000</v>
      </c>
      <c r="E803" s="2941">
        <v>7.0000000000000007E-2</v>
      </c>
      <c r="F803" s="2937">
        <f t="shared" si="87"/>
        <v>2100000</v>
      </c>
      <c r="G803" s="2937">
        <v>2100000</v>
      </c>
      <c r="H803" s="2937" t="s">
        <v>1491</v>
      </c>
      <c r="I803" s="2937" t="s">
        <v>4141</v>
      </c>
      <c r="J803" s="2937">
        <f>G803</f>
        <v>2100000</v>
      </c>
      <c r="K803" s="2928">
        <f>F803-J803</f>
        <v>0</v>
      </c>
      <c r="L803" s="2945"/>
      <c r="M803" s="386"/>
      <c r="N803" s="386"/>
      <c r="O803" s="386"/>
      <c r="P803" s="386"/>
      <c r="Q803" s="386"/>
    </row>
    <row r="804" spans="1:17" ht="30" customHeight="1" x14ac:dyDescent="0.2">
      <c r="A804" s="7654"/>
      <c r="B804" s="7652" t="s">
        <v>3954</v>
      </c>
      <c r="C804" s="7723"/>
      <c r="D804" s="7563">
        <v>300000000</v>
      </c>
      <c r="E804" s="7659">
        <v>0.05</v>
      </c>
      <c r="F804" s="7563">
        <f>D804*E804</f>
        <v>15000000</v>
      </c>
      <c r="G804" s="2844">
        <v>1500000</v>
      </c>
      <c r="H804" s="2844" t="s">
        <v>5105</v>
      </c>
      <c r="I804" s="2844" t="s">
        <v>4147</v>
      </c>
      <c r="J804" s="7563">
        <f>G804+G805+G806</f>
        <v>15000000</v>
      </c>
      <c r="K804" s="7816">
        <f>F804-J804</f>
        <v>0</v>
      </c>
      <c r="L804" s="3349"/>
      <c r="M804" s="386"/>
      <c r="N804" s="386"/>
      <c r="O804" s="386"/>
      <c r="P804" s="386"/>
      <c r="Q804" s="386"/>
    </row>
    <row r="805" spans="1:17" ht="30" customHeight="1" x14ac:dyDescent="0.2">
      <c r="A805" s="7656"/>
      <c r="B805" s="7665"/>
      <c r="C805" s="7747"/>
      <c r="D805" s="7586"/>
      <c r="E805" s="7676"/>
      <c r="F805" s="7586"/>
      <c r="G805" s="3346">
        <v>9000000</v>
      </c>
      <c r="H805" s="3346" t="s">
        <v>5105</v>
      </c>
      <c r="I805" s="3346" t="s">
        <v>4147</v>
      </c>
      <c r="J805" s="7586"/>
      <c r="K805" s="7882"/>
      <c r="L805" s="3347"/>
      <c r="M805" s="386"/>
      <c r="N805" s="386"/>
      <c r="O805" s="386"/>
      <c r="P805" s="386"/>
      <c r="Q805" s="386"/>
    </row>
    <row r="806" spans="1:17" ht="30" customHeight="1" x14ac:dyDescent="0.2">
      <c r="A806" s="7656"/>
      <c r="B806" s="7665"/>
      <c r="C806" s="7747"/>
      <c r="D806" s="7564"/>
      <c r="E806" s="7660"/>
      <c r="F806" s="7564"/>
      <c r="G806" s="2844">
        <v>4500000</v>
      </c>
      <c r="H806" s="2844" t="s">
        <v>5106</v>
      </c>
      <c r="I806" s="2844" t="s">
        <v>4147</v>
      </c>
      <c r="J806" s="7564"/>
      <c r="K806" s="7817"/>
      <c r="L806" s="2852" t="s">
        <v>4763</v>
      </c>
      <c r="M806" s="386"/>
      <c r="N806" s="386"/>
      <c r="O806" s="386"/>
      <c r="P806" s="386"/>
      <c r="Q806" s="386"/>
    </row>
    <row r="807" spans="1:17" ht="30" customHeight="1" x14ac:dyDescent="0.2">
      <c r="A807" s="7655"/>
      <c r="B807" s="7653"/>
      <c r="C807" s="7724"/>
      <c r="D807" s="3386">
        <v>60000000</v>
      </c>
      <c r="E807" s="3390">
        <v>0.05</v>
      </c>
      <c r="F807" s="3386">
        <f>D807*E807</f>
        <v>3000000</v>
      </c>
      <c r="G807" s="3399"/>
      <c r="H807" s="3399"/>
      <c r="I807" s="3399"/>
      <c r="J807" s="3386"/>
      <c r="K807" s="3401"/>
      <c r="L807" s="3409" t="s">
        <v>5265</v>
      </c>
      <c r="M807" s="386"/>
      <c r="N807" s="386"/>
      <c r="O807" s="386"/>
      <c r="P807" s="386"/>
      <c r="Q807" s="386"/>
    </row>
    <row r="808" spans="1:17" ht="30" customHeight="1" x14ac:dyDescent="0.2">
      <c r="A808" s="1028"/>
      <c r="B808" s="19" t="s">
        <v>3159</v>
      </c>
      <c r="C808" s="378" t="s">
        <v>989</v>
      </c>
      <c r="D808" s="2817">
        <v>50000000</v>
      </c>
      <c r="E808" s="2819">
        <v>0.05</v>
      </c>
      <c r="F808" s="2817">
        <f>D808*E808</f>
        <v>2500000</v>
      </c>
      <c r="G808" s="2844">
        <v>2500000</v>
      </c>
      <c r="H808" s="2844" t="s">
        <v>1491</v>
      </c>
      <c r="I808" s="2844" t="s">
        <v>4379</v>
      </c>
      <c r="J808" s="2844">
        <f>G808</f>
        <v>2500000</v>
      </c>
      <c r="K808" s="2855">
        <f>F808-J808</f>
        <v>0</v>
      </c>
      <c r="L808" s="2852"/>
      <c r="M808" s="386"/>
      <c r="N808" s="386"/>
      <c r="O808" s="386"/>
      <c r="P808" s="386"/>
      <c r="Q808" s="386"/>
    </row>
    <row r="809" spans="1:17" ht="30" customHeight="1" x14ac:dyDescent="0.2">
      <c r="A809" s="7654"/>
      <c r="B809" s="7661" t="s">
        <v>3164</v>
      </c>
      <c r="C809" s="7723" t="s">
        <v>3323</v>
      </c>
      <c r="D809" s="7482">
        <v>400000000</v>
      </c>
      <c r="E809" s="7870">
        <v>0.04</v>
      </c>
      <c r="F809" s="7482">
        <f>D809*E809</f>
        <v>16000000</v>
      </c>
      <c r="G809" s="2844">
        <v>16000000</v>
      </c>
      <c r="H809" s="2844" t="s">
        <v>4839</v>
      </c>
      <c r="I809" s="2844" t="s">
        <v>4844</v>
      </c>
      <c r="J809" s="2844">
        <f>G809</f>
        <v>16000000</v>
      </c>
      <c r="K809" s="2855">
        <f>F809-J809</f>
        <v>0</v>
      </c>
      <c r="L809" s="2875" t="s">
        <v>4437</v>
      </c>
      <c r="M809" s="386"/>
      <c r="N809" s="386"/>
      <c r="O809" s="386"/>
      <c r="P809" s="386"/>
      <c r="Q809" s="386"/>
    </row>
    <row r="810" spans="1:17" ht="30" customHeight="1" x14ac:dyDescent="0.2">
      <c r="A810" s="7655"/>
      <c r="B810" s="7663"/>
      <c r="C810" s="7724"/>
      <c r="D810" s="7482"/>
      <c r="E810" s="7870"/>
      <c r="F810" s="7482"/>
      <c r="G810" s="3446">
        <v>16000000</v>
      </c>
      <c r="H810" s="3446" t="s">
        <v>5106</v>
      </c>
      <c r="I810" s="3446" t="s">
        <v>4844</v>
      </c>
      <c r="J810" s="3433">
        <f>G810</f>
        <v>16000000</v>
      </c>
      <c r="K810" s="3456">
        <f>F809-J810</f>
        <v>0</v>
      </c>
      <c r="L810" s="3457" t="s">
        <v>4905</v>
      </c>
      <c r="M810" s="386"/>
      <c r="N810" s="386"/>
      <c r="O810" s="386"/>
      <c r="P810" s="386"/>
      <c r="Q810" s="386"/>
    </row>
    <row r="811" spans="1:17" ht="30" customHeight="1" x14ac:dyDescent="0.2">
      <c r="A811" s="7654"/>
      <c r="B811" s="7661" t="s">
        <v>825</v>
      </c>
      <c r="C811" s="7703"/>
      <c r="D811" s="7962" t="s">
        <v>4935</v>
      </c>
      <c r="E811" s="7963"/>
      <c r="F811" s="7964"/>
      <c r="G811" s="2844">
        <v>50000000</v>
      </c>
      <c r="H811" s="2844" t="s">
        <v>4939</v>
      </c>
      <c r="I811" s="2844" t="s">
        <v>855</v>
      </c>
      <c r="J811" s="7563">
        <f>G811+G812</f>
        <v>100000000</v>
      </c>
      <c r="K811" s="7816">
        <f>100000000-J811</f>
        <v>0</v>
      </c>
      <c r="L811" s="2875"/>
      <c r="M811" s="386"/>
      <c r="N811" s="386"/>
      <c r="O811" s="386"/>
      <c r="P811" s="386"/>
      <c r="Q811" s="386"/>
    </row>
    <row r="812" spans="1:17" ht="30" customHeight="1" x14ac:dyDescent="0.2">
      <c r="A812" s="7656"/>
      <c r="B812" s="7662"/>
      <c r="C812" s="7704"/>
      <c r="D812" s="7968"/>
      <c r="E812" s="7969"/>
      <c r="F812" s="7970"/>
      <c r="G812" s="2817">
        <v>50000000</v>
      </c>
      <c r="H812" s="2817" t="s">
        <v>4936</v>
      </c>
      <c r="I812" s="2817" t="s">
        <v>855</v>
      </c>
      <c r="J812" s="7564"/>
      <c r="K812" s="7817"/>
      <c r="L812" s="2875" t="s">
        <v>4628</v>
      </c>
      <c r="M812" s="386"/>
      <c r="N812" s="386"/>
      <c r="O812" s="386"/>
      <c r="P812" s="386"/>
      <c r="Q812" s="386"/>
    </row>
    <row r="813" spans="1:17" ht="30" customHeight="1" x14ac:dyDescent="0.2">
      <c r="A813" s="7655"/>
      <c r="B813" s="7663"/>
      <c r="C813" s="7705"/>
      <c r="D813" s="8276" t="s">
        <v>5701</v>
      </c>
      <c r="E813" s="8277"/>
      <c r="F813" s="8278"/>
      <c r="G813" s="3002">
        <v>20000000</v>
      </c>
      <c r="H813" s="3002" t="s">
        <v>5289</v>
      </c>
      <c r="I813" s="3002" t="s">
        <v>5702</v>
      </c>
      <c r="J813" s="3002">
        <f>G813</f>
        <v>20000000</v>
      </c>
      <c r="K813" s="3012"/>
      <c r="L813" s="3017"/>
      <c r="M813" s="386"/>
      <c r="N813" s="386"/>
      <c r="O813" s="386"/>
      <c r="P813" s="386"/>
      <c r="Q813" s="386"/>
    </row>
    <row r="814" spans="1:17" ht="30" customHeight="1" x14ac:dyDescent="0.2">
      <c r="A814" s="399"/>
      <c r="B814" s="2820" t="s">
        <v>3215</v>
      </c>
      <c r="C814" s="2843" t="s">
        <v>3216</v>
      </c>
      <c r="D814" s="2817">
        <v>120000000</v>
      </c>
      <c r="E814" s="2819">
        <v>0.04</v>
      </c>
      <c r="F814" s="2817">
        <f>D814*E814</f>
        <v>4800000</v>
      </c>
      <c r="G814" s="2817">
        <v>4800000</v>
      </c>
      <c r="H814" s="2817" t="s">
        <v>5211</v>
      </c>
      <c r="I814" s="2817" t="s">
        <v>1946</v>
      </c>
      <c r="J814" s="2817">
        <f t="shared" ref="J814:J827" si="88">G814</f>
        <v>4800000</v>
      </c>
      <c r="K814" s="2855">
        <f t="shared" ref="K814:K823" si="89">F814-J814</f>
        <v>0</v>
      </c>
      <c r="L814" s="2875"/>
      <c r="M814" s="386"/>
      <c r="N814" s="386"/>
      <c r="O814" s="386"/>
      <c r="P814" s="386"/>
      <c r="Q814" s="386"/>
    </row>
    <row r="815" spans="1:17" ht="30" customHeight="1" x14ac:dyDescent="0.2">
      <c r="A815" s="146"/>
      <c r="B815" s="2820" t="s">
        <v>3218</v>
      </c>
      <c r="C815" s="2843" t="s">
        <v>3219</v>
      </c>
      <c r="D815" s="2817">
        <v>100000000</v>
      </c>
      <c r="E815" s="2867">
        <v>0.05</v>
      </c>
      <c r="F815" s="2817">
        <f>D815*E815</f>
        <v>5000000</v>
      </c>
      <c r="G815" s="2844">
        <v>5000000</v>
      </c>
      <c r="H815" s="2844" t="s">
        <v>4839</v>
      </c>
      <c r="I815" s="2844" t="s">
        <v>3520</v>
      </c>
      <c r="J815" s="2844">
        <f t="shared" si="88"/>
        <v>5000000</v>
      </c>
      <c r="K815" s="2855">
        <f t="shared" si="89"/>
        <v>0</v>
      </c>
      <c r="L815" s="2875"/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20" t="s">
        <v>3221</v>
      </c>
      <c r="C816" s="2843" t="s">
        <v>1796</v>
      </c>
      <c r="D816" s="2817">
        <v>50000000</v>
      </c>
      <c r="E816" s="2867">
        <v>0.05</v>
      </c>
      <c r="F816" s="2817">
        <f>D816*E816</f>
        <v>2500000</v>
      </c>
      <c r="G816" s="2844">
        <v>2500000</v>
      </c>
      <c r="H816" s="2844" t="s">
        <v>5226</v>
      </c>
      <c r="I816" s="2844" t="s">
        <v>4262</v>
      </c>
      <c r="J816" s="2844">
        <f t="shared" si="88"/>
        <v>2500000</v>
      </c>
      <c r="K816" s="2855">
        <f t="shared" si="89"/>
        <v>0</v>
      </c>
      <c r="L816" s="2875"/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36" t="s">
        <v>3224</v>
      </c>
      <c r="C817" s="2853"/>
      <c r="D817" s="2853"/>
      <c r="E817" s="2519"/>
      <c r="F817" s="2834"/>
      <c r="G817" s="2815">
        <v>5000000</v>
      </c>
      <c r="H817" s="2815" t="s">
        <v>4436</v>
      </c>
      <c r="I817" s="2815" t="s">
        <v>3226</v>
      </c>
      <c r="J817" s="2815">
        <f t="shared" si="88"/>
        <v>5000000</v>
      </c>
      <c r="K817" s="2861">
        <f t="shared" si="89"/>
        <v>-5000000</v>
      </c>
      <c r="L817" s="2177" t="s">
        <v>4831</v>
      </c>
      <c r="M817" s="386"/>
      <c r="N817" s="386"/>
      <c r="O817" s="386"/>
      <c r="P817" s="386"/>
      <c r="Q817" s="386"/>
    </row>
    <row r="818" spans="1:17" ht="30" customHeight="1" x14ac:dyDescent="0.2">
      <c r="A818" s="146"/>
      <c r="B818" s="2820" t="s">
        <v>3257</v>
      </c>
      <c r="C818" s="2843" t="s">
        <v>402</v>
      </c>
      <c r="D818" s="2817">
        <v>40000000</v>
      </c>
      <c r="E818" s="2867">
        <v>0.05</v>
      </c>
      <c r="F818" s="2817">
        <f>D818*E818</f>
        <v>2000000</v>
      </c>
      <c r="G818" s="2844">
        <v>2000000</v>
      </c>
      <c r="H818" s="2844" t="s">
        <v>4936</v>
      </c>
      <c r="I818" s="3106" t="s">
        <v>5032</v>
      </c>
      <c r="J818" s="2844">
        <f t="shared" si="88"/>
        <v>2000000</v>
      </c>
      <c r="K818" s="2352">
        <f t="shared" si="89"/>
        <v>0</v>
      </c>
      <c r="L818" s="2875"/>
      <c r="M818" s="386"/>
      <c r="N818" s="386"/>
      <c r="O818" s="386"/>
      <c r="P818" s="386"/>
      <c r="Q818" s="386"/>
    </row>
    <row r="819" spans="1:17" ht="30" customHeight="1" x14ac:dyDescent="0.2">
      <c r="A819" s="146"/>
      <c r="B819" s="2820" t="s">
        <v>3293</v>
      </c>
      <c r="C819" s="3377" t="s">
        <v>1796</v>
      </c>
      <c r="D819" s="2817">
        <v>15000000</v>
      </c>
      <c r="E819" s="2867">
        <v>0.05</v>
      </c>
      <c r="F819" s="2817">
        <f>D819*E819</f>
        <v>750000</v>
      </c>
      <c r="G819" s="2844"/>
      <c r="H819" s="2844"/>
      <c r="I819" s="2844" t="s">
        <v>3949</v>
      </c>
      <c r="J819" s="2844">
        <f t="shared" si="88"/>
        <v>0</v>
      </c>
      <c r="K819" s="2855">
        <f t="shared" si="89"/>
        <v>750000</v>
      </c>
      <c r="L819" s="2875" t="s">
        <v>3868</v>
      </c>
      <c r="M819" s="386"/>
      <c r="N819" s="386"/>
      <c r="O819" s="386"/>
      <c r="P819" s="386"/>
      <c r="Q819" s="386"/>
    </row>
    <row r="820" spans="1:17" ht="30" customHeight="1" x14ac:dyDescent="0.2">
      <c r="A820" s="7654"/>
      <c r="B820" s="7661" t="s">
        <v>3296</v>
      </c>
      <c r="C820" s="7723" t="s">
        <v>942</v>
      </c>
      <c r="D820" s="7563">
        <v>150000000</v>
      </c>
      <c r="E820" s="7659">
        <v>0.05</v>
      </c>
      <c r="F820" s="7563">
        <f>D820*E820</f>
        <v>7500000</v>
      </c>
      <c r="G820" s="2844">
        <v>7500000</v>
      </c>
      <c r="H820" s="2844" t="s">
        <v>4846</v>
      </c>
      <c r="I820" s="2983" t="s">
        <v>4263</v>
      </c>
      <c r="J820" s="2844">
        <f t="shared" si="88"/>
        <v>7500000</v>
      </c>
      <c r="K820" s="2855">
        <f t="shared" si="89"/>
        <v>0</v>
      </c>
      <c r="L820" s="2875" t="s">
        <v>4437</v>
      </c>
      <c r="M820" s="386"/>
      <c r="N820" s="386"/>
      <c r="O820" s="386"/>
      <c r="P820" s="386"/>
      <c r="Q820" s="386"/>
    </row>
    <row r="821" spans="1:17" ht="30" customHeight="1" x14ac:dyDescent="0.2">
      <c r="A821" s="7655"/>
      <c r="B821" s="7663"/>
      <c r="C821" s="7724"/>
      <c r="D821" s="7564"/>
      <c r="E821" s="7660"/>
      <c r="F821" s="7564"/>
      <c r="G821" s="3446">
        <v>7500000</v>
      </c>
      <c r="H821" s="3446" t="s">
        <v>5106</v>
      </c>
      <c r="I821" s="3446" t="s">
        <v>4263</v>
      </c>
      <c r="J821" s="3446">
        <f t="shared" si="88"/>
        <v>7500000</v>
      </c>
      <c r="K821" s="3450">
        <f>F820-J821</f>
        <v>0</v>
      </c>
      <c r="L821" s="3457" t="s">
        <v>4905</v>
      </c>
      <c r="M821" s="386"/>
      <c r="N821" s="386"/>
      <c r="O821" s="386"/>
      <c r="P821" s="386"/>
      <c r="Q821" s="386"/>
    </row>
    <row r="822" spans="1:17" ht="30" customHeight="1" x14ac:dyDescent="0.2">
      <c r="A822" s="2872"/>
      <c r="B822" s="3" t="s">
        <v>3308</v>
      </c>
      <c r="C822" s="2843" t="s">
        <v>3323</v>
      </c>
      <c r="D822" s="2817">
        <v>20000000</v>
      </c>
      <c r="E822" s="2867">
        <v>0.05</v>
      </c>
      <c r="F822" s="2817">
        <f>D822*E822</f>
        <v>1000000</v>
      </c>
      <c r="G822" s="2844">
        <v>1000000</v>
      </c>
      <c r="H822" s="2844" t="s">
        <v>4891</v>
      </c>
      <c r="I822" s="2844" t="s">
        <v>3901</v>
      </c>
      <c r="J822" s="2844">
        <f t="shared" si="88"/>
        <v>1000000</v>
      </c>
      <c r="K822" s="2855">
        <f t="shared" si="89"/>
        <v>0</v>
      </c>
      <c r="L822" s="2875"/>
      <c r="M822" s="386"/>
      <c r="N822" s="386"/>
      <c r="O822" s="386"/>
      <c r="P822" s="386"/>
      <c r="Q822" s="386"/>
    </row>
    <row r="823" spans="1:17" ht="30" customHeight="1" x14ac:dyDescent="0.2">
      <c r="A823" s="2872"/>
      <c r="B823" s="3" t="s">
        <v>4305</v>
      </c>
      <c r="C823" s="2843" t="s">
        <v>889</v>
      </c>
      <c r="D823" s="2817">
        <v>200000000</v>
      </c>
      <c r="E823" s="2867">
        <v>0.05</v>
      </c>
      <c r="F823" s="2817">
        <f>D823*E823</f>
        <v>10000000</v>
      </c>
      <c r="G823" s="2844">
        <v>10000000</v>
      </c>
      <c r="H823" s="2844" t="s">
        <v>4846</v>
      </c>
      <c r="I823" s="2844" t="s">
        <v>4306</v>
      </c>
      <c r="J823" s="2844">
        <f t="shared" si="88"/>
        <v>10000000</v>
      </c>
      <c r="K823" s="2855">
        <f t="shared" si="89"/>
        <v>0</v>
      </c>
      <c r="L823" s="2875"/>
      <c r="M823" s="386"/>
      <c r="N823" s="386"/>
      <c r="O823" s="386"/>
      <c r="P823" s="386"/>
      <c r="Q823" s="386"/>
    </row>
    <row r="824" spans="1:17" ht="30" customHeight="1" x14ac:dyDescent="0.2">
      <c r="A824" s="2872"/>
      <c r="B824" s="3" t="s">
        <v>3332</v>
      </c>
      <c r="C824" s="2820"/>
      <c r="D824" s="2853"/>
      <c r="E824" s="2519"/>
      <c r="F824" s="2834"/>
      <c r="G824" s="2844"/>
      <c r="H824" s="2844"/>
      <c r="I824" s="2844"/>
      <c r="J824" s="2844">
        <f t="shared" si="88"/>
        <v>0</v>
      </c>
      <c r="K824" s="2861"/>
      <c r="L824" s="2875"/>
      <c r="M824" s="386"/>
      <c r="N824" s="386"/>
      <c r="O824" s="386"/>
      <c r="P824" s="386"/>
      <c r="Q824" s="386"/>
    </row>
    <row r="825" spans="1:17" ht="30" customHeight="1" x14ac:dyDescent="0.2">
      <c r="A825" s="7654"/>
      <c r="B825" s="7661" t="s">
        <v>3395</v>
      </c>
      <c r="C825" s="2843" t="s">
        <v>889</v>
      </c>
      <c r="D825" s="2817">
        <v>1000000000</v>
      </c>
      <c r="E825" s="2867">
        <v>6.5000000000000002E-2</v>
      </c>
      <c r="F825" s="2817">
        <f>D825*E825</f>
        <v>65000000</v>
      </c>
      <c r="G825" s="2817">
        <v>65000000</v>
      </c>
      <c r="H825" s="2817" t="s">
        <v>4860</v>
      </c>
      <c r="I825" s="2837" t="s">
        <v>3940</v>
      </c>
      <c r="J825" s="2817">
        <f t="shared" si="88"/>
        <v>65000000</v>
      </c>
      <c r="K825" s="2855">
        <v>0</v>
      </c>
      <c r="L825" s="2875"/>
      <c r="M825" s="386"/>
      <c r="N825" s="386"/>
      <c r="O825" s="386"/>
      <c r="P825" s="386"/>
      <c r="Q825" s="386"/>
    </row>
    <row r="826" spans="1:17" ht="30" customHeight="1" x14ac:dyDescent="0.2">
      <c r="A826" s="7655"/>
      <c r="B826" s="7663"/>
      <c r="C826" s="2843" t="s">
        <v>1298</v>
      </c>
      <c r="D826" s="2817">
        <v>500000000</v>
      </c>
      <c r="E826" s="2867">
        <v>6.5000000000000002E-2</v>
      </c>
      <c r="F826" s="2817">
        <f>D826*E826</f>
        <v>32500000</v>
      </c>
      <c r="G826" s="2817">
        <v>32500000</v>
      </c>
      <c r="H826" s="2817" t="s">
        <v>5211</v>
      </c>
      <c r="I826" s="2837" t="s">
        <v>3940</v>
      </c>
      <c r="J826" s="2817">
        <f t="shared" si="88"/>
        <v>32500000</v>
      </c>
      <c r="K826" s="2855">
        <f>F826-J826</f>
        <v>0</v>
      </c>
      <c r="L826" s="2875"/>
      <c r="M826" s="386"/>
      <c r="N826" s="386"/>
      <c r="O826" s="386"/>
      <c r="P826" s="386"/>
      <c r="Q826" s="386"/>
    </row>
    <row r="827" spans="1:17" ht="30" customHeight="1" x14ac:dyDescent="0.2">
      <c r="A827" s="2872"/>
      <c r="B827" s="3" t="s">
        <v>3514</v>
      </c>
      <c r="C827" s="2843"/>
      <c r="D827" s="2841">
        <v>120000000</v>
      </c>
      <c r="E827" s="2348">
        <v>0.05</v>
      </c>
      <c r="F827" s="2841">
        <f>D827*E827</f>
        <v>6000000</v>
      </c>
      <c r="G827" s="2841">
        <v>6000000</v>
      </c>
      <c r="H827" s="2841" t="s">
        <v>4875</v>
      </c>
      <c r="I827" s="2840" t="s">
        <v>678</v>
      </c>
      <c r="J827" s="2841">
        <f t="shared" si="88"/>
        <v>6000000</v>
      </c>
      <c r="K827" s="2349">
        <f>F827-J827</f>
        <v>0</v>
      </c>
      <c r="L827" s="2875"/>
      <c r="M827" s="386"/>
      <c r="N827" s="386"/>
      <c r="O827" s="386"/>
      <c r="P827" s="386"/>
      <c r="Q827" s="386"/>
    </row>
    <row r="828" spans="1:17" ht="30" customHeight="1" x14ac:dyDescent="0.2">
      <c r="A828" s="7654"/>
      <c r="B828" s="7661" t="s">
        <v>3424</v>
      </c>
      <c r="C828" s="7723"/>
      <c r="D828" s="7494" t="s">
        <v>4937</v>
      </c>
      <c r="E828" s="7495"/>
      <c r="F828" s="7768"/>
      <c r="G828" s="3007">
        <v>50000000</v>
      </c>
      <c r="H828" s="3007" t="s">
        <v>4939</v>
      </c>
      <c r="I828" s="3007" t="s">
        <v>4938</v>
      </c>
      <c r="J828" s="7482">
        <f>G828+G829+G830+G831</f>
        <v>203000000</v>
      </c>
      <c r="K828" s="7499">
        <f>203000000-J828</f>
        <v>0</v>
      </c>
      <c r="L828" s="2851"/>
      <c r="M828" s="386"/>
      <c r="N828" s="386"/>
      <c r="O828" s="386"/>
      <c r="P828" s="386"/>
      <c r="Q828" s="386"/>
    </row>
    <row r="829" spans="1:17" ht="30" customHeight="1" x14ac:dyDescent="0.2">
      <c r="A829" s="7656"/>
      <c r="B829" s="7662"/>
      <c r="C829" s="7747"/>
      <c r="D829" s="7877"/>
      <c r="E829" s="7524"/>
      <c r="F829" s="7878"/>
      <c r="G829" s="3007">
        <v>53000000</v>
      </c>
      <c r="H829" s="3007" t="s">
        <v>4936</v>
      </c>
      <c r="I829" s="3007" t="s">
        <v>4938</v>
      </c>
      <c r="J829" s="7482"/>
      <c r="K829" s="7499"/>
      <c r="L829" s="3010"/>
      <c r="M829" s="386"/>
      <c r="N829" s="386"/>
      <c r="O829" s="386"/>
      <c r="P829" s="386"/>
      <c r="Q829" s="386"/>
    </row>
    <row r="830" spans="1:17" ht="30" customHeight="1" x14ac:dyDescent="0.2">
      <c r="A830" s="7656"/>
      <c r="B830" s="7662"/>
      <c r="C830" s="7747"/>
      <c r="D830" s="7877"/>
      <c r="E830" s="7524"/>
      <c r="F830" s="7878"/>
      <c r="G830" s="3007">
        <v>86000000</v>
      </c>
      <c r="H830" s="3007" t="s">
        <v>5015</v>
      </c>
      <c r="I830" s="3007" t="s">
        <v>4938</v>
      </c>
      <c r="J830" s="7482"/>
      <c r="K830" s="7499"/>
      <c r="L830" s="3010"/>
      <c r="M830" s="386"/>
      <c r="N830" s="386"/>
      <c r="O830" s="386"/>
      <c r="P830" s="386"/>
      <c r="Q830" s="386"/>
    </row>
    <row r="831" spans="1:17" ht="30" customHeight="1" x14ac:dyDescent="0.2">
      <c r="A831" s="7656"/>
      <c r="B831" s="7662"/>
      <c r="C831" s="7747"/>
      <c r="D831" s="7877"/>
      <c r="E831" s="7524"/>
      <c r="F831" s="7878"/>
      <c r="G831" s="3136">
        <v>14000000</v>
      </c>
      <c r="H831" s="7563" t="s">
        <v>5043</v>
      </c>
      <c r="I831" s="7563" t="s">
        <v>4938</v>
      </c>
      <c r="J831" s="7482"/>
      <c r="K831" s="7499"/>
      <c r="L831" s="3137"/>
      <c r="M831" s="386"/>
      <c r="N831" s="386"/>
      <c r="O831" s="386"/>
      <c r="P831" s="386"/>
      <c r="Q831" s="386"/>
    </row>
    <row r="832" spans="1:17" ht="30" customHeight="1" x14ac:dyDescent="0.2">
      <c r="A832" s="7655"/>
      <c r="B832" s="7663"/>
      <c r="C832" s="7724"/>
      <c r="D832" s="7769"/>
      <c r="E832" s="7805"/>
      <c r="F832" s="7770"/>
      <c r="G832" s="3007">
        <v>2370000</v>
      </c>
      <c r="H832" s="7564"/>
      <c r="I832" s="7564"/>
      <c r="J832" s="7"/>
      <c r="K832" s="898"/>
      <c r="L832" s="3010" t="s">
        <v>5044</v>
      </c>
      <c r="M832" s="386"/>
      <c r="N832" s="386"/>
      <c r="O832" s="386"/>
      <c r="P832" s="386"/>
      <c r="Q832" s="386"/>
    </row>
    <row r="833" spans="1:17" s="1539" customFormat="1" ht="30" customHeight="1" x14ac:dyDescent="0.2">
      <c r="A833" s="7654"/>
      <c r="B833" s="7661" t="s">
        <v>3455</v>
      </c>
      <c r="C833" s="7723" t="s">
        <v>3483</v>
      </c>
      <c r="D833" s="2844">
        <v>25000000</v>
      </c>
      <c r="E833" s="2867">
        <v>0.05</v>
      </c>
      <c r="F833" s="2844">
        <f t="shared" ref="F833:F843" si="90">D833*E833</f>
        <v>1250000</v>
      </c>
      <c r="G833" s="7991" t="s">
        <v>4980</v>
      </c>
      <c r="H833" s="7992"/>
      <c r="I833" s="7992"/>
      <c r="J833" s="7993"/>
      <c r="K833" s="2812"/>
      <c r="L833" s="2875" t="s">
        <v>3456</v>
      </c>
      <c r="M833" s="387"/>
      <c r="N833" s="387"/>
      <c r="O833" s="387"/>
      <c r="P833" s="387"/>
      <c r="Q833" s="387"/>
    </row>
    <row r="834" spans="1:17" s="184" customFormat="1" ht="30" customHeight="1" x14ac:dyDescent="0.2">
      <c r="A834" s="7656"/>
      <c r="B834" s="7662"/>
      <c r="C834" s="7747"/>
      <c r="D834" s="3060">
        <v>1250000</v>
      </c>
      <c r="E834" s="3061">
        <v>0.05</v>
      </c>
      <c r="F834" s="3060">
        <f t="shared" si="90"/>
        <v>62500</v>
      </c>
      <c r="G834" s="233"/>
      <c r="H834" s="233"/>
      <c r="I834" s="233"/>
      <c r="J834" s="233"/>
      <c r="K834" s="3050"/>
      <c r="L834" s="3070"/>
      <c r="M834" s="386"/>
      <c r="N834" s="386"/>
      <c r="O834" s="386"/>
      <c r="P834" s="386"/>
      <c r="Q834" s="386"/>
    </row>
    <row r="835" spans="1:17" s="184" customFormat="1" ht="30" customHeight="1" x14ac:dyDescent="0.2">
      <c r="A835" s="7656"/>
      <c r="B835" s="7662"/>
      <c r="C835" s="7747"/>
      <c r="D835" s="3060">
        <v>3750000</v>
      </c>
      <c r="E835" s="3061">
        <v>0.05</v>
      </c>
      <c r="F835" s="3060">
        <f t="shared" si="90"/>
        <v>187500</v>
      </c>
      <c r="G835" s="3060"/>
      <c r="H835" s="3060"/>
      <c r="I835" s="3060"/>
      <c r="J835" s="3060"/>
      <c r="K835" s="3050"/>
      <c r="L835" s="3070" t="s">
        <v>4981</v>
      </c>
      <c r="M835" s="386"/>
      <c r="N835" s="386"/>
      <c r="O835" s="386"/>
      <c r="P835" s="386"/>
      <c r="Q835" s="386"/>
    </row>
    <row r="836" spans="1:17" s="184" customFormat="1" ht="30" customHeight="1" x14ac:dyDescent="0.2">
      <c r="A836" s="7655"/>
      <c r="B836" s="7663"/>
      <c r="C836" s="7724"/>
      <c r="D836" s="3060">
        <v>30000000</v>
      </c>
      <c r="E836" s="3061">
        <v>0.05</v>
      </c>
      <c r="F836" s="3060">
        <f t="shared" si="90"/>
        <v>1500000</v>
      </c>
      <c r="G836" s="3060"/>
      <c r="H836" s="3060"/>
      <c r="I836" s="3060"/>
      <c r="J836" s="3060"/>
      <c r="K836" s="3050"/>
      <c r="L836" s="3070" t="s">
        <v>4982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7654"/>
      <c r="B837" s="7661" t="s">
        <v>3459</v>
      </c>
      <c r="C837" s="7723" t="s">
        <v>262</v>
      </c>
      <c r="D837" s="3172">
        <v>2050000000</v>
      </c>
      <c r="E837" s="3174">
        <v>0.08</v>
      </c>
      <c r="F837" s="3172">
        <f t="shared" si="90"/>
        <v>164000000</v>
      </c>
      <c r="G837" s="3596">
        <v>10000000</v>
      </c>
      <c r="H837" s="3596" t="s">
        <v>5105</v>
      </c>
      <c r="I837" s="3596" t="s">
        <v>5286</v>
      </c>
      <c r="J837" s="3596">
        <f>G837</f>
        <v>10000000</v>
      </c>
      <c r="K837" s="3163"/>
      <c r="L837" s="2875" t="s">
        <v>5356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7656"/>
      <c r="B838" s="7662"/>
      <c r="C838" s="7747"/>
      <c r="D838" s="7563">
        <v>100000000</v>
      </c>
      <c r="E838" s="7659"/>
      <c r="F838" s="7563"/>
      <c r="G838" s="7494" t="s">
        <v>5353</v>
      </c>
      <c r="H838" s="7495"/>
      <c r="I838" s="7495"/>
      <c r="J838" s="7768"/>
      <c r="K838" s="7816"/>
      <c r="L838" s="3120" t="s">
        <v>5042</v>
      </c>
      <c r="M838" s="386"/>
      <c r="N838" s="386"/>
      <c r="O838" s="386"/>
      <c r="P838" s="386"/>
      <c r="Q838" s="386"/>
    </row>
    <row r="839" spans="1:17" s="184" customFormat="1" ht="30" customHeight="1" x14ac:dyDescent="0.2">
      <c r="A839" s="7655"/>
      <c r="B839" s="7663"/>
      <c r="C839" s="7724"/>
      <c r="D839" s="7564"/>
      <c r="E839" s="7660"/>
      <c r="F839" s="7564"/>
      <c r="G839" s="7769"/>
      <c r="H839" s="7805"/>
      <c r="I839" s="7805"/>
      <c r="J839" s="7770"/>
      <c r="K839" s="7817"/>
      <c r="L839" s="3175" t="s">
        <v>5091</v>
      </c>
      <c r="M839" s="386"/>
      <c r="N839" s="386"/>
      <c r="O839" s="386"/>
      <c r="P839" s="386"/>
      <c r="Q839" s="386"/>
    </row>
    <row r="840" spans="1:17" s="184" customFormat="1" ht="30" customHeight="1" x14ac:dyDescent="0.2">
      <c r="A840" s="2872"/>
      <c r="B840" s="3" t="s">
        <v>3480</v>
      </c>
      <c r="C840" s="2869" t="s">
        <v>372</v>
      </c>
      <c r="D840" s="2844">
        <v>85000000</v>
      </c>
      <c r="E840" s="2867">
        <v>7.0000000000000007E-2</v>
      </c>
      <c r="F840" s="2844">
        <f t="shared" si="90"/>
        <v>5950000.0000000009</v>
      </c>
      <c r="G840" s="2844">
        <v>5950000</v>
      </c>
      <c r="H840" s="2844" t="s">
        <v>4936</v>
      </c>
      <c r="I840" s="2844" t="s">
        <v>4448</v>
      </c>
      <c r="J840" s="2844">
        <f t="shared" ref="J840:J847" si="91">G840</f>
        <v>5950000</v>
      </c>
      <c r="K840" s="2812">
        <f t="shared" ref="K840:K843" si="92">F840-J840</f>
        <v>0</v>
      </c>
      <c r="L840" s="2875"/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2"/>
      <c r="B841" s="3" t="s">
        <v>3482</v>
      </c>
      <c r="C841" s="2869" t="s">
        <v>3483</v>
      </c>
      <c r="D841" s="2844">
        <v>70000000</v>
      </c>
      <c r="E841" s="2867">
        <v>0.05</v>
      </c>
      <c r="F841" s="2844">
        <f t="shared" si="90"/>
        <v>3500000</v>
      </c>
      <c r="G841" s="2844">
        <v>3500000</v>
      </c>
      <c r="H841" s="2844" t="s">
        <v>4936</v>
      </c>
      <c r="I841" s="2844" t="s">
        <v>4428</v>
      </c>
      <c r="J841" s="2844">
        <f t="shared" si="91"/>
        <v>3500000</v>
      </c>
      <c r="K841" s="2812">
        <f t="shared" si="92"/>
        <v>0</v>
      </c>
      <c r="L841" s="2875"/>
      <c r="M841" s="386"/>
      <c r="N841" s="386"/>
      <c r="O841" s="386"/>
      <c r="P841" s="386"/>
      <c r="Q841" s="386"/>
    </row>
    <row r="842" spans="1:17" s="184" customFormat="1" ht="30" customHeight="1" x14ac:dyDescent="0.2">
      <c r="A842" s="2872"/>
      <c r="B842" s="3" t="s">
        <v>3979</v>
      </c>
      <c r="C842" s="2869" t="s">
        <v>889</v>
      </c>
      <c r="D842" s="2844">
        <v>20000000</v>
      </c>
      <c r="E842" s="2867">
        <v>0.05</v>
      </c>
      <c r="F842" s="2844">
        <f t="shared" si="90"/>
        <v>1000000</v>
      </c>
      <c r="G842" s="2844"/>
      <c r="H842" s="2844"/>
      <c r="I842" s="2844" t="s">
        <v>3980</v>
      </c>
      <c r="J842" s="2844">
        <f t="shared" si="91"/>
        <v>0</v>
      </c>
      <c r="K842" s="2812">
        <f t="shared" si="92"/>
        <v>1000000</v>
      </c>
      <c r="L842" s="2875"/>
      <c r="M842" s="386"/>
      <c r="N842" s="386"/>
      <c r="O842" s="386"/>
      <c r="P842" s="386"/>
      <c r="Q842" s="386"/>
    </row>
    <row r="843" spans="1:17" s="184" customFormat="1" ht="30" customHeight="1" x14ac:dyDescent="0.2">
      <c r="A843" s="2872"/>
      <c r="B843" s="3" t="s">
        <v>2952</v>
      </c>
      <c r="C843" s="2869" t="s">
        <v>402</v>
      </c>
      <c r="D843" s="2844">
        <v>150000000</v>
      </c>
      <c r="E843" s="2867">
        <v>0.06</v>
      </c>
      <c r="F843" s="2844">
        <f t="shared" si="90"/>
        <v>9000000</v>
      </c>
      <c r="G843" s="2844">
        <v>9000000</v>
      </c>
      <c r="H843" s="2844" t="s">
        <v>4875</v>
      </c>
      <c r="I843" s="2844" t="s">
        <v>3963</v>
      </c>
      <c r="J843" s="2844">
        <f t="shared" si="91"/>
        <v>9000000</v>
      </c>
      <c r="K843" s="2844">
        <f t="shared" si="92"/>
        <v>0</v>
      </c>
      <c r="L843" s="2875"/>
      <c r="M843" s="386"/>
      <c r="N843" s="386"/>
      <c r="O843" s="386"/>
      <c r="P843" s="386"/>
      <c r="Q843" s="386"/>
    </row>
    <row r="844" spans="1:17" s="9" customFormat="1" ht="30" customHeight="1" x14ac:dyDescent="0.2">
      <c r="A844" s="2879"/>
      <c r="B844" s="2551" t="s">
        <v>153</v>
      </c>
      <c r="C844" s="3024"/>
      <c r="D844" s="2548">
        <v>10000000</v>
      </c>
      <c r="E844" s="2549">
        <v>0.05</v>
      </c>
      <c r="F844" s="2548">
        <f>D844*E844</f>
        <v>500000</v>
      </c>
      <c r="G844" s="2548">
        <v>12000000</v>
      </c>
      <c r="H844" s="2548" t="s">
        <v>4891</v>
      </c>
      <c r="I844" s="2548" t="s">
        <v>1720</v>
      </c>
      <c r="J844" s="2548">
        <f t="shared" si="91"/>
        <v>12000000</v>
      </c>
      <c r="K844" s="2548"/>
      <c r="L844" s="3025" t="s">
        <v>4904</v>
      </c>
      <c r="M844" s="387"/>
      <c r="N844" s="387"/>
      <c r="O844" s="387"/>
      <c r="P844" s="387"/>
      <c r="Q844" s="387"/>
    </row>
    <row r="845" spans="1:17" s="1659" customFormat="1" ht="30" customHeight="1" x14ac:dyDescent="0.2">
      <c r="A845" s="2879"/>
      <c r="B845" s="2870" t="s">
        <v>3554</v>
      </c>
      <c r="C845" s="2843" t="s">
        <v>372</v>
      </c>
      <c r="D845" s="2844">
        <v>10000000</v>
      </c>
      <c r="E845" s="2867">
        <v>0.05</v>
      </c>
      <c r="F845" s="2844">
        <f>D845*E845</f>
        <v>500000</v>
      </c>
      <c r="G845" s="2817">
        <v>500000</v>
      </c>
      <c r="H845" s="2817" t="s">
        <v>4936</v>
      </c>
      <c r="I845" s="2837" t="s">
        <v>3555</v>
      </c>
      <c r="J845" s="2817">
        <f t="shared" si="91"/>
        <v>500000</v>
      </c>
      <c r="K845" s="2817">
        <f>F845-J845</f>
        <v>0</v>
      </c>
      <c r="L845" s="2852"/>
      <c r="M845" s="386"/>
      <c r="N845" s="386"/>
      <c r="O845" s="386"/>
      <c r="P845" s="386"/>
      <c r="Q845" s="386"/>
    </row>
    <row r="846" spans="1:17" s="1659" customFormat="1" ht="30" customHeight="1" x14ac:dyDescent="0.2">
      <c r="A846" s="2839"/>
      <c r="B846" s="2865" t="s">
        <v>4442</v>
      </c>
      <c r="C846" s="2842" t="s">
        <v>4223</v>
      </c>
      <c r="D846" s="2844">
        <v>100000000</v>
      </c>
      <c r="E846" s="2844">
        <v>0.05</v>
      </c>
      <c r="F846" s="2844">
        <f>D846*E846</f>
        <v>5000000</v>
      </c>
      <c r="G846" s="2844">
        <v>5000000</v>
      </c>
      <c r="H846" s="2844" t="s">
        <v>5052</v>
      </c>
      <c r="I846" s="2844" t="s">
        <v>2788</v>
      </c>
      <c r="J846" s="2816">
        <f t="shared" si="91"/>
        <v>5000000</v>
      </c>
      <c r="K846" s="2816">
        <f>F846-J846</f>
        <v>0</v>
      </c>
      <c r="L846" s="847"/>
      <c r="M846" s="386"/>
      <c r="N846" s="386"/>
      <c r="O846" s="386"/>
      <c r="P846" s="386"/>
      <c r="Q846" s="386"/>
    </row>
    <row r="847" spans="1:17" s="1659" customFormat="1" ht="30" customHeight="1" x14ac:dyDescent="0.2">
      <c r="A847" s="2879"/>
      <c r="B847" s="2870" t="s">
        <v>3566</v>
      </c>
      <c r="C847" s="2869"/>
      <c r="D847" s="2844">
        <v>6000000</v>
      </c>
      <c r="E847" s="2867">
        <f>F847/D847</f>
        <v>0.05</v>
      </c>
      <c r="F847" s="2844">
        <v>300000</v>
      </c>
      <c r="G847" s="2844"/>
      <c r="H847" s="2844"/>
      <c r="I847" s="2844" t="s">
        <v>3567</v>
      </c>
      <c r="J847" s="2844">
        <f t="shared" si="91"/>
        <v>0</v>
      </c>
      <c r="K847" s="2844">
        <f>F847-J847</f>
        <v>300000</v>
      </c>
      <c r="L847" s="2177" t="s">
        <v>3568</v>
      </c>
      <c r="M847" s="386"/>
      <c r="N847" s="386"/>
      <c r="O847" s="386"/>
      <c r="P847" s="386"/>
      <c r="Q847" s="386"/>
    </row>
    <row r="848" spans="1:17" s="1659" customFormat="1" ht="30" customHeight="1" x14ac:dyDescent="0.2">
      <c r="A848" s="7703"/>
      <c r="B848" s="7652" t="s">
        <v>3590</v>
      </c>
      <c r="C848" s="7723" t="s">
        <v>2278</v>
      </c>
      <c r="D848" s="7563">
        <v>870000000</v>
      </c>
      <c r="E848" s="7659">
        <v>7.0999999999999994E-2</v>
      </c>
      <c r="F848" s="7563">
        <v>62000000</v>
      </c>
      <c r="G848" s="7563">
        <v>72500000</v>
      </c>
      <c r="H848" s="7563" t="s">
        <v>5043</v>
      </c>
      <c r="I848" s="7563" t="s">
        <v>4471</v>
      </c>
      <c r="J848" s="7563">
        <f>G848+G849</f>
        <v>72500000</v>
      </c>
      <c r="K848" s="7563">
        <f>F851-J848</f>
        <v>0</v>
      </c>
      <c r="L848" s="2852"/>
      <c r="M848" s="386"/>
      <c r="N848" s="386"/>
      <c r="O848" s="386"/>
      <c r="P848" s="386"/>
      <c r="Q848" s="386"/>
    </row>
    <row r="849" spans="1:17" s="1659" customFormat="1" ht="30" customHeight="1" x14ac:dyDescent="0.2">
      <c r="A849" s="7704"/>
      <c r="B849" s="7665"/>
      <c r="C849" s="7747"/>
      <c r="D849" s="7586"/>
      <c r="E849" s="7676"/>
      <c r="F849" s="7586"/>
      <c r="G849" s="7586"/>
      <c r="H849" s="7586"/>
      <c r="I849" s="7586"/>
      <c r="J849" s="7586"/>
      <c r="K849" s="7586"/>
      <c r="L849" s="2852"/>
      <c r="M849" s="386"/>
      <c r="N849" s="386"/>
      <c r="O849" s="386"/>
      <c r="P849" s="386"/>
      <c r="Q849" s="386"/>
    </row>
    <row r="850" spans="1:17" s="1659" customFormat="1" ht="30" customHeight="1" x14ac:dyDescent="0.2">
      <c r="A850" s="7704"/>
      <c r="B850" s="7665"/>
      <c r="C850" s="7747"/>
      <c r="D850" s="2816">
        <v>150000000</v>
      </c>
      <c r="E850" s="2818">
        <v>7.0999999999999994E-2</v>
      </c>
      <c r="F850" s="2844">
        <f>D850*E850</f>
        <v>10649999.999999998</v>
      </c>
      <c r="G850" s="7586"/>
      <c r="H850" s="7586"/>
      <c r="I850" s="7586"/>
      <c r="J850" s="7586"/>
      <c r="K850" s="7586"/>
      <c r="L850" s="2852" t="s">
        <v>4419</v>
      </c>
      <c r="M850" s="386"/>
      <c r="N850" s="386"/>
      <c r="O850" s="386"/>
      <c r="P850" s="386"/>
      <c r="Q850" s="386"/>
    </row>
    <row r="851" spans="1:17" s="1659" customFormat="1" ht="30" customHeight="1" x14ac:dyDescent="0.2">
      <c r="A851" s="7704"/>
      <c r="B851" s="7665"/>
      <c r="C851" s="7747"/>
      <c r="D851" s="3384">
        <f>D848+D850+1000000</f>
        <v>1021000000</v>
      </c>
      <c r="E851" s="3389">
        <v>7.0999999999999994E-2</v>
      </c>
      <c r="F851" s="3399">
        <v>72500000</v>
      </c>
      <c r="G851" s="7564"/>
      <c r="H851" s="7564"/>
      <c r="I851" s="7564"/>
      <c r="J851" s="7564"/>
      <c r="K851" s="7564"/>
      <c r="L851" s="2852" t="s">
        <v>4417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7705"/>
      <c r="B852" s="7653"/>
      <c r="C852" s="7724"/>
      <c r="D852" s="3416">
        <v>1478000000</v>
      </c>
      <c r="E852" s="3418">
        <v>7.0999999999999994E-2</v>
      </c>
      <c r="F852" s="3423">
        <v>104500000</v>
      </c>
      <c r="G852" s="8242" t="s">
        <v>5266</v>
      </c>
      <c r="H852" s="8242"/>
      <c r="I852" s="8242"/>
      <c r="J852" s="8242"/>
      <c r="K852" s="8243"/>
      <c r="L852" s="3409" t="s">
        <v>5272</v>
      </c>
      <c r="M852" s="386"/>
      <c r="N852" s="386"/>
      <c r="O852" s="386"/>
      <c r="P852" s="386"/>
      <c r="Q852" s="386"/>
    </row>
    <row r="853" spans="1:17" s="1659" customFormat="1" ht="30" customHeight="1" x14ac:dyDescent="0.2">
      <c r="A853" s="19"/>
      <c r="B853" s="2943" t="s">
        <v>3597</v>
      </c>
      <c r="C853" s="2944" t="s">
        <v>889</v>
      </c>
      <c r="D853" s="2937">
        <v>200000000</v>
      </c>
      <c r="E853" s="2941">
        <v>0.05</v>
      </c>
      <c r="F853" s="2937">
        <f>D853*E853</f>
        <v>10000000</v>
      </c>
      <c r="G853" s="2937">
        <v>10000000</v>
      </c>
      <c r="H853" s="2937" t="s">
        <v>4891</v>
      </c>
      <c r="I853" s="2937" t="s">
        <v>3598</v>
      </c>
      <c r="J853" s="2937">
        <f>G853</f>
        <v>10000000</v>
      </c>
      <c r="K853" s="2937">
        <f>F853-J853</f>
        <v>0</v>
      </c>
      <c r="L853" s="2852"/>
      <c r="M853" s="386"/>
      <c r="N853" s="386"/>
      <c r="O853" s="386"/>
      <c r="P853" s="386"/>
      <c r="Q853" s="386"/>
    </row>
    <row r="854" spans="1:17" s="1659" customFormat="1" ht="30" customHeight="1" x14ac:dyDescent="0.2">
      <c r="A854" s="2879"/>
      <c r="B854" s="2870" t="s">
        <v>3612</v>
      </c>
      <c r="C854" s="2869" t="s">
        <v>2278</v>
      </c>
      <c r="D854" s="2844">
        <v>100000000</v>
      </c>
      <c r="E854" s="2867">
        <v>0.05</v>
      </c>
      <c r="F854" s="2844">
        <f t="shared" ref="F854:F863" si="93">D854*E854</f>
        <v>5000000</v>
      </c>
      <c r="G854" s="2844">
        <v>5000000</v>
      </c>
      <c r="H854" s="2844" t="s">
        <v>5154</v>
      </c>
      <c r="I854" s="2844" t="s">
        <v>4125</v>
      </c>
      <c r="J854" s="2844">
        <f>G854</f>
        <v>5000000</v>
      </c>
      <c r="K854" s="2844">
        <f>F854-J854</f>
        <v>0</v>
      </c>
      <c r="L854" s="2852"/>
      <c r="M854" s="386"/>
      <c r="N854" s="386"/>
      <c r="O854" s="386"/>
      <c r="P854" s="386"/>
      <c r="Q854" s="386"/>
    </row>
    <row r="855" spans="1:17" s="1659" customFormat="1" ht="30" customHeight="1" x14ac:dyDescent="0.2">
      <c r="A855" s="7703"/>
      <c r="B855" s="7652" t="s">
        <v>4055</v>
      </c>
      <c r="C855" s="7723" t="s">
        <v>2278</v>
      </c>
      <c r="D855" s="2844">
        <v>130000000</v>
      </c>
      <c r="E855" s="2867">
        <v>0.05</v>
      </c>
      <c r="F855" s="2844">
        <f t="shared" si="93"/>
        <v>6500000</v>
      </c>
      <c r="G855" s="7991" t="s">
        <v>4697</v>
      </c>
      <c r="H855" s="7992"/>
      <c r="I855" s="7992"/>
      <c r="J855" s="7992"/>
      <c r="K855" s="7993"/>
      <c r="L855" s="2852" t="s">
        <v>4520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7704"/>
      <c r="B856" s="7665"/>
      <c r="C856" s="7747"/>
      <c r="D856" s="2844">
        <v>70000000</v>
      </c>
      <c r="E856" s="2867">
        <v>0.05</v>
      </c>
      <c r="F856" s="2844">
        <f t="shared" si="93"/>
        <v>3500000</v>
      </c>
      <c r="G856" s="7997"/>
      <c r="H856" s="7998"/>
      <c r="I856" s="7998"/>
      <c r="J856" s="7998"/>
      <c r="K856" s="7999"/>
      <c r="L856" s="2852" t="s">
        <v>4519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7705"/>
      <c r="B857" s="7653"/>
      <c r="C857" s="7724"/>
      <c r="D857" s="1854">
        <v>200000000</v>
      </c>
      <c r="E857" s="896">
        <v>0.05</v>
      </c>
      <c r="F857" s="1854">
        <f t="shared" si="93"/>
        <v>10000000</v>
      </c>
      <c r="G857" s="2844">
        <v>9400000</v>
      </c>
      <c r="H857" s="2844" t="s">
        <v>5043</v>
      </c>
      <c r="I857" s="2844" t="s">
        <v>3776</v>
      </c>
      <c r="J857" s="2816">
        <f>G857</f>
        <v>9400000</v>
      </c>
      <c r="K857" s="2816"/>
      <c r="L857" s="2852" t="s">
        <v>2685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7703"/>
      <c r="B858" s="7652" t="s">
        <v>3674</v>
      </c>
      <c r="C858" s="7723"/>
      <c r="D858" s="2844">
        <v>1140000000</v>
      </c>
      <c r="E858" s="2867">
        <v>7.0000000000000007E-2</v>
      </c>
      <c r="F858" s="2844">
        <f t="shared" si="93"/>
        <v>79800000.000000015</v>
      </c>
      <c r="G858" s="3083">
        <v>40000000</v>
      </c>
      <c r="H858" s="3083" t="s">
        <v>4920</v>
      </c>
      <c r="I858" s="3083" t="s">
        <v>4934</v>
      </c>
      <c r="J858" s="7563">
        <f>G858+G859</f>
        <v>90000000</v>
      </c>
      <c r="K858" s="7563">
        <f>F859-J858</f>
        <v>1000000.0000000149</v>
      </c>
      <c r="L858" s="2852" t="s">
        <v>3919</v>
      </c>
      <c r="M858" s="386"/>
      <c r="N858" s="386"/>
      <c r="O858" s="386"/>
      <c r="P858" s="386"/>
      <c r="Q858" s="386"/>
    </row>
    <row r="859" spans="1:17" s="1659" customFormat="1" ht="30" customHeight="1" x14ac:dyDescent="0.2">
      <c r="A859" s="7704"/>
      <c r="B859" s="7665"/>
      <c r="C859" s="7747"/>
      <c r="D859" s="8267">
        <v>1300000000</v>
      </c>
      <c r="E859" s="8028">
        <v>7.0000000000000007E-2</v>
      </c>
      <c r="F859" s="8026">
        <f t="shared" si="93"/>
        <v>91000000.000000015</v>
      </c>
      <c r="G859" s="3083">
        <v>50000000</v>
      </c>
      <c r="H859" s="3083" t="s">
        <v>4939</v>
      </c>
      <c r="I859" s="3083" t="s">
        <v>1613</v>
      </c>
      <c r="J859" s="7564"/>
      <c r="K859" s="7564"/>
      <c r="L859" s="2852" t="s">
        <v>3709</v>
      </c>
      <c r="M859" s="386"/>
      <c r="N859" s="386"/>
      <c r="O859" s="386"/>
      <c r="P859" s="386"/>
      <c r="Q859" s="386"/>
    </row>
    <row r="860" spans="1:17" s="1659" customFormat="1" ht="30" customHeight="1" x14ac:dyDescent="0.2">
      <c r="A860" s="7705"/>
      <c r="B860" s="7653"/>
      <c r="C860" s="7724"/>
      <c r="D860" s="8268"/>
      <c r="E860" s="8029"/>
      <c r="F860" s="8027"/>
      <c r="G860" s="3190">
        <v>10400000</v>
      </c>
      <c r="H860" s="3190" t="s">
        <v>5043</v>
      </c>
      <c r="I860" s="3190" t="s">
        <v>4934</v>
      </c>
      <c r="J860" s="3182">
        <f>G860</f>
        <v>10400000</v>
      </c>
      <c r="K860" s="3182"/>
      <c r="L860" s="3196"/>
      <c r="M860" s="386"/>
      <c r="N860" s="386"/>
      <c r="O860" s="386"/>
      <c r="P860" s="386"/>
      <c r="Q860" s="386"/>
    </row>
    <row r="861" spans="1:17" s="1659" customFormat="1" ht="30" customHeight="1" x14ac:dyDescent="0.2">
      <c r="A861" s="2879"/>
      <c r="B861" s="2870" t="s">
        <v>3707</v>
      </c>
      <c r="C861" s="2869" t="s">
        <v>3390</v>
      </c>
      <c r="D861" s="2844">
        <v>10000000</v>
      </c>
      <c r="E861" s="2867">
        <v>0.05</v>
      </c>
      <c r="F861" s="2844">
        <f t="shared" si="93"/>
        <v>500000</v>
      </c>
      <c r="G861" s="2844">
        <v>500000</v>
      </c>
      <c r="H861" s="2844" t="s">
        <v>5174</v>
      </c>
      <c r="I861" s="2844" t="s">
        <v>4154</v>
      </c>
      <c r="J861" s="2844">
        <f>G861</f>
        <v>500000</v>
      </c>
      <c r="K861" s="2844">
        <f>F861-J861</f>
        <v>0</v>
      </c>
      <c r="L861" s="2852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7703"/>
      <c r="B862" s="7652" t="s">
        <v>3710</v>
      </c>
      <c r="C862" s="7723" t="s">
        <v>262</v>
      </c>
      <c r="D862" s="2844">
        <v>58000000</v>
      </c>
      <c r="E862" s="2867">
        <v>0.05</v>
      </c>
      <c r="F862" s="2844">
        <f t="shared" si="93"/>
        <v>2900000</v>
      </c>
      <c r="G862" s="2844"/>
      <c r="H862" s="2844"/>
      <c r="I862" s="2844"/>
      <c r="J862" s="2844"/>
      <c r="K862" s="2844"/>
      <c r="L862" s="2852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7704"/>
      <c r="B863" s="7665"/>
      <c r="C863" s="7747"/>
      <c r="D863" s="3399">
        <v>39500000</v>
      </c>
      <c r="E863" s="3402">
        <v>0.05</v>
      </c>
      <c r="F863" s="3399">
        <f t="shared" si="93"/>
        <v>1975000</v>
      </c>
      <c r="G863" s="3399"/>
      <c r="H863" s="3399"/>
      <c r="I863" s="3399"/>
      <c r="J863" s="3399"/>
      <c r="K863" s="3399"/>
      <c r="L863" s="3409" t="s">
        <v>5276</v>
      </c>
      <c r="M863" s="386"/>
      <c r="N863" s="386"/>
      <c r="O863" s="386"/>
      <c r="P863" s="386"/>
      <c r="Q863" s="386"/>
    </row>
    <row r="864" spans="1:17" s="1659" customFormat="1" ht="30" customHeight="1" x14ac:dyDescent="0.2">
      <c r="A864" s="7705"/>
      <c r="B864" s="7653"/>
      <c r="C864" s="7724"/>
      <c r="D864" s="3423">
        <f>D862+D863</f>
        <v>97500000</v>
      </c>
      <c r="E864" s="896"/>
      <c r="F864" s="3423"/>
      <c r="G864" s="3399"/>
      <c r="H864" s="3399"/>
      <c r="I864" s="3399"/>
      <c r="J864" s="3399"/>
      <c r="K864" s="3399"/>
      <c r="L864" s="3409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2879"/>
      <c r="B865" s="2870" t="s">
        <v>3742</v>
      </c>
      <c r="C865" s="2869" t="s">
        <v>1300</v>
      </c>
      <c r="D865" s="2844">
        <v>100000000</v>
      </c>
      <c r="E865" s="2867">
        <v>0.05</v>
      </c>
      <c r="F865" s="2844">
        <f>D865*E865</f>
        <v>5000000</v>
      </c>
      <c r="G865" s="2844">
        <v>5000000</v>
      </c>
      <c r="H865" s="2844" t="s">
        <v>5016</v>
      </c>
      <c r="I865" s="2844" t="s">
        <v>5117</v>
      </c>
      <c r="J865" s="2844">
        <f>G865</f>
        <v>5000000</v>
      </c>
      <c r="K865" s="2844">
        <f>F865-J865</f>
        <v>0</v>
      </c>
      <c r="L865" s="2852"/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79"/>
      <c r="B866" s="2870" t="s">
        <v>3743</v>
      </c>
      <c r="C866" s="3090" t="s">
        <v>1300</v>
      </c>
      <c r="D866" s="2817">
        <v>96000000</v>
      </c>
      <c r="E866" s="2819">
        <v>0.05</v>
      </c>
      <c r="F866" s="2817">
        <v>5000000</v>
      </c>
      <c r="G866" s="2844">
        <v>5000000</v>
      </c>
      <c r="H866" s="2844" t="s">
        <v>5016</v>
      </c>
      <c r="I866" s="2844" t="s">
        <v>5116</v>
      </c>
      <c r="J866" s="2844">
        <f>G866</f>
        <v>5000000</v>
      </c>
      <c r="K866" s="2844">
        <f>F866-J866</f>
        <v>0</v>
      </c>
      <c r="L866" s="2852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79"/>
      <c r="B867" s="2870" t="s">
        <v>3869</v>
      </c>
      <c r="C867" s="2869" t="s">
        <v>3219</v>
      </c>
      <c r="D867" s="2817">
        <v>100000000</v>
      </c>
      <c r="E867" s="2819">
        <v>0.06</v>
      </c>
      <c r="F867" s="2817">
        <f>D867*E867</f>
        <v>6000000</v>
      </c>
      <c r="G867" s="2817"/>
      <c r="H867" s="2817"/>
      <c r="I867" s="2837"/>
      <c r="J867" s="2817"/>
      <c r="K867" s="2817"/>
      <c r="L867" s="2852" t="s">
        <v>3872</v>
      </c>
      <c r="M867" s="386"/>
      <c r="N867" s="386"/>
      <c r="O867" s="386"/>
      <c r="P867" s="386"/>
      <c r="Q867" s="386"/>
    </row>
    <row r="868" spans="1:17" s="1659" customFormat="1" ht="30" customHeight="1" x14ac:dyDescent="0.2">
      <c r="A868" s="2879"/>
      <c r="B868" s="2870" t="s">
        <v>3871</v>
      </c>
      <c r="C868" s="2869" t="s">
        <v>3390</v>
      </c>
      <c r="D868" s="2844">
        <v>50000000</v>
      </c>
      <c r="E868" s="2819">
        <v>0.05</v>
      </c>
      <c r="F868" s="2817">
        <f>D868*E868</f>
        <v>2500000</v>
      </c>
      <c r="G868" s="2817"/>
      <c r="H868" s="2817"/>
      <c r="I868" s="2837"/>
      <c r="J868" s="2817"/>
      <c r="K868" s="2817"/>
      <c r="L868" s="2852"/>
      <c r="M868" s="386"/>
      <c r="N868" s="386"/>
      <c r="O868" s="386"/>
      <c r="P868" s="386"/>
      <c r="Q868" s="386"/>
    </row>
    <row r="869" spans="1:17" s="1659" customFormat="1" ht="30" customHeight="1" x14ac:dyDescent="0.2">
      <c r="A869" s="2879"/>
      <c r="B869" s="2870" t="s">
        <v>3890</v>
      </c>
      <c r="C869" s="2869"/>
      <c r="D869" s="2815"/>
      <c r="E869" s="2815"/>
      <c r="F869" s="2815"/>
      <c r="G869" s="2817"/>
      <c r="H869" s="2817"/>
      <c r="I869" s="2837" t="s">
        <v>3891</v>
      </c>
      <c r="J869" s="2817">
        <f>G869</f>
        <v>0</v>
      </c>
      <c r="K869" s="2817">
        <f>F869-J869</f>
        <v>0</v>
      </c>
      <c r="L869" s="2852"/>
      <c r="M869" s="386"/>
      <c r="N869" s="386"/>
      <c r="O869" s="386"/>
      <c r="P869" s="386"/>
      <c r="Q869" s="386"/>
    </row>
    <row r="870" spans="1:17" s="1659" customFormat="1" ht="30" customHeight="1" x14ac:dyDescent="0.2">
      <c r="A870" s="7703"/>
      <c r="B870" s="7652" t="s">
        <v>3895</v>
      </c>
      <c r="C870" s="7873" t="s">
        <v>4105</v>
      </c>
      <c r="D870" s="2844">
        <v>120000000</v>
      </c>
      <c r="E870" s="2819">
        <v>0.05</v>
      </c>
      <c r="F870" s="2817">
        <f>D870*E870</f>
        <v>6000000</v>
      </c>
      <c r="G870" s="7563">
        <v>8100000</v>
      </c>
      <c r="H870" s="7563" t="s">
        <v>4860</v>
      </c>
      <c r="I870" s="7563" t="s">
        <v>4313</v>
      </c>
      <c r="J870" s="7563">
        <f>G870</f>
        <v>8100000</v>
      </c>
      <c r="K870" s="7563">
        <f>(F870+F871)-J870</f>
        <v>0</v>
      </c>
      <c r="L870" s="2852" t="s">
        <v>3897</v>
      </c>
      <c r="M870" s="386"/>
      <c r="N870" s="386"/>
      <c r="O870" s="386"/>
      <c r="P870" s="386"/>
      <c r="Q870" s="386"/>
    </row>
    <row r="871" spans="1:17" s="1659" customFormat="1" ht="30" customHeight="1" x14ac:dyDescent="0.2">
      <c r="A871" s="7704"/>
      <c r="B871" s="7665"/>
      <c r="C871" s="7873"/>
      <c r="D871" s="2817">
        <v>30000000</v>
      </c>
      <c r="E871" s="2819">
        <v>7.0000000000000007E-2</v>
      </c>
      <c r="F871" s="2817">
        <f>D871*E871</f>
        <v>2100000</v>
      </c>
      <c r="G871" s="7564"/>
      <c r="H871" s="7564"/>
      <c r="I871" s="7564"/>
      <c r="J871" s="7564"/>
      <c r="K871" s="7564"/>
      <c r="L871" s="2022" t="s">
        <v>4215</v>
      </c>
      <c r="M871" s="386"/>
      <c r="N871" s="386"/>
      <c r="O871" s="386"/>
      <c r="P871" s="386"/>
      <c r="Q871" s="386"/>
    </row>
    <row r="872" spans="1:17" s="1659" customFormat="1" ht="30" customHeight="1" x14ac:dyDescent="0.2">
      <c r="A872" s="7704"/>
      <c r="B872" s="7665"/>
      <c r="C872" s="7873" t="s">
        <v>4105</v>
      </c>
      <c r="D872" s="3446">
        <v>120000000</v>
      </c>
      <c r="E872" s="3437">
        <v>0.05</v>
      </c>
      <c r="F872" s="3435">
        <f>D872*E872</f>
        <v>6000000</v>
      </c>
      <c r="G872" s="7563">
        <v>8100000</v>
      </c>
      <c r="H872" s="7563" t="s">
        <v>5106</v>
      </c>
      <c r="I872" s="7563" t="s">
        <v>4313</v>
      </c>
      <c r="J872" s="7563">
        <f>G872+G874</f>
        <v>10600000</v>
      </c>
      <c r="K872" s="7563">
        <f>(F872+F873)-J872</f>
        <v>-2500000</v>
      </c>
      <c r="L872" s="8265" t="s">
        <v>4905</v>
      </c>
      <c r="M872" s="386"/>
      <c r="N872" s="386"/>
      <c r="O872" s="386"/>
      <c r="P872" s="386"/>
      <c r="Q872" s="386"/>
    </row>
    <row r="873" spans="1:17" s="1659" customFormat="1" ht="30" customHeight="1" x14ac:dyDescent="0.2">
      <c r="A873" s="7705"/>
      <c r="B873" s="7653"/>
      <c r="C873" s="7873"/>
      <c r="D873" s="3435">
        <v>30000000</v>
      </c>
      <c r="E873" s="3437">
        <v>7.0000000000000007E-2</v>
      </c>
      <c r="F873" s="3435">
        <f>D873*E873</f>
        <v>2100000</v>
      </c>
      <c r="G873" s="7564"/>
      <c r="H873" s="7564"/>
      <c r="I873" s="7564"/>
      <c r="J873" s="7564"/>
      <c r="K873" s="7564"/>
      <c r="L873" s="8266"/>
      <c r="M873" s="386"/>
      <c r="N873" s="386"/>
      <c r="O873" s="386"/>
      <c r="P873" s="386"/>
      <c r="Q873" s="386"/>
    </row>
    <row r="874" spans="1:17" s="1659" customFormat="1" ht="30" customHeight="1" x14ac:dyDescent="0.2">
      <c r="A874" s="2879"/>
      <c r="B874" s="2870" t="s">
        <v>3956</v>
      </c>
      <c r="C874" s="2843" t="s">
        <v>3390</v>
      </c>
      <c r="D874" s="2817">
        <v>50000000</v>
      </c>
      <c r="E874" s="2819">
        <v>0.05</v>
      </c>
      <c r="F874" s="2817">
        <f>D874*E874</f>
        <v>2500000</v>
      </c>
      <c r="G874" s="2817">
        <v>2500000</v>
      </c>
      <c r="H874" s="2817" t="s">
        <v>5226</v>
      </c>
      <c r="I874" s="2837" t="s">
        <v>4600</v>
      </c>
      <c r="J874" s="2817">
        <f>G874</f>
        <v>2500000</v>
      </c>
      <c r="K874" s="2817">
        <f>F874-J874</f>
        <v>0</v>
      </c>
      <c r="L874" s="2852"/>
      <c r="M874" s="386"/>
      <c r="N874" s="386"/>
      <c r="O874" s="386"/>
      <c r="P874" s="386"/>
      <c r="Q874" s="386"/>
    </row>
    <row r="875" spans="1:17" s="1659" customFormat="1" ht="30" customHeight="1" x14ac:dyDescent="0.2">
      <c r="A875" s="2879"/>
      <c r="B875" s="2870" t="s">
        <v>3961</v>
      </c>
      <c r="C875" s="2843"/>
      <c r="D875" s="2817">
        <f>25000000+10000000+10000000+250000+2500000+1500000+500000</f>
        <v>49750000</v>
      </c>
      <c r="E875" s="2819"/>
      <c r="F875" s="2817"/>
      <c r="G875" s="2817"/>
      <c r="H875" s="2817"/>
      <c r="I875" s="2837"/>
      <c r="J875" s="2817"/>
      <c r="K875" s="2817"/>
      <c r="L875" s="2852" t="s">
        <v>3962</v>
      </c>
      <c r="M875" s="386"/>
      <c r="N875" s="386"/>
      <c r="O875" s="386"/>
      <c r="P875" s="386"/>
      <c r="Q875" s="386"/>
    </row>
    <row r="876" spans="1:17" s="1659" customFormat="1" ht="30" customHeight="1" x14ac:dyDescent="0.2">
      <c r="A876" s="2993"/>
      <c r="B876" s="2987" t="s">
        <v>4902</v>
      </c>
      <c r="C876" s="2981" t="s">
        <v>942</v>
      </c>
      <c r="D876" s="2973">
        <v>800000000</v>
      </c>
      <c r="E876" s="2974">
        <v>6.5000000000000002E-2</v>
      </c>
      <c r="F876" s="2973">
        <f>D876*E876</f>
        <v>52000000</v>
      </c>
      <c r="G876" s="2973"/>
      <c r="H876" s="2973"/>
      <c r="I876" s="2982"/>
      <c r="J876" s="2973"/>
      <c r="K876" s="2973"/>
      <c r="L876" s="2021" t="s">
        <v>4971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7703"/>
      <c r="B877" s="7652" t="s">
        <v>3964</v>
      </c>
      <c r="C877" s="2843" t="s">
        <v>1652</v>
      </c>
      <c r="D877" s="2817">
        <v>58000000</v>
      </c>
      <c r="E877" s="2819">
        <v>0.05</v>
      </c>
      <c r="F877" s="2817">
        <f>D877*E877</f>
        <v>2900000</v>
      </c>
      <c r="G877" s="2817">
        <v>2900000</v>
      </c>
      <c r="H877" s="2817" t="s">
        <v>5083</v>
      </c>
      <c r="I877" s="2837" t="s">
        <v>4407</v>
      </c>
      <c r="J877" s="2817">
        <f t="shared" ref="J877:J882" si="94">G877</f>
        <v>2900000</v>
      </c>
      <c r="K877" s="2817">
        <f>F877-J877</f>
        <v>0</v>
      </c>
      <c r="L877" s="2852"/>
      <c r="M877" s="386"/>
      <c r="N877" s="386"/>
      <c r="O877" s="386"/>
      <c r="P877" s="386"/>
      <c r="Q877" s="386"/>
    </row>
    <row r="878" spans="1:17" s="1659" customFormat="1" ht="30" customHeight="1" x14ac:dyDescent="0.2">
      <c r="A878" s="7705"/>
      <c r="B878" s="7653"/>
      <c r="C878" s="3263" t="s">
        <v>1298</v>
      </c>
      <c r="D878" s="3260">
        <v>40000000</v>
      </c>
      <c r="E878" s="3261">
        <v>0.05</v>
      </c>
      <c r="F878" s="3260">
        <f>D878*E878</f>
        <v>2000000</v>
      </c>
      <c r="G878" s="3260">
        <v>2000000</v>
      </c>
      <c r="H878" s="3260" t="s">
        <v>5105</v>
      </c>
      <c r="I878" s="3264" t="s">
        <v>5284</v>
      </c>
      <c r="J878" s="3260">
        <f t="shared" si="94"/>
        <v>2000000</v>
      </c>
      <c r="K878" s="3260">
        <f>F878-J878</f>
        <v>0</v>
      </c>
      <c r="L878" s="3273" t="s">
        <v>5285</v>
      </c>
      <c r="M878" s="386"/>
      <c r="N878" s="386"/>
      <c r="O878" s="386"/>
      <c r="P878" s="386"/>
      <c r="Q878" s="386"/>
    </row>
    <row r="879" spans="1:17" s="1659" customFormat="1" ht="30" customHeight="1" x14ac:dyDescent="0.2">
      <c r="A879" s="2879"/>
      <c r="B879" s="2870" t="s">
        <v>896</v>
      </c>
      <c r="C879" s="2843"/>
      <c r="D879" s="2817">
        <v>130000000</v>
      </c>
      <c r="E879" s="2819">
        <v>0.05</v>
      </c>
      <c r="F879" s="2817">
        <f>D879*E879</f>
        <v>6500000</v>
      </c>
      <c r="G879" s="2817">
        <v>6500000</v>
      </c>
      <c r="H879" s="2817" t="s">
        <v>4860</v>
      </c>
      <c r="I879" s="2837" t="s">
        <v>4869</v>
      </c>
      <c r="J879" s="2817">
        <f t="shared" si="94"/>
        <v>6500000</v>
      </c>
      <c r="K879" s="2817">
        <f>F879-J879</f>
        <v>0</v>
      </c>
      <c r="L879" s="2852"/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79"/>
      <c r="B880" s="2870" t="s">
        <v>2305</v>
      </c>
      <c r="C880" s="2843"/>
      <c r="D880" s="2834"/>
      <c r="E880" s="2835"/>
      <c r="F880" s="2834"/>
      <c r="G880" s="2817"/>
      <c r="H880" s="2817"/>
      <c r="I880" s="2837" t="s">
        <v>3994</v>
      </c>
      <c r="J880" s="2817">
        <f t="shared" si="94"/>
        <v>0</v>
      </c>
      <c r="K880" s="2817"/>
      <c r="L880" s="2852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79"/>
      <c r="B881" s="2870" t="s">
        <v>4014</v>
      </c>
      <c r="C881" s="2843" t="s">
        <v>4223</v>
      </c>
      <c r="D881" s="2817">
        <v>100000000</v>
      </c>
      <c r="E881" s="2819">
        <v>0.06</v>
      </c>
      <c r="F881" s="2817">
        <f>D881*E881</f>
        <v>6000000</v>
      </c>
      <c r="G881" s="233">
        <v>6000000</v>
      </c>
      <c r="H881" s="2844" t="s">
        <v>5083</v>
      </c>
      <c r="I881" s="2844" t="s">
        <v>5085</v>
      </c>
      <c r="J881" s="2844">
        <f t="shared" si="94"/>
        <v>6000000</v>
      </c>
      <c r="K881" s="2817">
        <f>F881-J881</f>
        <v>0</v>
      </c>
      <c r="L881" s="2852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2879"/>
      <c r="B882" s="2870" t="s">
        <v>4025</v>
      </c>
      <c r="C882" s="2843"/>
      <c r="D882" s="2817">
        <v>110000000</v>
      </c>
      <c r="E882" s="2819">
        <v>0.04</v>
      </c>
      <c r="F882" s="2817">
        <f>D882*E882</f>
        <v>4400000</v>
      </c>
      <c r="G882" s="2817">
        <v>4400000</v>
      </c>
      <c r="H882" s="2817" t="s">
        <v>4920</v>
      </c>
      <c r="I882" s="2837" t="s">
        <v>3469</v>
      </c>
      <c r="J882" s="2817">
        <f t="shared" si="94"/>
        <v>4400000</v>
      </c>
      <c r="K882" s="2817">
        <f>F882-J882</f>
        <v>0</v>
      </c>
      <c r="L882" s="2852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2879"/>
      <c r="B883" s="2870" t="s">
        <v>1455</v>
      </c>
      <c r="C883" s="2843"/>
      <c r="D883" s="2817">
        <v>50000000</v>
      </c>
      <c r="E883" s="2819">
        <v>0.05</v>
      </c>
      <c r="F883" s="2817">
        <f>D883*E883</f>
        <v>2500000</v>
      </c>
      <c r="G883" s="233"/>
      <c r="H883" s="233"/>
      <c r="I883" s="233"/>
      <c r="J883" s="233"/>
      <c r="K883" s="2817"/>
      <c r="L883" s="2852"/>
      <c r="M883" s="386"/>
      <c r="N883" s="386"/>
      <c r="O883" s="386"/>
      <c r="P883" s="386"/>
      <c r="Q883" s="386"/>
    </row>
    <row r="884" spans="1:17" s="1659" customFormat="1" ht="30" customHeight="1" x14ac:dyDescent="0.2">
      <c r="A884" s="7703"/>
      <c r="B884" s="7652" t="s">
        <v>4037</v>
      </c>
      <c r="C884" s="7723"/>
      <c r="D884" s="3181">
        <v>21000000</v>
      </c>
      <c r="E884" s="3190"/>
      <c r="F884" s="3181"/>
      <c r="G884" s="3181"/>
      <c r="H884" s="3181"/>
      <c r="I884" s="3181"/>
      <c r="J884" s="3181"/>
      <c r="K884" s="3184"/>
      <c r="L884" s="3198" t="s">
        <v>4219</v>
      </c>
      <c r="M884" s="386"/>
      <c r="N884" s="386"/>
      <c r="O884" s="386"/>
      <c r="P884" s="386"/>
      <c r="Q884" s="386"/>
    </row>
    <row r="885" spans="1:17" s="1659" customFormat="1" ht="30" customHeight="1" x14ac:dyDescent="0.2">
      <c r="A885" s="7705"/>
      <c r="B885" s="7653"/>
      <c r="C885" s="7724"/>
      <c r="D885" s="3181">
        <v>520000000</v>
      </c>
      <c r="E885" s="3182"/>
      <c r="F885" s="3181"/>
      <c r="G885" s="3181"/>
      <c r="H885" s="3181"/>
      <c r="I885" s="3181"/>
      <c r="J885" s="3181"/>
      <c r="K885" s="3184"/>
      <c r="L885" s="3198" t="s">
        <v>5126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7703"/>
      <c r="B886" s="7652" t="s">
        <v>4046</v>
      </c>
      <c r="C886" s="7723" t="s">
        <v>990</v>
      </c>
      <c r="D886" s="2844">
        <v>47000000</v>
      </c>
      <c r="E886" s="2819">
        <v>0.05</v>
      </c>
      <c r="F886" s="2844">
        <f>D886*E886</f>
        <v>2350000</v>
      </c>
      <c r="G886" s="7563">
        <v>8575000</v>
      </c>
      <c r="H886" s="7563" t="s">
        <v>5105</v>
      </c>
      <c r="I886" s="7563" t="s">
        <v>4766</v>
      </c>
      <c r="J886" s="7563">
        <f t="shared" ref="J886:J890" si="95">G886</f>
        <v>8575000</v>
      </c>
      <c r="K886" s="7563"/>
      <c r="L886" s="2875" t="s">
        <v>5282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7705"/>
      <c r="B887" s="7653"/>
      <c r="C887" s="7724"/>
      <c r="D887" s="2837">
        <v>90000000</v>
      </c>
      <c r="E887" s="2819">
        <v>0.05</v>
      </c>
      <c r="F887" s="2838">
        <f>D887*E887</f>
        <v>4500000</v>
      </c>
      <c r="G887" s="7564"/>
      <c r="H887" s="7564"/>
      <c r="I887" s="7564"/>
      <c r="J887" s="7564"/>
      <c r="K887" s="7564"/>
      <c r="L887" s="2852" t="s">
        <v>5283</v>
      </c>
      <c r="M887" s="386"/>
      <c r="N887" s="386"/>
      <c r="O887" s="386"/>
      <c r="P887" s="386"/>
      <c r="Q887" s="386"/>
    </row>
    <row r="888" spans="1:17" s="1659" customFormat="1" ht="30" customHeight="1" x14ac:dyDescent="0.2">
      <c r="A888" s="2879"/>
      <c r="B888" s="2825" t="s">
        <v>4079</v>
      </c>
      <c r="C888" s="2843" t="s">
        <v>1652</v>
      </c>
      <c r="D888" s="2837">
        <v>100000000</v>
      </c>
      <c r="E888" s="2819">
        <v>0.05</v>
      </c>
      <c r="F888" s="2838">
        <f>D888*E888</f>
        <v>5000000</v>
      </c>
      <c r="G888" s="2817">
        <v>5000000</v>
      </c>
      <c r="H888" s="2817" t="s">
        <v>4846</v>
      </c>
      <c r="I888" s="2837" t="s">
        <v>4849</v>
      </c>
      <c r="J888" s="2817">
        <f t="shared" si="95"/>
        <v>5000000</v>
      </c>
      <c r="K888" s="2817">
        <f>F888-J888</f>
        <v>0</v>
      </c>
      <c r="L888" s="2852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2879"/>
      <c r="B889" s="2870" t="s">
        <v>4083</v>
      </c>
      <c r="C889" s="2843"/>
      <c r="D889" s="452"/>
      <c r="E889" s="2835"/>
      <c r="F889" s="597"/>
      <c r="G889" s="2817"/>
      <c r="H889" s="2817"/>
      <c r="I889" s="937">
        <v>5423044873</v>
      </c>
      <c r="J889" s="2817">
        <f t="shared" si="95"/>
        <v>0</v>
      </c>
      <c r="K889" s="2834"/>
      <c r="L889" s="2852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3286"/>
      <c r="B890" s="3296" t="s">
        <v>4100</v>
      </c>
      <c r="C890" s="3295" t="s">
        <v>1796</v>
      </c>
      <c r="D890" s="3288">
        <v>11000000</v>
      </c>
      <c r="E890" s="3294">
        <v>0.05</v>
      </c>
      <c r="F890" s="3288">
        <f>D890*E890</f>
        <v>550000</v>
      </c>
      <c r="G890" s="3288">
        <v>550000</v>
      </c>
      <c r="H890" s="3288" t="s">
        <v>5174</v>
      </c>
      <c r="I890" s="3288" t="s">
        <v>4770</v>
      </c>
      <c r="J890" s="3288">
        <f t="shared" si="95"/>
        <v>550000</v>
      </c>
      <c r="K890" s="3288">
        <f>F890-J890</f>
        <v>0</v>
      </c>
      <c r="L890" s="2852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2879"/>
      <c r="B891" s="2870" t="s">
        <v>4114</v>
      </c>
      <c r="C891" s="2843" t="s">
        <v>1172</v>
      </c>
      <c r="D891" s="2837">
        <v>50000000</v>
      </c>
      <c r="E891" s="2819">
        <v>0.05</v>
      </c>
      <c r="F891" s="2838">
        <f>D891*E891</f>
        <v>2500000</v>
      </c>
      <c r="G891" s="2817"/>
      <c r="H891" s="2817"/>
      <c r="I891" s="2837"/>
      <c r="J891" s="2817"/>
      <c r="K891" s="2817"/>
      <c r="L891" s="2852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79"/>
      <c r="B892" s="2870" t="s">
        <v>4115</v>
      </c>
      <c r="C892" s="2843"/>
      <c r="D892" s="2837">
        <v>5000000</v>
      </c>
      <c r="E892" s="2819"/>
      <c r="F892" s="2838"/>
      <c r="G892" s="2817"/>
      <c r="H892" s="2817"/>
      <c r="I892" s="2837"/>
      <c r="J892" s="2817"/>
      <c r="K892" s="2817"/>
      <c r="L892" s="2852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79"/>
      <c r="B893" s="2870" t="s">
        <v>4116</v>
      </c>
      <c r="C893" s="2843" t="s">
        <v>1172</v>
      </c>
      <c r="D893" s="2837">
        <v>70000000</v>
      </c>
      <c r="E893" s="2819">
        <v>0.06</v>
      </c>
      <c r="F893" s="2838">
        <f>D893*E893</f>
        <v>4200000</v>
      </c>
      <c r="G893" s="2817"/>
      <c r="H893" s="2817"/>
      <c r="I893" s="2837"/>
      <c r="J893" s="2817"/>
      <c r="K893" s="2817"/>
      <c r="L893" s="2852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2879"/>
      <c r="B894" s="2870" t="s">
        <v>4131</v>
      </c>
      <c r="C894" s="2843"/>
      <c r="D894" s="2837">
        <v>45000000</v>
      </c>
      <c r="E894" s="2819">
        <v>0.05</v>
      </c>
      <c r="F894" s="2838">
        <f>D894*E894</f>
        <v>2250000</v>
      </c>
      <c r="G894" s="2983">
        <v>2250000</v>
      </c>
      <c r="H894" s="2983" t="s">
        <v>4920</v>
      </c>
      <c r="I894" s="2983" t="s">
        <v>303</v>
      </c>
      <c r="J894" s="2983">
        <f>G894</f>
        <v>2250000</v>
      </c>
      <c r="K894" s="2973">
        <f>F894-J894</f>
        <v>0</v>
      </c>
      <c r="L894" s="2852"/>
      <c r="M894" s="386"/>
      <c r="N894" s="386"/>
      <c r="O894" s="386"/>
      <c r="P894" s="386"/>
      <c r="Q894" s="386"/>
    </row>
    <row r="895" spans="1:17" s="1659" customFormat="1" ht="30" customHeight="1" x14ac:dyDescent="0.2">
      <c r="A895" s="2879"/>
      <c r="B895" s="2870" t="s">
        <v>4242</v>
      </c>
      <c r="C895" s="2843"/>
      <c r="D895" s="2837">
        <v>60000000</v>
      </c>
      <c r="E895" s="2819">
        <v>0.05</v>
      </c>
      <c r="F895" s="2838">
        <f>D895*E895</f>
        <v>3000000</v>
      </c>
      <c r="G895" s="2817">
        <v>3000000</v>
      </c>
      <c r="H895" s="2817" t="s">
        <v>5174</v>
      </c>
      <c r="I895" s="2837" t="s">
        <v>5175</v>
      </c>
      <c r="J895" s="2817">
        <f>G895</f>
        <v>3000000</v>
      </c>
      <c r="K895" s="2817">
        <f>F895-J895</f>
        <v>0</v>
      </c>
      <c r="L895" s="2852" t="s">
        <v>5176</v>
      </c>
      <c r="M895" s="386"/>
      <c r="N895" s="386"/>
      <c r="O895" s="386"/>
      <c r="P895" s="386"/>
      <c r="Q895" s="386"/>
    </row>
    <row r="896" spans="1:17" s="1659" customFormat="1" ht="30" customHeight="1" x14ac:dyDescent="0.2">
      <c r="A896" s="7703"/>
      <c r="B896" s="7652" t="s">
        <v>4243</v>
      </c>
      <c r="C896" s="7723" t="s">
        <v>942</v>
      </c>
      <c r="D896" s="7563">
        <v>10000000</v>
      </c>
      <c r="E896" s="7659">
        <v>0.05</v>
      </c>
      <c r="F896" s="7563">
        <f>D896*E896</f>
        <v>500000</v>
      </c>
      <c r="G896" s="2817">
        <v>500000</v>
      </c>
      <c r="H896" s="2817" t="s">
        <v>4839</v>
      </c>
      <c r="I896" s="3443" t="s">
        <v>5175</v>
      </c>
      <c r="J896" s="2817">
        <f>F896</f>
        <v>500000</v>
      </c>
      <c r="K896" s="2817">
        <f>F896-J896</f>
        <v>0</v>
      </c>
      <c r="L896" s="7732" t="s">
        <v>4437</v>
      </c>
      <c r="M896" s="7733"/>
      <c r="N896" s="7733"/>
      <c r="O896" s="7734"/>
      <c r="P896" s="386"/>
      <c r="Q896" s="386"/>
    </row>
    <row r="897" spans="1:17" s="1659" customFormat="1" ht="30" customHeight="1" x14ac:dyDescent="0.2">
      <c r="A897" s="7705"/>
      <c r="B897" s="7653"/>
      <c r="C897" s="7724"/>
      <c r="D897" s="7564"/>
      <c r="E897" s="7660"/>
      <c r="F897" s="7564"/>
      <c r="G897" s="3435">
        <v>500000</v>
      </c>
      <c r="H897" s="3435" t="s">
        <v>5106</v>
      </c>
      <c r="I897" s="3443" t="s">
        <v>5175</v>
      </c>
      <c r="J897" s="3435">
        <f>G897</f>
        <v>500000</v>
      </c>
      <c r="K897" s="3435">
        <f>F896-J897</f>
        <v>0</v>
      </c>
      <c r="L897" s="3461" t="s">
        <v>4905</v>
      </c>
      <c r="M897" s="3460"/>
      <c r="N897" s="3460"/>
      <c r="O897" s="3460"/>
      <c r="P897" s="386"/>
      <c r="Q897" s="386"/>
    </row>
    <row r="898" spans="1:17" s="1659" customFormat="1" ht="30" customHeight="1" x14ac:dyDescent="0.2">
      <c r="A898" s="2879"/>
      <c r="B898" s="2870" t="s">
        <v>4139</v>
      </c>
      <c r="C898" s="2843"/>
      <c r="D898" s="2837">
        <v>10000000</v>
      </c>
      <c r="E898" s="2819"/>
      <c r="F898" s="2838"/>
      <c r="G898" s="2817"/>
      <c r="H898" s="2817"/>
      <c r="I898" s="2837"/>
      <c r="J898" s="2817"/>
      <c r="K898" s="2817"/>
      <c r="L898" s="7732"/>
      <c r="M898" s="7733"/>
      <c r="N898" s="7733"/>
      <c r="O898" s="7734"/>
      <c r="P898" s="386"/>
      <c r="Q898" s="386"/>
    </row>
    <row r="899" spans="1:17" s="1659" customFormat="1" ht="30" customHeight="1" x14ac:dyDescent="0.2">
      <c r="A899" s="7703"/>
      <c r="B899" s="7652" t="s">
        <v>4142</v>
      </c>
      <c r="C899" s="7723"/>
      <c r="D899" s="7563">
        <v>200000000</v>
      </c>
      <c r="E899" s="7659">
        <v>7.0000000000000007E-2</v>
      </c>
      <c r="F899" s="7563">
        <f>D899*E899</f>
        <v>14000000.000000002</v>
      </c>
      <c r="G899" s="2837">
        <v>14000000</v>
      </c>
      <c r="H899" s="2819" t="s">
        <v>4860</v>
      </c>
      <c r="I899" s="2838" t="s">
        <v>815</v>
      </c>
      <c r="J899" s="2837">
        <f>G899</f>
        <v>14000000</v>
      </c>
      <c r="K899" s="2973">
        <f>F899-J899</f>
        <v>0</v>
      </c>
      <c r="L899" s="7732" t="s">
        <v>4437</v>
      </c>
      <c r="M899" s="7733"/>
      <c r="N899" s="7733"/>
      <c r="O899" s="7734"/>
      <c r="P899" s="386"/>
      <c r="Q899" s="386"/>
    </row>
    <row r="900" spans="1:17" s="1659" customFormat="1" ht="30" customHeight="1" x14ac:dyDescent="0.2">
      <c r="A900" s="7705"/>
      <c r="B900" s="7653"/>
      <c r="C900" s="7724"/>
      <c r="D900" s="7564"/>
      <c r="E900" s="7660"/>
      <c r="F900" s="7564"/>
      <c r="G900" s="3397">
        <v>14000000</v>
      </c>
      <c r="H900" s="3390" t="s">
        <v>5289</v>
      </c>
      <c r="I900" s="3400" t="s">
        <v>815</v>
      </c>
      <c r="J900" s="3397">
        <f>G900</f>
        <v>14000000</v>
      </c>
      <c r="K900" s="3386">
        <f>F899-J900</f>
        <v>0</v>
      </c>
      <c r="L900" s="3414" t="s">
        <v>4905</v>
      </c>
      <c r="M900" s="3413"/>
      <c r="N900" s="3413"/>
      <c r="O900" s="3413"/>
      <c r="P900" s="386"/>
      <c r="Q900" s="386"/>
    </row>
    <row r="901" spans="1:17" s="1659" customFormat="1" ht="30" customHeight="1" x14ac:dyDescent="0.2">
      <c r="A901" s="2879"/>
      <c r="B901" s="2373" t="s">
        <v>4155</v>
      </c>
      <c r="C901" s="2843"/>
      <c r="D901" s="452"/>
      <c r="E901" s="2835"/>
      <c r="F901" s="597"/>
      <c r="G901" s="2817"/>
      <c r="H901" s="2817"/>
      <c r="I901" s="2837" t="s">
        <v>4156</v>
      </c>
      <c r="J901" s="2817">
        <f>G901</f>
        <v>0</v>
      </c>
      <c r="K901" s="2817"/>
      <c r="L901" s="2852"/>
      <c r="M901" s="2880"/>
      <c r="N901" s="2880"/>
      <c r="O901" s="2880"/>
      <c r="P901" s="386"/>
      <c r="Q901" s="386"/>
    </row>
    <row r="902" spans="1:17" s="1659" customFormat="1" ht="30" customHeight="1" x14ac:dyDescent="0.2">
      <c r="A902" s="2879"/>
      <c r="B902" s="2373" t="s">
        <v>4157</v>
      </c>
      <c r="C902" s="2843"/>
      <c r="D902" s="452"/>
      <c r="E902" s="2835"/>
      <c r="F902" s="597"/>
      <c r="G902" s="2817"/>
      <c r="H902" s="2817"/>
      <c r="I902" s="2837" t="s">
        <v>4158</v>
      </c>
      <c r="J902" s="2817">
        <f>G902</f>
        <v>0</v>
      </c>
      <c r="K902" s="2817"/>
      <c r="L902" s="2852"/>
      <c r="M902" s="2880"/>
      <c r="N902" s="2880"/>
      <c r="O902" s="2880"/>
      <c r="P902" s="386"/>
      <c r="Q902" s="386"/>
    </row>
    <row r="903" spans="1:17" s="1659" customFormat="1" ht="30" customHeight="1" x14ac:dyDescent="0.2">
      <c r="A903" s="2879"/>
      <c r="B903" s="2373" t="s">
        <v>4160</v>
      </c>
      <c r="C903" s="2843"/>
      <c r="D903" s="452"/>
      <c r="E903" s="2835"/>
      <c r="F903" s="597"/>
      <c r="G903" s="2817"/>
      <c r="H903" s="2817"/>
      <c r="I903" s="2837" t="s">
        <v>4161</v>
      </c>
      <c r="J903" s="2817">
        <f>G903</f>
        <v>0</v>
      </c>
      <c r="K903" s="2817"/>
      <c r="L903" s="2852"/>
      <c r="M903" s="2880"/>
      <c r="N903" s="2880"/>
      <c r="O903" s="2880"/>
      <c r="P903" s="386"/>
      <c r="Q903" s="386"/>
    </row>
    <row r="904" spans="1:17" s="1659" customFormat="1" ht="30" customHeight="1" x14ac:dyDescent="0.2">
      <c r="A904" s="7703"/>
      <c r="B904" s="8021" t="s">
        <v>4162</v>
      </c>
      <c r="C904" s="8023" t="s">
        <v>392</v>
      </c>
      <c r="D904" s="8001">
        <v>70000000</v>
      </c>
      <c r="E904" s="8083">
        <v>0.05</v>
      </c>
      <c r="F904" s="8001">
        <f>D904*E904</f>
        <v>3500000</v>
      </c>
      <c r="G904" s="8270" t="s">
        <v>4674</v>
      </c>
      <c r="H904" s="8271"/>
      <c r="I904" s="8271"/>
      <c r="J904" s="8272"/>
      <c r="K904" s="8279"/>
      <c r="L904" s="2858" t="s">
        <v>4208</v>
      </c>
      <c r="M904" s="2880"/>
      <c r="N904" s="2880"/>
      <c r="O904" s="2880"/>
      <c r="P904" s="386"/>
      <c r="Q904" s="386"/>
    </row>
    <row r="905" spans="1:17" s="1659" customFormat="1" ht="30" customHeight="1" x14ac:dyDescent="0.2">
      <c r="A905" s="7704"/>
      <c r="B905" s="8269"/>
      <c r="C905" s="8024"/>
      <c r="D905" s="8002"/>
      <c r="E905" s="8084"/>
      <c r="F905" s="8002"/>
      <c r="G905" s="8273"/>
      <c r="H905" s="8274"/>
      <c r="I905" s="8274"/>
      <c r="J905" s="8275"/>
      <c r="K905" s="8279"/>
      <c r="L905" s="2949" t="s">
        <v>4209</v>
      </c>
      <c r="M905" s="2880"/>
      <c r="N905" s="2880"/>
      <c r="O905" s="2880"/>
      <c r="P905" s="386"/>
      <c r="Q905" s="386"/>
    </row>
    <row r="906" spans="1:17" s="1659" customFormat="1" ht="30" customHeight="1" x14ac:dyDescent="0.2">
      <c r="A906" s="7704"/>
      <c r="B906" s="8269"/>
      <c r="C906" s="8024"/>
      <c r="D906" s="2952">
        <v>10000000</v>
      </c>
      <c r="E906" s="2954">
        <v>0.05</v>
      </c>
      <c r="F906" s="2952">
        <f t="shared" ref="F906:F912" si="96">D906*E906</f>
        <v>500000</v>
      </c>
      <c r="G906" s="8045"/>
      <c r="H906" s="8046"/>
      <c r="I906" s="8046"/>
      <c r="J906" s="8047"/>
      <c r="K906" s="8279"/>
      <c r="L906" s="2949" t="s">
        <v>4270</v>
      </c>
      <c r="M906" s="2880"/>
      <c r="N906" s="2880"/>
      <c r="O906" s="2880"/>
      <c r="P906" s="386"/>
      <c r="Q906" s="386"/>
    </row>
    <row r="907" spans="1:17" s="1659" customFormat="1" ht="30" customHeight="1" x14ac:dyDescent="0.2">
      <c r="A907" s="7704"/>
      <c r="B907" s="8269"/>
      <c r="C907" s="8024"/>
      <c r="D907" s="1855">
        <v>84000000</v>
      </c>
      <c r="E907" s="679">
        <v>0.05</v>
      </c>
      <c r="F907" s="1855">
        <f t="shared" si="96"/>
        <v>4200000</v>
      </c>
      <c r="G907" s="8264" t="s">
        <v>4832</v>
      </c>
      <c r="H907" s="8264"/>
      <c r="I907" s="8264"/>
      <c r="J907" s="8264"/>
      <c r="K907" s="2952"/>
      <c r="L907" s="2876"/>
      <c r="M907" s="2880"/>
      <c r="N907" s="2880"/>
      <c r="O907" s="2880"/>
      <c r="P907" s="386"/>
      <c r="Q907" s="386"/>
    </row>
    <row r="908" spans="1:17" s="1659" customFormat="1" ht="30" customHeight="1" x14ac:dyDescent="0.2">
      <c r="A908" s="7704"/>
      <c r="B908" s="8269"/>
      <c r="C908" s="8024"/>
      <c r="D908" s="1855">
        <f>D907+F907</f>
        <v>88200000</v>
      </c>
      <c r="E908" s="679">
        <v>0.05</v>
      </c>
      <c r="F908" s="1855">
        <f t="shared" si="96"/>
        <v>4410000</v>
      </c>
      <c r="G908" s="8264" t="s">
        <v>4833</v>
      </c>
      <c r="H908" s="8264"/>
      <c r="I908" s="8264"/>
      <c r="J908" s="8264"/>
      <c r="K908" s="2952"/>
      <c r="L908" s="2949"/>
      <c r="M908" s="2951"/>
      <c r="N908" s="2951"/>
      <c r="O908" s="2951"/>
      <c r="P908" s="386"/>
      <c r="Q908" s="386"/>
    </row>
    <row r="909" spans="1:17" s="1659" customFormat="1" ht="30" customHeight="1" x14ac:dyDescent="0.2">
      <c r="A909" s="7705"/>
      <c r="B909" s="8022"/>
      <c r="C909" s="8025"/>
      <c r="D909" s="1855">
        <v>100000000</v>
      </c>
      <c r="E909" s="679">
        <v>0.06</v>
      </c>
      <c r="F909" s="1855">
        <f t="shared" si="96"/>
        <v>6000000</v>
      </c>
      <c r="G909" s="2953"/>
      <c r="H909" s="2953"/>
      <c r="I909" s="2958"/>
      <c r="J909" s="2952"/>
      <c r="K909" s="2952"/>
      <c r="L909" s="2876" t="s">
        <v>4371</v>
      </c>
      <c r="M909" s="2880"/>
      <c r="N909" s="2880"/>
      <c r="O909" s="2880"/>
      <c r="P909" s="386"/>
      <c r="Q909" s="386"/>
    </row>
    <row r="910" spans="1:17" s="1659" customFormat="1" ht="30" customHeight="1" x14ac:dyDescent="0.2">
      <c r="A910" s="2879"/>
      <c r="B910" s="2870" t="s">
        <v>4186</v>
      </c>
      <c r="C910" s="2869"/>
      <c r="D910" s="2844">
        <v>120000000</v>
      </c>
      <c r="E910" s="2867">
        <v>0.05</v>
      </c>
      <c r="F910" s="2844">
        <f t="shared" si="96"/>
        <v>6000000</v>
      </c>
      <c r="G910" s="2817">
        <v>6000000</v>
      </c>
      <c r="H910" s="2817" t="s">
        <v>5052</v>
      </c>
      <c r="I910" s="2937" t="s">
        <v>5061</v>
      </c>
      <c r="J910" s="2937">
        <f>G910</f>
        <v>6000000</v>
      </c>
      <c r="K910" s="2937">
        <f>F910-J910</f>
        <v>0</v>
      </c>
      <c r="L910" s="2852" t="s">
        <v>4990</v>
      </c>
      <c r="M910" s="2880"/>
      <c r="N910" s="2880"/>
      <c r="O910" s="2880"/>
      <c r="P910" s="386"/>
      <c r="Q910" s="386"/>
    </row>
    <row r="911" spans="1:17" s="1659" customFormat="1" ht="30" customHeight="1" x14ac:dyDescent="0.2">
      <c r="A911" s="2879"/>
      <c r="B911" s="2870" t="s">
        <v>4196</v>
      </c>
      <c r="C911" s="2869"/>
      <c r="D911" s="2844">
        <v>100000000</v>
      </c>
      <c r="E911" s="2867">
        <v>0.05</v>
      </c>
      <c r="F911" s="2844">
        <f t="shared" si="96"/>
        <v>5000000</v>
      </c>
      <c r="G911" s="2817">
        <v>5000000</v>
      </c>
      <c r="H911" s="2817" t="s">
        <v>1491</v>
      </c>
      <c r="I911" s="2837" t="s">
        <v>4765</v>
      </c>
      <c r="J911" s="2817">
        <f>G911</f>
        <v>5000000</v>
      </c>
      <c r="K911" s="2817">
        <f>F911-J911</f>
        <v>0</v>
      </c>
      <c r="L911" s="2852" t="s">
        <v>4197</v>
      </c>
      <c r="M911" s="2880"/>
      <c r="N911" s="2880"/>
      <c r="O911" s="2880"/>
      <c r="P911" s="386"/>
      <c r="Q911" s="386"/>
    </row>
    <row r="912" spans="1:17" s="1659" customFormat="1" ht="30" customHeight="1" x14ac:dyDescent="0.2">
      <c r="A912" s="7703"/>
      <c r="B912" s="7652" t="s">
        <v>4213</v>
      </c>
      <c r="C912" s="7723"/>
      <c r="D912" s="7563">
        <v>100000000</v>
      </c>
      <c r="E912" s="7659">
        <v>7.0000000000000007E-2</v>
      </c>
      <c r="F912" s="7563">
        <f t="shared" si="96"/>
        <v>7000000.0000000009</v>
      </c>
      <c r="G912" s="2817">
        <v>7000000</v>
      </c>
      <c r="H912" s="2817" t="s">
        <v>4839</v>
      </c>
      <c r="I912" s="2837" t="s">
        <v>4845</v>
      </c>
      <c r="J912" s="2817">
        <f>G912</f>
        <v>7000000</v>
      </c>
      <c r="K912" s="2817">
        <f>F912-J912</f>
        <v>0</v>
      </c>
      <c r="L912" s="2021" t="s">
        <v>4214</v>
      </c>
      <c r="M912" s="2880"/>
      <c r="N912" s="2880"/>
      <c r="O912" s="2880"/>
      <c r="P912" s="386"/>
      <c r="Q912" s="386"/>
    </row>
    <row r="913" spans="1:17" s="1659" customFormat="1" ht="30" customHeight="1" x14ac:dyDescent="0.2">
      <c r="A913" s="7705"/>
      <c r="B913" s="7653"/>
      <c r="C913" s="7724"/>
      <c r="D913" s="7564"/>
      <c r="E913" s="7660"/>
      <c r="F913" s="7564"/>
      <c r="G913" s="3435">
        <v>7000000</v>
      </c>
      <c r="H913" s="3435" t="s">
        <v>5106</v>
      </c>
      <c r="I913" s="3443" t="s">
        <v>4845</v>
      </c>
      <c r="J913" s="3435">
        <f>G913</f>
        <v>7000000</v>
      </c>
      <c r="K913" s="3435">
        <f>F912-J913</f>
        <v>0</v>
      </c>
      <c r="L913" s="2021" t="s">
        <v>4905</v>
      </c>
      <c r="M913" s="3460"/>
      <c r="N913" s="3460"/>
      <c r="O913" s="3460"/>
      <c r="P913" s="386"/>
      <c r="Q913" s="386"/>
    </row>
    <row r="914" spans="1:17" s="1659" customFormat="1" ht="30" customHeight="1" x14ac:dyDescent="0.2">
      <c r="A914" s="2879"/>
      <c r="B914" s="2870" t="s">
        <v>4292</v>
      </c>
      <c r="C914" s="2869"/>
      <c r="D914" s="2844"/>
      <c r="E914" s="2819"/>
      <c r="F914" s="2817"/>
      <c r="G914" s="2817"/>
      <c r="H914" s="2817"/>
      <c r="I914" s="2837"/>
      <c r="J914" s="2817"/>
      <c r="K914" s="2817"/>
      <c r="L914" s="2021" t="s">
        <v>4293</v>
      </c>
      <c r="M914" s="2880"/>
      <c r="N914" s="2880"/>
      <c r="O914" s="2880"/>
      <c r="P914" s="386"/>
      <c r="Q914" s="386"/>
    </row>
    <row r="915" spans="1:17" s="1659" customFormat="1" ht="30" customHeight="1" x14ac:dyDescent="0.2">
      <c r="A915" s="7703"/>
      <c r="B915" s="7652" t="s">
        <v>4295</v>
      </c>
      <c r="C915" s="7723" t="s">
        <v>4296</v>
      </c>
      <c r="D915" s="7563">
        <v>80000000</v>
      </c>
      <c r="E915" s="7659">
        <v>0.05</v>
      </c>
      <c r="F915" s="7563">
        <f>D915*E915</f>
        <v>4000000</v>
      </c>
      <c r="G915" s="2817">
        <v>4000000</v>
      </c>
      <c r="H915" s="2817" t="s">
        <v>4860</v>
      </c>
      <c r="I915" s="2837" t="s">
        <v>1720</v>
      </c>
      <c r="J915" s="2817">
        <f t="shared" ref="J915:J923" si="97">G915</f>
        <v>4000000</v>
      </c>
      <c r="K915" s="2817">
        <f>F915-J915</f>
        <v>0</v>
      </c>
      <c r="L915" s="2021" t="s">
        <v>4670</v>
      </c>
      <c r="M915" s="2880"/>
      <c r="N915" s="2880"/>
      <c r="O915" s="2880"/>
      <c r="P915" s="386"/>
      <c r="Q915" s="386"/>
    </row>
    <row r="916" spans="1:17" s="1659" customFormat="1" ht="30" customHeight="1" x14ac:dyDescent="0.2">
      <c r="A916" s="7705"/>
      <c r="B916" s="7653"/>
      <c r="C916" s="7724"/>
      <c r="D916" s="7564"/>
      <c r="E916" s="7660"/>
      <c r="F916" s="7564"/>
      <c r="G916" s="3435">
        <v>4000000</v>
      </c>
      <c r="H916" s="3435" t="s">
        <v>5106</v>
      </c>
      <c r="I916" s="3443" t="s">
        <v>1720</v>
      </c>
      <c r="J916" s="3435">
        <f t="shared" si="97"/>
        <v>4000000</v>
      </c>
      <c r="K916" s="3435">
        <f>F915-J916</f>
        <v>0</v>
      </c>
      <c r="L916" s="3461" t="s">
        <v>4905</v>
      </c>
      <c r="M916" s="3460"/>
      <c r="N916" s="3460"/>
      <c r="O916" s="3460"/>
      <c r="P916" s="386"/>
      <c r="Q916" s="386"/>
    </row>
    <row r="917" spans="1:17" s="1659" customFormat="1" ht="30" customHeight="1" x14ac:dyDescent="0.2">
      <c r="A917" s="7703"/>
      <c r="B917" s="7652" t="s">
        <v>4332</v>
      </c>
      <c r="C917" s="7723" t="s">
        <v>402</v>
      </c>
      <c r="D917" s="7563">
        <v>200000000</v>
      </c>
      <c r="E917" s="7659">
        <v>0.05</v>
      </c>
      <c r="F917" s="7563">
        <f>D917*E917</f>
        <v>10000000</v>
      </c>
      <c r="G917" s="2980">
        <v>10000000</v>
      </c>
      <c r="H917" s="2980" t="s">
        <v>4875</v>
      </c>
      <c r="I917" s="452" t="s">
        <v>1220</v>
      </c>
      <c r="J917" s="2980">
        <f t="shared" si="97"/>
        <v>10000000</v>
      </c>
      <c r="K917" s="2980">
        <f>F917-J917</f>
        <v>0</v>
      </c>
      <c r="L917" s="2021" t="s">
        <v>4795</v>
      </c>
      <c r="M917" s="2880"/>
      <c r="N917" s="2880"/>
      <c r="O917" s="2880"/>
      <c r="P917" s="386"/>
      <c r="Q917" s="386"/>
    </row>
    <row r="918" spans="1:17" s="1659" customFormat="1" ht="30" customHeight="1" x14ac:dyDescent="0.2">
      <c r="A918" s="7705"/>
      <c r="B918" s="7653"/>
      <c r="C918" s="7724"/>
      <c r="D918" s="7564"/>
      <c r="E918" s="7660"/>
      <c r="F918" s="7564"/>
      <c r="G918" s="2973">
        <v>10000000</v>
      </c>
      <c r="H918" s="2973" t="s">
        <v>4874</v>
      </c>
      <c r="I918" s="2982" t="s">
        <v>4885</v>
      </c>
      <c r="J918" s="2973">
        <f t="shared" si="97"/>
        <v>10000000</v>
      </c>
      <c r="K918" s="2973">
        <f>F917-J918</f>
        <v>0</v>
      </c>
      <c r="L918" s="2021"/>
      <c r="M918" s="2997"/>
      <c r="N918" s="2997"/>
      <c r="O918" s="2997"/>
      <c r="P918" s="386"/>
      <c r="Q918" s="386"/>
    </row>
    <row r="919" spans="1:17" s="1659" customFormat="1" ht="30" customHeight="1" x14ac:dyDescent="0.2">
      <c r="A919" s="2879"/>
      <c r="B919" s="2870" t="s">
        <v>4368</v>
      </c>
      <c r="C919" s="2869"/>
      <c r="D919" s="452"/>
      <c r="E919" s="2835"/>
      <c r="F919" s="597"/>
      <c r="G919" s="2817"/>
      <c r="H919" s="2817"/>
      <c r="I919" s="2837" t="s">
        <v>2986</v>
      </c>
      <c r="J919" s="2817">
        <f t="shared" si="97"/>
        <v>0</v>
      </c>
      <c r="K919" s="2817"/>
      <c r="L919" s="2021"/>
      <c r="M919" s="2880"/>
      <c r="N919" s="2880"/>
      <c r="O919" s="2880"/>
      <c r="P919" s="386"/>
      <c r="Q919" s="386"/>
    </row>
    <row r="920" spans="1:17" s="1659" customFormat="1" ht="30" customHeight="1" x14ac:dyDescent="0.2">
      <c r="A920" s="2879"/>
      <c r="B920" s="2870" t="s">
        <v>4374</v>
      </c>
      <c r="C920" s="2869"/>
      <c r="D920" s="3080">
        <v>100000000</v>
      </c>
      <c r="E920" s="3078">
        <v>0.05</v>
      </c>
      <c r="F920" s="3081">
        <f>D920*E920</f>
        <v>5000000</v>
      </c>
      <c r="G920" s="2817">
        <v>5000000</v>
      </c>
      <c r="H920" s="2817" t="s">
        <v>5009</v>
      </c>
      <c r="I920" s="2837" t="s">
        <v>5014</v>
      </c>
      <c r="J920" s="2817">
        <f t="shared" si="97"/>
        <v>5000000</v>
      </c>
      <c r="K920" s="2817">
        <f>F920-J920</f>
        <v>0</v>
      </c>
      <c r="L920" s="2852" t="s">
        <v>4375</v>
      </c>
      <c r="M920" s="2880"/>
      <c r="N920" s="2880"/>
      <c r="O920" s="2880"/>
      <c r="P920" s="386"/>
      <c r="Q920" s="386"/>
    </row>
    <row r="921" spans="1:17" s="1659" customFormat="1" ht="30" customHeight="1" x14ac:dyDescent="0.2">
      <c r="A921" s="2879"/>
      <c r="B921" s="2870" t="s">
        <v>4376</v>
      </c>
      <c r="C921" s="2869" t="s">
        <v>1718</v>
      </c>
      <c r="D921" s="2837">
        <v>70000000</v>
      </c>
      <c r="E921" s="2819">
        <v>7.0000000000000007E-2</v>
      </c>
      <c r="F921" s="2838">
        <f>D921*E921</f>
        <v>4900000.0000000009</v>
      </c>
      <c r="G921" s="2817">
        <v>4900000</v>
      </c>
      <c r="H921" s="2817" t="s">
        <v>4920</v>
      </c>
      <c r="I921" s="2837" t="s">
        <v>4928</v>
      </c>
      <c r="J921" s="2817">
        <f t="shared" si="97"/>
        <v>4900000</v>
      </c>
      <c r="K921" s="2817">
        <f>F921-J921</f>
        <v>0</v>
      </c>
      <c r="L921" s="2021" t="s">
        <v>4992</v>
      </c>
      <c r="M921" s="2880"/>
      <c r="N921" s="2880"/>
      <c r="O921" s="2880"/>
      <c r="P921" s="386"/>
      <c r="Q921" s="386"/>
    </row>
    <row r="922" spans="1:17" s="1659" customFormat="1" ht="30" customHeight="1" x14ac:dyDescent="0.2">
      <c r="A922" s="2879"/>
      <c r="B922" s="2870" t="s">
        <v>4393</v>
      </c>
      <c r="C922" s="2869"/>
      <c r="D922" s="2837">
        <v>350000000</v>
      </c>
      <c r="E922" s="2819">
        <v>7.0000000000000007E-2</v>
      </c>
      <c r="F922" s="2838">
        <f>D922*E922</f>
        <v>24500000.000000004</v>
      </c>
      <c r="G922" s="2817">
        <v>24500000</v>
      </c>
      <c r="H922" s="2817" t="s">
        <v>4891</v>
      </c>
      <c r="I922" s="2837" t="s">
        <v>4900</v>
      </c>
      <c r="J922" s="2817">
        <f t="shared" si="97"/>
        <v>24500000</v>
      </c>
      <c r="K922" s="2817">
        <f>F922-J922</f>
        <v>0</v>
      </c>
      <c r="L922" s="2021" t="s">
        <v>4394</v>
      </c>
      <c r="M922" s="2880"/>
      <c r="N922" s="2880"/>
      <c r="O922" s="2880"/>
      <c r="P922" s="386"/>
      <c r="Q922" s="386"/>
    </row>
    <row r="923" spans="1:17" s="1659" customFormat="1" ht="30" customHeight="1" x14ac:dyDescent="0.2">
      <c r="A923" s="2879"/>
      <c r="B923" s="2870" t="s">
        <v>4397</v>
      </c>
      <c r="C923" s="2869"/>
      <c r="D923" s="2837">
        <v>50000000</v>
      </c>
      <c r="E923" s="2819">
        <v>0.05</v>
      </c>
      <c r="F923" s="2838">
        <f t="shared" ref="F923:F931" si="98">D923*E923</f>
        <v>2500000</v>
      </c>
      <c r="G923" s="2817">
        <v>2500000</v>
      </c>
      <c r="H923" s="2817" t="s">
        <v>4939</v>
      </c>
      <c r="I923" s="2837" t="s">
        <v>5000</v>
      </c>
      <c r="J923" s="2817">
        <f t="shared" si="97"/>
        <v>2500000</v>
      </c>
      <c r="K923" s="2817"/>
      <c r="L923" s="2021" t="s">
        <v>4398</v>
      </c>
      <c r="M923" s="2880"/>
      <c r="N923" s="2880"/>
      <c r="O923" s="2880"/>
      <c r="P923" s="386"/>
      <c r="Q923" s="386"/>
    </row>
    <row r="924" spans="1:17" s="1659" customFormat="1" ht="30" customHeight="1" x14ac:dyDescent="0.2">
      <c r="A924" s="2879"/>
      <c r="B924" s="2870" t="s">
        <v>5013</v>
      </c>
      <c r="C924" s="2869"/>
      <c r="D924" s="2837">
        <v>100000000</v>
      </c>
      <c r="E924" s="2819">
        <v>0.05</v>
      </c>
      <c r="F924" s="2838">
        <f t="shared" si="98"/>
        <v>5000000</v>
      </c>
      <c r="G924" s="2817">
        <v>5000000</v>
      </c>
      <c r="H924" s="2817" t="s">
        <v>5009</v>
      </c>
      <c r="I924" s="2837" t="s">
        <v>5012</v>
      </c>
      <c r="J924" s="2817">
        <f t="shared" ref="J924:J932" si="99">G924</f>
        <v>5000000</v>
      </c>
      <c r="K924" s="2817">
        <f>F924-J924</f>
        <v>0</v>
      </c>
      <c r="L924" s="2021"/>
      <c r="M924" s="2880"/>
      <c r="N924" s="2880"/>
      <c r="O924" s="2880"/>
      <c r="P924" s="386"/>
      <c r="Q924" s="386"/>
    </row>
    <row r="925" spans="1:17" s="1659" customFormat="1" ht="30" customHeight="1" x14ac:dyDescent="0.2">
      <c r="A925" s="2879"/>
      <c r="B925" s="2870" t="s">
        <v>4410</v>
      </c>
      <c r="C925" s="2869"/>
      <c r="D925" s="2837">
        <v>50000000</v>
      </c>
      <c r="E925" s="2819">
        <v>0.05</v>
      </c>
      <c r="F925" s="2838">
        <f t="shared" si="98"/>
        <v>2500000</v>
      </c>
      <c r="G925" s="2817">
        <v>2500000</v>
      </c>
      <c r="H925" s="2817" t="s">
        <v>4936</v>
      </c>
      <c r="I925" s="2837" t="s">
        <v>4411</v>
      </c>
      <c r="J925" s="2817">
        <f t="shared" si="99"/>
        <v>2500000</v>
      </c>
      <c r="K925" s="2817">
        <f>F925-J925</f>
        <v>0</v>
      </c>
      <c r="L925" s="2021"/>
      <c r="M925" s="2880"/>
      <c r="N925" s="2880"/>
      <c r="O925" s="2880"/>
      <c r="P925" s="386"/>
      <c r="Q925" s="386"/>
    </row>
    <row r="926" spans="1:17" s="1659" customFormat="1" ht="30" customHeight="1" x14ac:dyDescent="0.2">
      <c r="A926" s="2879"/>
      <c r="B926" s="3030" t="s">
        <v>4413</v>
      </c>
      <c r="C926" s="3031"/>
      <c r="D926" s="2298">
        <v>20000000</v>
      </c>
      <c r="E926" s="3032">
        <v>0.05</v>
      </c>
      <c r="F926" s="3033">
        <f t="shared" si="98"/>
        <v>1000000</v>
      </c>
      <c r="G926" s="438">
        <v>19000000</v>
      </c>
      <c r="H926" s="438" t="s">
        <v>4936</v>
      </c>
      <c r="I926" s="2298" t="s">
        <v>808</v>
      </c>
      <c r="J926" s="438">
        <f t="shared" si="99"/>
        <v>19000000</v>
      </c>
      <c r="K926" s="438">
        <f>F926-J926</f>
        <v>-18000000</v>
      </c>
      <c r="L926" s="3034" t="s">
        <v>1326</v>
      </c>
      <c r="M926" s="2880"/>
      <c r="N926" s="2880"/>
      <c r="O926" s="2880"/>
      <c r="P926" s="386"/>
      <c r="Q926" s="386"/>
    </row>
    <row r="927" spans="1:17" s="1659" customFormat="1" ht="30" customHeight="1" x14ac:dyDescent="0.2">
      <c r="A927" s="3087"/>
      <c r="B927" s="3085" t="s">
        <v>5005</v>
      </c>
      <c r="C927" s="3086" t="s">
        <v>262</v>
      </c>
      <c r="D927" s="3080">
        <v>20000000</v>
      </c>
      <c r="E927" s="3078"/>
      <c r="F927" s="3081"/>
      <c r="G927" s="3077"/>
      <c r="H927" s="3077"/>
      <c r="I927" s="3080"/>
      <c r="J927" s="3077"/>
      <c r="K927" s="3077"/>
      <c r="L927" s="2021" t="s">
        <v>5036</v>
      </c>
      <c r="M927" s="3088"/>
      <c r="N927" s="3088"/>
      <c r="O927" s="3088"/>
      <c r="P927" s="386"/>
      <c r="Q927" s="386"/>
    </row>
    <row r="928" spans="1:17" s="1659" customFormat="1" ht="30" customHeight="1" x14ac:dyDescent="0.2">
      <c r="A928" s="2879"/>
      <c r="B928" s="2870" t="s">
        <v>4432</v>
      </c>
      <c r="C928" s="2869" t="s">
        <v>2644</v>
      </c>
      <c r="D928" s="2837">
        <v>300000000</v>
      </c>
      <c r="E928" s="2819">
        <v>0.05</v>
      </c>
      <c r="F928" s="2838">
        <f t="shared" si="98"/>
        <v>15000000</v>
      </c>
      <c r="G928" s="2817">
        <v>15000000</v>
      </c>
      <c r="H928" s="2817" t="s">
        <v>4860</v>
      </c>
      <c r="I928" s="2837" t="s">
        <v>1063</v>
      </c>
      <c r="J928" s="2817">
        <f t="shared" si="99"/>
        <v>15000000</v>
      </c>
      <c r="K928" s="2817">
        <f t="shared" ref="K928:K935" si="100">F928-J928</f>
        <v>0</v>
      </c>
      <c r="L928" s="2021" t="s">
        <v>4435</v>
      </c>
      <c r="M928" s="2880"/>
      <c r="N928" s="2880"/>
      <c r="O928" s="2880"/>
      <c r="P928" s="386"/>
      <c r="Q928" s="386"/>
    </row>
    <row r="929" spans="1:17" s="1659" customFormat="1" ht="30" customHeight="1" x14ac:dyDescent="0.2">
      <c r="A929" s="2879"/>
      <c r="B929" s="2870" t="s">
        <v>4433</v>
      </c>
      <c r="C929" s="2869" t="s">
        <v>371</v>
      </c>
      <c r="D929" s="2837">
        <v>200000000</v>
      </c>
      <c r="E929" s="2819">
        <v>0.05</v>
      </c>
      <c r="F929" s="2838">
        <f t="shared" si="98"/>
        <v>10000000</v>
      </c>
      <c r="G929" s="2817">
        <v>10000000</v>
      </c>
      <c r="H929" s="2817" t="s">
        <v>5083</v>
      </c>
      <c r="I929" s="2837" t="s">
        <v>4167</v>
      </c>
      <c r="J929" s="2817">
        <f t="shared" si="99"/>
        <v>10000000</v>
      </c>
      <c r="K929" s="2817">
        <f t="shared" si="100"/>
        <v>0</v>
      </c>
      <c r="L929" s="2021" t="s">
        <v>4434</v>
      </c>
      <c r="M929" s="2880"/>
      <c r="N929" s="2880"/>
      <c r="O929" s="2880"/>
      <c r="P929" s="386"/>
      <c r="Q929" s="386"/>
    </row>
    <row r="930" spans="1:17" s="1659" customFormat="1" ht="30" customHeight="1" x14ac:dyDescent="0.2">
      <c r="A930" s="2879"/>
      <c r="B930" s="2870" t="s">
        <v>4454</v>
      </c>
      <c r="C930" s="2869" t="s">
        <v>262</v>
      </c>
      <c r="D930" s="2837">
        <v>120000000</v>
      </c>
      <c r="E930" s="2819">
        <v>5.5E-2</v>
      </c>
      <c r="F930" s="2838">
        <f t="shared" si="98"/>
        <v>6600000</v>
      </c>
      <c r="G930" s="2817">
        <v>6600000</v>
      </c>
      <c r="H930" s="2817" t="s">
        <v>5083</v>
      </c>
      <c r="I930" s="2837" t="s">
        <v>4455</v>
      </c>
      <c r="J930" s="2817">
        <f t="shared" si="99"/>
        <v>6600000</v>
      </c>
      <c r="K930" s="2817">
        <f t="shared" si="100"/>
        <v>0</v>
      </c>
      <c r="L930" s="2021" t="s">
        <v>4456</v>
      </c>
      <c r="M930" s="2880"/>
      <c r="N930" s="2880"/>
      <c r="O930" s="2880"/>
      <c r="P930" s="386"/>
      <c r="Q930" s="386"/>
    </row>
    <row r="931" spans="1:17" s="1659" customFormat="1" ht="30" customHeight="1" x14ac:dyDescent="0.2">
      <c r="A931" s="2879"/>
      <c r="B931" s="2870" t="s">
        <v>4468</v>
      </c>
      <c r="C931" s="2869" t="s">
        <v>1300</v>
      </c>
      <c r="D931" s="2837">
        <v>75000000</v>
      </c>
      <c r="E931" s="2819">
        <v>0.05</v>
      </c>
      <c r="F931" s="2838">
        <f t="shared" si="98"/>
        <v>3750000</v>
      </c>
      <c r="G931" s="2817">
        <v>3750000</v>
      </c>
      <c r="H931" s="2817" t="s">
        <v>5015</v>
      </c>
      <c r="I931" s="2837" t="s">
        <v>5095</v>
      </c>
      <c r="J931" s="2817">
        <f t="shared" si="99"/>
        <v>3750000</v>
      </c>
      <c r="K931" s="2817">
        <f t="shared" si="100"/>
        <v>0</v>
      </c>
      <c r="L931" s="2021" t="s">
        <v>4469</v>
      </c>
      <c r="M931" s="2880"/>
      <c r="N931" s="2880"/>
      <c r="O931" s="2880"/>
      <c r="P931" s="386"/>
      <c r="Q931" s="386"/>
    </row>
    <row r="932" spans="1:17" s="1659" customFormat="1" ht="30" customHeight="1" x14ac:dyDescent="0.2">
      <c r="A932" s="7703"/>
      <c r="B932" s="7652" t="s">
        <v>4496</v>
      </c>
      <c r="C932" s="7723" t="s">
        <v>1287</v>
      </c>
      <c r="D932" s="2837">
        <v>100000000</v>
      </c>
      <c r="E932" s="2819">
        <v>0.06</v>
      </c>
      <c r="F932" s="2838">
        <f>D932*E932</f>
        <v>6000000</v>
      </c>
      <c r="G932" s="2817">
        <v>6000000</v>
      </c>
      <c r="H932" s="2817" t="s">
        <v>5043</v>
      </c>
      <c r="I932" s="2837" t="s">
        <v>5133</v>
      </c>
      <c r="J932" s="2817">
        <f t="shared" si="99"/>
        <v>6000000</v>
      </c>
      <c r="K932" s="2817">
        <f t="shared" si="100"/>
        <v>0</v>
      </c>
      <c r="L932" s="2021"/>
      <c r="M932" s="2880"/>
      <c r="N932" s="2880"/>
      <c r="O932" s="2880"/>
      <c r="P932" s="386"/>
      <c r="Q932" s="386"/>
    </row>
    <row r="933" spans="1:17" s="1659" customFormat="1" ht="30" customHeight="1" x14ac:dyDescent="0.2">
      <c r="A933" s="7704"/>
      <c r="B933" s="7665"/>
      <c r="C933" s="7747"/>
      <c r="D933" s="3443">
        <v>130000000</v>
      </c>
      <c r="E933" s="3437">
        <v>0.06</v>
      </c>
      <c r="F933" s="3444">
        <f>D933*E933</f>
        <v>7800000</v>
      </c>
      <c r="G933" s="3435"/>
      <c r="H933" s="3435"/>
      <c r="I933" s="3443"/>
      <c r="J933" s="3435"/>
      <c r="K933" s="3435"/>
      <c r="L933" s="2021" t="s">
        <v>5307</v>
      </c>
      <c r="M933" s="3460"/>
      <c r="N933" s="3460"/>
      <c r="O933" s="3460"/>
      <c r="P933" s="386"/>
      <c r="Q933" s="386"/>
    </row>
    <row r="934" spans="1:17" s="1659" customFormat="1" ht="30" customHeight="1" x14ac:dyDescent="0.2">
      <c r="A934" s="7705"/>
      <c r="B934" s="7653"/>
      <c r="C934" s="7724"/>
      <c r="D934" s="3462">
        <f>D932+D933</f>
        <v>230000000</v>
      </c>
      <c r="E934" s="3439"/>
      <c r="F934" s="3463"/>
      <c r="G934" s="3435"/>
      <c r="H934" s="3435"/>
      <c r="I934" s="3443"/>
      <c r="J934" s="3435"/>
      <c r="K934" s="3435"/>
      <c r="L934" s="2021"/>
      <c r="M934" s="3460"/>
      <c r="N934" s="3460"/>
      <c r="O934" s="3460"/>
      <c r="P934" s="386"/>
      <c r="Q934" s="386"/>
    </row>
    <row r="935" spans="1:17" s="1659" customFormat="1" ht="30" customHeight="1" x14ac:dyDescent="0.2">
      <c r="A935" s="7703"/>
      <c r="B935" s="7652" t="s">
        <v>4494</v>
      </c>
      <c r="C935" s="7723" t="s">
        <v>1287</v>
      </c>
      <c r="D935" s="2844">
        <v>150000000</v>
      </c>
      <c r="E935" s="2819">
        <v>0.06</v>
      </c>
      <c r="F935" s="2817">
        <f>D935*E935</f>
        <v>9000000</v>
      </c>
      <c r="G935" s="2817">
        <v>9000000</v>
      </c>
      <c r="H935" s="2817" t="s">
        <v>5043</v>
      </c>
      <c r="I935" s="2837" t="s">
        <v>2078</v>
      </c>
      <c r="J935" s="2817">
        <f>G935</f>
        <v>9000000</v>
      </c>
      <c r="K935" s="2817">
        <f t="shared" si="100"/>
        <v>0</v>
      </c>
      <c r="L935" s="2859" t="s">
        <v>4495</v>
      </c>
      <c r="M935" s="2880"/>
      <c r="N935" s="2880"/>
      <c r="O935" s="2880"/>
      <c r="P935" s="386"/>
      <c r="Q935" s="386"/>
    </row>
    <row r="936" spans="1:17" s="1659" customFormat="1" ht="30" customHeight="1" x14ac:dyDescent="0.2">
      <c r="A936" s="7704"/>
      <c r="B936" s="7665"/>
      <c r="C936" s="7747"/>
      <c r="D936" s="3446">
        <v>130000000</v>
      </c>
      <c r="E936" s="3437">
        <v>0.06</v>
      </c>
      <c r="F936" s="3435">
        <f>D936*E936</f>
        <v>7800000</v>
      </c>
      <c r="G936" s="7470" t="s">
        <v>5309</v>
      </c>
      <c r="H936" s="7493"/>
      <c r="I936" s="7493"/>
      <c r="J936" s="7510"/>
      <c r="K936" s="3435"/>
      <c r="L936" s="2021" t="s">
        <v>5308</v>
      </c>
      <c r="M936" s="3460"/>
      <c r="N936" s="3460"/>
      <c r="O936" s="3460"/>
      <c r="P936" s="386"/>
      <c r="Q936" s="386"/>
    </row>
    <row r="937" spans="1:17" s="1659" customFormat="1" ht="30" customHeight="1" x14ac:dyDescent="0.2">
      <c r="A937" s="7705"/>
      <c r="B937" s="7653"/>
      <c r="C937" s="7724"/>
      <c r="D937" s="3432">
        <f>D935+D936</f>
        <v>280000000</v>
      </c>
      <c r="E937" s="3439"/>
      <c r="F937" s="3438"/>
      <c r="G937" s="3435"/>
      <c r="H937" s="3435"/>
      <c r="I937" s="3443"/>
      <c r="J937" s="3435"/>
      <c r="K937" s="3435"/>
      <c r="L937" s="3451"/>
      <c r="M937" s="3460"/>
      <c r="N937" s="3460"/>
      <c r="O937" s="3460"/>
      <c r="P937" s="386"/>
      <c r="Q937" s="386"/>
    </row>
    <row r="938" spans="1:17" s="1659" customFormat="1" ht="30" customHeight="1" x14ac:dyDescent="0.2">
      <c r="A938" s="7703"/>
      <c r="B938" s="7652" t="s">
        <v>4513</v>
      </c>
      <c r="C938" s="2869"/>
      <c r="D938" s="2844">
        <v>20000000</v>
      </c>
      <c r="E938" s="2819">
        <f>F938/D938</f>
        <v>0.06</v>
      </c>
      <c r="F938" s="2817">
        <v>1200000</v>
      </c>
      <c r="G938" s="2817"/>
      <c r="H938" s="2817"/>
      <c r="I938" s="2837" t="s">
        <v>4526</v>
      </c>
      <c r="J938" s="2817">
        <f>G938</f>
        <v>0</v>
      </c>
      <c r="K938" s="2817"/>
      <c r="L938" s="2859" t="s">
        <v>4525</v>
      </c>
      <c r="M938" s="2880"/>
      <c r="N938" s="2880"/>
      <c r="O938" s="2880"/>
      <c r="P938" s="386"/>
      <c r="Q938" s="386"/>
    </row>
    <row r="939" spans="1:17" s="1659" customFormat="1" ht="30" customHeight="1" x14ac:dyDescent="0.2">
      <c r="A939" s="7705"/>
      <c r="B939" s="7653"/>
      <c r="C939" s="2869" t="s">
        <v>1138</v>
      </c>
      <c r="D939" s="2844">
        <v>130000000</v>
      </c>
      <c r="E939" s="2819">
        <v>7.0000000000000007E-2</v>
      </c>
      <c r="F939" s="2817">
        <v>9000000</v>
      </c>
      <c r="G939" s="2817"/>
      <c r="H939" s="2817"/>
      <c r="I939" s="2837"/>
      <c r="J939" s="2817"/>
      <c r="K939" s="2817"/>
      <c r="L939" s="2859" t="s">
        <v>4514</v>
      </c>
      <c r="M939" s="2880"/>
      <c r="N939" s="2880"/>
      <c r="O939" s="2880"/>
      <c r="P939" s="386"/>
      <c r="Q939" s="386"/>
    </row>
    <row r="940" spans="1:17" s="1659" customFormat="1" ht="30" customHeight="1" x14ac:dyDescent="0.2">
      <c r="A940" s="7703"/>
      <c r="B940" s="7652" t="s">
        <v>3186</v>
      </c>
      <c r="C940" s="7723" t="s">
        <v>889</v>
      </c>
      <c r="D940" s="7563">
        <v>150000000</v>
      </c>
      <c r="E940" s="7659">
        <v>0.06</v>
      </c>
      <c r="F940" s="7563">
        <f>D940*E940</f>
        <v>9000000</v>
      </c>
      <c r="G940" s="7563"/>
      <c r="H940" s="7563"/>
      <c r="I940" s="7563" t="s">
        <v>4782</v>
      </c>
      <c r="J940" s="7563">
        <f>G940</f>
        <v>0</v>
      </c>
      <c r="K940" s="7563">
        <f>G940-J940</f>
        <v>0</v>
      </c>
      <c r="L940" s="2947" t="s">
        <v>4682</v>
      </c>
      <c r="M940" s="2880"/>
      <c r="N940" s="2880"/>
      <c r="O940" s="2880"/>
      <c r="P940" s="386"/>
      <c r="Q940" s="386"/>
    </row>
    <row r="941" spans="1:17" s="1659" customFormat="1" ht="30" customHeight="1" x14ac:dyDescent="0.2">
      <c r="A941" s="7705"/>
      <c r="B941" s="7653"/>
      <c r="C941" s="7724"/>
      <c r="D941" s="7564"/>
      <c r="E941" s="7660"/>
      <c r="F941" s="7564"/>
      <c r="G941" s="7564"/>
      <c r="H941" s="7564"/>
      <c r="I941" s="7564"/>
      <c r="J941" s="7564"/>
      <c r="K941" s="7564"/>
      <c r="L941" s="2947" t="s">
        <v>4681</v>
      </c>
      <c r="M941" s="2880"/>
      <c r="N941" s="2880"/>
      <c r="O941" s="2880"/>
      <c r="P941" s="386"/>
      <c r="Q941" s="386"/>
    </row>
    <row r="942" spans="1:17" s="1659" customFormat="1" ht="30" customHeight="1" x14ac:dyDescent="0.2">
      <c r="A942" s="2879"/>
      <c r="B942" s="2870" t="s">
        <v>4527</v>
      </c>
      <c r="C942" s="2869"/>
      <c r="D942" s="2844">
        <v>100000000</v>
      </c>
      <c r="E942" s="2819">
        <v>0.05</v>
      </c>
      <c r="F942" s="2817">
        <v>5000000</v>
      </c>
      <c r="G942" s="2817">
        <v>5000000</v>
      </c>
      <c r="H942" s="2817" t="s">
        <v>5154</v>
      </c>
      <c r="I942" s="2837" t="s">
        <v>5173</v>
      </c>
      <c r="J942" s="2817">
        <f>F942</f>
        <v>5000000</v>
      </c>
      <c r="K942" s="2817">
        <f>F942-J942</f>
        <v>0</v>
      </c>
      <c r="L942" s="2859" t="s">
        <v>4528</v>
      </c>
      <c r="M942" s="2880"/>
      <c r="N942" s="2880"/>
      <c r="O942" s="2880"/>
      <c r="P942" s="386"/>
      <c r="Q942" s="386"/>
    </row>
    <row r="943" spans="1:17" s="1659" customFormat="1" ht="30" customHeight="1" x14ac:dyDescent="0.2">
      <c r="A943" s="3228"/>
      <c r="B943" s="3222" t="s">
        <v>5135</v>
      </c>
      <c r="C943" s="3223"/>
      <c r="D943" s="3218">
        <v>10000000</v>
      </c>
      <c r="E943" s="3215"/>
      <c r="F943" s="3213"/>
      <c r="G943" s="3213"/>
      <c r="H943" s="3213"/>
      <c r="I943" s="3217"/>
      <c r="J943" s="3213"/>
      <c r="K943" s="3213"/>
      <c r="L943" s="3227" t="s">
        <v>5136</v>
      </c>
      <c r="M943" s="3230"/>
      <c r="N943" s="3230"/>
      <c r="O943" s="3230"/>
      <c r="P943" s="386"/>
      <c r="Q943" s="386"/>
    </row>
    <row r="944" spans="1:17" s="1659" customFormat="1" ht="30" customHeight="1" x14ac:dyDescent="0.2">
      <c r="A944" s="2879"/>
      <c r="B944" s="2870" t="s">
        <v>4537</v>
      </c>
      <c r="C944" s="2869"/>
      <c r="D944" s="2844">
        <v>100000000</v>
      </c>
      <c r="E944" s="2819">
        <v>0.05</v>
      </c>
      <c r="F944" s="2817">
        <f>D944*E944</f>
        <v>5000000</v>
      </c>
      <c r="G944" s="2817">
        <v>5000000</v>
      </c>
      <c r="H944" s="2817" t="s">
        <v>5211</v>
      </c>
      <c r="I944" s="2837" t="s">
        <v>5212</v>
      </c>
      <c r="J944" s="2817">
        <f>G944</f>
        <v>5000000</v>
      </c>
      <c r="K944" s="2817">
        <f>F944-J944</f>
        <v>0</v>
      </c>
      <c r="L944" s="2859" t="s">
        <v>4538</v>
      </c>
      <c r="M944" s="2880"/>
      <c r="N944" s="2880"/>
      <c r="O944" s="2880"/>
      <c r="P944" s="386"/>
      <c r="Q944" s="386"/>
    </row>
    <row r="945" spans="1:17" s="1659" customFormat="1" ht="30" customHeight="1" x14ac:dyDescent="0.2">
      <c r="A945" s="2879"/>
      <c r="B945" s="2870" t="s">
        <v>105</v>
      </c>
      <c r="C945" s="2869"/>
      <c r="D945" s="3399">
        <v>200000000</v>
      </c>
      <c r="E945" s="3390">
        <v>7.0000000000000007E-2</v>
      </c>
      <c r="F945" s="3386">
        <f>D945*E945</f>
        <v>14000000.000000002</v>
      </c>
      <c r="G945" s="2817">
        <v>14000000</v>
      </c>
      <c r="H945" s="2817" t="s">
        <v>5226</v>
      </c>
      <c r="I945" s="2837" t="s">
        <v>2794</v>
      </c>
      <c r="J945" s="2817">
        <f>G945</f>
        <v>14000000</v>
      </c>
      <c r="K945" s="2817">
        <f>F945-J945</f>
        <v>0</v>
      </c>
      <c r="L945" s="2859"/>
      <c r="M945" s="2880"/>
      <c r="N945" s="2880"/>
      <c r="O945" s="2880"/>
      <c r="P945" s="386"/>
      <c r="Q945" s="386"/>
    </row>
    <row r="946" spans="1:17" s="1659" customFormat="1" ht="30" customHeight="1" x14ac:dyDescent="0.2">
      <c r="A946" s="7703"/>
      <c r="B946" s="7652" t="s">
        <v>4550</v>
      </c>
      <c r="C946" s="7723" t="s">
        <v>1299</v>
      </c>
      <c r="D946" s="7563">
        <v>120000000</v>
      </c>
      <c r="E946" s="7659">
        <v>7.0000000000000007E-2</v>
      </c>
      <c r="F946" s="7563">
        <f>D946*E946</f>
        <v>8400000</v>
      </c>
      <c r="G946" s="3288">
        <v>3360000</v>
      </c>
      <c r="H946" s="2817" t="s">
        <v>5174</v>
      </c>
      <c r="I946" s="2837" t="s">
        <v>5178</v>
      </c>
      <c r="J946" s="7563">
        <f>G946+G947</f>
        <v>11760000</v>
      </c>
      <c r="K946" s="7563"/>
      <c r="L946" s="2859" t="s">
        <v>4551</v>
      </c>
      <c r="M946" s="2880"/>
      <c r="N946" s="2880"/>
      <c r="O946" s="2880"/>
      <c r="P946" s="386"/>
      <c r="Q946" s="386"/>
    </row>
    <row r="947" spans="1:17" s="1659" customFormat="1" ht="30" customHeight="1" x14ac:dyDescent="0.2">
      <c r="A947" s="7705"/>
      <c r="B947" s="7653"/>
      <c r="C947" s="7724"/>
      <c r="D947" s="7564"/>
      <c r="E947" s="7660"/>
      <c r="F947" s="7564"/>
      <c r="G947" s="3288">
        <v>8400000</v>
      </c>
      <c r="H947" s="3213" t="s">
        <v>5174</v>
      </c>
      <c r="I947" s="3217" t="s">
        <v>5178</v>
      </c>
      <c r="J947" s="7564"/>
      <c r="K947" s="7564"/>
      <c r="L947" s="3227" t="s">
        <v>5148</v>
      </c>
      <c r="M947" s="3230"/>
      <c r="N947" s="3230"/>
      <c r="O947" s="3230"/>
      <c r="P947" s="386"/>
      <c r="Q947" s="386"/>
    </row>
    <row r="948" spans="1:17" s="1659" customFormat="1" ht="30" customHeight="1" x14ac:dyDescent="0.2">
      <c r="A948" s="2879"/>
      <c r="B948" s="2870" t="s">
        <v>4577</v>
      </c>
      <c r="C948" s="2869" t="s">
        <v>371</v>
      </c>
      <c r="D948" s="2844">
        <v>50000000</v>
      </c>
      <c r="E948" s="2819">
        <v>0.05</v>
      </c>
      <c r="F948" s="2817">
        <f>D948*E948</f>
        <v>2500000</v>
      </c>
      <c r="G948" s="2817">
        <v>2500000</v>
      </c>
      <c r="H948" s="2817" t="s">
        <v>5015</v>
      </c>
      <c r="I948" s="2837" t="s">
        <v>4578</v>
      </c>
      <c r="J948" s="2817">
        <f t="shared" ref="J948:J954" si="101">G948</f>
        <v>2500000</v>
      </c>
      <c r="K948" s="2817">
        <f>F948-G948</f>
        <v>0</v>
      </c>
      <c r="L948" s="2859" t="s">
        <v>5094</v>
      </c>
      <c r="M948" s="2880"/>
      <c r="N948" s="2880"/>
      <c r="O948" s="2880"/>
      <c r="P948" s="386"/>
      <c r="Q948" s="386"/>
    </row>
    <row r="949" spans="1:17" s="1659" customFormat="1" ht="30" customHeight="1" x14ac:dyDescent="0.2">
      <c r="A949" s="2879"/>
      <c r="B949" s="2870" t="s">
        <v>4657</v>
      </c>
      <c r="C949" s="2869" t="s">
        <v>990</v>
      </c>
      <c r="D949" s="2844">
        <v>10000000</v>
      </c>
      <c r="E949" s="2867">
        <v>0.05</v>
      </c>
      <c r="F949" s="2844">
        <f>D949*E949</f>
        <v>500000</v>
      </c>
      <c r="G949" s="4863">
        <v>500000</v>
      </c>
      <c r="H949" s="4863" t="s">
        <v>4839</v>
      </c>
      <c r="I949" s="4865" t="s">
        <v>4841</v>
      </c>
      <c r="J949" s="2844">
        <f t="shared" si="101"/>
        <v>500000</v>
      </c>
      <c r="K949" s="2817">
        <f t="shared" ref="K949:K954" si="102">F949-J949</f>
        <v>0</v>
      </c>
      <c r="L949" s="2021" t="s">
        <v>4658</v>
      </c>
      <c r="M949" s="2880"/>
      <c r="N949" s="2880"/>
      <c r="O949" s="2880"/>
      <c r="P949" s="386"/>
      <c r="Q949" s="386"/>
    </row>
    <row r="950" spans="1:17" s="1659" customFormat="1" ht="30" customHeight="1" x14ac:dyDescent="0.2">
      <c r="A950" s="2879"/>
      <c r="B950" s="2870" t="s">
        <v>4667</v>
      </c>
      <c r="C950" s="2869" t="s">
        <v>1796</v>
      </c>
      <c r="D950" s="2844">
        <v>100000000</v>
      </c>
      <c r="E950" s="2819">
        <v>7.0000000000000007E-2</v>
      </c>
      <c r="F950" s="2817">
        <f>D950*E950</f>
        <v>7000000.0000000009</v>
      </c>
      <c r="G950" s="2817">
        <v>7000000</v>
      </c>
      <c r="H950" s="2817" t="s">
        <v>4860</v>
      </c>
      <c r="I950" s="2837" t="s">
        <v>4787</v>
      </c>
      <c r="J950" s="2817">
        <f t="shared" si="101"/>
        <v>7000000</v>
      </c>
      <c r="K950" s="2817">
        <f t="shared" si="102"/>
        <v>0</v>
      </c>
      <c r="L950" s="2859"/>
      <c r="M950" s="2880"/>
      <c r="N950" s="2880"/>
      <c r="O950" s="2880"/>
      <c r="P950" s="386"/>
      <c r="Q950" s="386"/>
    </row>
    <row r="951" spans="1:17" s="1659" customFormat="1" ht="30" customHeight="1" x14ac:dyDescent="0.2">
      <c r="A951" s="2879"/>
      <c r="B951" s="2870" t="s">
        <v>4668</v>
      </c>
      <c r="C951" s="2869"/>
      <c r="D951" s="2844">
        <v>100000000</v>
      </c>
      <c r="E951" s="2819">
        <v>7.0000000000000007E-2</v>
      </c>
      <c r="F951" s="2817">
        <f t="shared" ref="F951:F954" si="103">D951*E951</f>
        <v>7000000.0000000009</v>
      </c>
      <c r="G951" s="2817">
        <v>7000000</v>
      </c>
      <c r="H951" s="2817" t="s">
        <v>4860</v>
      </c>
      <c r="I951" s="2837" t="s">
        <v>4861</v>
      </c>
      <c r="J951" s="2817">
        <f t="shared" si="101"/>
        <v>7000000</v>
      </c>
      <c r="K951" s="2817">
        <f t="shared" si="102"/>
        <v>0</v>
      </c>
      <c r="L951" s="2859"/>
      <c r="M951" s="2880"/>
      <c r="N951" s="2880"/>
      <c r="O951" s="2880"/>
      <c r="P951" s="386"/>
      <c r="Q951" s="386"/>
    </row>
    <row r="952" spans="1:17" s="1659" customFormat="1" ht="30" customHeight="1" x14ac:dyDescent="0.2">
      <c r="A952" s="2879"/>
      <c r="B952" s="2870" t="s">
        <v>4669</v>
      </c>
      <c r="C952" s="2869"/>
      <c r="D952" s="2844">
        <v>35000000</v>
      </c>
      <c r="E952" s="2819">
        <v>7.0000000000000007E-2</v>
      </c>
      <c r="F952" s="2817">
        <f t="shared" si="103"/>
        <v>2450000.0000000005</v>
      </c>
      <c r="G952" s="2817">
        <v>2450000</v>
      </c>
      <c r="H952" s="2817" t="s">
        <v>4860</v>
      </c>
      <c r="I952" s="2837" t="s">
        <v>4862</v>
      </c>
      <c r="J952" s="2817">
        <f t="shared" si="101"/>
        <v>2450000</v>
      </c>
      <c r="K952" s="2817">
        <f t="shared" si="102"/>
        <v>0</v>
      </c>
      <c r="L952" s="2859"/>
      <c r="M952" s="2880"/>
      <c r="N952" s="2880"/>
      <c r="O952" s="2880"/>
      <c r="P952" s="386"/>
      <c r="Q952" s="386"/>
    </row>
    <row r="953" spans="1:17" s="1659" customFormat="1" ht="30" customHeight="1" x14ac:dyDescent="0.2">
      <c r="A953" s="2879"/>
      <c r="B953" s="2870" t="s">
        <v>4676</v>
      </c>
      <c r="C953" s="2869"/>
      <c r="D953" s="2844">
        <v>110000000</v>
      </c>
      <c r="E953" s="2819">
        <v>0.05</v>
      </c>
      <c r="F953" s="2817">
        <f t="shared" si="103"/>
        <v>5500000</v>
      </c>
      <c r="G953" s="2817">
        <v>5500000</v>
      </c>
      <c r="H953" s="2817" t="s">
        <v>5043</v>
      </c>
      <c r="I953" s="2837" t="s">
        <v>5131</v>
      </c>
      <c r="J953" s="2817">
        <f t="shared" si="101"/>
        <v>5500000</v>
      </c>
      <c r="K953" s="2817">
        <f t="shared" si="102"/>
        <v>0</v>
      </c>
      <c r="L953" s="2859" t="s">
        <v>4677</v>
      </c>
      <c r="M953" s="2880"/>
      <c r="N953" s="2880"/>
      <c r="O953" s="2880"/>
      <c r="P953" s="386"/>
      <c r="Q953" s="386"/>
    </row>
    <row r="954" spans="1:17" s="1659" customFormat="1" ht="30" customHeight="1" x14ac:dyDescent="0.2">
      <c r="A954" s="7703"/>
      <c r="B954" s="7652" t="s">
        <v>4755</v>
      </c>
      <c r="C954" s="7723"/>
      <c r="D954" s="7563">
        <v>50000000</v>
      </c>
      <c r="E954" s="7659">
        <v>0.05</v>
      </c>
      <c r="F954" s="7563">
        <f t="shared" si="103"/>
        <v>2500000</v>
      </c>
      <c r="G954" s="7563">
        <v>2500000</v>
      </c>
      <c r="H954" s="7563" t="s">
        <v>5106</v>
      </c>
      <c r="I954" s="7563" t="s">
        <v>5331</v>
      </c>
      <c r="J954" s="7563">
        <f t="shared" si="101"/>
        <v>2500000</v>
      </c>
      <c r="K954" s="7563">
        <f t="shared" si="102"/>
        <v>0</v>
      </c>
      <c r="L954" s="2021" t="s">
        <v>4756</v>
      </c>
      <c r="M954" s="2880"/>
      <c r="N954" s="2880"/>
      <c r="O954" s="2880"/>
      <c r="P954" s="386"/>
      <c r="Q954" s="386"/>
    </row>
    <row r="955" spans="1:17" s="1659" customFormat="1" ht="30" customHeight="1" x14ac:dyDescent="0.2">
      <c r="A955" s="7705"/>
      <c r="B955" s="7653"/>
      <c r="C955" s="7724"/>
      <c r="D955" s="7564"/>
      <c r="E955" s="7660"/>
      <c r="F955" s="7564"/>
      <c r="G955" s="7564"/>
      <c r="H955" s="7564"/>
      <c r="I955" s="7564"/>
      <c r="J955" s="7564"/>
      <c r="K955" s="7564"/>
      <c r="L955" s="2021" t="s">
        <v>5242</v>
      </c>
      <c r="M955" s="3371"/>
      <c r="N955" s="3371"/>
      <c r="O955" s="3371"/>
      <c r="P955" s="386"/>
      <c r="Q955" s="386"/>
    </row>
    <row r="956" spans="1:17" s="1659" customFormat="1" ht="30" customHeight="1" x14ac:dyDescent="0.2">
      <c r="A956" s="2879"/>
      <c r="B956" s="2870" t="s">
        <v>229</v>
      </c>
      <c r="C956" s="2869" t="s">
        <v>1306</v>
      </c>
      <c r="D956" s="2844">
        <v>60000000</v>
      </c>
      <c r="E956" s="2819">
        <v>0.05</v>
      </c>
      <c r="F956" s="2817">
        <f>D956*E956</f>
        <v>3000000</v>
      </c>
      <c r="G956" s="2817">
        <v>3000000</v>
      </c>
      <c r="H956" s="2817" t="s">
        <v>5202</v>
      </c>
      <c r="I956" s="2837" t="s">
        <v>1063</v>
      </c>
      <c r="J956" s="2817">
        <f>G956</f>
        <v>3000000</v>
      </c>
      <c r="K956" s="2817">
        <f>F956-J956</f>
        <v>0</v>
      </c>
      <c r="L956" s="2859"/>
      <c r="M956" s="2880"/>
      <c r="N956" s="2880"/>
      <c r="O956" s="2880"/>
      <c r="P956" s="386"/>
      <c r="Q956" s="386"/>
    </row>
    <row r="957" spans="1:17" s="1659" customFormat="1" ht="30" customHeight="1" x14ac:dyDescent="0.2">
      <c r="A957" s="2879"/>
      <c r="B957" s="2870" t="s">
        <v>4792</v>
      </c>
      <c r="C957" s="2869"/>
      <c r="D957" s="2844">
        <v>200000000</v>
      </c>
      <c r="E957" s="2819">
        <v>7.0000000000000007E-2</v>
      </c>
      <c r="F957" s="2817">
        <f>D957*E957</f>
        <v>14000000.000000002</v>
      </c>
      <c r="G957" s="2817">
        <v>14000000</v>
      </c>
      <c r="H957" s="2817" t="s">
        <v>5043</v>
      </c>
      <c r="I957" s="2837" t="s">
        <v>5122</v>
      </c>
      <c r="J957" s="2817">
        <f>G957</f>
        <v>14000000</v>
      </c>
      <c r="K957" s="2817">
        <f>F957-J957</f>
        <v>0</v>
      </c>
      <c r="L957" s="2859" t="s">
        <v>4977</v>
      </c>
      <c r="M957" s="2880"/>
      <c r="N957" s="2880"/>
      <c r="O957" s="2880"/>
      <c r="P957" s="386"/>
      <c r="Q957" s="386"/>
    </row>
    <row r="958" spans="1:17" s="1659" customFormat="1" ht="30" customHeight="1" x14ac:dyDescent="0.2">
      <c r="A958" s="3069"/>
      <c r="B958" s="3062" t="s">
        <v>5040</v>
      </c>
      <c r="C958" s="3063"/>
      <c r="D958" s="3060">
        <v>250000000</v>
      </c>
      <c r="E958" s="3054">
        <v>7.0000000000000007E-2</v>
      </c>
      <c r="F958" s="3052">
        <f>D958*E958</f>
        <v>17500000</v>
      </c>
      <c r="G958" s="3052">
        <v>17500000</v>
      </c>
      <c r="H958" s="3052" t="s">
        <v>5043</v>
      </c>
      <c r="I958" s="3059" t="s">
        <v>5132</v>
      </c>
      <c r="J958" s="3052">
        <f>G958</f>
        <v>17500000</v>
      </c>
      <c r="K958" s="3052">
        <f>F958-J958</f>
        <v>0</v>
      </c>
      <c r="L958" s="3067" t="s">
        <v>5600</v>
      </c>
      <c r="M958" s="3071"/>
      <c r="N958" s="3071"/>
      <c r="O958" s="3071"/>
      <c r="P958" s="386"/>
      <c r="Q958" s="386"/>
    </row>
    <row r="959" spans="1:17" s="1659" customFormat="1" ht="30" customHeight="1" x14ac:dyDescent="0.2">
      <c r="A959" s="2879"/>
      <c r="B959" s="2870" t="s">
        <v>4914</v>
      </c>
      <c r="C959" s="2869"/>
      <c r="D959" s="2844">
        <v>200000000</v>
      </c>
      <c r="E959" s="2819">
        <v>5.5E-2</v>
      </c>
      <c r="F959" s="2817">
        <f>D959*E959</f>
        <v>11000000</v>
      </c>
      <c r="G959" s="2817">
        <v>11000000</v>
      </c>
      <c r="H959" s="2817" t="s">
        <v>5226</v>
      </c>
      <c r="I959" s="2837" t="s">
        <v>1574</v>
      </c>
      <c r="J959" s="2817">
        <f>G959</f>
        <v>11000000</v>
      </c>
      <c r="K959" s="2817">
        <f>F959-J959</f>
        <v>0</v>
      </c>
      <c r="L959" s="2859" t="s">
        <v>4915</v>
      </c>
      <c r="M959" s="2880"/>
      <c r="N959" s="2880"/>
      <c r="O959" s="2880"/>
      <c r="P959" s="386"/>
      <c r="Q959" s="386"/>
    </row>
    <row r="960" spans="1:17" s="1659" customFormat="1" ht="30" customHeight="1" x14ac:dyDescent="0.2">
      <c r="A960" s="2879"/>
      <c r="B960" s="2870" t="s">
        <v>4922</v>
      </c>
      <c r="C960" s="2869"/>
      <c r="D960" s="2844"/>
      <c r="E960" s="2819"/>
      <c r="F960" s="2817"/>
      <c r="G960" s="2817"/>
      <c r="H960" s="2817"/>
      <c r="I960" s="2837"/>
      <c r="J960" s="2817"/>
      <c r="K960" s="2817"/>
      <c r="L960" s="2859" t="s">
        <v>4923</v>
      </c>
      <c r="M960" s="2880"/>
      <c r="N960" s="2880"/>
      <c r="O960" s="2880"/>
      <c r="P960" s="386"/>
      <c r="Q960" s="386"/>
    </row>
    <row r="961" spans="1:17" s="1659" customFormat="1" ht="30" customHeight="1" x14ac:dyDescent="0.2">
      <c r="A961" s="2879"/>
      <c r="B961" s="2870" t="s">
        <v>4969</v>
      </c>
      <c r="C961" s="2869"/>
      <c r="D961" s="2844">
        <v>100000000</v>
      </c>
      <c r="E961" s="2819">
        <v>0.05</v>
      </c>
      <c r="F961" s="2817">
        <f>D961*E961</f>
        <v>5000000</v>
      </c>
      <c r="G961" s="2817"/>
      <c r="H961" s="2817"/>
      <c r="I961" s="2837"/>
      <c r="J961" s="2817"/>
      <c r="K961" s="2817"/>
      <c r="L961" s="2859" t="s">
        <v>4970</v>
      </c>
      <c r="M961" s="2880"/>
      <c r="N961" s="2880"/>
      <c r="O961" s="2880"/>
      <c r="P961" s="386"/>
      <c r="Q961" s="386"/>
    </row>
    <row r="962" spans="1:17" s="1659" customFormat="1" ht="30" customHeight="1" x14ac:dyDescent="0.2">
      <c r="A962" s="2879"/>
      <c r="B962" s="2870" t="s">
        <v>4967</v>
      </c>
      <c r="C962" s="2869" t="s">
        <v>3483</v>
      </c>
      <c r="D962" s="2844">
        <v>150000000</v>
      </c>
      <c r="E962" s="2819">
        <v>5.6000000000000001E-2</v>
      </c>
      <c r="F962" s="2817">
        <v>8500000</v>
      </c>
      <c r="G962" s="2817"/>
      <c r="H962" s="2817"/>
      <c r="I962" s="2837"/>
      <c r="J962" s="2817"/>
      <c r="K962" s="2817"/>
      <c r="L962" s="3014" t="s">
        <v>4968</v>
      </c>
      <c r="M962" s="2880"/>
      <c r="N962" s="2880"/>
      <c r="O962" s="2880"/>
      <c r="P962" s="386"/>
      <c r="Q962" s="386"/>
    </row>
    <row r="963" spans="1:17" s="1659" customFormat="1" ht="30" customHeight="1" x14ac:dyDescent="0.2">
      <c r="A963" s="3019"/>
      <c r="B963" s="3016" t="s">
        <v>5019</v>
      </c>
      <c r="C963" s="3006"/>
      <c r="D963" s="3002">
        <v>130000000</v>
      </c>
      <c r="E963" s="3003"/>
      <c r="F963" s="3002"/>
      <c r="G963" s="3002"/>
      <c r="H963" s="3002"/>
      <c r="I963" s="3005"/>
      <c r="J963" s="3002"/>
      <c r="K963" s="3002"/>
      <c r="L963" s="3014" t="s">
        <v>5020</v>
      </c>
      <c r="M963" s="3020"/>
      <c r="N963" s="3020"/>
      <c r="O963" s="3020"/>
      <c r="P963" s="386"/>
      <c r="Q963" s="386"/>
    </row>
    <row r="964" spans="1:17" s="1659" customFormat="1" ht="30" customHeight="1" x14ac:dyDescent="0.2">
      <c r="A964" s="7703"/>
      <c r="B964" s="7652" t="s">
        <v>5021</v>
      </c>
      <c r="C964" s="7723"/>
      <c r="D964" s="3002">
        <v>200000000</v>
      </c>
      <c r="E964" s="3003"/>
      <c r="F964" s="3002"/>
      <c r="G964" s="3002"/>
      <c r="H964" s="3002"/>
      <c r="I964" s="3005"/>
      <c r="J964" s="3002"/>
      <c r="K964" s="3002"/>
      <c r="L964" s="3115" t="s">
        <v>5022</v>
      </c>
      <c r="M964" s="3020"/>
      <c r="N964" s="3020"/>
      <c r="O964" s="3020"/>
      <c r="P964" s="386"/>
      <c r="Q964" s="386"/>
    </row>
    <row r="965" spans="1:17" s="1659" customFormat="1" ht="30" customHeight="1" x14ac:dyDescent="0.2">
      <c r="A965" s="7704"/>
      <c r="B965" s="7665"/>
      <c r="C965" s="7747"/>
      <c r="D965" s="3213">
        <v>200000000</v>
      </c>
      <c r="E965" s="3215"/>
      <c r="F965" s="3213"/>
      <c r="G965" s="3213"/>
      <c r="H965" s="3213"/>
      <c r="I965" s="3217"/>
      <c r="J965" s="3213"/>
      <c r="K965" s="3213"/>
      <c r="L965" s="3227" t="s">
        <v>5151</v>
      </c>
      <c r="M965" s="3230"/>
      <c r="N965" s="3230"/>
      <c r="O965" s="3230"/>
      <c r="P965" s="386"/>
      <c r="Q965" s="386"/>
    </row>
    <row r="966" spans="1:17" s="1659" customFormat="1" ht="30" customHeight="1" x14ac:dyDescent="0.2">
      <c r="A966" s="7705"/>
      <c r="B966" s="7653"/>
      <c r="C966" s="7724"/>
      <c r="D966" s="3233">
        <v>400000000</v>
      </c>
      <c r="E966" s="3234"/>
      <c r="F966" s="3233"/>
      <c r="G966" s="3213"/>
      <c r="H966" s="3213"/>
      <c r="I966" s="3217"/>
      <c r="J966" s="3213"/>
      <c r="K966" s="3213"/>
      <c r="L966" s="3227"/>
      <c r="M966" s="3230"/>
      <c r="N966" s="3230"/>
      <c r="O966" s="3230"/>
      <c r="P966" s="386"/>
      <c r="Q966" s="386"/>
    </row>
    <row r="967" spans="1:17" s="1659" customFormat="1" ht="30" customHeight="1" x14ac:dyDescent="0.2">
      <c r="A967" s="3019"/>
      <c r="B967" s="3109" t="s">
        <v>5033</v>
      </c>
      <c r="C967" s="3006"/>
      <c r="D967" s="3102"/>
      <c r="E967" s="3103"/>
      <c r="F967" s="3102"/>
      <c r="G967" s="3002">
        <v>4000000</v>
      </c>
      <c r="H967" s="3002" t="s">
        <v>4936</v>
      </c>
      <c r="I967" s="3005" t="s">
        <v>5034</v>
      </c>
      <c r="J967" s="3002">
        <f>G967</f>
        <v>4000000</v>
      </c>
      <c r="K967" s="3102">
        <f>F967-J967</f>
        <v>-4000000</v>
      </c>
      <c r="L967" s="3014"/>
      <c r="M967" s="3020"/>
      <c r="N967" s="3020"/>
      <c r="O967" s="3020"/>
      <c r="P967" s="386"/>
      <c r="Q967" s="386"/>
    </row>
    <row r="968" spans="1:17" s="1659" customFormat="1" ht="30" customHeight="1" x14ac:dyDescent="0.2">
      <c r="A968" s="3119"/>
      <c r="B968" s="3109" t="s">
        <v>5037</v>
      </c>
      <c r="C968" s="3104" t="s">
        <v>371</v>
      </c>
      <c r="D968" s="3096">
        <v>60000000</v>
      </c>
      <c r="E968" s="3097">
        <v>0.06</v>
      </c>
      <c r="F968" s="3096">
        <f>D968*E968</f>
        <v>3600000</v>
      </c>
      <c r="G968" s="3096"/>
      <c r="H968" s="3096"/>
      <c r="I968" s="3105"/>
      <c r="J968" s="3096"/>
      <c r="K968" s="3096"/>
      <c r="L968" s="3115" t="s">
        <v>5038</v>
      </c>
      <c r="M968" s="3116"/>
      <c r="N968" s="3116"/>
      <c r="O968" s="3116"/>
      <c r="P968" s="386"/>
      <c r="Q968" s="386"/>
    </row>
    <row r="969" spans="1:17" s="1659" customFormat="1" ht="30" customHeight="1" x14ac:dyDescent="0.2">
      <c r="A969" s="3119"/>
      <c r="B969" s="3146" t="s">
        <v>5053</v>
      </c>
      <c r="C969" s="3104"/>
      <c r="D969" s="3096">
        <v>300000000</v>
      </c>
      <c r="E969" s="3097">
        <v>0.05</v>
      </c>
      <c r="F969" s="3096">
        <f>D969*E969</f>
        <v>15000000</v>
      </c>
      <c r="G969" s="3096">
        <v>15000000</v>
      </c>
      <c r="H969" s="3096" t="s">
        <v>5052</v>
      </c>
      <c r="I969" s="3105" t="s">
        <v>5059</v>
      </c>
      <c r="J969" s="3096">
        <f>G969</f>
        <v>15000000</v>
      </c>
      <c r="K969" s="3096">
        <f>F969-J969</f>
        <v>0</v>
      </c>
      <c r="L969" s="3115"/>
      <c r="M969" s="3116"/>
      <c r="N969" s="3116"/>
      <c r="O969" s="3116"/>
      <c r="P969" s="386"/>
      <c r="Q969" s="386"/>
    </row>
    <row r="970" spans="1:17" s="1659" customFormat="1" ht="30" customHeight="1" x14ac:dyDescent="0.2">
      <c r="A970" s="7703"/>
      <c r="B970" s="7652" t="s">
        <v>5064</v>
      </c>
      <c r="C970" s="7723"/>
      <c r="D970" s="3096">
        <v>300000000</v>
      </c>
      <c r="E970" s="3097"/>
      <c r="F970" s="3096"/>
      <c r="G970" s="7732" t="s">
        <v>5906</v>
      </c>
      <c r="H970" s="7733"/>
      <c r="I970" s="7733"/>
      <c r="J970" s="7734"/>
      <c r="K970" s="3096"/>
      <c r="L970" s="7674" t="s">
        <v>5066</v>
      </c>
      <c r="M970" s="3116"/>
      <c r="N970" s="3116"/>
      <c r="O970" s="3116"/>
      <c r="P970" s="386"/>
      <c r="Q970" s="386"/>
    </row>
    <row r="971" spans="1:17" s="1659" customFormat="1" ht="30" customHeight="1" x14ac:dyDescent="0.2">
      <c r="A971" s="7704"/>
      <c r="B971" s="7665"/>
      <c r="C971" s="7747"/>
      <c r="D971" s="4064">
        <v>150000000</v>
      </c>
      <c r="E971" s="4066"/>
      <c r="F971" s="4064"/>
      <c r="G971" s="7732" t="s">
        <v>5907</v>
      </c>
      <c r="H971" s="7733"/>
      <c r="I971" s="7733"/>
      <c r="J971" s="7734"/>
      <c r="K971" s="4064"/>
      <c r="L971" s="8186"/>
      <c r="M971" s="4074"/>
      <c r="N971" s="4074"/>
      <c r="O971" s="4074"/>
      <c r="P971" s="386"/>
      <c r="Q971" s="386"/>
    </row>
    <row r="972" spans="1:17" s="1659" customFormat="1" ht="30" customHeight="1" x14ac:dyDescent="0.2">
      <c r="A972" s="7704"/>
      <c r="B972" s="7665"/>
      <c r="C972" s="7747"/>
      <c r="D972" s="4064">
        <v>200000000</v>
      </c>
      <c r="E972" s="4066"/>
      <c r="F972" s="4064"/>
      <c r="G972" s="7732" t="s">
        <v>5908</v>
      </c>
      <c r="H972" s="7733"/>
      <c r="I972" s="7733"/>
      <c r="J972" s="7734"/>
      <c r="K972" s="4064"/>
      <c r="L972" s="8186"/>
      <c r="M972" s="4074"/>
      <c r="N972" s="4074"/>
      <c r="O972" s="4074"/>
      <c r="P972" s="386"/>
      <c r="Q972" s="386"/>
    </row>
    <row r="973" spans="1:17" s="1659" customFormat="1" ht="30" customHeight="1" x14ac:dyDescent="0.2">
      <c r="A973" s="7704"/>
      <c r="B973" s="7665"/>
      <c r="C973" s="7747"/>
      <c r="D973" s="4064">
        <v>50000000</v>
      </c>
      <c r="E973" s="4066"/>
      <c r="F973" s="4064"/>
      <c r="G973" s="7732" t="s">
        <v>5909</v>
      </c>
      <c r="H973" s="7733"/>
      <c r="I973" s="7733"/>
      <c r="J973" s="7734"/>
      <c r="K973" s="4064"/>
      <c r="L973" s="8186"/>
      <c r="M973" s="4074"/>
      <c r="N973" s="4074"/>
      <c r="O973" s="4074"/>
      <c r="P973" s="386"/>
      <c r="Q973" s="386"/>
    </row>
    <row r="974" spans="1:17" s="1659" customFormat="1" ht="30" customHeight="1" x14ac:dyDescent="0.2">
      <c r="A974" s="7705"/>
      <c r="B974" s="7653"/>
      <c r="C974" s="7724"/>
      <c r="D974" s="4069">
        <f>SUM(D970:D973)</f>
        <v>700000000</v>
      </c>
      <c r="E974" s="4068"/>
      <c r="F974" s="4069"/>
      <c r="G974" s="7732" t="s">
        <v>5206</v>
      </c>
      <c r="H974" s="7733"/>
      <c r="I974" s="7733"/>
      <c r="J974" s="7734"/>
      <c r="K974" s="4064"/>
      <c r="L974" s="7675"/>
      <c r="M974" s="4074"/>
      <c r="N974" s="4074"/>
      <c r="O974" s="4074"/>
      <c r="P974" s="386"/>
      <c r="Q974" s="386"/>
    </row>
    <row r="975" spans="1:17" s="1659" customFormat="1" ht="30" customHeight="1" x14ac:dyDescent="0.2">
      <c r="A975" s="3119"/>
      <c r="B975" s="3146" t="s">
        <v>5065</v>
      </c>
      <c r="C975" s="3135"/>
      <c r="D975" s="3127">
        <v>400000000</v>
      </c>
      <c r="E975" s="3128"/>
      <c r="F975" s="3127"/>
      <c r="G975" s="7732" t="s">
        <v>5910</v>
      </c>
      <c r="H975" s="7733"/>
      <c r="I975" s="7733"/>
      <c r="J975" s="7734"/>
      <c r="K975" s="3127"/>
      <c r="L975" s="3140" t="s">
        <v>5066</v>
      </c>
      <c r="M975" s="3149"/>
      <c r="N975" s="3149"/>
      <c r="O975" s="3149"/>
      <c r="P975" s="386"/>
      <c r="Q975" s="386"/>
    </row>
    <row r="976" spans="1:17" s="1659" customFormat="1" ht="30" customHeight="1" x14ac:dyDescent="0.2">
      <c r="A976" s="7703"/>
      <c r="B976" s="7652" t="s">
        <v>5067</v>
      </c>
      <c r="C976" s="7723"/>
      <c r="D976" s="7563">
        <v>32000000</v>
      </c>
      <c r="E976" s="7659">
        <v>0.05</v>
      </c>
      <c r="F976" s="7563">
        <f>D976*E976</f>
        <v>1600000</v>
      </c>
      <c r="G976" s="3127">
        <v>1600000</v>
      </c>
      <c r="H976" s="3127" t="s">
        <v>5289</v>
      </c>
      <c r="I976" s="3443" t="s">
        <v>5316</v>
      </c>
      <c r="J976" s="3127">
        <f>G976</f>
        <v>1600000</v>
      </c>
      <c r="K976" s="3127">
        <f>F976-J976</f>
        <v>0</v>
      </c>
      <c r="L976" s="3140" t="s">
        <v>5219</v>
      </c>
      <c r="M976" s="3149"/>
      <c r="N976" s="3149"/>
      <c r="O976" s="3149"/>
      <c r="P976" s="386"/>
      <c r="Q976" s="386"/>
    </row>
    <row r="977" spans="1:17" s="1659" customFormat="1" ht="30" customHeight="1" x14ac:dyDescent="0.2">
      <c r="A977" s="7704"/>
      <c r="B977" s="7665"/>
      <c r="C977" s="7747"/>
      <c r="D977" s="7586"/>
      <c r="E977" s="7676"/>
      <c r="F977" s="7586"/>
      <c r="G977" s="3435">
        <v>4700000</v>
      </c>
      <c r="H977" s="3435" t="s">
        <v>5106</v>
      </c>
      <c r="I977" s="3443" t="s">
        <v>5316</v>
      </c>
      <c r="J977" s="3435">
        <f>G977</f>
        <v>4700000</v>
      </c>
      <c r="K977" s="3435"/>
      <c r="L977" s="3451" t="s">
        <v>5318</v>
      </c>
      <c r="M977" s="3460"/>
      <c r="N977" s="3460"/>
      <c r="O977" s="3460"/>
      <c r="P977" s="386"/>
      <c r="Q977" s="386"/>
    </row>
    <row r="978" spans="1:17" s="1659" customFormat="1" ht="30" customHeight="1" x14ac:dyDescent="0.2">
      <c r="A978" s="7705"/>
      <c r="B978" s="7653"/>
      <c r="C978" s="7724"/>
      <c r="D978" s="7564"/>
      <c r="E978" s="7660"/>
      <c r="F978" s="7564"/>
      <c r="G978" s="7470" t="s">
        <v>5317</v>
      </c>
      <c r="H978" s="7493"/>
      <c r="I978" s="7493"/>
      <c r="J978" s="7510"/>
      <c r="K978" s="3435"/>
      <c r="L978" s="3451"/>
      <c r="M978" s="3460"/>
      <c r="N978" s="3460"/>
      <c r="O978" s="3460"/>
      <c r="P978" s="386"/>
      <c r="Q978" s="386"/>
    </row>
    <row r="979" spans="1:17" s="1659" customFormat="1" ht="30" customHeight="1" x14ac:dyDescent="0.2">
      <c r="A979" s="3119"/>
      <c r="B979" s="3192" t="s">
        <v>5113</v>
      </c>
      <c r="C979" s="3135"/>
      <c r="D979" s="3127">
        <v>500000000</v>
      </c>
      <c r="E979" s="3128">
        <v>0.05</v>
      </c>
      <c r="F979" s="3127">
        <f>D979*E979</f>
        <v>25000000</v>
      </c>
      <c r="G979" s="3127">
        <v>25000000</v>
      </c>
      <c r="H979" s="3127" t="s">
        <v>5016</v>
      </c>
      <c r="I979" s="3133" t="s">
        <v>5114</v>
      </c>
      <c r="J979" s="3127">
        <f>G979</f>
        <v>25000000</v>
      </c>
      <c r="K979" s="3127">
        <f>F979-J979</f>
        <v>0</v>
      </c>
      <c r="L979" s="3140"/>
      <c r="M979" s="3149"/>
      <c r="N979" s="3149"/>
      <c r="O979" s="3149"/>
      <c r="P979" s="386"/>
      <c r="Q979" s="386"/>
    </row>
    <row r="980" spans="1:17" s="1659" customFormat="1" ht="30" customHeight="1" x14ac:dyDescent="0.2">
      <c r="A980" s="3119"/>
      <c r="B980" s="2373" t="s">
        <v>5124</v>
      </c>
      <c r="C980" s="3135"/>
      <c r="D980" s="3185"/>
      <c r="E980" s="3186"/>
      <c r="F980" s="3185"/>
      <c r="G980" s="3127">
        <v>450000</v>
      </c>
      <c r="H980" s="3127" t="s">
        <v>5016</v>
      </c>
      <c r="I980" s="3133" t="s">
        <v>5125</v>
      </c>
      <c r="J980" s="3127">
        <f>G980</f>
        <v>450000</v>
      </c>
      <c r="K980" s="3127"/>
      <c r="L980" s="3140"/>
      <c r="M980" s="3149"/>
      <c r="N980" s="3149"/>
      <c r="O980" s="3149"/>
      <c r="P980" s="386"/>
      <c r="Q980" s="386"/>
    </row>
    <row r="981" spans="1:17" s="1659" customFormat="1" ht="30" customHeight="1" x14ac:dyDescent="0.2">
      <c r="A981" s="3119"/>
      <c r="B981" s="2373" t="s">
        <v>5129</v>
      </c>
      <c r="C981" s="3187"/>
      <c r="D981" s="3185"/>
      <c r="E981" s="3186"/>
      <c r="F981" s="3185"/>
      <c r="G981" s="3182">
        <v>2000000</v>
      </c>
      <c r="H981" s="3182" t="s">
        <v>5016</v>
      </c>
      <c r="I981" s="3189" t="s">
        <v>5130</v>
      </c>
      <c r="J981" s="3182">
        <f>G981</f>
        <v>2000000</v>
      </c>
      <c r="K981" s="3182"/>
      <c r="L981" s="3197"/>
      <c r="M981" s="3199"/>
      <c r="N981" s="3199"/>
      <c r="O981" s="3199"/>
      <c r="P981" s="386"/>
      <c r="Q981" s="386"/>
    </row>
    <row r="982" spans="1:17" s="1659" customFormat="1" ht="30" customHeight="1" x14ac:dyDescent="0.2">
      <c r="A982" s="3119"/>
      <c r="B982" s="3335" t="s">
        <v>5218</v>
      </c>
      <c r="C982" s="3330" t="s">
        <v>990</v>
      </c>
      <c r="D982" s="3326">
        <v>50000000</v>
      </c>
      <c r="E982" s="3327">
        <v>0.05</v>
      </c>
      <c r="F982" s="3326">
        <f>D982*E982</f>
        <v>2500000</v>
      </c>
      <c r="G982" s="3326"/>
      <c r="H982" s="3326"/>
      <c r="I982" s="3331"/>
      <c r="J982" s="3326"/>
      <c r="K982" s="3326"/>
      <c r="L982" s="3337" t="s">
        <v>5280</v>
      </c>
      <c r="M982" s="3339"/>
      <c r="N982" s="3339"/>
      <c r="O982" s="3339"/>
      <c r="P982" s="386"/>
      <c r="Q982" s="386"/>
    </row>
    <row r="983" spans="1:17" s="1659" customFormat="1" ht="30" customHeight="1" x14ac:dyDescent="0.2">
      <c r="A983" s="7703"/>
      <c r="B983" s="7652" t="s">
        <v>5241</v>
      </c>
      <c r="C983" s="7723" t="s">
        <v>4105</v>
      </c>
      <c r="D983" s="7563">
        <v>100000000</v>
      </c>
      <c r="E983" s="7659">
        <v>0.05</v>
      </c>
      <c r="F983" s="7563">
        <f>D983*E983</f>
        <v>5000000</v>
      </c>
      <c r="G983" s="3326"/>
      <c r="H983" s="3326"/>
      <c r="I983" s="3331"/>
      <c r="J983" s="3326"/>
      <c r="K983" s="3326"/>
      <c r="L983" s="3337" t="s">
        <v>5322</v>
      </c>
      <c r="M983" s="3339"/>
      <c r="N983" s="3339"/>
      <c r="O983" s="3339"/>
      <c r="P983" s="386"/>
      <c r="Q983" s="386"/>
    </row>
    <row r="984" spans="1:17" s="1659" customFormat="1" ht="30" customHeight="1" x14ac:dyDescent="0.2">
      <c r="A984" s="7705"/>
      <c r="B984" s="7653"/>
      <c r="C984" s="7724"/>
      <c r="D984" s="7564"/>
      <c r="E984" s="7660"/>
      <c r="F984" s="7564"/>
      <c r="G984" s="3435"/>
      <c r="H984" s="3435"/>
      <c r="I984" s="3443"/>
      <c r="J984" s="3435"/>
      <c r="K984" s="3435"/>
      <c r="L984" s="3451" t="s">
        <v>5321</v>
      </c>
      <c r="M984" s="3460"/>
      <c r="N984" s="3460"/>
      <c r="O984" s="3460"/>
      <c r="P984" s="386"/>
      <c r="Q984" s="386"/>
    </row>
    <row r="985" spans="1:17" s="1659" customFormat="1" ht="30" customHeight="1" x14ac:dyDescent="0.2">
      <c r="A985" s="3119"/>
      <c r="B985" s="3370" t="s">
        <v>5243</v>
      </c>
      <c r="C985" s="3364"/>
      <c r="D985" s="3359">
        <v>50000000</v>
      </c>
      <c r="E985" s="3362">
        <v>0.05</v>
      </c>
      <c r="F985" s="3359">
        <f>D985*E985</f>
        <v>2500000</v>
      </c>
      <c r="G985" s="3359"/>
      <c r="H985" s="3359"/>
      <c r="I985" s="3363"/>
      <c r="J985" s="3359"/>
      <c r="K985" s="3359"/>
      <c r="L985" s="3367" t="s">
        <v>5278</v>
      </c>
      <c r="M985" s="3371" t="s">
        <v>5277</v>
      </c>
      <c r="N985" s="3371"/>
      <c r="O985" s="3371"/>
      <c r="P985" s="386"/>
      <c r="Q985" s="386"/>
    </row>
    <row r="986" spans="1:17" s="1659" customFormat="1" ht="30" customHeight="1" x14ac:dyDescent="0.2">
      <c r="A986" s="3119"/>
      <c r="B986" s="3370" t="s">
        <v>5250</v>
      </c>
      <c r="C986" s="3369"/>
      <c r="D986" s="3365">
        <v>100000000</v>
      </c>
      <c r="E986" s="3362">
        <v>0.05</v>
      </c>
      <c r="F986" s="3359">
        <f>D986*E986</f>
        <v>5000000</v>
      </c>
      <c r="G986" s="3359"/>
      <c r="H986" s="3359"/>
      <c r="I986" s="3363"/>
      <c r="J986" s="3359"/>
      <c r="K986" s="3359"/>
      <c r="L986" s="3367" t="s">
        <v>5899</v>
      </c>
      <c r="M986" s="3371"/>
      <c r="N986" s="3371"/>
      <c r="O986" s="3371"/>
      <c r="P986" s="386"/>
      <c r="Q986" s="386"/>
    </row>
    <row r="987" spans="1:17" s="1659" customFormat="1" ht="30" customHeight="1" x14ac:dyDescent="0.2">
      <c r="A987" s="3119"/>
      <c r="B987" s="3370" t="s">
        <v>5252</v>
      </c>
      <c r="C987" s="3364"/>
      <c r="D987" s="3359">
        <v>200000000</v>
      </c>
      <c r="E987" s="3362">
        <v>5.5E-2</v>
      </c>
      <c r="F987" s="3359">
        <f>D987*E987</f>
        <v>11000000</v>
      </c>
      <c r="G987" s="3359"/>
      <c r="H987" s="3359"/>
      <c r="I987" s="3363"/>
      <c r="J987" s="3359"/>
      <c r="K987" s="3359"/>
      <c r="L987" s="3367" t="s">
        <v>5305</v>
      </c>
      <c r="M987" s="3371"/>
      <c r="N987" s="3371"/>
      <c r="O987" s="3371"/>
      <c r="P987" s="386"/>
      <c r="Q987" s="386"/>
    </row>
    <row r="988" spans="1:17" s="1659" customFormat="1" ht="30" customHeight="1" x14ac:dyDescent="0.2">
      <c r="A988" s="3119"/>
      <c r="B988" s="3455" t="s">
        <v>5304</v>
      </c>
      <c r="C988" s="3445"/>
      <c r="D988" s="3441"/>
      <c r="E988" s="3442"/>
      <c r="F988" s="3441"/>
      <c r="G988" s="3435">
        <v>52000000</v>
      </c>
      <c r="H988" s="3435" t="s">
        <v>5289</v>
      </c>
      <c r="I988" s="3443" t="s">
        <v>4147</v>
      </c>
      <c r="J988" s="3435">
        <f>G988</f>
        <v>52000000</v>
      </c>
      <c r="K988" s="3441"/>
      <c r="L988" s="3451"/>
      <c r="M988" s="3460"/>
      <c r="N988" s="3460"/>
      <c r="O988" s="3460"/>
      <c r="P988" s="386"/>
      <c r="Q988" s="386"/>
    </row>
    <row r="989" spans="1:17" s="1659" customFormat="1" ht="30" customHeight="1" x14ac:dyDescent="0.2">
      <c r="A989" s="3119"/>
      <c r="B989" s="3455" t="s">
        <v>5310</v>
      </c>
      <c r="C989" s="3445"/>
      <c r="D989" s="3435">
        <v>30000000</v>
      </c>
      <c r="E989" s="3437"/>
      <c r="F989" s="3435"/>
      <c r="G989" s="3435"/>
      <c r="H989" s="3435"/>
      <c r="I989" s="3443"/>
      <c r="J989" s="3435"/>
      <c r="K989" s="3435"/>
      <c r="L989" s="3451" t="s">
        <v>5312</v>
      </c>
      <c r="M989" s="3460"/>
      <c r="N989" s="3460"/>
      <c r="O989" s="3460"/>
      <c r="P989" s="386"/>
      <c r="Q989" s="386"/>
    </row>
    <row r="990" spans="1:17" s="1659" customFormat="1" ht="30" customHeight="1" x14ac:dyDescent="0.2">
      <c r="A990" s="3119"/>
      <c r="B990" s="3455" t="s">
        <v>5311</v>
      </c>
      <c r="C990" s="3445"/>
      <c r="D990" s="3435">
        <v>10000000</v>
      </c>
      <c r="E990" s="3437"/>
      <c r="F990" s="3435"/>
      <c r="G990" s="3435"/>
      <c r="H990" s="3435"/>
      <c r="I990" s="3443"/>
      <c r="J990" s="3435"/>
      <c r="K990" s="3435"/>
      <c r="L990" s="3451" t="s">
        <v>5313</v>
      </c>
      <c r="M990" s="3460"/>
      <c r="N990" s="3460"/>
      <c r="O990" s="3460"/>
      <c r="P990" s="386"/>
      <c r="Q990" s="386"/>
    </row>
    <row r="991" spans="1:17" s="1659" customFormat="1" ht="30" customHeight="1" x14ac:dyDescent="0.2">
      <c r="A991" s="3119"/>
      <c r="B991" s="3455" t="s">
        <v>5319</v>
      </c>
      <c r="C991" s="3445"/>
      <c r="D991" s="3435">
        <v>110000000</v>
      </c>
      <c r="E991" s="3437">
        <v>0.05</v>
      </c>
      <c r="F991" s="3435">
        <f>D991*E991</f>
        <v>5500000</v>
      </c>
      <c r="G991" s="3435"/>
      <c r="H991" s="3435"/>
      <c r="I991" s="3443"/>
      <c r="J991" s="3435"/>
      <c r="K991" s="3435"/>
      <c r="L991" s="3451" t="s">
        <v>5320</v>
      </c>
      <c r="M991" s="3460"/>
      <c r="N991" s="3460"/>
      <c r="O991" s="3460"/>
      <c r="P991" s="386"/>
      <c r="Q991" s="386"/>
    </row>
    <row r="992" spans="1:17" s="1659" customFormat="1" ht="30" customHeight="1" x14ac:dyDescent="0.2">
      <c r="A992" s="3119"/>
      <c r="B992" s="3455" t="s">
        <v>5325</v>
      </c>
      <c r="C992" s="3445"/>
      <c r="D992" s="3441"/>
      <c r="E992" s="3442"/>
      <c r="F992" s="3441"/>
      <c r="G992" s="3435">
        <v>500000</v>
      </c>
      <c r="H992" s="3435" t="s">
        <v>5106</v>
      </c>
      <c r="I992" s="3443" t="s">
        <v>5326</v>
      </c>
      <c r="J992" s="3435">
        <f>G992</f>
        <v>500000</v>
      </c>
      <c r="K992" s="3435"/>
      <c r="L992" s="3476" t="s">
        <v>5327</v>
      </c>
      <c r="M992" s="3460"/>
      <c r="N992" s="3460"/>
      <c r="O992" s="3460"/>
      <c r="P992" s="386"/>
      <c r="Q992" s="386"/>
    </row>
    <row r="993" spans="1:17" s="1659" customFormat="1" ht="30" customHeight="1" x14ac:dyDescent="0.2">
      <c r="A993" s="3119"/>
      <c r="B993" s="3455" t="s">
        <v>5332</v>
      </c>
      <c r="C993" s="3445"/>
      <c r="D993" s="3435">
        <v>30000000</v>
      </c>
      <c r="E993" s="3437">
        <v>7.0000000000000007E-2</v>
      </c>
      <c r="F993" s="3435">
        <f>D993*E993</f>
        <v>2100000</v>
      </c>
      <c r="G993" s="3435">
        <v>1500000</v>
      </c>
      <c r="H993" s="3435" t="s">
        <v>5106</v>
      </c>
      <c r="I993" s="3443" t="s">
        <v>5333</v>
      </c>
      <c r="J993" s="3435">
        <f>G993</f>
        <v>1500000</v>
      </c>
      <c r="K993" s="3435">
        <f>F993-J993</f>
        <v>600000</v>
      </c>
      <c r="L993" s="3451" t="s">
        <v>5917</v>
      </c>
      <c r="M993" s="3460"/>
      <c r="N993" s="3460"/>
      <c r="O993" s="3460"/>
      <c r="P993" s="386"/>
      <c r="Q993" s="386"/>
    </row>
    <row r="994" spans="1:17" s="1659" customFormat="1" ht="30" customHeight="1" x14ac:dyDescent="0.2">
      <c r="A994" s="3119"/>
      <c r="B994" s="3747" t="s">
        <v>5506</v>
      </c>
      <c r="C994" s="3744"/>
      <c r="D994" s="3742">
        <v>125000000</v>
      </c>
      <c r="E994" s="3743"/>
      <c r="F994" s="3742"/>
      <c r="G994" s="7470" t="s">
        <v>5507</v>
      </c>
      <c r="H994" s="7493"/>
      <c r="I994" s="7493"/>
      <c r="J994" s="7510"/>
      <c r="K994" s="3742"/>
      <c r="L994" s="3748" t="s">
        <v>5508</v>
      </c>
      <c r="M994" s="3750"/>
      <c r="N994" s="3750"/>
      <c r="O994" s="3750"/>
      <c r="P994" s="386"/>
      <c r="Q994" s="386"/>
    </row>
    <row r="995" spans="1:17" s="1659" customFormat="1" ht="30" customHeight="1" x14ac:dyDescent="0.2">
      <c r="A995" s="4215"/>
      <c r="B995" s="4209" t="s">
        <v>4767</v>
      </c>
      <c r="C995" s="4210" t="s">
        <v>989</v>
      </c>
      <c r="D995" s="4185">
        <v>4200000</v>
      </c>
      <c r="E995" s="4195">
        <v>0.05</v>
      </c>
      <c r="F995" s="4188">
        <f>D995*E995</f>
        <v>210000</v>
      </c>
      <c r="G995" s="4188"/>
      <c r="H995" s="4188"/>
      <c r="I995" s="4203"/>
      <c r="J995" s="4188"/>
      <c r="K995" s="4188"/>
      <c r="L995" s="4214"/>
      <c r="M995" s="4218"/>
      <c r="N995" s="4218"/>
      <c r="O995" s="4218"/>
      <c r="P995" s="386"/>
      <c r="Q995" s="386"/>
    </row>
    <row r="996" spans="1:17" ht="30" customHeight="1" x14ac:dyDescent="0.2">
      <c r="A996" s="8013" t="s">
        <v>5339</v>
      </c>
      <c r="B996" s="8014"/>
      <c r="C996" s="1031"/>
      <c r="D996" s="294"/>
      <c r="E996" s="2819"/>
      <c r="F996" s="2817"/>
      <c r="G996" s="2817"/>
      <c r="H996" s="2817"/>
      <c r="I996" s="21"/>
      <c r="J996" s="2817"/>
      <c r="K996" s="2817"/>
      <c r="L996" s="2825"/>
    </row>
  </sheetData>
  <mergeCells count="1452">
    <mergeCell ref="B318:B322"/>
    <mergeCell ref="B403:B404"/>
    <mergeCell ref="G320:J320"/>
    <mergeCell ref="A318:A322"/>
    <mergeCell ref="B401:B402"/>
    <mergeCell ref="B452:B458"/>
    <mergeCell ref="D428:D429"/>
    <mergeCell ref="E428:E429"/>
    <mergeCell ref="G489:I489"/>
    <mergeCell ref="B485:B490"/>
    <mergeCell ref="F377:F378"/>
    <mergeCell ref="G994:J994"/>
    <mergeCell ref="L485:L489"/>
    <mergeCell ref="A353:A354"/>
    <mergeCell ref="A479:A480"/>
    <mergeCell ref="C353:C354"/>
    <mergeCell ref="D353:D354"/>
    <mergeCell ref="E353:E354"/>
    <mergeCell ref="F353:F354"/>
    <mergeCell ref="G970:J970"/>
    <mergeCell ref="G971:J971"/>
    <mergeCell ref="G972:J972"/>
    <mergeCell ref="G973:J973"/>
    <mergeCell ref="B970:B974"/>
    <mergeCell ref="C970:C974"/>
    <mergeCell ref="A970:A974"/>
    <mergeCell ref="G974:J974"/>
    <mergeCell ref="L970:L974"/>
    <mergeCell ref="G975:J975"/>
    <mergeCell ref="A368:A369"/>
    <mergeCell ref="B368:B369"/>
    <mergeCell ref="G757:J757"/>
    <mergeCell ref="A344:A345"/>
    <mergeCell ref="A602:A603"/>
    <mergeCell ref="E648:E649"/>
    <mergeCell ref="F485:F487"/>
    <mergeCell ref="C358:C360"/>
    <mergeCell ref="D358:D360"/>
    <mergeCell ref="E358:E360"/>
    <mergeCell ref="A413:A414"/>
    <mergeCell ref="B413:B414"/>
    <mergeCell ref="A410:A412"/>
    <mergeCell ref="B715:B716"/>
    <mergeCell ref="C715:C716"/>
    <mergeCell ref="D715:D716"/>
    <mergeCell ref="E715:E716"/>
    <mergeCell ref="G623:G630"/>
    <mergeCell ref="D569:E569"/>
    <mergeCell ref="D571:E571"/>
    <mergeCell ref="C598:C599"/>
    <mergeCell ref="A555:A577"/>
    <mergeCell ref="B405:B407"/>
    <mergeCell ref="A522:A523"/>
    <mergeCell ref="C604:C606"/>
    <mergeCell ref="C552:C554"/>
    <mergeCell ref="B604:B606"/>
    <mergeCell ref="C648:C652"/>
    <mergeCell ref="A548:A549"/>
    <mergeCell ref="B552:B554"/>
    <mergeCell ref="A452:A458"/>
    <mergeCell ref="A604:A606"/>
    <mergeCell ref="B607:B616"/>
    <mergeCell ref="C607:C616"/>
    <mergeCell ref="G358:G360"/>
    <mergeCell ref="D782:D783"/>
    <mergeCell ref="B710:B714"/>
    <mergeCell ref="B700:B701"/>
    <mergeCell ref="A700:A701"/>
    <mergeCell ref="C700:C701"/>
    <mergeCell ref="B602:B603"/>
    <mergeCell ref="A633:A636"/>
    <mergeCell ref="B633:B636"/>
    <mergeCell ref="A592:A593"/>
    <mergeCell ref="B592:B593"/>
    <mergeCell ref="B520:B521"/>
    <mergeCell ref="A607:A616"/>
    <mergeCell ref="B623:B630"/>
    <mergeCell ref="D641:D642"/>
    <mergeCell ref="E641:E642"/>
    <mergeCell ref="A513:A516"/>
    <mergeCell ref="A702:A709"/>
    <mergeCell ref="B717:B718"/>
    <mergeCell ref="C717:C718"/>
    <mergeCell ref="D717:D718"/>
    <mergeCell ref="A666:A667"/>
    <mergeCell ref="B666:B667"/>
    <mergeCell ref="A690:A693"/>
    <mergeCell ref="B690:B693"/>
    <mergeCell ref="D580:D581"/>
    <mergeCell ref="E580:E581"/>
    <mergeCell ref="A598:A599"/>
    <mergeCell ref="B598:B599"/>
    <mergeCell ref="A520:A521"/>
    <mergeCell ref="C520:C521"/>
    <mergeCell ref="A552:A554"/>
    <mergeCell ref="C620:C621"/>
    <mergeCell ref="G760:J760"/>
    <mergeCell ref="C387:C388"/>
    <mergeCell ref="H692:H693"/>
    <mergeCell ref="D741:E741"/>
    <mergeCell ref="D742:E742"/>
    <mergeCell ref="D743:E743"/>
    <mergeCell ref="D747:E747"/>
    <mergeCell ref="D740:E740"/>
    <mergeCell ref="D749:E749"/>
    <mergeCell ref="B420:B422"/>
    <mergeCell ref="A437:A442"/>
    <mergeCell ref="B437:B442"/>
    <mergeCell ref="C437:C442"/>
    <mergeCell ref="G437:J440"/>
    <mergeCell ref="C513:C516"/>
    <mergeCell ref="A546:A547"/>
    <mergeCell ref="A401:A402"/>
    <mergeCell ref="A491:A494"/>
    <mergeCell ref="A505:A506"/>
    <mergeCell ref="B594:B597"/>
    <mergeCell ref="G758:J758"/>
    <mergeCell ref="A460:A465"/>
    <mergeCell ref="G746:J749"/>
    <mergeCell ref="I505:I506"/>
    <mergeCell ref="J505:J506"/>
    <mergeCell ref="B510:B511"/>
    <mergeCell ref="C508:C509"/>
    <mergeCell ref="I673:I677"/>
    <mergeCell ref="J673:J677"/>
    <mergeCell ref="G510:J511"/>
    <mergeCell ref="F580:F581"/>
    <mergeCell ref="A499:A503"/>
    <mergeCell ref="G106:J106"/>
    <mergeCell ref="B273:B274"/>
    <mergeCell ref="C273:C274"/>
    <mergeCell ref="D302:D303"/>
    <mergeCell ref="E302:E303"/>
    <mergeCell ref="K91:K92"/>
    <mergeCell ref="B286:B287"/>
    <mergeCell ref="K107:K108"/>
    <mergeCell ref="A107:A108"/>
    <mergeCell ref="B107:B108"/>
    <mergeCell ref="H311:I311"/>
    <mergeCell ref="F302:F303"/>
    <mergeCell ref="A408:A409"/>
    <mergeCell ref="B408:B409"/>
    <mergeCell ref="A361:A363"/>
    <mergeCell ref="C361:C363"/>
    <mergeCell ref="D362:F363"/>
    <mergeCell ref="A358:A360"/>
    <mergeCell ref="B358:B360"/>
    <mergeCell ref="F358:F360"/>
    <mergeCell ref="B361:B363"/>
    <mergeCell ref="I326:I327"/>
    <mergeCell ref="B353:B354"/>
    <mergeCell ref="B344:B345"/>
    <mergeCell ref="C318:C322"/>
    <mergeCell ref="B311:B316"/>
    <mergeCell ref="G326:G327"/>
    <mergeCell ref="H326:H327"/>
    <mergeCell ref="A403:A404"/>
    <mergeCell ref="J362:J363"/>
    <mergeCell ref="A348:A350"/>
    <mergeCell ref="C336:C339"/>
    <mergeCell ref="L38:L41"/>
    <mergeCell ref="B192:B194"/>
    <mergeCell ref="A192:A194"/>
    <mergeCell ref="C192:C194"/>
    <mergeCell ref="D193:F194"/>
    <mergeCell ref="H193:H194"/>
    <mergeCell ref="I193:I194"/>
    <mergeCell ref="J193:J194"/>
    <mergeCell ref="K193:K194"/>
    <mergeCell ref="A212:A214"/>
    <mergeCell ref="A326:A327"/>
    <mergeCell ref="J230:J232"/>
    <mergeCell ref="F224:F226"/>
    <mergeCell ref="A228:A229"/>
    <mergeCell ref="B228:B229"/>
    <mergeCell ref="G286:J286"/>
    <mergeCell ref="B105:B106"/>
    <mergeCell ref="A105:A106"/>
    <mergeCell ref="G105:J105"/>
    <mergeCell ref="F295:F296"/>
    <mergeCell ref="G295:G296"/>
    <mergeCell ref="H295:H296"/>
    <mergeCell ref="A295:A296"/>
    <mergeCell ref="C311:C312"/>
    <mergeCell ref="C313:F316"/>
    <mergeCell ref="A302:A303"/>
    <mergeCell ref="K109:K110"/>
    <mergeCell ref="K200:K202"/>
    <mergeCell ref="K216:K217"/>
    <mergeCell ref="C116:C118"/>
    <mergeCell ref="K203:K204"/>
    <mergeCell ref="J212:J214"/>
    <mergeCell ref="A510:A511"/>
    <mergeCell ref="C510:C511"/>
    <mergeCell ref="A656:A657"/>
    <mergeCell ref="A623:A630"/>
    <mergeCell ref="C656:C657"/>
    <mergeCell ref="C633:C636"/>
    <mergeCell ref="B580:B581"/>
    <mergeCell ref="C368:C369"/>
    <mergeCell ref="C405:C407"/>
    <mergeCell ref="A405:A407"/>
    <mergeCell ref="C408:C409"/>
    <mergeCell ref="C413:C414"/>
    <mergeCell ref="D500:D502"/>
    <mergeCell ref="A722:A732"/>
    <mergeCell ref="B641:B642"/>
    <mergeCell ref="A641:A642"/>
    <mergeCell ref="B648:B652"/>
    <mergeCell ref="C641:C642"/>
    <mergeCell ref="B475:B477"/>
    <mergeCell ref="A467:A468"/>
    <mergeCell ref="A917:A918"/>
    <mergeCell ref="C917:C918"/>
    <mergeCell ref="C719:C720"/>
    <mergeCell ref="C734:C752"/>
    <mergeCell ref="B734:B752"/>
    <mergeCell ref="B656:B657"/>
    <mergeCell ref="B884:B885"/>
    <mergeCell ref="B870:B873"/>
    <mergeCell ref="A870:A873"/>
    <mergeCell ref="C872:C873"/>
    <mergeCell ref="B663:B664"/>
    <mergeCell ref="A710:A714"/>
    <mergeCell ref="A877:A878"/>
    <mergeCell ref="A837:A839"/>
    <mergeCell ref="A784:A785"/>
    <mergeCell ref="A796:A798"/>
    <mergeCell ref="A715:A716"/>
    <mergeCell ref="A717:A718"/>
    <mergeCell ref="B696:B697"/>
    <mergeCell ref="A696:A697"/>
    <mergeCell ref="B698:B699"/>
    <mergeCell ref="A698:A699"/>
    <mergeCell ref="B766:B769"/>
    <mergeCell ref="C757:C765"/>
    <mergeCell ref="B782:B783"/>
    <mergeCell ref="K904:K906"/>
    <mergeCell ref="B964:B966"/>
    <mergeCell ref="A964:A966"/>
    <mergeCell ref="C964:C966"/>
    <mergeCell ref="B775:B779"/>
    <mergeCell ref="A775:A779"/>
    <mergeCell ref="C775:C779"/>
    <mergeCell ref="A884:A885"/>
    <mergeCell ref="C884:C885"/>
    <mergeCell ref="B858:B860"/>
    <mergeCell ref="A858:A860"/>
    <mergeCell ref="C858:C860"/>
    <mergeCell ref="D899:D900"/>
    <mergeCell ref="E899:E900"/>
    <mergeCell ref="F899:F900"/>
    <mergeCell ref="C862:C864"/>
    <mergeCell ref="B862:B864"/>
    <mergeCell ref="G776:G779"/>
    <mergeCell ref="D809:D810"/>
    <mergeCell ref="E917:E918"/>
    <mergeCell ref="F917:F918"/>
    <mergeCell ref="B915:B916"/>
    <mergeCell ref="A915:A916"/>
    <mergeCell ref="K940:K941"/>
    <mergeCell ref="F848:F849"/>
    <mergeCell ref="D848:D849"/>
    <mergeCell ref="E848:E849"/>
    <mergeCell ref="K954:K955"/>
    <mergeCell ref="E782:E783"/>
    <mergeCell ref="F782:F783"/>
    <mergeCell ref="H776:H779"/>
    <mergeCell ref="I831:I832"/>
    <mergeCell ref="G784:J784"/>
    <mergeCell ref="F946:F947"/>
    <mergeCell ref="B825:B826"/>
    <mergeCell ref="K848:K851"/>
    <mergeCell ref="C837:C839"/>
    <mergeCell ref="B904:B909"/>
    <mergeCell ref="C904:C909"/>
    <mergeCell ref="D904:D905"/>
    <mergeCell ref="E904:E905"/>
    <mergeCell ref="F904:F905"/>
    <mergeCell ref="G904:J906"/>
    <mergeCell ref="D804:D806"/>
    <mergeCell ref="E804:E806"/>
    <mergeCell ref="F804:F806"/>
    <mergeCell ref="J804:J806"/>
    <mergeCell ref="K804:K806"/>
    <mergeCell ref="H831:H832"/>
    <mergeCell ref="G908:J908"/>
    <mergeCell ref="C935:C937"/>
    <mergeCell ref="E838:E839"/>
    <mergeCell ref="F838:F839"/>
    <mergeCell ref="B886:B887"/>
    <mergeCell ref="C886:C887"/>
    <mergeCell ref="D820:D821"/>
    <mergeCell ref="E820:E821"/>
    <mergeCell ref="B877:B878"/>
    <mergeCell ref="J848:J851"/>
    <mergeCell ref="D915:D916"/>
    <mergeCell ref="E915:E916"/>
    <mergeCell ref="F915:F916"/>
    <mergeCell ref="D813:F813"/>
    <mergeCell ref="H799:H800"/>
    <mergeCell ref="L898:O898"/>
    <mergeCell ref="L896:O896"/>
    <mergeCell ref="A663:A664"/>
    <mergeCell ref="G848:G851"/>
    <mergeCell ref="H848:H851"/>
    <mergeCell ref="G852:K852"/>
    <mergeCell ref="J858:J859"/>
    <mergeCell ref="B837:B839"/>
    <mergeCell ref="K858:K859"/>
    <mergeCell ref="F820:F821"/>
    <mergeCell ref="K776:K779"/>
    <mergeCell ref="K872:K873"/>
    <mergeCell ref="K828:K831"/>
    <mergeCell ref="C848:C852"/>
    <mergeCell ref="B820:B821"/>
    <mergeCell ref="J811:J812"/>
    <mergeCell ref="K799:K800"/>
    <mergeCell ref="K811:K812"/>
    <mergeCell ref="K870:K871"/>
    <mergeCell ref="G855:K856"/>
    <mergeCell ref="C673:C677"/>
    <mergeCell ref="L690:L691"/>
    <mergeCell ref="K838:K839"/>
    <mergeCell ref="I799:I800"/>
    <mergeCell ref="D896:D897"/>
    <mergeCell ref="E896:E897"/>
    <mergeCell ref="D859:D860"/>
    <mergeCell ref="E859:E860"/>
    <mergeCell ref="B799:B801"/>
    <mergeCell ref="K740:K745"/>
    <mergeCell ref="C782:C783"/>
    <mergeCell ref="G768:J768"/>
    <mergeCell ref="K763:K764"/>
    <mergeCell ref="K737:K739"/>
    <mergeCell ref="G907:J907"/>
    <mergeCell ref="L872:L873"/>
    <mergeCell ref="L766:L767"/>
    <mergeCell ref="L710:L711"/>
    <mergeCell ref="C899:C900"/>
    <mergeCell ref="B694:B695"/>
    <mergeCell ref="C663:C664"/>
    <mergeCell ref="D664:F664"/>
    <mergeCell ref="F666:F667"/>
    <mergeCell ref="D679:D680"/>
    <mergeCell ref="K666:K667"/>
    <mergeCell ref="K690:K691"/>
    <mergeCell ref="B669:B670"/>
    <mergeCell ref="H700:H701"/>
    <mergeCell ref="I692:I693"/>
    <mergeCell ref="C690:C691"/>
    <mergeCell ref="E679:E680"/>
    <mergeCell ref="F679:F680"/>
    <mergeCell ref="C694:C695"/>
    <mergeCell ref="G690:G691"/>
    <mergeCell ref="G838:J839"/>
    <mergeCell ref="B784:B785"/>
    <mergeCell ref="C784:C785"/>
    <mergeCell ref="L679:L680"/>
    <mergeCell ref="G769:J769"/>
    <mergeCell ref="C722:C732"/>
    <mergeCell ref="G761:J761"/>
    <mergeCell ref="I776:I779"/>
    <mergeCell ref="G740:J745"/>
    <mergeCell ref="D745:E745"/>
    <mergeCell ref="L656:L657"/>
    <mergeCell ref="F648:F649"/>
    <mergeCell ref="G652:J652"/>
    <mergeCell ref="D607:D615"/>
    <mergeCell ref="K522:K523"/>
    <mergeCell ref="G633:G636"/>
    <mergeCell ref="L899:O899"/>
    <mergeCell ref="I848:I851"/>
    <mergeCell ref="L669:L670"/>
    <mergeCell ref="G886:G887"/>
    <mergeCell ref="H886:H887"/>
    <mergeCell ref="I886:I887"/>
    <mergeCell ref="J886:J887"/>
    <mergeCell ref="K886:K887"/>
    <mergeCell ref="E589:F589"/>
    <mergeCell ref="D547:F547"/>
    <mergeCell ref="G598:G599"/>
    <mergeCell ref="G562:K562"/>
    <mergeCell ref="K602:K603"/>
    <mergeCell ref="E722:E724"/>
    <mergeCell ref="G730:J730"/>
    <mergeCell ref="G729:J729"/>
    <mergeCell ref="J776:J779"/>
    <mergeCell ref="G759:J759"/>
    <mergeCell ref="J828:J831"/>
    <mergeCell ref="D731:D732"/>
    <mergeCell ref="L763:L764"/>
    <mergeCell ref="G698:J698"/>
    <mergeCell ref="K694:K695"/>
    <mergeCell ref="K679:K680"/>
    <mergeCell ref="H690:H691"/>
    <mergeCell ref="G679:J680"/>
    <mergeCell ref="L461:L464"/>
    <mergeCell ref="C452:C458"/>
    <mergeCell ref="L475:L476"/>
    <mergeCell ref="L498:L499"/>
    <mergeCell ref="D566:E566"/>
    <mergeCell ref="G566:K566"/>
    <mergeCell ref="L579:O579"/>
    <mergeCell ref="G528:G530"/>
    <mergeCell ref="G571:K571"/>
    <mergeCell ref="G576:K576"/>
    <mergeCell ref="K633:K636"/>
    <mergeCell ref="G398:G400"/>
    <mergeCell ref="H398:H400"/>
    <mergeCell ref="I633:I636"/>
    <mergeCell ref="H434:H435"/>
    <mergeCell ref="L467:L468"/>
    <mergeCell ref="G608:I615"/>
    <mergeCell ref="C580:C581"/>
    <mergeCell ref="H598:H599"/>
    <mergeCell ref="I598:I599"/>
    <mergeCell ref="J598:J599"/>
    <mergeCell ref="C483:C484"/>
    <mergeCell ref="G444:J444"/>
    <mergeCell ref="I452:I454"/>
    <mergeCell ref="J452:J454"/>
    <mergeCell ref="H452:H454"/>
    <mergeCell ref="C410:C412"/>
    <mergeCell ref="L598:L599"/>
    <mergeCell ref="L602:L603"/>
    <mergeCell ref="L604:L605"/>
    <mergeCell ref="C421:C423"/>
    <mergeCell ref="K418:K419"/>
    <mergeCell ref="J109:J110"/>
    <mergeCell ref="E184:E185"/>
    <mergeCell ref="F184:F185"/>
    <mergeCell ref="B212:B214"/>
    <mergeCell ref="G117:J117"/>
    <mergeCell ref="C212:C214"/>
    <mergeCell ref="B109:B112"/>
    <mergeCell ref="A109:A112"/>
    <mergeCell ref="C109:C112"/>
    <mergeCell ref="C206:C207"/>
    <mergeCell ref="J172:J173"/>
    <mergeCell ref="D175:F175"/>
    <mergeCell ref="A184:A185"/>
    <mergeCell ref="G149:K149"/>
    <mergeCell ref="B184:B185"/>
    <mergeCell ref="C184:C185"/>
    <mergeCell ref="D184:D185"/>
    <mergeCell ref="K158:K160"/>
    <mergeCell ref="G172:G173"/>
    <mergeCell ref="H172:H173"/>
    <mergeCell ref="I172:I173"/>
    <mergeCell ref="D206:D207"/>
    <mergeCell ref="H109:H110"/>
    <mergeCell ref="K130:K131"/>
    <mergeCell ref="K125:K126"/>
    <mergeCell ref="D127:D128"/>
    <mergeCell ref="E127:E128"/>
    <mergeCell ref="F127:F128"/>
    <mergeCell ref="J127:J128"/>
    <mergeCell ref="K127:K128"/>
    <mergeCell ref="A125:A126"/>
    <mergeCell ref="B125:B126"/>
    <mergeCell ref="F216:F217"/>
    <mergeCell ref="G206:J206"/>
    <mergeCell ref="H228:H229"/>
    <mergeCell ref="A269:A271"/>
    <mergeCell ref="B269:B271"/>
    <mergeCell ref="J283:J284"/>
    <mergeCell ref="J228:J229"/>
    <mergeCell ref="J221:J222"/>
    <mergeCell ref="A188:A189"/>
    <mergeCell ref="B188:B189"/>
    <mergeCell ref="C188:C189"/>
    <mergeCell ref="G208:J208"/>
    <mergeCell ref="B263:B264"/>
    <mergeCell ref="A205:A207"/>
    <mergeCell ref="C228:C229"/>
    <mergeCell ref="D216:D217"/>
    <mergeCell ref="G189:J189"/>
    <mergeCell ref="G269:G271"/>
    <mergeCell ref="G203:G204"/>
    <mergeCell ref="I203:I204"/>
    <mergeCell ref="B203:B204"/>
    <mergeCell ref="B205:B207"/>
    <mergeCell ref="H212:H214"/>
    <mergeCell ref="A216:A217"/>
    <mergeCell ref="E206:E207"/>
    <mergeCell ref="B283:B285"/>
    <mergeCell ref="A283:A285"/>
    <mergeCell ref="E196:E197"/>
    <mergeCell ref="F196:F197"/>
    <mergeCell ref="J200:J202"/>
    <mergeCell ref="C216:C217"/>
    <mergeCell ref="G216:G217"/>
    <mergeCell ref="K283:K284"/>
    <mergeCell ref="K304:K306"/>
    <mergeCell ref="H313:H314"/>
    <mergeCell ref="F311:F312"/>
    <mergeCell ref="D274:F274"/>
    <mergeCell ref="A286:A287"/>
    <mergeCell ref="C286:C287"/>
    <mergeCell ref="I295:I296"/>
    <mergeCell ref="D305:D306"/>
    <mergeCell ref="A203:A204"/>
    <mergeCell ref="C304:C306"/>
    <mergeCell ref="I263:I264"/>
    <mergeCell ref="J263:J264"/>
    <mergeCell ref="D232:F232"/>
    <mergeCell ref="J311:J313"/>
    <mergeCell ref="K314:K316"/>
    <mergeCell ref="C238:C247"/>
    <mergeCell ref="I313:I314"/>
    <mergeCell ref="J314:J316"/>
    <mergeCell ref="C283:C285"/>
    <mergeCell ref="D283:D285"/>
    <mergeCell ref="E283:E285"/>
    <mergeCell ref="F283:F285"/>
    <mergeCell ref="F238:F247"/>
    <mergeCell ref="H238:I239"/>
    <mergeCell ref="B302:B303"/>
    <mergeCell ref="K311:K313"/>
    <mergeCell ref="C203:C204"/>
    <mergeCell ref="J216:J217"/>
    <mergeCell ref="A311:A316"/>
    <mergeCell ref="C302:C303"/>
    <mergeCell ref="B216:B217"/>
    <mergeCell ref="B47:B49"/>
    <mergeCell ref="A47:A49"/>
    <mergeCell ref="A174:A175"/>
    <mergeCell ref="B174:B175"/>
    <mergeCell ref="C174:C175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J107:J108"/>
    <mergeCell ref="I109:I110"/>
    <mergeCell ref="D124:F124"/>
    <mergeCell ref="C107:C108"/>
    <mergeCell ref="G107:G108"/>
    <mergeCell ref="H107:H108"/>
    <mergeCell ref="I107:I108"/>
    <mergeCell ref="B116:B118"/>
    <mergeCell ref="A116:A118"/>
    <mergeCell ref="A127:A128"/>
    <mergeCell ref="B127:B128"/>
    <mergeCell ref="C127:C128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L86:L87"/>
    <mergeCell ref="H91:H92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B78:B79"/>
    <mergeCell ref="K60:K61"/>
    <mergeCell ref="C47:C49"/>
    <mergeCell ref="K57:K59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K51:K53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A78:A79"/>
    <mergeCell ref="C78:C79"/>
    <mergeCell ref="D78:D79"/>
    <mergeCell ref="K86:K88"/>
    <mergeCell ref="C89:C90"/>
    <mergeCell ref="A91:A92"/>
    <mergeCell ref="I91:I92"/>
    <mergeCell ref="B89:B90"/>
    <mergeCell ref="C125:C126"/>
    <mergeCell ref="G125:G126"/>
    <mergeCell ref="H125:H126"/>
    <mergeCell ref="I125:I126"/>
    <mergeCell ref="J125:J126"/>
    <mergeCell ref="B130:B132"/>
    <mergeCell ref="C130:C132"/>
    <mergeCell ref="A130:A132"/>
    <mergeCell ref="G101:I101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I153:I155"/>
    <mergeCell ref="J153:J155"/>
    <mergeCell ref="K153:K155"/>
    <mergeCell ref="B147:B150"/>
    <mergeCell ref="A147:A150"/>
    <mergeCell ref="C147:C150"/>
    <mergeCell ref="L127:L128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K172:K173"/>
    <mergeCell ref="G166:J166"/>
    <mergeCell ref="A164:A166"/>
    <mergeCell ref="B164:B166"/>
    <mergeCell ref="C164:C166"/>
    <mergeCell ref="A161:A163"/>
    <mergeCell ref="K162:K163"/>
    <mergeCell ref="L200:L201"/>
    <mergeCell ref="A200:A202"/>
    <mergeCell ref="B200:B202"/>
    <mergeCell ref="C200:C202"/>
    <mergeCell ref="G200:G202"/>
    <mergeCell ref="H200:H202"/>
    <mergeCell ref="I200:I202"/>
    <mergeCell ref="G196:G197"/>
    <mergeCell ref="H196:H197"/>
    <mergeCell ref="I196:I197"/>
    <mergeCell ref="J196:J197"/>
    <mergeCell ref="K196:K197"/>
    <mergeCell ref="A196:A197"/>
    <mergeCell ref="B196:B197"/>
    <mergeCell ref="C196:C197"/>
    <mergeCell ref="D196:D197"/>
    <mergeCell ref="L221:L222"/>
    <mergeCell ref="A224:A226"/>
    <mergeCell ref="B224:B226"/>
    <mergeCell ref="C224:C226"/>
    <mergeCell ref="D224:D226"/>
    <mergeCell ref="E224:E226"/>
    <mergeCell ref="J295:J296"/>
    <mergeCell ref="K295:K296"/>
    <mergeCell ref="L230:L231"/>
    <mergeCell ref="G233:J233"/>
    <mergeCell ref="K228:K229"/>
    <mergeCell ref="L228:L229"/>
    <mergeCell ref="A263:A264"/>
    <mergeCell ref="C263:C264"/>
    <mergeCell ref="K263:K264"/>
    <mergeCell ref="J238:J247"/>
    <mergeCell ref="K238:K247"/>
    <mergeCell ref="L238:L247"/>
    <mergeCell ref="A252:A253"/>
    <mergeCell ref="B252:B253"/>
    <mergeCell ref="C252:C253"/>
    <mergeCell ref="A238:A247"/>
    <mergeCell ref="B238:B247"/>
    <mergeCell ref="C295:C296"/>
    <mergeCell ref="L279:P279"/>
    <mergeCell ref="C230:C233"/>
    <mergeCell ref="G230:I231"/>
    <mergeCell ref="B221:B223"/>
    <mergeCell ref="C269:C271"/>
    <mergeCell ref="D295:D296"/>
    <mergeCell ref="E295:E296"/>
    <mergeCell ref="E238:E247"/>
    <mergeCell ref="L307:L308"/>
    <mergeCell ref="A307:A309"/>
    <mergeCell ref="B307:B309"/>
    <mergeCell ref="G307:G308"/>
    <mergeCell ref="H307:H308"/>
    <mergeCell ref="I307:I308"/>
    <mergeCell ref="J307:J308"/>
    <mergeCell ref="G252:G253"/>
    <mergeCell ref="H252:H253"/>
    <mergeCell ref="I252:I253"/>
    <mergeCell ref="J252:J253"/>
    <mergeCell ref="G278:K278"/>
    <mergeCell ref="C277:C278"/>
    <mergeCell ref="B277:B278"/>
    <mergeCell ref="A277:A278"/>
    <mergeCell ref="A304:A306"/>
    <mergeCell ref="B304:B306"/>
    <mergeCell ref="H269:H271"/>
    <mergeCell ref="I269:I271"/>
    <mergeCell ref="J269:J271"/>
    <mergeCell ref="K269:K271"/>
    <mergeCell ref="G263:G264"/>
    <mergeCell ref="H263:H264"/>
    <mergeCell ref="G304:G306"/>
    <mergeCell ref="H304:H306"/>
    <mergeCell ref="I304:I306"/>
    <mergeCell ref="J304:J306"/>
    <mergeCell ref="B295:B296"/>
    <mergeCell ref="D298:F298"/>
    <mergeCell ref="B297:B299"/>
    <mergeCell ref="A297:A299"/>
    <mergeCell ref="C297:C299"/>
    <mergeCell ref="L324:L325"/>
    <mergeCell ref="A328:A329"/>
    <mergeCell ref="B328:B329"/>
    <mergeCell ref="L328:L329"/>
    <mergeCell ref="A324:A325"/>
    <mergeCell ref="B324:B325"/>
    <mergeCell ref="C324:C325"/>
    <mergeCell ref="G324:G325"/>
    <mergeCell ref="H324:H325"/>
    <mergeCell ref="I324:I325"/>
    <mergeCell ref="L336:L337"/>
    <mergeCell ref="C341:C342"/>
    <mergeCell ref="G336:G337"/>
    <mergeCell ref="H336:H337"/>
    <mergeCell ref="I336:I337"/>
    <mergeCell ref="J336:J337"/>
    <mergeCell ref="B326:B327"/>
    <mergeCell ref="C326:C327"/>
    <mergeCell ref="A336:A339"/>
    <mergeCell ref="B336:B339"/>
    <mergeCell ref="K326:K327"/>
    <mergeCell ref="H341:H342"/>
    <mergeCell ref="I341:I342"/>
    <mergeCell ref="K336:K337"/>
    <mergeCell ref="J324:J325"/>
    <mergeCell ref="K324:K325"/>
    <mergeCell ref="J326:J327"/>
    <mergeCell ref="L434:L435"/>
    <mergeCell ref="F428:F429"/>
    <mergeCell ref="A380:A381"/>
    <mergeCell ref="C380:C381"/>
    <mergeCell ref="G380:G381"/>
    <mergeCell ref="H380:H381"/>
    <mergeCell ref="I380:I381"/>
    <mergeCell ref="J396:J397"/>
    <mergeCell ref="K396:K397"/>
    <mergeCell ref="H396:H397"/>
    <mergeCell ref="A387:A388"/>
    <mergeCell ref="G387:G388"/>
    <mergeCell ref="H387:H388"/>
    <mergeCell ref="I387:I388"/>
    <mergeCell ref="B391:B392"/>
    <mergeCell ref="A391:A392"/>
    <mergeCell ref="C391:C392"/>
    <mergeCell ref="G396:G397"/>
    <mergeCell ref="B396:B397"/>
    <mergeCell ref="B385:B386"/>
    <mergeCell ref="L387:L388"/>
    <mergeCell ref="I396:I397"/>
    <mergeCell ref="J387:J388"/>
    <mergeCell ref="K387:K388"/>
    <mergeCell ref="L418:L419"/>
    <mergeCell ref="I413:I414"/>
    <mergeCell ref="K398:K400"/>
    <mergeCell ref="B410:B412"/>
    <mergeCell ref="A420:A422"/>
    <mergeCell ref="A398:A400"/>
    <mergeCell ref="B398:B400"/>
    <mergeCell ref="J420:J423"/>
    <mergeCell ref="L437:L442"/>
    <mergeCell ref="D440:E440"/>
    <mergeCell ref="D441:D442"/>
    <mergeCell ref="C434:C435"/>
    <mergeCell ref="G434:G435"/>
    <mergeCell ref="B433:B436"/>
    <mergeCell ref="A433:A436"/>
    <mergeCell ref="K434:K435"/>
    <mergeCell ref="G420:G423"/>
    <mergeCell ref="H420:H423"/>
    <mergeCell ref="J434:J435"/>
    <mergeCell ref="A495:A497"/>
    <mergeCell ref="B495:B497"/>
    <mergeCell ref="C495:C497"/>
    <mergeCell ref="K488:K489"/>
    <mergeCell ref="D488:F489"/>
    <mergeCell ref="D485:D487"/>
    <mergeCell ref="G480:J480"/>
    <mergeCell ref="B479:B480"/>
    <mergeCell ref="J488:J489"/>
    <mergeCell ref="G475:G477"/>
    <mergeCell ref="H475:H477"/>
    <mergeCell ref="I475:I477"/>
    <mergeCell ref="J475:J477"/>
    <mergeCell ref="K475:K477"/>
    <mergeCell ref="K491:K494"/>
    <mergeCell ref="D491:D494"/>
    <mergeCell ref="A483:A484"/>
    <mergeCell ref="B467:B468"/>
    <mergeCell ref="C467:C468"/>
    <mergeCell ref="G467:G468"/>
    <mergeCell ref="L420:L422"/>
    <mergeCell ref="L528:L529"/>
    <mergeCell ref="K552:K553"/>
    <mergeCell ref="D561:E561"/>
    <mergeCell ref="G563:K563"/>
    <mergeCell ref="G564:K564"/>
    <mergeCell ref="G565:K565"/>
    <mergeCell ref="J548:J549"/>
    <mergeCell ref="K548:K549"/>
    <mergeCell ref="L548:L549"/>
    <mergeCell ref="B555:B577"/>
    <mergeCell ref="L576:L577"/>
    <mergeCell ref="G572:K572"/>
    <mergeCell ref="G573:K573"/>
    <mergeCell ref="G574:K574"/>
    <mergeCell ref="B528:B539"/>
    <mergeCell ref="B546:B547"/>
    <mergeCell ref="C522:C523"/>
    <mergeCell ref="D577:E577"/>
    <mergeCell ref="G557:K557"/>
    <mergeCell ref="G575:K575"/>
    <mergeCell ref="G568:K568"/>
    <mergeCell ref="G552:I553"/>
    <mergeCell ref="J552:J553"/>
    <mergeCell ref="D576:E576"/>
    <mergeCell ref="G559:K559"/>
    <mergeCell ref="B548:B549"/>
    <mergeCell ref="C548:C549"/>
    <mergeCell ref="H528:H530"/>
    <mergeCell ref="J522:J523"/>
    <mergeCell ref="B522:B523"/>
    <mergeCell ref="H548:H549"/>
    <mergeCell ref="I548:I549"/>
    <mergeCell ref="F976:F978"/>
    <mergeCell ref="G978:J978"/>
    <mergeCell ref="A485:A490"/>
    <mergeCell ref="D648:D649"/>
    <mergeCell ref="A648:A652"/>
    <mergeCell ref="A694:A695"/>
    <mergeCell ref="C623:C630"/>
    <mergeCell ref="B620:B621"/>
    <mergeCell ref="A620:A621"/>
    <mergeCell ref="A734:A752"/>
    <mergeCell ref="C546:C547"/>
    <mergeCell ref="A904:A909"/>
    <mergeCell ref="B804:B807"/>
    <mergeCell ref="C804:C807"/>
    <mergeCell ref="C766:C769"/>
    <mergeCell ref="A899:A900"/>
    <mergeCell ref="B899:B900"/>
    <mergeCell ref="A645:A646"/>
    <mergeCell ref="A828:A832"/>
    <mergeCell ref="A848:A852"/>
    <mergeCell ref="A862:A864"/>
    <mergeCell ref="C828:C832"/>
    <mergeCell ref="D828:F832"/>
    <mergeCell ref="B896:B897"/>
    <mergeCell ref="A896:A897"/>
    <mergeCell ref="E731:E732"/>
    <mergeCell ref="F731:F732"/>
    <mergeCell ref="D763:D764"/>
    <mergeCell ref="A946:A947"/>
    <mergeCell ref="C946:C947"/>
    <mergeCell ref="D946:D947"/>
    <mergeCell ref="G785:J785"/>
    <mergeCell ref="A996:B996"/>
    <mergeCell ref="G678:J678"/>
    <mergeCell ref="B679:B680"/>
    <mergeCell ref="C679:C680"/>
    <mergeCell ref="F669:F670"/>
    <mergeCell ref="G669:G670"/>
    <mergeCell ref="H669:H670"/>
    <mergeCell ref="I669:I670"/>
    <mergeCell ref="A669:A670"/>
    <mergeCell ref="C666:C667"/>
    <mergeCell ref="C710:C714"/>
    <mergeCell ref="I870:I871"/>
    <mergeCell ref="J870:J871"/>
    <mergeCell ref="B796:B798"/>
    <mergeCell ref="C796:C798"/>
    <mergeCell ref="G797:J797"/>
    <mergeCell ref="G798:J798"/>
    <mergeCell ref="C870:C871"/>
    <mergeCell ref="B848:B852"/>
    <mergeCell ref="B976:B978"/>
    <mergeCell ref="G694:G695"/>
    <mergeCell ref="H694:H695"/>
    <mergeCell ref="I694:I695"/>
    <mergeCell ref="G731:J731"/>
    <mergeCell ref="I666:I667"/>
    <mergeCell ref="A799:A801"/>
    <mergeCell ref="C799:C801"/>
    <mergeCell ref="D800:F800"/>
    <mergeCell ref="C811:C813"/>
    <mergeCell ref="A766:A769"/>
    <mergeCell ref="G762:J762"/>
    <mergeCell ref="G763:J763"/>
    <mergeCell ref="H44:H45"/>
    <mergeCell ref="I44:I45"/>
    <mergeCell ref="K377:K378"/>
    <mergeCell ref="J70:J73"/>
    <mergeCell ref="J91:J92"/>
    <mergeCell ref="G109:G110"/>
    <mergeCell ref="J203:J204"/>
    <mergeCell ref="G377:G378"/>
    <mergeCell ref="K252:K253"/>
    <mergeCell ref="K307:K308"/>
    <mergeCell ref="G47:G49"/>
    <mergeCell ref="H47:H49"/>
    <mergeCell ref="I47:I49"/>
    <mergeCell ref="J47:J49"/>
    <mergeCell ref="I228:I229"/>
    <mergeCell ref="A886:A887"/>
    <mergeCell ref="H656:H657"/>
    <mergeCell ref="I656:I657"/>
    <mergeCell ref="J656:J657"/>
    <mergeCell ref="B828:B832"/>
    <mergeCell ref="A855:A857"/>
    <mergeCell ref="B855:B857"/>
    <mergeCell ref="C855:C857"/>
    <mergeCell ref="A820:A821"/>
    <mergeCell ref="J694:J695"/>
    <mergeCell ref="G656:G657"/>
    <mergeCell ref="B722:B732"/>
    <mergeCell ref="B757:B765"/>
    <mergeCell ref="E656:E657"/>
    <mergeCell ref="A811:A813"/>
    <mergeCell ref="B811:B813"/>
    <mergeCell ref="K100:K102"/>
    <mergeCell ref="K734:K736"/>
    <mergeCell ref="F717:F718"/>
    <mergeCell ref="B645:B646"/>
    <mergeCell ref="G2:J2"/>
    <mergeCell ref="G164:J164"/>
    <mergeCell ref="G165:J165"/>
    <mergeCell ref="K460:K463"/>
    <mergeCell ref="G408:G409"/>
    <mergeCell ref="H408:H409"/>
    <mergeCell ref="I408:I409"/>
    <mergeCell ref="J408:J409"/>
    <mergeCell ref="K408:K409"/>
    <mergeCell ref="G403:G404"/>
    <mergeCell ref="H403:H404"/>
    <mergeCell ref="I403:I404"/>
    <mergeCell ref="J403:J404"/>
    <mergeCell ref="K403:K404"/>
    <mergeCell ref="G366:J366"/>
    <mergeCell ref="I377:I378"/>
    <mergeCell ref="G548:G549"/>
    <mergeCell ref="K230:K232"/>
    <mergeCell ref="F500:F502"/>
    <mergeCell ref="C555:C577"/>
    <mergeCell ref="E607:E615"/>
    <mergeCell ref="I528:I530"/>
    <mergeCell ref="J528:J530"/>
    <mergeCell ref="H673:H677"/>
    <mergeCell ref="F722:F724"/>
    <mergeCell ref="D722:D724"/>
    <mergeCell ref="G727:J727"/>
    <mergeCell ref="J633:J636"/>
    <mergeCell ref="G734:J736"/>
    <mergeCell ref="G728:J728"/>
    <mergeCell ref="J666:J667"/>
    <mergeCell ref="G700:G701"/>
    <mergeCell ref="J607:J616"/>
    <mergeCell ref="C692:C693"/>
    <mergeCell ref="J645:J646"/>
    <mergeCell ref="D666:D667"/>
    <mergeCell ref="C669:C670"/>
    <mergeCell ref="H666:H667"/>
    <mergeCell ref="E666:E667"/>
    <mergeCell ref="J690:J691"/>
    <mergeCell ref="I690:I691"/>
    <mergeCell ref="D669:D670"/>
    <mergeCell ref="E669:E670"/>
    <mergeCell ref="F656:F657"/>
    <mergeCell ref="C696:C697"/>
    <mergeCell ref="C698:C699"/>
    <mergeCell ref="H633:H636"/>
    <mergeCell ref="G692:G693"/>
    <mergeCell ref="E717:E718"/>
    <mergeCell ref="G666:G667"/>
    <mergeCell ref="G673:G677"/>
    <mergeCell ref="J604:J605"/>
    <mergeCell ref="C479:C480"/>
    <mergeCell ref="E377:E378"/>
    <mergeCell ref="G452:G454"/>
    <mergeCell ref="J413:J414"/>
    <mergeCell ref="J517:J519"/>
    <mergeCell ref="J485:J487"/>
    <mergeCell ref="K428:K429"/>
    <mergeCell ref="C460:C465"/>
    <mergeCell ref="D519:E519"/>
    <mergeCell ref="F305:F306"/>
    <mergeCell ref="K437:K442"/>
    <mergeCell ref="G418:G419"/>
    <mergeCell ref="H418:H419"/>
    <mergeCell ref="I418:I419"/>
    <mergeCell ref="J418:J419"/>
    <mergeCell ref="I420:I423"/>
    <mergeCell ref="G556:K556"/>
    <mergeCell ref="K344:K345"/>
    <mergeCell ref="F385:F386"/>
    <mergeCell ref="D465:F465"/>
    <mergeCell ref="H428:H429"/>
    <mergeCell ref="G318:J319"/>
    <mergeCell ref="G322:J322"/>
    <mergeCell ref="C344:C345"/>
    <mergeCell ref="G344:G345"/>
    <mergeCell ref="C403:C404"/>
    <mergeCell ref="C401:C402"/>
    <mergeCell ref="K500:K503"/>
    <mergeCell ref="H522:H523"/>
    <mergeCell ref="I398:I400"/>
    <mergeCell ref="J398:J400"/>
    <mergeCell ref="K607:K616"/>
    <mergeCell ref="G645:G646"/>
    <mergeCell ref="I434:I435"/>
    <mergeCell ref="H358:H360"/>
    <mergeCell ref="I358:I360"/>
    <mergeCell ref="J358:J360"/>
    <mergeCell ref="C385:C386"/>
    <mergeCell ref="D385:D386"/>
    <mergeCell ref="G348:J349"/>
    <mergeCell ref="C348:C351"/>
    <mergeCell ref="G351:J351"/>
    <mergeCell ref="C396:C397"/>
    <mergeCell ref="G465:J465"/>
    <mergeCell ref="E441:E442"/>
    <mergeCell ref="F441:F442"/>
    <mergeCell ref="G441:G442"/>
    <mergeCell ref="H441:H442"/>
    <mergeCell ref="I441:I442"/>
    <mergeCell ref="J441:J442"/>
    <mergeCell ref="G460:J463"/>
    <mergeCell ref="K452:K454"/>
    <mergeCell ref="I467:I468"/>
    <mergeCell ref="J467:J468"/>
    <mergeCell ref="J428:J429"/>
    <mergeCell ref="K362:K363"/>
    <mergeCell ref="K405:K407"/>
    <mergeCell ref="E515:E516"/>
    <mergeCell ref="G515:J515"/>
    <mergeCell ref="J483:J484"/>
    <mergeCell ref="K483:K484"/>
    <mergeCell ref="K380:K381"/>
    <mergeCell ref="E385:E386"/>
    <mergeCell ref="G737:J739"/>
    <mergeCell ref="K656:K657"/>
    <mergeCell ref="K598:K599"/>
    <mergeCell ref="K517:K519"/>
    <mergeCell ref="G522:G523"/>
    <mergeCell ref="I522:I523"/>
    <mergeCell ref="J380:J381"/>
    <mergeCell ref="H377:H378"/>
    <mergeCell ref="I483:I484"/>
    <mergeCell ref="D508:D509"/>
    <mergeCell ref="E508:E509"/>
    <mergeCell ref="F508:F509"/>
    <mergeCell ref="G517:G519"/>
    <mergeCell ref="H517:H519"/>
    <mergeCell ref="J377:J378"/>
    <mergeCell ref="K485:K487"/>
    <mergeCell ref="I410:I411"/>
    <mergeCell ref="K413:K414"/>
    <mergeCell ref="G412:J412"/>
    <mergeCell ref="G413:G414"/>
    <mergeCell ref="H413:H414"/>
    <mergeCell ref="J410:J411"/>
    <mergeCell ref="G410:G411"/>
    <mergeCell ref="K410:K411"/>
    <mergeCell ref="G500:J503"/>
    <mergeCell ref="H483:H484"/>
    <mergeCell ref="J491:J494"/>
    <mergeCell ref="H467:H468"/>
    <mergeCell ref="K420:K423"/>
    <mergeCell ref="D515:D516"/>
    <mergeCell ref="G483:G484"/>
    <mergeCell ref="F515:F516"/>
    <mergeCell ref="K645:K646"/>
    <mergeCell ref="H486:I486"/>
    <mergeCell ref="G487:I487"/>
    <mergeCell ref="J602:J603"/>
    <mergeCell ref="G212:G214"/>
    <mergeCell ref="I212:I214"/>
    <mergeCell ref="K212:K214"/>
    <mergeCell ref="K221:K222"/>
    <mergeCell ref="F607:F615"/>
    <mergeCell ref="A528:A539"/>
    <mergeCell ref="C528:C539"/>
    <mergeCell ref="D538:J538"/>
    <mergeCell ref="C602:C603"/>
    <mergeCell ref="D602:D603"/>
    <mergeCell ref="E602:E603"/>
    <mergeCell ref="E491:E494"/>
    <mergeCell ref="F491:F494"/>
    <mergeCell ref="K528:K530"/>
    <mergeCell ref="G567:K567"/>
    <mergeCell ref="E485:E487"/>
    <mergeCell ref="F602:F603"/>
    <mergeCell ref="J580:J581"/>
    <mergeCell ref="G321:J321"/>
    <mergeCell ref="K358:K360"/>
    <mergeCell ref="K467:K468"/>
    <mergeCell ref="G558:K558"/>
    <mergeCell ref="K604:K605"/>
    <mergeCell ref="K505:K506"/>
    <mergeCell ref="H607:I607"/>
    <mergeCell ref="E216:E217"/>
    <mergeCell ref="I428:I429"/>
    <mergeCell ref="A475:A477"/>
    <mergeCell ref="A221:A222"/>
    <mergeCell ref="F206:F207"/>
    <mergeCell ref="A230:A233"/>
    <mergeCell ref="H203:H204"/>
    <mergeCell ref="D311:D312"/>
    <mergeCell ref="E311:E312"/>
    <mergeCell ref="A123:A124"/>
    <mergeCell ref="B123:B124"/>
    <mergeCell ref="C123:C124"/>
    <mergeCell ref="G350:J350"/>
    <mergeCell ref="J344:J345"/>
    <mergeCell ref="C398:C400"/>
    <mergeCell ref="H344:H345"/>
    <mergeCell ref="I344:I345"/>
    <mergeCell ref="D238:D247"/>
    <mergeCell ref="G228:G229"/>
    <mergeCell ref="G130:G131"/>
    <mergeCell ref="H130:H131"/>
    <mergeCell ref="I130:I131"/>
    <mergeCell ref="J130:J131"/>
    <mergeCell ref="H162:H163"/>
    <mergeCell ref="G188:J188"/>
    <mergeCell ref="A385:A386"/>
    <mergeCell ref="B348:B351"/>
    <mergeCell ref="A172:A173"/>
    <mergeCell ref="B172:B173"/>
    <mergeCell ref="C172:C173"/>
    <mergeCell ref="D172:D173"/>
    <mergeCell ref="E172:E173"/>
    <mergeCell ref="F172:F173"/>
    <mergeCell ref="G162:G163"/>
    <mergeCell ref="H153:H155"/>
    <mergeCell ref="B10:B17"/>
    <mergeCell ref="A10:A17"/>
    <mergeCell ref="C10:C17"/>
    <mergeCell ref="B178:B183"/>
    <mergeCell ref="A178:A183"/>
    <mergeCell ref="C178:C183"/>
    <mergeCell ref="D182:F182"/>
    <mergeCell ref="F42:F45"/>
    <mergeCell ref="E42:E45"/>
    <mergeCell ref="D42:D45"/>
    <mergeCell ref="C42:C45"/>
    <mergeCell ref="B42:B45"/>
    <mergeCell ref="A42:A45"/>
    <mergeCell ref="C18:C19"/>
    <mergeCell ref="B370:B372"/>
    <mergeCell ref="C377:C378"/>
    <mergeCell ref="D377:D378"/>
    <mergeCell ref="C70:C73"/>
    <mergeCell ref="B70:B73"/>
    <mergeCell ref="A70:A73"/>
    <mergeCell ref="A370:A372"/>
    <mergeCell ref="C370:C372"/>
    <mergeCell ref="B377:B378"/>
    <mergeCell ref="C38:C41"/>
    <mergeCell ref="C93:C95"/>
    <mergeCell ref="E103:E104"/>
    <mergeCell ref="D60:D61"/>
    <mergeCell ref="E60:E61"/>
    <mergeCell ref="A57:A59"/>
    <mergeCell ref="C57:C59"/>
    <mergeCell ref="B161:B163"/>
    <mergeCell ref="C162:C163"/>
    <mergeCell ref="H410:H411"/>
    <mergeCell ref="B31:B32"/>
    <mergeCell ref="A31:A32"/>
    <mergeCell ref="D31:D32"/>
    <mergeCell ref="C31:C32"/>
    <mergeCell ref="E31:E32"/>
    <mergeCell ref="F31:F32"/>
    <mergeCell ref="H57:H59"/>
    <mergeCell ref="I57:I59"/>
    <mergeCell ref="B508:B509"/>
    <mergeCell ref="A508:A509"/>
    <mergeCell ref="A673:A680"/>
    <mergeCell ref="A594:A597"/>
    <mergeCell ref="D692:D693"/>
    <mergeCell ref="E692:E693"/>
    <mergeCell ref="F692:F693"/>
    <mergeCell ref="A377:A378"/>
    <mergeCell ref="A396:A397"/>
    <mergeCell ref="B387:B388"/>
    <mergeCell ref="E305:E306"/>
    <mergeCell ref="C475:C477"/>
    <mergeCell ref="C645:C646"/>
    <mergeCell ref="B460:B465"/>
    <mergeCell ref="G93:J95"/>
    <mergeCell ref="B491:B494"/>
    <mergeCell ref="C491:C494"/>
    <mergeCell ref="A428:A429"/>
    <mergeCell ref="B428:B429"/>
    <mergeCell ref="C428:C429"/>
    <mergeCell ref="G428:G429"/>
    <mergeCell ref="H216:H217"/>
    <mergeCell ref="I216:I217"/>
    <mergeCell ref="B983:B984"/>
    <mergeCell ref="A983:A984"/>
    <mergeCell ref="C983:C984"/>
    <mergeCell ref="D983:D984"/>
    <mergeCell ref="E983:E984"/>
    <mergeCell ref="F983:F984"/>
    <mergeCell ref="E809:E810"/>
    <mergeCell ref="F809:F810"/>
    <mergeCell ref="D954:D955"/>
    <mergeCell ref="E954:E955"/>
    <mergeCell ref="C485:C490"/>
    <mergeCell ref="B483:B484"/>
    <mergeCell ref="B499:B503"/>
    <mergeCell ref="C499:C503"/>
    <mergeCell ref="C594:C597"/>
    <mergeCell ref="C505:C506"/>
    <mergeCell ref="F641:F642"/>
    <mergeCell ref="D656:D657"/>
    <mergeCell ref="D744:E744"/>
    <mergeCell ref="A938:A939"/>
    <mergeCell ref="B938:B939"/>
    <mergeCell ref="A940:A941"/>
    <mergeCell ref="B940:B941"/>
    <mergeCell ref="C940:C941"/>
    <mergeCell ref="D940:D941"/>
    <mergeCell ref="E940:E941"/>
    <mergeCell ref="F940:F941"/>
    <mergeCell ref="A580:A581"/>
    <mergeCell ref="A976:A978"/>
    <mergeCell ref="C976:C978"/>
    <mergeCell ref="D976:D978"/>
    <mergeCell ref="E976:E978"/>
    <mergeCell ref="G940:G941"/>
    <mergeCell ref="G870:G871"/>
    <mergeCell ref="H870:H871"/>
    <mergeCell ref="D811:F812"/>
    <mergeCell ref="J799:J800"/>
    <mergeCell ref="E946:E947"/>
    <mergeCell ref="F896:F897"/>
    <mergeCell ref="B954:B955"/>
    <mergeCell ref="A954:A955"/>
    <mergeCell ref="C954:C955"/>
    <mergeCell ref="F954:F955"/>
    <mergeCell ref="J946:J947"/>
    <mergeCell ref="G833:J833"/>
    <mergeCell ref="B833:B836"/>
    <mergeCell ref="A833:A836"/>
    <mergeCell ref="C833:C836"/>
    <mergeCell ref="A912:A913"/>
    <mergeCell ref="B912:B913"/>
    <mergeCell ref="C912:C913"/>
    <mergeCell ref="D912:D913"/>
    <mergeCell ref="F912:F913"/>
    <mergeCell ref="E912:E913"/>
    <mergeCell ref="D917:D918"/>
    <mergeCell ref="B946:B947"/>
    <mergeCell ref="C820:C821"/>
    <mergeCell ref="B809:B810"/>
    <mergeCell ref="C809:C810"/>
    <mergeCell ref="C915:C916"/>
    <mergeCell ref="A825:A826"/>
    <mergeCell ref="A804:A807"/>
    <mergeCell ref="C896:C897"/>
    <mergeCell ref="B917:B918"/>
    <mergeCell ref="K648:K650"/>
    <mergeCell ref="G651:J651"/>
    <mergeCell ref="G872:G873"/>
    <mergeCell ref="H872:H873"/>
    <mergeCell ref="I872:I873"/>
    <mergeCell ref="J872:J873"/>
    <mergeCell ref="G936:J936"/>
    <mergeCell ref="B932:B934"/>
    <mergeCell ref="A932:A934"/>
    <mergeCell ref="C932:C934"/>
    <mergeCell ref="E763:E764"/>
    <mergeCell ref="F763:F764"/>
    <mergeCell ref="H645:H646"/>
    <mergeCell ref="I645:I646"/>
    <mergeCell ref="H623:H630"/>
    <mergeCell ref="I623:I630"/>
    <mergeCell ref="J623:J630"/>
    <mergeCell ref="K623:K630"/>
    <mergeCell ref="B935:B937"/>
    <mergeCell ref="A935:A937"/>
    <mergeCell ref="A809:A810"/>
    <mergeCell ref="D838:D839"/>
    <mergeCell ref="G765:J765"/>
    <mergeCell ref="A757:A765"/>
    <mergeCell ref="J669:J670"/>
    <mergeCell ref="J692:J693"/>
    <mergeCell ref="F715:F716"/>
    <mergeCell ref="C702:C709"/>
    <mergeCell ref="B702:B709"/>
    <mergeCell ref="K692:K693"/>
    <mergeCell ref="K700:K701"/>
    <mergeCell ref="K669:K670"/>
    <mergeCell ref="K946:K947"/>
    <mergeCell ref="F859:F860"/>
    <mergeCell ref="D496:F496"/>
    <mergeCell ref="G954:G955"/>
    <mergeCell ref="H954:H955"/>
    <mergeCell ref="I954:I955"/>
    <mergeCell ref="J954:J955"/>
    <mergeCell ref="G648:J650"/>
    <mergeCell ref="I517:I519"/>
    <mergeCell ref="E500:E502"/>
    <mergeCell ref="B505:B506"/>
    <mergeCell ref="G505:G506"/>
    <mergeCell ref="H505:H506"/>
    <mergeCell ref="C517:C519"/>
    <mergeCell ref="B517:B519"/>
    <mergeCell ref="A517:A519"/>
    <mergeCell ref="G513:J514"/>
    <mergeCell ref="B513:B516"/>
    <mergeCell ref="A637:A639"/>
    <mergeCell ref="B637:B639"/>
    <mergeCell ref="C637:C639"/>
    <mergeCell ref="I700:I701"/>
    <mergeCell ref="J700:J701"/>
    <mergeCell ref="G516:J516"/>
    <mergeCell ref="A719:A720"/>
    <mergeCell ref="B719:B720"/>
    <mergeCell ref="H940:H941"/>
    <mergeCell ref="I940:I941"/>
    <mergeCell ref="J940:J941"/>
    <mergeCell ref="G569:K569"/>
    <mergeCell ref="K580:K581"/>
    <mergeCell ref="G767:J767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9"/>
  <sheetViews>
    <sheetView rightToLeft="1" topLeftCell="B848" zoomScale="60" zoomScaleNormal="60" workbookViewId="0">
      <selection activeCell="B842" sqref="B842:B86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11"/>
      <c r="B2" s="4012" t="s">
        <v>5751</v>
      </c>
      <c r="C2" s="3960" t="s">
        <v>1300</v>
      </c>
      <c r="D2" s="3951">
        <v>6000000</v>
      </c>
      <c r="E2" s="3964">
        <v>7.0000000000000007E-2</v>
      </c>
      <c r="F2" s="3951">
        <v>450000</v>
      </c>
      <c r="G2" s="4011"/>
      <c r="H2" s="4011"/>
      <c r="I2" s="218"/>
      <c r="J2" s="4011"/>
      <c r="K2" s="218"/>
      <c r="L2" s="180" t="s">
        <v>5754</v>
      </c>
    </row>
    <row r="3" spans="1:12" ht="30" customHeight="1" x14ac:dyDescent="0.2">
      <c r="A3" s="8309"/>
      <c r="B3" s="8307" t="s">
        <v>5752</v>
      </c>
      <c r="C3" s="7723" t="s">
        <v>1300</v>
      </c>
      <c r="D3" s="3951">
        <v>5000000</v>
      </c>
      <c r="E3" s="3964">
        <v>7.0000000000000007E-2</v>
      </c>
      <c r="F3" s="3951">
        <f t="shared" ref="F3:F4" si="0">D3*E3</f>
        <v>350000.00000000006</v>
      </c>
      <c r="G3" s="4011"/>
      <c r="H3" s="4011"/>
      <c r="I3" s="218"/>
      <c r="J3" s="4011"/>
      <c r="K3" s="218"/>
      <c r="L3" s="736" t="s">
        <v>5753</v>
      </c>
    </row>
    <row r="4" spans="1:12" ht="30" customHeight="1" x14ac:dyDescent="0.2">
      <c r="A4" s="8310"/>
      <c r="B4" s="8308"/>
      <c r="C4" s="7724"/>
      <c r="D4" s="3951">
        <v>5000000</v>
      </c>
      <c r="E4" s="3964">
        <v>7.0000000000000007E-2</v>
      </c>
      <c r="F4" s="3951">
        <f t="shared" si="0"/>
        <v>350000.00000000006</v>
      </c>
      <c r="G4" s="4011"/>
      <c r="H4" s="4011"/>
      <c r="I4" s="218"/>
      <c r="J4" s="4011"/>
      <c r="K4" s="218"/>
      <c r="L4" s="736" t="s">
        <v>5755</v>
      </c>
    </row>
    <row r="5" spans="1:12" ht="30" customHeight="1" x14ac:dyDescent="0.2">
      <c r="A5" s="3526">
        <v>3</v>
      </c>
      <c r="B5" s="19" t="s">
        <v>285</v>
      </c>
      <c r="C5" s="3504" t="s">
        <v>359</v>
      </c>
      <c r="D5" s="3483">
        <v>36000000</v>
      </c>
      <c r="E5" s="3523">
        <v>7.0000000000000007E-2</v>
      </c>
      <c r="F5" s="3483">
        <v>2500000</v>
      </c>
      <c r="G5" s="3483">
        <v>2500000</v>
      </c>
      <c r="H5" s="3483" t="s">
        <v>5367</v>
      </c>
      <c r="I5" s="24" t="s">
        <v>2026</v>
      </c>
      <c r="J5" s="3483">
        <f>G5</f>
        <v>2500000</v>
      </c>
      <c r="K5" s="3483">
        <f>F5-J5</f>
        <v>0</v>
      </c>
      <c r="L5" s="3531"/>
    </row>
    <row r="6" spans="1:12" ht="30" customHeight="1" x14ac:dyDescent="0.2">
      <c r="A6" s="3486">
        <v>4</v>
      </c>
      <c r="B6" s="3530" t="s">
        <v>310</v>
      </c>
      <c r="C6" s="3529" t="s">
        <v>2644</v>
      </c>
      <c r="D6" s="3483">
        <v>700000000</v>
      </c>
      <c r="E6" s="3523">
        <v>6.3E-2</v>
      </c>
      <c r="F6" s="3483">
        <f>D6*E6</f>
        <v>44100000</v>
      </c>
      <c r="G6" s="3483">
        <v>44000000</v>
      </c>
      <c r="H6" s="3483" t="s">
        <v>1527</v>
      </c>
      <c r="I6" s="24" t="s">
        <v>1543</v>
      </c>
      <c r="J6" s="3483">
        <f>G6</f>
        <v>44000000</v>
      </c>
      <c r="K6" s="3483">
        <f>F6-J6</f>
        <v>100000</v>
      </c>
      <c r="L6" s="29"/>
    </row>
    <row r="7" spans="1:12" ht="30" customHeight="1" x14ac:dyDescent="0.2">
      <c r="A7" s="3486">
        <v>6</v>
      </c>
      <c r="B7" s="3530" t="s">
        <v>407</v>
      </c>
      <c r="C7" s="3503"/>
      <c r="D7" s="3483">
        <v>15000000</v>
      </c>
      <c r="E7" s="3523">
        <v>0.05</v>
      </c>
      <c r="F7" s="3483">
        <f t="shared" ref="F7:F21" si="1">D7*E7</f>
        <v>750000</v>
      </c>
      <c r="G7" s="3483"/>
      <c r="H7" s="3483"/>
      <c r="I7" s="24"/>
      <c r="J7" s="3483">
        <f t="shared" ref="J7:J11" si="2">G7</f>
        <v>0</v>
      </c>
      <c r="K7" s="3483">
        <f t="shared" ref="K7:K11" si="3">F7-J7</f>
        <v>750000</v>
      </c>
      <c r="L7" s="637"/>
    </row>
    <row r="8" spans="1:12" ht="30" customHeight="1" x14ac:dyDescent="0.2">
      <c r="A8" s="3486">
        <v>7</v>
      </c>
      <c r="B8" s="3530" t="s">
        <v>102</v>
      </c>
      <c r="C8" s="3503" t="s">
        <v>889</v>
      </c>
      <c r="D8" s="3483">
        <v>45000000</v>
      </c>
      <c r="E8" s="3523">
        <v>0.05</v>
      </c>
      <c r="F8" s="3483">
        <f t="shared" si="1"/>
        <v>2250000</v>
      </c>
      <c r="G8" s="3483">
        <v>2250000</v>
      </c>
      <c r="H8" s="3483" t="s">
        <v>1649</v>
      </c>
      <c r="I8" s="26" t="s">
        <v>409</v>
      </c>
      <c r="J8" s="3483">
        <f t="shared" si="2"/>
        <v>2250000</v>
      </c>
      <c r="K8" s="3483">
        <f t="shared" si="3"/>
        <v>0</v>
      </c>
      <c r="L8" s="736"/>
    </row>
    <row r="9" spans="1:12" ht="30" customHeight="1" x14ac:dyDescent="0.2">
      <c r="A9" s="3486">
        <v>8</v>
      </c>
      <c r="B9" s="62" t="s">
        <v>349</v>
      </c>
      <c r="C9" s="3320" t="s">
        <v>1291</v>
      </c>
      <c r="D9" s="3484">
        <v>400000000</v>
      </c>
      <c r="E9" s="2519">
        <v>4.4999999999999998E-2</v>
      </c>
      <c r="F9" s="3484">
        <f t="shared" si="1"/>
        <v>18000000</v>
      </c>
      <c r="G9" s="3484"/>
      <c r="H9" s="3501"/>
      <c r="I9" s="3321" t="s">
        <v>3739</v>
      </c>
      <c r="J9" s="3501">
        <f t="shared" si="2"/>
        <v>0</v>
      </c>
      <c r="K9" s="3484">
        <f t="shared" si="3"/>
        <v>18000000</v>
      </c>
      <c r="L9" s="2350"/>
    </row>
    <row r="10" spans="1:12" ht="30" customHeight="1" x14ac:dyDescent="0.2">
      <c r="A10" s="3486"/>
      <c r="B10" s="3531" t="s">
        <v>349</v>
      </c>
      <c r="C10" s="3504" t="s">
        <v>1287</v>
      </c>
      <c r="D10" s="3483">
        <v>650000000</v>
      </c>
      <c r="E10" s="3489">
        <v>0.06</v>
      </c>
      <c r="F10" s="3483">
        <f t="shared" si="1"/>
        <v>39000000</v>
      </c>
      <c r="G10" s="3483">
        <v>27000000</v>
      </c>
      <c r="H10" s="3483" t="s">
        <v>5697</v>
      </c>
      <c r="I10" s="24" t="s">
        <v>3739</v>
      </c>
      <c r="J10" s="3483">
        <f>G10</f>
        <v>27000000</v>
      </c>
      <c r="K10" s="3483"/>
      <c r="L10" s="3561" t="s">
        <v>5261</v>
      </c>
    </row>
    <row r="11" spans="1:12" ht="30" customHeight="1" x14ac:dyDescent="0.2">
      <c r="A11" s="7654">
        <v>10</v>
      </c>
      <c r="B11" s="7652" t="s">
        <v>999</v>
      </c>
      <c r="C11" s="4119" t="s">
        <v>1796</v>
      </c>
      <c r="D11" s="3483">
        <v>180000000</v>
      </c>
      <c r="E11" s="3523">
        <v>7.0000000000000007E-2</v>
      </c>
      <c r="F11" s="3483">
        <f t="shared" si="1"/>
        <v>12600000.000000002</v>
      </c>
      <c r="G11" s="3483">
        <v>12600000</v>
      </c>
      <c r="H11" s="3483" t="s">
        <v>5948</v>
      </c>
      <c r="I11" s="24" t="s">
        <v>5281</v>
      </c>
      <c r="J11" s="3483">
        <f t="shared" si="2"/>
        <v>12600000</v>
      </c>
      <c r="K11" s="3483">
        <f t="shared" si="3"/>
        <v>0</v>
      </c>
      <c r="L11" s="180"/>
    </row>
    <row r="12" spans="1:12" ht="30" customHeight="1" x14ac:dyDescent="0.2">
      <c r="A12" s="7656"/>
      <c r="B12" s="7665"/>
      <c r="C12" s="7873"/>
      <c r="D12" s="3483">
        <v>10000000</v>
      </c>
      <c r="E12" s="3523">
        <v>7.0000000000000007E-2</v>
      </c>
      <c r="F12" s="3483">
        <f>D12*E12</f>
        <v>700000.00000000012</v>
      </c>
      <c r="G12" s="3482"/>
      <c r="H12" s="3482"/>
      <c r="I12" s="1610"/>
      <c r="J12" s="3482"/>
      <c r="K12" s="3482"/>
      <c r="L12" s="180" t="s">
        <v>5186</v>
      </c>
    </row>
    <row r="13" spans="1:12" ht="30" customHeight="1" x14ac:dyDescent="0.2">
      <c r="A13" s="7656"/>
      <c r="B13" s="7665"/>
      <c r="C13" s="7873"/>
      <c r="D13" s="3483">
        <v>10000000</v>
      </c>
      <c r="E13" s="3523">
        <v>7.0000000000000007E-2</v>
      </c>
      <c r="F13" s="3483">
        <f>D13*E13</f>
        <v>700000.00000000012</v>
      </c>
      <c r="G13" s="3482"/>
      <c r="H13" s="3482"/>
      <c r="I13" s="1610"/>
      <c r="J13" s="3482"/>
      <c r="K13" s="3482"/>
      <c r="L13" s="180" t="s">
        <v>5187</v>
      </c>
    </row>
    <row r="14" spans="1:12" ht="30" customHeight="1" x14ac:dyDescent="0.2">
      <c r="A14" s="7656"/>
      <c r="B14" s="7665"/>
      <c r="C14" s="7873"/>
      <c r="D14" s="3483">
        <v>10000000</v>
      </c>
      <c r="E14" s="3523">
        <v>7.0000000000000007E-2</v>
      </c>
      <c r="F14" s="3483">
        <f t="shared" si="1"/>
        <v>700000.00000000012</v>
      </c>
      <c r="G14" s="3482"/>
      <c r="H14" s="3482"/>
      <c r="I14" s="1610"/>
      <c r="J14" s="3482"/>
      <c r="K14" s="3482"/>
      <c r="L14" s="180" t="s">
        <v>5184</v>
      </c>
    </row>
    <row r="15" spans="1:12" ht="30" customHeight="1" x14ac:dyDescent="0.2">
      <c r="A15" s="7656"/>
      <c r="B15" s="7665"/>
      <c r="C15" s="7873"/>
      <c r="D15" s="3483">
        <v>10000000</v>
      </c>
      <c r="E15" s="3523">
        <v>7.0000000000000007E-2</v>
      </c>
      <c r="F15" s="3483">
        <f t="shared" si="1"/>
        <v>700000.00000000012</v>
      </c>
      <c r="G15" s="3482"/>
      <c r="H15" s="3482"/>
      <c r="I15" s="1610"/>
      <c r="J15" s="3482"/>
      <c r="K15" s="3482"/>
      <c r="L15" s="180" t="s">
        <v>5185</v>
      </c>
    </row>
    <row r="16" spans="1:12" ht="30" customHeight="1" x14ac:dyDescent="0.2">
      <c r="A16" s="7656"/>
      <c r="B16" s="7665"/>
      <c r="C16" s="7873"/>
      <c r="D16" s="3483">
        <v>10000000</v>
      </c>
      <c r="E16" s="3523">
        <v>7.0000000000000007E-2</v>
      </c>
      <c r="F16" s="3483">
        <f t="shared" si="1"/>
        <v>700000.00000000012</v>
      </c>
      <c r="G16" s="3482"/>
      <c r="H16" s="3482"/>
      <c r="I16" s="1610"/>
      <c r="J16" s="3482"/>
      <c r="K16" s="3482"/>
      <c r="L16" s="180" t="s">
        <v>5188</v>
      </c>
    </row>
    <row r="17" spans="1:12" ht="30" customHeight="1" x14ac:dyDescent="0.2">
      <c r="A17" s="7656"/>
      <c r="B17" s="7665"/>
      <c r="C17" s="7873"/>
      <c r="D17" s="3483">
        <v>10000000</v>
      </c>
      <c r="E17" s="3523">
        <v>7.0000000000000007E-2</v>
      </c>
      <c r="F17" s="3483">
        <f t="shared" si="1"/>
        <v>700000.00000000012</v>
      </c>
      <c r="G17" s="3482"/>
      <c r="H17" s="3482"/>
      <c r="I17" s="1610"/>
      <c r="J17" s="3482"/>
      <c r="K17" s="3482"/>
      <c r="L17" s="180" t="s">
        <v>5189</v>
      </c>
    </row>
    <row r="18" spans="1:12" ht="30" customHeight="1" x14ac:dyDescent="0.2">
      <c r="A18" s="7655"/>
      <c r="B18" s="7653"/>
      <c r="C18" s="7873"/>
      <c r="D18" s="2653">
        <v>60000000</v>
      </c>
      <c r="E18" s="3807">
        <v>7.0000000000000007E-2</v>
      </c>
      <c r="F18" s="2653">
        <f>D18*E18</f>
        <v>4200000</v>
      </c>
      <c r="G18" s="3482"/>
      <c r="H18" s="3482"/>
      <c r="I18" s="1610"/>
      <c r="J18" s="3482"/>
      <c r="K18" s="3482"/>
      <c r="L18" s="180" t="s">
        <v>5210</v>
      </c>
    </row>
    <row r="19" spans="1:12" ht="30" customHeight="1" x14ac:dyDescent="0.2">
      <c r="A19" s="3762"/>
      <c r="B19" s="3765" t="s">
        <v>5565</v>
      </c>
      <c r="C19" s="3780"/>
      <c r="D19" s="3779">
        <v>25000000</v>
      </c>
      <c r="E19" s="3793">
        <v>7.0000000000000007E-2</v>
      </c>
      <c r="F19" s="3779">
        <f>D19*E19</f>
        <v>1750000.0000000002</v>
      </c>
      <c r="G19" s="7732" t="s">
        <v>6400</v>
      </c>
      <c r="H19" s="7733"/>
      <c r="I19" s="7733"/>
      <c r="J19" s="7734"/>
      <c r="K19" s="3779"/>
      <c r="L19" s="180" t="s">
        <v>5566</v>
      </c>
    </row>
    <row r="20" spans="1:12" ht="30" customHeight="1" x14ac:dyDescent="0.2">
      <c r="A20" s="7654">
        <v>11</v>
      </c>
      <c r="B20" s="7717" t="s">
        <v>393</v>
      </c>
      <c r="C20" s="7723" t="s">
        <v>359</v>
      </c>
      <c r="D20" s="3513">
        <v>15000000</v>
      </c>
      <c r="E20" s="3523">
        <v>7.0000000000000007E-2</v>
      </c>
      <c r="F20" s="3513">
        <f t="shared" si="1"/>
        <v>1050000</v>
      </c>
      <c r="G20" s="7563">
        <v>1300000</v>
      </c>
      <c r="H20" s="7563" t="s">
        <v>1879</v>
      </c>
      <c r="I20" s="8115" t="s">
        <v>394</v>
      </c>
      <c r="J20" s="7563">
        <f>G20+G21</f>
        <v>1300000</v>
      </c>
      <c r="K20" s="7563">
        <v>0</v>
      </c>
      <c r="L20" s="7713"/>
    </row>
    <row r="21" spans="1:12" ht="30" customHeight="1" x14ac:dyDescent="0.2">
      <c r="A21" s="7656"/>
      <c r="B21" s="7717"/>
      <c r="C21" s="7724"/>
      <c r="D21" s="3513">
        <v>5000000</v>
      </c>
      <c r="E21" s="3523">
        <v>0.05</v>
      </c>
      <c r="F21" s="3513">
        <f t="shared" si="1"/>
        <v>250000</v>
      </c>
      <c r="G21" s="7564"/>
      <c r="H21" s="7564"/>
      <c r="I21" s="8116"/>
      <c r="J21" s="7564"/>
      <c r="K21" s="7564"/>
      <c r="L21" s="7714"/>
    </row>
    <row r="22" spans="1:12" ht="30" customHeight="1" x14ac:dyDescent="0.2">
      <c r="A22" s="1028">
        <v>12</v>
      </c>
      <c r="B22" s="3530" t="s">
        <v>399</v>
      </c>
      <c r="C22" s="3504" t="s">
        <v>1172</v>
      </c>
      <c r="D22" s="3483">
        <v>75000000</v>
      </c>
      <c r="E22" s="3489">
        <f>F22/D22</f>
        <v>5.3333333333333337E-2</v>
      </c>
      <c r="F22" s="3483">
        <v>4000000</v>
      </c>
      <c r="G22" s="3483">
        <v>4000000</v>
      </c>
      <c r="H22" s="3483" t="s">
        <v>5434</v>
      </c>
      <c r="I22" s="52" t="s">
        <v>3728</v>
      </c>
      <c r="J22" s="3483">
        <f>G22</f>
        <v>4000000</v>
      </c>
      <c r="K22" s="3483">
        <f>F22-J22</f>
        <v>0</v>
      </c>
      <c r="L22" s="3494"/>
    </row>
    <row r="23" spans="1:12" ht="30" customHeight="1" x14ac:dyDescent="0.2">
      <c r="A23" s="3526"/>
      <c r="B23" s="19" t="s">
        <v>420</v>
      </c>
      <c r="C23" s="3529" t="s">
        <v>359</v>
      </c>
      <c r="D23" s="3513">
        <v>100000000</v>
      </c>
      <c r="E23" s="3523">
        <v>7.0000000000000007E-2</v>
      </c>
      <c r="F23" s="3513">
        <f t="shared" ref="F23:F33" si="4">D23*E23</f>
        <v>7000000.0000000009</v>
      </c>
      <c r="G23" s="1455">
        <v>7000000</v>
      </c>
      <c r="H23" s="1455" t="s">
        <v>5367</v>
      </c>
      <c r="I23" s="1455" t="s">
        <v>1946</v>
      </c>
      <c r="J23" s="3513">
        <f>G23</f>
        <v>7000000</v>
      </c>
      <c r="K23" s="3513">
        <f>F23-J23</f>
        <v>0</v>
      </c>
      <c r="L23" s="3561"/>
    </row>
    <row r="24" spans="1:12" ht="30" customHeight="1" x14ac:dyDescent="0.2">
      <c r="A24" s="3487">
        <v>14</v>
      </c>
      <c r="B24" s="3491" t="s">
        <v>428</v>
      </c>
      <c r="C24" s="3504" t="s">
        <v>1300</v>
      </c>
      <c r="D24" s="3483">
        <v>150000000</v>
      </c>
      <c r="E24" s="3489">
        <v>0.04</v>
      </c>
      <c r="F24" s="3483">
        <f t="shared" si="4"/>
        <v>6000000</v>
      </c>
      <c r="G24" s="3483">
        <v>6000000</v>
      </c>
      <c r="H24" s="3483" t="s">
        <v>5585</v>
      </c>
      <c r="I24" s="64" t="s">
        <v>4061</v>
      </c>
      <c r="J24" s="3483">
        <f t="shared" ref="J24:J34" si="5">G24</f>
        <v>6000000</v>
      </c>
      <c r="K24" s="3483">
        <f t="shared" ref="K24:K33" si="6">F24-J24</f>
        <v>0</v>
      </c>
      <c r="L24" s="3497"/>
    </row>
    <row r="25" spans="1:12" ht="30" customHeight="1" x14ac:dyDescent="0.2">
      <c r="A25" s="3487"/>
      <c r="B25" s="3491" t="s">
        <v>4726</v>
      </c>
      <c r="C25" s="3504" t="s">
        <v>1138</v>
      </c>
      <c r="D25" s="3483">
        <v>350000000</v>
      </c>
      <c r="E25" s="3489">
        <v>7.0000000000000007E-2</v>
      </c>
      <c r="F25" s="3483">
        <f t="shared" si="4"/>
        <v>24500000.000000004</v>
      </c>
      <c r="G25" s="3483">
        <v>24500000</v>
      </c>
      <c r="H25" s="3483" t="s">
        <v>5995</v>
      </c>
      <c r="I25" s="64" t="s">
        <v>4814</v>
      </c>
      <c r="J25" s="3483">
        <f>G25</f>
        <v>24500000</v>
      </c>
      <c r="K25" s="3483">
        <f>F25-J25</f>
        <v>0</v>
      </c>
      <c r="L25" s="3494"/>
    </row>
    <row r="26" spans="1:12" ht="30" customHeight="1" x14ac:dyDescent="0.2">
      <c r="A26" s="7654">
        <v>15</v>
      </c>
      <c r="B26" s="7652" t="s">
        <v>436</v>
      </c>
      <c r="C26" s="7723" t="s">
        <v>1300</v>
      </c>
      <c r="D26" s="3483">
        <v>13000000</v>
      </c>
      <c r="E26" s="3489">
        <v>0.05</v>
      </c>
      <c r="F26" s="3483">
        <f t="shared" si="4"/>
        <v>650000</v>
      </c>
      <c r="G26" s="3483">
        <v>650000</v>
      </c>
      <c r="H26" s="3483" t="s">
        <v>1972</v>
      </c>
      <c r="I26" s="64" t="s">
        <v>2092</v>
      </c>
      <c r="J26" s="3483">
        <f t="shared" si="5"/>
        <v>650000</v>
      </c>
      <c r="K26" s="3483">
        <f t="shared" si="6"/>
        <v>0</v>
      </c>
      <c r="L26" s="3935" t="s">
        <v>5705</v>
      </c>
    </row>
    <row r="27" spans="1:12" ht="30" customHeight="1" x14ac:dyDescent="0.2">
      <c r="A27" s="7655"/>
      <c r="B27" s="7653"/>
      <c r="C27" s="7724"/>
      <c r="D27" s="3931">
        <v>100000000</v>
      </c>
      <c r="E27" s="3934">
        <v>0.05</v>
      </c>
      <c r="F27" s="3931">
        <f t="shared" si="4"/>
        <v>5000000</v>
      </c>
      <c r="G27" s="3931"/>
      <c r="H27" s="3931"/>
      <c r="I27" s="64"/>
      <c r="J27" s="3931"/>
      <c r="K27" s="3931"/>
      <c r="L27" s="3935" t="s">
        <v>5706</v>
      </c>
    </row>
    <row r="28" spans="1:12" ht="30" customHeight="1" x14ac:dyDescent="0.2">
      <c r="A28" s="3526">
        <v>16</v>
      </c>
      <c r="B28" s="19" t="s">
        <v>487</v>
      </c>
      <c r="C28" s="3529" t="s">
        <v>1718</v>
      </c>
      <c r="D28" s="3513">
        <v>80000000</v>
      </c>
      <c r="E28" s="3523">
        <v>0.04</v>
      </c>
      <c r="F28" s="3513">
        <f t="shared" si="4"/>
        <v>3200000</v>
      </c>
      <c r="G28" s="3513">
        <v>3200000</v>
      </c>
      <c r="H28" s="3513" t="s">
        <v>5434</v>
      </c>
      <c r="I28" s="3565" t="s">
        <v>4000</v>
      </c>
      <c r="J28" s="3513">
        <f t="shared" si="5"/>
        <v>3200000</v>
      </c>
      <c r="K28" s="3513">
        <f t="shared" si="6"/>
        <v>0</v>
      </c>
      <c r="L28" s="3578"/>
    </row>
    <row r="29" spans="1:12" ht="30" customHeight="1" x14ac:dyDescent="0.2">
      <c r="A29" s="7654">
        <v>17</v>
      </c>
      <c r="B29" s="7652" t="s">
        <v>747</v>
      </c>
      <c r="C29" s="7723" t="s">
        <v>1289</v>
      </c>
      <c r="D29" s="3483">
        <v>100000000</v>
      </c>
      <c r="E29" s="3489">
        <v>0.06</v>
      </c>
      <c r="F29" s="3483">
        <f t="shared" si="4"/>
        <v>6000000</v>
      </c>
      <c r="G29" s="8317" t="s">
        <v>5636</v>
      </c>
      <c r="H29" s="8318"/>
      <c r="I29" s="8318"/>
      <c r="J29" s="8319"/>
      <c r="K29" s="3483">
        <f t="shared" si="6"/>
        <v>6000000</v>
      </c>
      <c r="L29" s="3497"/>
    </row>
    <row r="30" spans="1:12" ht="30" customHeight="1" x14ac:dyDescent="0.2">
      <c r="A30" s="7656"/>
      <c r="B30" s="7665"/>
      <c r="C30" s="7747"/>
      <c r="D30" s="3859">
        <v>6000000</v>
      </c>
      <c r="E30" s="3860">
        <v>0.06</v>
      </c>
      <c r="F30" s="3859">
        <f t="shared" si="4"/>
        <v>360000</v>
      </c>
      <c r="G30" s="8320"/>
      <c r="H30" s="8321"/>
      <c r="I30" s="8321"/>
      <c r="J30" s="8322"/>
      <c r="K30" s="3859">
        <f t="shared" si="6"/>
        <v>360000</v>
      </c>
      <c r="L30" s="3862"/>
    </row>
    <row r="31" spans="1:12" ht="30" customHeight="1" x14ac:dyDescent="0.2">
      <c r="A31" s="7656"/>
      <c r="B31" s="7665"/>
      <c r="C31" s="7747"/>
      <c r="D31" s="3859">
        <v>44000000</v>
      </c>
      <c r="E31" s="3860">
        <v>0.06</v>
      </c>
      <c r="F31" s="3859">
        <f t="shared" si="4"/>
        <v>2640000</v>
      </c>
      <c r="G31" s="8128" t="s">
        <v>5637</v>
      </c>
      <c r="H31" s="8129"/>
      <c r="I31" s="8129"/>
      <c r="J31" s="8130"/>
      <c r="K31" s="3859">
        <f t="shared" si="6"/>
        <v>2640000</v>
      </c>
      <c r="L31" s="3862"/>
    </row>
    <row r="32" spans="1:12" ht="30" customHeight="1" x14ac:dyDescent="0.2">
      <c r="A32" s="7655"/>
      <c r="B32" s="7653"/>
      <c r="C32" s="7724"/>
      <c r="D32" s="3955">
        <f>SUM(D29:D31)</f>
        <v>150000000</v>
      </c>
      <c r="E32" s="3956">
        <v>0.06</v>
      </c>
      <c r="F32" s="3955">
        <f>D32*E32</f>
        <v>9000000</v>
      </c>
      <c r="G32" s="3859"/>
      <c r="H32" s="3859"/>
      <c r="I32" s="64"/>
      <c r="J32" s="3859"/>
      <c r="K32" s="3859">
        <f t="shared" si="6"/>
        <v>9000000</v>
      </c>
      <c r="L32" s="3862"/>
    </row>
    <row r="33" spans="1:14" ht="30" customHeight="1" x14ac:dyDescent="0.2">
      <c r="A33" s="3487">
        <v>18</v>
      </c>
      <c r="B33" s="3491" t="s">
        <v>554</v>
      </c>
      <c r="C33" s="3504" t="s">
        <v>1300</v>
      </c>
      <c r="D33" s="3483">
        <v>50000000</v>
      </c>
      <c r="E33" s="3489">
        <v>0.05</v>
      </c>
      <c r="F33" s="3483">
        <f t="shared" si="4"/>
        <v>2500000</v>
      </c>
      <c r="G33" s="3483">
        <v>2500000</v>
      </c>
      <c r="H33" s="3483" t="s">
        <v>5697</v>
      </c>
      <c r="I33" s="64" t="s">
        <v>4471</v>
      </c>
      <c r="J33" s="3483">
        <f t="shared" si="5"/>
        <v>2500000</v>
      </c>
      <c r="K33" s="3483">
        <f t="shared" si="6"/>
        <v>0</v>
      </c>
      <c r="L33" s="3497"/>
    </row>
    <row r="34" spans="1:14" ht="30" customHeight="1" x14ac:dyDescent="0.2">
      <c r="A34" s="7879">
        <v>19</v>
      </c>
      <c r="B34" s="7652" t="s">
        <v>560</v>
      </c>
      <c r="C34" s="7723" t="s">
        <v>1300</v>
      </c>
      <c r="D34" s="3483">
        <v>50000000</v>
      </c>
      <c r="E34" s="7659">
        <f>F34/(D34+D35)</f>
        <v>0.05</v>
      </c>
      <c r="F34" s="7563">
        <v>3250000</v>
      </c>
      <c r="G34" s="7563">
        <v>4750000</v>
      </c>
      <c r="H34" s="7563" t="s">
        <v>5697</v>
      </c>
      <c r="I34" s="7762" t="s">
        <v>4401</v>
      </c>
      <c r="J34" s="7563">
        <f t="shared" si="5"/>
        <v>4750000</v>
      </c>
      <c r="K34" s="7563">
        <f>(F34+F36)-G34</f>
        <v>0</v>
      </c>
      <c r="L34" s="3548"/>
    </row>
    <row r="35" spans="1:14" ht="30" customHeight="1" x14ac:dyDescent="0.2">
      <c r="A35" s="7879"/>
      <c r="B35" s="7665"/>
      <c r="C35" s="7747"/>
      <c r="D35" s="3483">
        <v>15000000</v>
      </c>
      <c r="E35" s="7660"/>
      <c r="F35" s="7564"/>
      <c r="G35" s="7586"/>
      <c r="H35" s="7586"/>
      <c r="I35" s="8114"/>
      <c r="J35" s="7586"/>
      <c r="K35" s="7586"/>
      <c r="L35" s="3548"/>
    </row>
    <row r="36" spans="1:14" ht="30" customHeight="1" x14ac:dyDescent="0.2">
      <c r="A36" s="7879"/>
      <c r="B36" s="7653"/>
      <c r="C36" s="7724"/>
      <c r="D36" s="3483">
        <v>30000000</v>
      </c>
      <c r="E36" s="3489">
        <v>0.05</v>
      </c>
      <c r="F36" s="3483">
        <f>E36*D36</f>
        <v>1500000</v>
      </c>
      <c r="G36" s="7564"/>
      <c r="H36" s="7564"/>
      <c r="I36" s="7763"/>
      <c r="J36" s="7564"/>
      <c r="K36" s="7564"/>
      <c r="L36" s="3548"/>
    </row>
    <row r="37" spans="1:14" ht="30" customHeight="1" x14ac:dyDescent="0.2">
      <c r="A37" s="7654">
        <v>22</v>
      </c>
      <c r="B37" s="7652" t="s">
        <v>658</v>
      </c>
      <c r="C37" s="7723" t="s">
        <v>1287</v>
      </c>
      <c r="D37" s="7563">
        <v>300000000</v>
      </c>
      <c r="E37" s="7659">
        <v>0.05</v>
      </c>
      <c r="F37" s="7563">
        <f>D37*E37</f>
        <v>15000000</v>
      </c>
      <c r="G37" s="8323" t="s">
        <v>5730</v>
      </c>
      <c r="H37" s="8324"/>
      <c r="I37" s="8324"/>
      <c r="J37" s="8325"/>
      <c r="K37" s="3513">
        <f>F37-J37</f>
        <v>15000000</v>
      </c>
      <c r="L37" s="3578"/>
    </row>
    <row r="38" spans="1:14" ht="30" customHeight="1" x14ac:dyDescent="0.2">
      <c r="A38" s="7655"/>
      <c r="B38" s="7653"/>
      <c r="C38" s="7724"/>
      <c r="D38" s="7564"/>
      <c r="E38" s="7660"/>
      <c r="F38" s="7564"/>
      <c r="G38" s="3483">
        <v>10000000</v>
      </c>
      <c r="H38" s="3509" t="s">
        <v>1972</v>
      </c>
      <c r="I38" s="64" t="s">
        <v>2168</v>
      </c>
      <c r="J38" s="3513">
        <f>G38</f>
        <v>10000000</v>
      </c>
      <c r="K38" s="3513"/>
      <c r="L38" s="3493"/>
    </row>
    <row r="39" spans="1:14" ht="30" customHeight="1" x14ac:dyDescent="0.2">
      <c r="A39" s="1028">
        <v>23</v>
      </c>
      <c r="B39" s="19" t="s">
        <v>2121</v>
      </c>
      <c r="C39" s="3529" t="s">
        <v>3390</v>
      </c>
      <c r="D39" s="3483">
        <v>150000000</v>
      </c>
      <c r="E39" s="3489">
        <v>7.0000000000000007E-2</v>
      </c>
      <c r="F39" s="3483">
        <f>D39*E39</f>
        <v>10500000.000000002</v>
      </c>
      <c r="G39" s="3483">
        <v>10500000</v>
      </c>
      <c r="H39" s="3509" t="s">
        <v>5839</v>
      </c>
      <c r="I39" s="64" t="s">
        <v>3704</v>
      </c>
      <c r="J39" s="3513">
        <f>G39</f>
        <v>10500000</v>
      </c>
      <c r="K39" s="3513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29" t="s">
        <v>3390</v>
      </c>
      <c r="D40" s="3483">
        <v>70000000</v>
      </c>
      <c r="E40" s="3489">
        <v>0.06</v>
      </c>
      <c r="F40" s="3483">
        <f>D40*E40</f>
        <v>4200000</v>
      </c>
      <c r="G40" s="3483">
        <v>4200000</v>
      </c>
      <c r="H40" s="3509" t="s">
        <v>5839</v>
      </c>
      <c r="I40" s="64" t="s">
        <v>3705</v>
      </c>
      <c r="J40" s="3513">
        <f>G40</f>
        <v>4200000</v>
      </c>
      <c r="K40" s="3483">
        <v>0</v>
      </c>
      <c r="L40" s="29"/>
    </row>
    <row r="41" spans="1:14" ht="30" customHeight="1" x14ac:dyDescent="0.2">
      <c r="A41" s="7654"/>
      <c r="B41" s="7652" t="s">
        <v>702</v>
      </c>
      <c r="C41" s="7723"/>
      <c r="D41" s="7494" t="s">
        <v>5967</v>
      </c>
      <c r="E41" s="7495"/>
      <c r="F41" s="7768"/>
      <c r="G41" s="4137">
        <v>30000000</v>
      </c>
      <c r="H41" s="7880" t="s">
        <v>5968</v>
      </c>
      <c r="I41" s="8169"/>
      <c r="J41" s="7659">
        <f>G41+G42+G43</f>
        <v>100000000</v>
      </c>
      <c r="K41" s="7563">
        <f>100000000-J41</f>
        <v>0</v>
      </c>
      <c r="L41" s="4026" t="s">
        <v>5818</v>
      </c>
    </row>
    <row r="42" spans="1:14" ht="30" customHeight="1" x14ac:dyDescent="0.2">
      <c r="A42" s="7656"/>
      <c r="B42" s="7665"/>
      <c r="C42" s="7747"/>
      <c r="D42" s="7877"/>
      <c r="E42" s="7524"/>
      <c r="F42" s="7878"/>
      <c r="G42" s="4137">
        <v>35000000</v>
      </c>
      <c r="H42" s="4150" t="s">
        <v>5962</v>
      </c>
      <c r="I42" s="4150" t="s">
        <v>5969</v>
      </c>
      <c r="J42" s="7676"/>
      <c r="K42" s="7586"/>
      <c r="L42" s="4162"/>
    </row>
    <row r="43" spans="1:14" ht="30" customHeight="1" x14ac:dyDescent="0.2">
      <c r="A43" s="7655"/>
      <c r="B43" s="7653"/>
      <c r="C43" s="7724"/>
      <c r="D43" s="7769"/>
      <c r="E43" s="7805"/>
      <c r="F43" s="7770"/>
      <c r="G43" s="4166">
        <v>35000000</v>
      </c>
      <c r="H43" s="4168" t="s">
        <v>5995</v>
      </c>
      <c r="I43" s="4168" t="s">
        <v>5969</v>
      </c>
      <c r="J43" s="7660"/>
      <c r="K43" s="7564"/>
      <c r="L43" s="4162"/>
    </row>
    <row r="44" spans="1:14" ht="30" customHeight="1" x14ac:dyDescent="0.2">
      <c r="A44" s="7879">
        <v>25</v>
      </c>
      <c r="B44" s="7717" t="s">
        <v>718</v>
      </c>
      <c r="C44" s="7873" t="s">
        <v>1296</v>
      </c>
      <c r="D44" s="3973">
        <v>35000000</v>
      </c>
      <c r="E44" s="3991">
        <v>5.8000000000000003E-2</v>
      </c>
      <c r="F44" s="3973">
        <v>2000000</v>
      </c>
      <c r="G44" s="3483">
        <v>2000000</v>
      </c>
      <c r="H44" s="3509" t="s">
        <v>5849</v>
      </c>
      <c r="I44" s="64" t="s">
        <v>4135</v>
      </c>
      <c r="J44" s="3483">
        <f>G44</f>
        <v>2000000</v>
      </c>
      <c r="K44" s="3483">
        <f>F44-G44</f>
        <v>0</v>
      </c>
      <c r="L44" s="3494" t="s">
        <v>5773</v>
      </c>
      <c r="M44" s="366"/>
      <c r="N44" s="366"/>
    </row>
    <row r="45" spans="1:14" ht="30" customHeight="1" x14ac:dyDescent="0.2">
      <c r="A45" s="7879"/>
      <c r="B45" s="7717"/>
      <c r="C45" s="7873"/>
      <c r="D45" s="3973">
        <v>25000000</v>
      </c>
      <c r="E45" s="3991">
        <v>0.06</v>
      </c>
      <c r="F45" s="3973">
        <f>D45*E45</f>
        <v>1500000</v>
      </c>
      <c r="G45" s="7732" t="s">
        <v>5869</v>
      </c>
      <c r="H45" s="7733"/>
      <c r="I45" s="7733"/>
      <c r="J45" s="7734"/>
      <c r="K45" s="3975"/>
      <c r="L45" s="3998"/>
      <c r="M45" s="366"/>
      <c r="N45" s="366"/>
    </row>
    <row r="46" spans="1:14" ht="30" customHeight="1" x14ac:dyDescent="0.2">
      <c r="A46" s="7879"/>
      <c r="B46" s="7717"/>
      <c r="C46" s="7873"/>
      <c r="D46" s="4005">
        <v>60000000</v>
      </c>
      <c r="E46" s="896">
        <v>5.8000000000000003E-2</v>
      </c>
      <c r="F46" s="4005">
        <v>3500000</v>
      </c>
      <c r="G46" s="7732" t="s">
        <v>5797</v>
      </c>
      <c r="H46" s="7733"/>
      <c r="I46" s="7733"/>
      <c r="J46" s="7734"/>
      <c r="K46" s="3973"/>
      <c r="L46" s="3998" t="s">
        <v>5774</v>
      </c>
      <c r="M46" s="366"/>
      <c r="N46" s="366"/>
    </row>
    <row r="47" spans="1:14" ht="30" customHeight="1" x14ac:dyDescent="0.2">
      <c r="A47" s="3492"/>
      <c r="B47" s="3495" t="s">
        <v>803</v>
      </c>
      <c r="C47" s="3514" t="s">
        <v>359</v>
      </c>
      <c r="D47" s="3482">
        <v>700000000</v>
      </c>
      <c r="E47" s="3498">
        <v>0.05</v>
      </c>
      <c r="F47" s="3482">
        <f t="shared" ref="F47:F61" si="7">D47*E47</f>
        <v>35000000</v>
      </c>
      <c r="G47" s="3513">
        <v>35000000</v>
      </c>
      <c r="H47" s="3513" t="s">
        <v>1879</v>
      </c>
      <c r="I47" s="3513" t="s">
        <v>3156</v>
      </c>
      <c r="J47" s="3513">
        <f>G47</f>
        <v>35000000</v>
      </c>
      <c r="K47" s="3482">
        <f>F47-J47</f>
        <v>0</v>
      </c>
      <c r="L47" s="736"/>
      <c r="M47" s="366"/>
      <c r="N47" s="366"/>
    </row>
    <row r="48" spans="1:14" ht="30" customHeight="1" x14ac:dyDescent="0.2">
      <c r="A48" s="7654">
        <v>27</v>
      </c>
      <c r="B48" s="7652" t="s">
        <v>807</v>
      </c>
      <c r="C48" s="7723" t="s">
        <v>1299</v>
      </c>
      <c r="D48" s="3481">
        <v>500000000</v>
      </c>
      <c r="E48" s="3488">
        <v>7.0000000000000007E-2</v>
      </c>
      <c r="F48" s="3481">
        <f t="shared" si="7"/>
        <v>35000000</v>
      </c>
      <c r="G48" s="7563">
        <v>45500000</v>
      </c>
      <c r="H48" s="7563" t="s">
        <v>2341</v>
      </c>
      <c r="I48" s="7762" t="s">
        <v>3034</v>
      </c>
      <c r="J48" s="7563">
        <f t="shared" ref="J48:J58" si="8">G48</f>
        <v>45500000</v>
      </c>
      <c r="K48" s="7563">
        <f>F51-J48</f>
        <v>0</v>
      </c>
      <c r="L48" s="736" t="s">
        <v>5582</v>
      </c>
      <c r="M48" s="366"/>
      <c r="N48" s="366"/>
    </row>
    <row r="49" spans="1:14" ht="30" customHeight="1" x14ac:dyDescent="0.2">
      <c r="A49" s="7656"/>
      <c r="B49" s="7665"/>
      <c r="C49" s="7747"/>
      <c r="D49" s="3768">
        <v>500000000</v>
      </c>
      <c r="E49" s="3769">
        <v>0.05</v>
      </c>
      <c r="F49" s="3768">
        <f>D49*E49</f>
        <v>25000000</v>
      </c>
      <c r="G49" s="7586"/>
      <c r="H49" s="7586"/>
      <c r="I49" s="8114"/>
      <c r="J49" s="7586"/>
      <c r="K49" s="7586"/>
      <c r="L49" s="736" t="s">
        <v>5583</v>
      </c>
      <c r="M49" s="366"/>
      <c r="N49" s="366"/>
    </row>
    <row r="50" spans="1:14" ht="30" customHeight="1" x14ac:dyDescent="0.2">
      <c r="A50" s="7656"/>
      <c r="B50" s="7665"/>
      <c r="C50" s="7747"/>
      <c r="D50" s="3481">
        <v>150000000</v>
      </c>
      <c r="E50" s="3488">
        <v>7.0000000000000007E-2</v>
      </c>
      <c r="F50" s="3481">
        <f>D50*E50</f>
        <v>10500000.000000002</v>
      </c>
      <c r="G50" s="7586"/>
      <c r="H50" s="7586"/>
      <c r="I50" s="8114"/>
      <c r="J50" s="7586"/>
      <c r="K50" s="7586"/>
      <c r="L50" s="736" t="s">
        <v>5584</v>
      </c>
      <c r="M50" s="366"/>
      <c r="N50" s="366"/>
    </row>
    <row r="51" spans="1:14" ht="30" customHeight="1" x14ac:dyDescent="0.2">
      <c r="A51" s="7655"/>
      <c r="B51" s="7653"/>
      <c r="C51" s="7724"/>
      <c r="D51" s="3569">
        <f>D48+D50</f>
        <v>650000000</v>
      </c>
      <c r="E51" s="3571">
        <v>7.0000000000000007E-2</v>
      </c>
      <c r="F51" s="3569">
        <f>D51*E51</f>
        <v>45500000.000000007</v>
      </c>
      <c r="G51" s="7564"/>
      <c r="H51" s="7564"/>
      <c r="I51" s="7763"/>
      <c r="J51" s="7564"/>
      <c r="K51" s="7564"/>
      <c r="L51" s="736" t="s">
        <v>5206</v>
      </c>
      <c r="M51" s="366"/>
      <c r="N51" s="366"/>
    </row>
    <row r="52" spans="1:14" ht="30" customHeight="1" x14ac:dyDescent="0.2">
      <c r="A52" s="7654"/>
      <c r="B52" s="7652" t="s">
        <v>3369</v>
      </c>
      <c r="C52" s="7723" t="s">
        <v>1299</v>
      </c>
      <c r="D52" s="7482">
        <v>700000000</v>
      </c>
      <c r="E52" s="7870">
        <v>0.06</v>
      </c>
      <c r="F52" s="7482">
        <f t="shared" si="7"/>
        <v>42000000</v>
      </c>
      <c r="G52" s="3513">
        <v>10000000</v>
      </c>
      <c r="H52" s="3513" t="s">
        <v>1013</v>
      </c>
      <c r="I52" s="3513" t="s">
        <v>821</v>
      </c>
      <c r="J52" s="3513">
        <f>G52</f>
        <v>10000000</v>
      </c>
      <c r="K52" s="3513"/>
      <c r="L52" s="3494" t="s">
        <v>5196</v>
      </c>
      <c r="M52" s="366"/>
      <c r="N52" s="366"/>
    </row>
    <row r="53" spans="1:14" ht="30" customHeight="1" x14ac:dyDescent="0.2">
      <c r="A53" s="7656"/>
      <c r="B53" s="7665"/>
      <c r="C53" s="7747"/>
      <c r="D53" s="7482"/>
      <c r="E53" s="7870"/>
      <c r="F53" s="7482"/>
      <c r="G53" s="3483">
        <v>16000000</v>
      </c>
      <c r="H53" s="3509" t="s">
        <v>5634</v>
      </c>
      <c r="I53" s="3929" t="s">
        <v>820</v>
      </c>
      <c r="J53" s="7482">
        <f>G53+G54</f>
        <v>36000000</v>
      </c>
      <c r="K53" s="7563">
        <f>F52-6000000-J53</f>
        <v>0</v>
      </c>
      <c r="L53" s="7713" t="s">
        <v>5696</v>
      </c>
      <c r="M53" s="366"/>
      <c r="N53" s="366"/>
    </row>
    <row r="54" spans="1:14" ht="30" customHeight="1" x14ac:dyDescent="0.2">
      <c r="A54" s="7656"/>
      <c r="B54" s="7665"/>
      <c r="C54" s="7747"/>
      <c r="D54" s="7482"/>
      <c r="E54" s="7870"/>
      <c r="F54" s="7482"/>
      <c r="G54" s="3483">
        <v>20000000</v>
      </c>
      <c r="H54" s="3990" t="s">
        <v>5735</v>
      </c>
      <c r="I54" s="233" t="s">
        <v>820</v>
      </c>
      <c r="J54" s="7482"/>
      <c r="K54" s="7564"/>
      <c r="L54" s="7714"/>
      <c r="M54" s="366"/>
      <c r="N54" s="366"/>
    </row>
    <row r="55" spans="1:14" ht="30" customHeight="1" x14ac:dyDescent="0.2">
      <c r="A55" s="3573">
        <v>29</v>
      </c>
      <c r="B55" s="3530" t="s">
        <v>839</v>
      </c>
      <c r="C55" s="3503" t="s">
        <v>1306</v>
      </c>
      <c r="D55" s="3482">
        <v>42000000</v>
      </c>
      <c r="E55" s="3498">
        <v>7.0000000000000007E-2</v>
      </c>
      <c r="F55" s="3482">
        <f t="shared" si="7"/>
        <v>2940000.0000000005</v>
      </c>
      <c r="G55" s="3482">
        <v>2940000</v>
      </c>
      <c r="H55" s="3525" t="s">
        <v>5849</v>
      </c>
      <c r="I55" s="1537" t="s">
        <v>5851</v>
      </c>
      <c r="J55" s="3482">
        <f t="shared" si="8"/>
        <v>2940000</v>
      </c>
      <c r="K55" s="3482">
        <f t="shared" ref="K55:K58" si="9">F55-J55</f>
        <v>0</v>
      </c>
      <c r="L55" s="3548"/>
      <c r="M55" s="366"/>
      <c r="N55" s="366"/>
    </row>
    <row r="56" spans="1:14" s="1539" customFormat="1" ht="30" customHeight="1" x14ac:dyDescent="0.2">
      <c r="A56" s="7654">
        <v>30</v>
      </c>
      <c r="B56" s="7717" t="s">
        <v>843</v>
      </c>
      <c r="C56" s="7873" t="s">
        <v>1107</v>
      </c>
      <c r="D56" s="7563">
        <v>40000000</v>
      </c>
      <c r="E56" s="7659">
        <v>0.05</v>
      </c>
      <c r="F56" s="7563">
        <f t="shared" si="7"/>
        <v>2000000</v>
      </c>
      <c r="G56" s="4082">
        <v>1600000</v>
      </c>
      <c r="H56" s="4082" t="s">
        <v>5849</v>
      </c>
      <c r="I56" s="4094" t="s">
        <v>3105</v>
      </c>
      <c r="J56" s="7563">
        <f>G56+G57</f>
        <v>2000000</v>
      </c>
      <c r="K56" s="7482">
        <f>F56-J56</f>
        <v>0</v>
      </c>
      <c r="L56" s="736"/>
      <c r="M56" s="9"/>
      <c r="N56" s="9"/>
    </row>
    <row r="57" spans="1:14" ht="30" customHeight="1" x14ac:dyDescent="0.2">
      <c r="A57" s="7656"/>
      <c r="B57" s="7717"/>
      <c r="C57" s="7873"/>
      <c r="D57" s="7564"/>
      <c r="E57" s="7660"/>
      <c r="F57" s="7564"/>
      <c r="G57" s="4086">
        <v>400000</v>
      </c>
      <c r="H57" s="4087" t="s">
        <v>5849</v>
      </c>
      <c r="I57" s="64" t="s">
        <v>3105</v>
      </c>
      <c r="J57" s="7564"/>
      <c r="K57" s="7482"/>
      <c r="L57" s="180"/>
      <c r="M57" s="366"/>
      <c r="N57" s="366"/>
    </row>
    <row r="58" spans="1:14" ht="30" customHeight="1" x14ac:dyDescent="0.2">
      <c r="A58" s="3486">
        <v>31</v>
      </c>
      <c r="B58" s="3530" t="s">
        <v>915</v>
      </c>
      <c r="C58" s="3503"/>
      <c r="D58" s="3513">
        <v>100000000</v>
      </c>
      <c r="E58" s="3523">
        <v>7.0000000000000007E-2</v>
      </c>
      <c r="F58" s="3513">
        <f t="shared" si="7"/>
        <v>7000000.0000000009</v>
      </c>
      <c r="G58" s="3483">
        <v>7000000</v>
      </c>
      <c r="H58" s="3509" t="s">
        <v>5948</v>
      </c>
      <c r="I58" s="64" t="s">
        <v>3195</v>
      </c>
      <c r="J58" s="3481">
        <f t="shared" si="8"/>
        <v>7000000</v>
      </c>
      <c r="K58" s="3481">
        <f t="shared" si="9"/>
        <v>0</v>
      </c>
      <c r="L58" s="3496"/>
      <c r="M58" s="366"/>
      <c r="N58" s="366"/>
    </row>
    <row r="59" spans="1:14" ht="30" customHeight="1" x14ac:dyDescent="0.2">
      <c r="A59" s="7654">
        <v>32</v>
      </c>
      <c r="B59" s="7652" t="s">
        <v>982</v>
      </c>
      <c r="C59" s="7723" t="s">
        <v>1306</v>
      </c>
      <c r="D59" s="3483">
        <v>100000000</v>
      </c>
      <c r="E59" s="3489">
        <v>0.05</v>
      </c>
      <c r="F59" s="3483">
        <f t="shared" si="7"/>
        <v>5000000</v>
      </c>
      <c r="G59" s="7563"/>
      <c r="H59" s="7563"/>
      <c r="I59" s="7762" t="s">
        <v>2986</v>
      </c>
      <c r="J59" s="7563">
        <f>G59</f>
        <v>0</v>
      </c>
      <c r="K59" s="7563">
        <f>(F59+F60+F61)-J59</f>
        <v>8850000</v>
      </c>
      <c r="L59" s="7713"/>
      <c r="M59" s="366"/>
      <c r="N59" s="366"/>
    </row>
    <row r="60" spans="1:14" ht="30" customHeight="1" x14ac:dyDescent="0.2">
      <c r="A60" s="7656"/>
      <c r="B60" s="7665"/>
      <c r="C60" s="7747"/>
      <c r="D60" s="3483">
        <v>35000000</v>
      </c>
      <c r="E60" s="3489">
        <v>7.0000000000000007E-2</v>
      </c>
      <c r="F60" s="3483">
        <f t="shared" si="7"/>
        <v>2450000.0000000005</v>
      </c>
      <c r="G60" s="7586"/>
      <c r="H60" s="7586"/>
      <c r="I60" s="8114"/>
      <c r="J60" s="7586"/>
      <c r="K60" s="7586"/>
      <c r="L60" s="7797"/>
      <c r="M60" s="366"/>
      <c r="N60" s="366"/>
    </row>
    <row r="61" spans="1:14" ht="30" customHeight="1" x14ac:dyDescent="0.2">
      <c r="A61" s="7655"/>
      <c r="B61" s="7653"/>
      <c r="C61" s="7724"/>
      <c r="D61" s="3513">
        <v>20000000</v>
      </c>
      <c r="E61" s="3523">
        <v>7.0000000000000007E-2</v>
      </c>
      <c r="F61" s="3513">
        <f t="shared" si="7"/>
        <v>1400000.0000000002</v>
      </c>
      <c r="G61" s="7564"/>
      <c r="H61" s="7564"/>
      <c r="I61" s="7763"/>
      <c r="J61" s="7564"/>
      <c r="K61" s="7564"/>
      <c r="L61" s="7997"/>
      <c r="M61" s="7733"/>
      <c r="N61" s="7734"/>
    </row>
    <row r="62" spans="1:14" ht="30" customHeight="1" x14ac:dyDescent="0.2">
      <c r="A62" s="3487">
        <v>33</v>
      </c>
      <c r="B62" s="3491" t="s">
        <v>993</v>
      </c>
      <c r="C62" s="3504" t="s">
        <v>1287</v>
      </c>
      <c r="D62" s="3483">
        <v>63580000</v>
      </c>
      <c r="E62" s="3489">
        <v>7.0000000000000007E-2</v>
      </c>
      <c r="F62" s="3483">
        <v>4450000</v>
      </c>
      <c r="G62" s="3483">
        <v>4450000</v>
      </c>
      <c r="H62" s="3483" t="s">
        <v>5697</v>
      </c>
      <c r="I62" s="64" t="s">
        <v>484</v>
      </c>
      <c r="J62" s="3483">
        <f>G62</f>
        <v>4450000</v>
      </c>
      <c r="K62" s="3483">
        <f t="shared" ref="K62:K75" si="10">F62-J62</f>
        <v>0</v>
      </c>
      <c r="L62" s="3494"/>
      <c r="M62" s="366"/>
      <c r="N62" s="366"/>
    </row>
    <row r="63" spans="1:14" ht="30" customHeight="1" x14ac:dyDescent="0.2">
      <c r="A63" s="3487">
        <v>34</v>
      </c>
      <c r="B63" s="3495" t="s">
        <v>1110</v>
      </c>
      <c r="C63" s="3504" t="s">
        <v>1306</v>
      </c>
      <c r="D63" s="3483">
        <v>20000000</v>
      </c>
      <c r="E63" s="3489">
        <v>0.04</v>
      </c>
      <c r="F63" s="3483">
        <f t="shared" ref="F63:F70" si="11">D63*E63</f>
        <v>800000</v>
      </c>
      <c r="G63" s="3483">
        <v>800000</v>
      </c>
      <c r="H63" s="3483" t="s">
        <v>2341</v>
      </c>
      <c r="I63" s="64" t="s">
        <v>1112</v>
      </c>
      <c r="J63" s="3483">
        <f>G63</f>
        <v>800000</v>
      </c>
      <c r="K63" s="3483">
        <f t="shared" si="10"/>
        <v>0</v>
      </c>
      <c r="L63" s="3494"/>
      <c r="M63" s="366"/>
      <c r="N63" s="366"/>
    </row>
    <row r="64" spans="1:14" ht="30" customHeight="1" x14ac:dyDescent="0.2">
      <c r="A64" s="3526">
        <v>35</v>
      </c>
      <c r="B64" s="19" t="s">
        <v>1150</v>
      </c>
      <c r="C64" s="3529" t="s">
        <v>1138</v>
      </c>
      <c r="D64" s="3513">
        <v>175000000</v>
      </c>
      <c r="E64" s="3523">
        <v>0.06</v>
      </c>
      <c r="F64" s="3513">
        <f t="shared" si="11"/>
        <v>10500000</v>
      </c>
      <c r="G64" s="3513">
        <v>10500000</v>
      </c>
      <c r="H64" s="3513" t="s">
        <v>5990</v>
      </c>
      <c r="I64" s="3513" t="s">
        <v>1720</v>
      </c>
      <c r="J64" s="3513">
        <f>G64</f>
        <v>10500000</v>
      </c>
      <c r="K64" s="3513">
        <f>F64-J64</f>
        <v>0</v>
      </c>
      <c r="L64" s="3561"/>
      <c r="M64" s="366"/>
      <c r="N64" s="366"/>
    </row>
    <row r="65" spans="1:14" ht="30" customHeight="1" x14ac:dyDescent="0.2">
      <c r="A65" s="7654">
        <v>36</v>
      </c>
      <c r="B65" s="7652" t="s">
        <v>3370</v>
      </c>
      <c r="C65" s="7723" t="s">
        <v>1081</v>
      </c>
      <c r="D65" s="3513">
        <v>50000000</v>
      </c>
      <c r="E65" s="3523">
        <v>7.0000000000000007E-2</v>
      </c>
      <c r="F65" s="3513">
        <f t="shared" si="11"/>
        <v>3500000.0000000005</v>
      </c>
      <c r="G65" s="7563">
        <v>17500000</v>
      </c>
      <c r="H65" s="7563" t="s">
        <v>5995</v>
      </c>
      <c r="I65" s="8180" t="s">
        <v>4264</v>
      </c>
      <c r="J65" s="7563">
        <f>G65</f>
        <v>17500000</v>
      </c>
      <c r="K65" s="7563">
        <f>(F65+F66+F67)-J65</f>
        <v>0</v>
      </c>
      <c r="L65" s="3493"/>
      <c r="M65" s="366"/>
      <c r="N65" s="366"/>
    </row>
    <row r="66" spans="1:14" ht="30" customHeight="1" x14ac:dyDescent="0.2">
      <c r="A66" s="7656"/>
      <c r="B66" s="7665"/>
      <c r="C66" s="7747"/>
      <c r="D66" s="3483">
        <v>40000000</v>
      </c>
      <c r="E66" s="3523">
        <v>7.0000000000000007E-2</v>
      </c>
      <c r="F66" s="3513">
        <f t="shared" si="11"/>
        <v>2800000.0000000005</v>
      </c>
      <c r="G66" s="7586"/>
      <c r="H66" s="7586"/>
      <c r="I66" s="8220"/>
      <c r="J66" s="7586"/>
      <c r="K66" s="7586"/>
      <c r="L66" s="3548" t="s">
        <v>4963</v>
      </c>
      <c r="M66" s="366"/>
      <c r="N66" s="366"/>
    </row>
    <row r="67" spans="1:14" ht="30" customHeight="1" x14ac:dyDescent="0.2">
      <c r="A67" s="7656"/>
      <c r="B67" s="7665"/>
      <c r="C67" s="7747"/>
      <c r="D67" s="3483">
        <v>160000000</v>
      </c>
      <c r="E67" s="3489">
        <v>7.0000000000000007E-2</v>
      </c>
      <c r="F67" s="3513">
        <f t="shared" si="11"/>
        <v>11200000.000000002</v>
      </c>
      <c r="G67" s="7564"/>
      <c r="H67" s="7564"/>
      <c r="I67" s="8183"/>
      <c r="J67" s="7564"/>
      <c r="K67" s="7564"/>
      <c r="L67" s="3494" t="s">
        <v>4964</v>
      </c>
      <c r="M67" s="366"/>
      <c r="N67" s="366"/>
    </row>
    <row r="68" spans="1:14" ht="30" customHeight="1" x14ac:dyDescent="0.2">
      <c r="A68" s="7654"/>
      <c r="B68" s="7652" t="s">
        <v>4965</v>
      </c>
      <c r="C68" s="7723" t="s">
        <v>3216</v>
      </c>
      <c r="D68" s="7563">
        <v>19200000</v>
      </c>
      <c r="E68" s="7659">
        <v>0.05</v>
      </c>
      <c r="F68" s="7563">
        <f t="shared" si="11"/>
        <v>960000</v>
      </c>
      <c r="G68" s="7991" t="s">
        <v>5023</v>
      </c>
      <c r="H68" s="7992"/>
      <c r="I68" s="7992"/>
      <c r="J68" s="7993"/>
      <c r="K68" s="7563"/>
      <c r="L68" s="3494"/>
      <c r="M68" s="366"/>
      <c r="N68" s="366"/>
    </row>
    <row r="69" spans="1:14" ht="30" customHeight="1" x14ac:dyDescent="0.2">
      <c r="A69" s="7656"/>
      <c r="B69" s="7665"/>
      <c r="C69" s="7747"/>
      <c r="D69" s="7564"/>
      <c r="E69" s="7660"/>
      <c r="F69" s="7564"/>
      <c r="G69" s="7997"/>
      <c r="H69" s="7998"/>
      <c r="I69" s="7998"/>
      <c r="J69" s="7999"/>
      <c r="K69" s="7564"/>
      <c r="L69" s="3494"/>
      <c r="M69" s="366"/>
      <c r="N69" s="366"/>
    </row>
    <row r="70" spans="1:14" ht="30" customHeight="1" x14ac:dyDescent="0.2">
      <c r="A70" s="7656"/>
      <c r="B70" s="7665"/>
      <c r="C70" s="7747"/>
      <c r="D70" s="7563">
        <v>20000000</v>
      </c>
      <c r="E70" s="7659">
        <v>0.05</v>
      </c>
      <c r="F70" s="7563">
        <f t="shared" si="11"/>
        <v>1000000</v>
      </c>
      <c r="G70" s="7732" t="s">
        <v>5029</v>
      </c>
      <c r="H70" s="7733"/>
      <c r="I70" s="7733"/>
      <c r="J70" s="7734"/>
      <c r="K70" s="3483"/>
      <c r="L70" s="3494"/>
      <c r="M70" s="366"/>
      <c r="N70" s="366"/>
    </row>
    <row r="71" spans="1:14" ht="30" customHeight="1" x14ac:dyDescent="0.2">
      <c r="A71" s="7655"/>
      <c r="B71" s="7653"/>
      <c r="C71" s="7724"/>
      <c r="D71" s="7564"/>
      <c r="E71" s="7660"/>
      <c r="F71" s="7564"/>
      <c r="G71" s="3973">
        <v>1160000</v>
      </c>
      <c r="H71" s="3973" t="s">
        <v>5839</v>
      </c>
      <c r="I71" s="3973" t="s">
        <v>5840</v>
      </c>
      <c r="J71" s="3973">
        <f>G71</f>
        <v>1160000</v>
      </c>
      <c r="K71" s="3975"/>
      <c r="L71" s="3983" t="s">
        <v>5841</v>
      </c>
      <c r="M71" s="366"/>
      <c r="N71" s="366"/>
    </row>
    <row r="72" spans="1:14" ht="30" customHeight="1" x14ac:dyDescent="0.2">
      <c r="A72" s="3487">
        <v>38</v>
      </c>
      <c r="B72" s="3490" t="s">
        <v>1254</v>
      </c>
      <c r="C72" s="3504"/>
      <c r="D72" s="298"/>
      <c r="E72" s="299"/>
      <c r="F72" s="298"/>
      <c r="G72" s="3483"/>
      <c r="H72" s="3483"/>
      <c r="I72" s="64"/>
      <c r="J72" s="3483"/>
      <c r="K72" s="3501">
        <f t="shared" si="10"/>
        <v>0</v>
      </c>
      <c r="L72" s="3494"/>
    </row>
    <row r="73" spans="1:14" ht="30" customHeight="1" x14ac:dyDescent="0.2">
      <c r="A73" s="3487">
        <v>39</v>
      </c>
      <c r="B73" s="3490" t="s">
        <v>1213</v>
      </c>
      <c r="C73" s="3504"/>
      <c r="D73" s="298"/>
      <c r="E73" s="299"/>
      <c r="F73" s="298"/>
      <c r="G73" s="3483"/>
      <c r="H73" s="3483"/>
      <c r="I73" s="64"/>
      <c r="J73" s="3483"/>
      <c r="K73" s="3501">
        <f t="shared" si="10"/>
        <v>0</v>
      </c>
      <c r="L73" s="3494"/>
    </row>
    <row r="74" spans="1:14" ht="30" customHeight="1" x14ac:dyDescent="0.2">
      <c r="A74" s="3487">
        <v>40</v>
      </c>
      <c r="B74" s="3490" t="s">
        <v>1265</v>
      </c>
      <c r="C74" s="3504" t="s">
        <v>1289</v>
      </c>
      <c r="D74" s="3551">
        <v>16000000</v>
      </c>
      <c r="E74" s="300">
        <v>0.05</v>
      </c>
      <c r="F74" s="3551">
        <f>D74*E74</f>
        <v>800000</v>
      </c>
      <c r="G74" s="3483">
        <v>800000</v>
      </c>
      <c r="H74" s="3483" t="s">
        <v>5735</v>
      </c>
      <c r="I74" s="64" t="s">
        <v>1268</v>
      </c>
      <c r="J74" s="3483">
        <f>G74</f>
        <v>800000</v>
      </c>
      <c r="K74" s="3483">
        <f t="shared" si="10"/>
        <v>0</v>
      </c>
      <c r="L74" s="3494"/>
    </row>
    <row r="75" spans="1:14" ht="30" customHeight="1" x14ac:dyDescent="0.2">
      <c r="A75" s="3487">
        <v>41</v>
      </c>
      <c r="B75" s="3490" t="s">
        <v>1285</v>
      </c>
      <c r="C75" s="3504"/>
      <c r="D75" s="298"/>
      <c r="E75" s="299"/>
      <c r="F75" s="298"/>
      <c r="G75" s="3483"/>
      <c r="H75" s="3483"/>
      <c r="I75" s="64"/>
      <c r="J75" s="3483"/>
      <c r="K75" s="3501">
        <f t="shared" si="10"/>
        <v>0</v>
      </c>
      <c r="L75" s="3494"/>
    </row>
    <row r="76" spans="1:14" ht="30" customHeight="1" x14ac:dyDescent="0.2">
      <c r="A76" s="3487">
        <v>42</v>
      </c>
      <c r="B76" s="3530" t="s">
        <v>183</v>
      </c>
      <c r="C76" s="3504"/>
      <c r="D76" s="3483">
        <v>60000000</v>
      </c>
      <c r="E76" s="3523">
        <v>0.05</v>
      </c>
      <c r="F76" s="3483">
        <f t="shared" ref="F76:F232" si="12">D76*E76</f>
        <v>3000000</v>
      </c>
      <c r="G76" s="7563">
        <v>3500000</v>
      </c>
      <c r="H76" s="7563" t="s">
        <v>1527</v>
      </c>
      <c r="I76" s="7775" t="s">
        <v>4864</v>
      </c>
      <c r="J76" s="7563">
        <f>G76</f>
        <v>3500000</v>
      </c>
      <c r="K76" s="7563">
        <f>(F76+F77)-J76</f>
        <v>0</v>
      </c>
      <c r="L76" s="7703"/>
    </row>
    <row r="77" spans="1:14" ht="30" customHeight="1" x14ac:dyDescent="0.2">
      <c r="A77" s="3487">
        <v>43</v>
      </c>
      <c r="B77" s="3527" t="s">
        <v>1079</v>
      </c>
      <c r="C77" s="3504"/>
      <c r="D77" s="3483">
        <v>10000000</v>
      </c>
      <c r="E77" s="3523">
        <v>0.05</v>
      </c>
      <c r="F77" s="3483">
        <f>D77*E77</f>
        <v>500000</v>
      </c>
      <c r="G77" s="7564"/>
      <c r="H77" s="7564"/>
      <c r="I77" s="7777"/>
      <c r="J77" s="7564"/>
      <c r="K77" s="7564"/>
      <c r="L77" s="7705"/>
    </row>
    <row r="78" spans="1:14" ht="30" customHeight="1" x14ac:dyDescent="0.2">
      <c r="A78" s="3487">
        <v>44</v>
      </c>
      <c r="B78" s="3527" t="s">
        <v>184</v>
      </c>
      <c r="C78" s="3504" t="s">
        <v>889</v>
      </c>
      <c r="D78" s="3483">
        <v>150000000</v>
      </c>
      <c r="E78" s="3523">
        <v>0.05</v>
      </c>
      <c r="F78" s="3483">
        <f t="shared" si="12"/>
        <v>7500000</v>
      </c>
      <c r="G78" s="3483">
        <v>7500000</v>
      </c>
      <c r="H78" s="3483" t="s">
        <v>5340</v>
      </c>
      <c r="I78" s="3513" t="s">
        <v>1339</v>
      </c>
      <c r="J78" s="3483">
        <f>G78</f>
        <v>7500000</v>
      </c>
      <c r="K78" s="3483">
        <f>F78-J78</f>
        <v>0</v>
      </c>
      <c r="L78" s="3527"/>
    </row>
    <row r="79" spans="1:14" ht="30" customHeight="1" x14ac:dyDescent="0.2">
      <c r="A79" s="7654">
        <v>45</v>
      </c>
      <c r="B79" s="7652" t="s">
        <v>185</v>
      </c>
      <c r="C79" s="7723" t="s">
        <v>1295</v>
      </c>
      <c r="D79" s="3513">
        <v>1590000000</v>
      </c>
      <c r="E79" s="3523">
        <v>7.0000000000000007E-2</v>
      </c>
      <c r="F79" s="3513">
        <f>D79*E79</f>
        <v>111300000.00000001</v>
      </c>
      <c r="G79" s="7563">
        <v>50000000</v>
      </c>
      <c r="H79" s="7563" t="s">
        <v>5345</v>
      </c>
      <c r="I79" s="7561" t="s">
        <v>2696</v>
      </c>
      <c r="J79" s="7563">
        <f>G79+G81</f>
        <v>50000000</v>
      </c>
      <c r="K79" s="7563">
        <f>F82-J79</f>
        <v>96300000</v>
      </c>
      <c r="L79" s="7703"/>
    </row>
    <row r="80" spans="1:14" ht="30" customHeight="1" x14ac:dyDescent="0.2">
      <c r="A80" s="7656"/>
      <c r="B80" s="7665"/>
      <c r="C80" s="7747"/>
      <c r="D80" s="3481">
        <f>D79+100000000</f>
        <v>1690000000</v>
      </c>
      <c r="E80" s="3488">
        <v>7.0000000000000007E-2</v>
      </c>
      <c r="F80" s="3481">
        <f>D80*E80</f>
        <v>118300000.00000001</v>
      </c>
      <c r="G80" s="7586"/>
      <c r="H80" s="7586"/>
      <c r="I80" s="7672"/>
      <c r="J80" s="7586"/>
      <c r="K80" s="7586"/>
      <c r="L80" s="7704"/>
    </row>
    <row r="81" spans="1:12" ht="30" customHeight="1" x14ac:dyDescent="0.2">
      <c r="A81" s="7656"/>
      <c r="B81" s="7665"/>
      <c r="C81" s="7747"/>
      <c r="D81" s="3481">
        <v>400000000</v>
      </c>
      <c r="E81" s="3488">
        <v>7.0000000000000007E-2</v>
      </c>
      <c r="F81" s="3481">
        <f>D81*E81</f>
        <v>28000000.000000004</v>
      </c>
      <c r="G81" s="7586"/>
      <c r="H81" s="7586"/>
      <c r="I81" s="7672"/>
      <c r="J81" s="7586"/>
      <c r="K81" s="7586"/>
      <c r="L81" s="3519"/>
    </row>
    <row r="82" spans="1:12" ht="30" customHeight="1" x14ac:dyDescent="0.2">
      <c r="A82" s="7656"/>
      <c r="B82" s="7665"/>
      <c r="C82" s="7747"/>
      <c r="D82" s="3569">
        <f>D80+D81</f>
        <v>2090000000</v>
      </c>
      <c r="E82" s="3571">
        <v>7.0000000000000007E-2</v>
      </c>
      <c r="F82" s="3569">
        <f>D82*E82</f>
        <v>146300000</v>
      </c>
      <c r="G82" s="7564"/>
      <c r="H82" s="7564"/>
      <c r="I82" s="7562"/>
      <c r="J82" s="7564"/>
      <c r="K82" s="7564"/>
      <c r="L82" s="3519"/>
    </row>
    <row r="83" spans="1:12" ht="30" customHeight="1" x14ac:dyDescent="0.2">
      <c r="A83" s="7656"/>
      <c r="B83" s="7665"/>
      <c r="C83" s="7747"/>
      <c r="D83" s="3681">
        <v>96300000</v>
      </c>
      <c r="E83" s="3687">
        <v>7.0000000000000007E-2</v>
      </c>
      <c r="F83" s="3681">
        <f>D83*E83</f>
        <v>6741000.0000000009</v>
      </c>
      <c r="G83" s="8000" t="s">
        <v>6124</v>
      </c>
      <c r="H83" s="8000"/>
      <c r="I83" s="8000"/>
      <c r="J83" s="8000"/>
      <c r="K83" s="3682"/>
      <c r="L83" s="3700"/>
    </row>
    <row r="84" spans="1:12" ht="30" customHeight="1" x14ac:dyDescent="0.2">
      <c r="A84" s="7656"/>
      <c r="B84" s="7665"/>
      <c r="C84" s="7747"/>
      <c r="D84" s="4396">
        <v>23700000</v>
      </c>
      <c r="E84" s="3687"/>
      <c r="F84" s="3681"/>
      <c r="G84" s="8000" t="s">
        <v>5633</v>
      </c>
      <c r="H84" s="8000"/>
      <c r="I84" s="8000"/>
      <c r="J84" s="8000"/>
      <c r="K84" s="3682"/>
      <c r="L84" s="3700"/>
    </row>
    <row r="85" spans="1:12" ht="30" customHeight="1" x14ac:dyDescent="0.2">
      <c r="A85" s="7656"/>
      <c r="B85" s="7665"/>
      <c r="C85" s="7747"/>
      <c r="D85" s="4396"/>
      <c r="E85" s="3878"/>
      <c r="F85" s="3873"/>
      <c r="G85" s="7732" t="s">
        <v>5641</v>
      </c>
      <c r="H85" s="7733"/>
      <c r="I85" s="7733"/>
      <c r="J85" s="7734"/>
      <c r="K85" s="3874"/>
      <c r="L85" s="3890"/>
    </row>
    <row r="86" spans="1:12" ht="30" customHeight="1" x14ac:dyDescent="0.2">
      <c r="A86" s="7656"/>
      <c r="B86" s="7665"/>
      <c r="C86" s="7747"/>
      <c r="D86" s="3708">
        <f>D82+D83+D84</f>
        <v>2210000000</v>
      </c>
      <c r="E86" s="3710">
        <v>7.0000000000000007E-2</v>
      </c>
      <c r="F86" s="3708">
        <f>D86*E86</f>
        <v>154700000</v>
      </c>
      <c r="G86" s="7997" t="s">
        <v>5594</v>
      </c>
      <c r="H86" s="7998"/>
      <c r="I86" s="7998"/>
      <c r="J86" s="7999"/>
      <c r="K86" s="3682"/>
      <c r="L86" s="3700"/>
    </row>
    <row r="87" spans="1:12" ht="30" customHeight="1" x14ac:dyDescent="0.2">
      <c r="A87" s="7655"/>
      <c r="B87" s="7653"/>
      <c r="C87" s="7724"/>
      <c r="D87" s="4226">
        <v>15000000</v>
      </c>
      <c r="E87" s="4229"/>
      <c r="F87" s="4226"/>
      <c r="G87" s="7732" t="s">
        <v>6080</v>
      </c>
      <c r="H87" s="7733"/>
      <c r="I87" s="7733"/>
      <c r="J87" s="7734"/>
      <c r="K87" s="4227"/>
      <c r="L87" s="4234"/>
    </row>
    <row r="88" spans="1:12" ht="30" customHeight="1" x14ac:dyDescent="0.2">
      <c r="A88" s="7654">
        <v>46</v>
      </c>
      <c r="B88" s="7652" t="s">
        <v>186</v>
      </c>
      <c r="C88" s="7723" t="s">
        <v>4105</v>
      </c>
      <c r="D88" s="7563">
        <v>1000000000</v>
      </c>
      <c r="E88" s="7659">
        <v>0.09</v>
      </c>
      <c r="F88" s="7563">
        <f>D88*E88</f>
        <v>90000000</v>
      </c>
      <c r="G88" s="8105" t="s">
        <v>6131</v>
      </c>
      <c r="H88" s="8106"/>
      <c r="I88" s="8106"/>
      <c r="J88" s="8107"/>
      <c r="K88" s="7563"/>
      <c r="L88" s="3538"/>
    </row>
    <row r="89" spans="1:12" ht="30" customHeight="1" x14ac:dyDescent="0.2">
      <c r="A89" s="7656"/>
      <c r="B89" s="7665"/>
      <c r="C89" s="7747"/>
      <c r="D89" s="7586"/>
      <c r="E89" s="7676"/>
      <c r="F89" s="7586"/>
      <c r="G89" s="8108"/>
      <c r="H89" s="8109"/>
      <c r="I89" s="8109"/>
      <c r="J89" s="8110"/>
      <c r="K89" s="7586"/>
      <c r="L89" s="3549"/>
    </row>
    <row r="90" spans="1:12" ht="30" customHeight="1" x14ac:dyDescent="0.2">
      <c r="A90" s="7656"/>
      <c r="B90" s="7665"/>
      <c r="C90" s="7747"/>
      <c r="D90" s="7586"/>
      <c r="E90" s="7676"/>
      <c r="F90" s="7586"/>
      <c r="G90" s="7857" t="s">
        <v>5457</v>
      </c>
      <c r="H90" s="7857"/>
      <c r="I90" s="7857"/>
      <c r="J90" s="7857"/>
      <c r="K90" s="7586"/>
      <c r="L90" s="3549"/>
    </row>
    <row r="91" spans="1:12" ht="30" customHeight="1" x14ac:dyDescent="0.2">
      <c r="A91" s="7656"/>
      <c r="B91" s="7665"/>
      <c r="C91" s="7747"/>
      <c r="D91" s="7564"/>
      <c r="E91" s="7660"/>
      <c r="F91" s="7564"/>
      <c r="G91" s="7857"/>
      <c r="H91" s="7857"/>
      <c r="I91" s="7857"/>
      <c r="J91" s="7857"/>
      <c r="K91" s="7564"/>
      <c r="L91" s="3549"/>
    </row>
    <row r="92" spans="1:12" ht="30" customHeight="1" x14ac:dyDescent="0.2">
      <c r="A92" s="7654">
        <v>47</v>
      </c>
      <c r="B92" s="7652" t="s">
        <v>187</v>
      </c>
      <c r="C92" s="7723" t="s">
        <v>1080</v>
      </c>
      <c r="D92" s="7563">
        <v>20000000</v>
      </c>
      <c r="E92" s="7659">
        <v>0.05</v>
      </c>
      <c r="F92" s="7563">
        <f t="shared" si="12"/>
        <v>1000000</v>
      </c>
      <c r="G92" s="3483"/>
      <c r="H92" s="3483"/>
      <c r="I92" s="3517" t="s">
        <v>4309</v>
      </c>
      <c r="J92" s="3483">
        <f>G92</f>
        <v>0</v>
      </c>
      <c r="K92" s="3483">
        <f>F92-J92</f>
        <v>1000000</v>
      </c>
      <c r="L92" s="763" t="s">
        <v>4437</v>
      </c>
    </row>
    <row r="93" spans="1:12" ht="30" customHeight="1" x14ac:dyDescent="0.2">
      <c r="A93" s="7655"/>
      <c r="B93" s="7653"/>
      <c r="C93" s="7724"/>
      <c r="D93" s="7564"/>
      <c r="E93" s="7660"/>
      <c r="F93" s="7564"/>
      <c r="G93" s="3483"/>
      <c r="H93" s="3483"/>
      <c r="I93" s="3517" t="s">
        <v>4309</v>
      </c>
      <c r="J93" s="3483">
        <f>G93</f>
        <v>0</v>
      </c>
      <c r="K93" s="3483">
        <f>F92-J93</f>
        <v>1000000</v>
      </c>
      <c r="L93" s="763" t="s">
        <v>4905</v>
      </c>
    </row>
    <row r="94" spans="1:12" ht="30" customHeight="1" x14ac:dyDescent="0.2">
      <c r="A94" s="7654">
        <v>48</v>
      </c>
      <c r="B94" s="7652" t="s">
        <v>1615</v>
      </c>
      <c r="C94" s="7723" t="s">
        <v>2849</v>
      </c>
      <c r="D94" s="3513">
        <v>100000000</v>
      </c>
      <c r="E94" s="3523">
        <v>0.05</v>
      </c>
      <c r="F94" s="3513">
        <f t="shared" si="12"/>
        <v>5000000</v>
      </c>
      <c r="G94" s="3483">
        <v>2666000</v>
      </c>
      <c r="H94" s="3483" t="s">
        <v>5596</v>
      </c>
      <c r="I94" s="3582" t="s">
        <v>3909</v>
      </c>
      <c r="J94" s="3483">
        <f>G94</f>
        <v>2666000</v>
      </c>
      <c r="K94" s="3483">
        <f>F94-J94</f>
        <v>2334000</v>
      </c>
      <c r="L94" s="3561" t="s">
        <v>5599</v>
      </c>
    </row>
    <row r="95" spans="1:12" ht="30" customHeight="1" x14ac:dyDescent="0.2">
      <c r="A95" s="7655"/>
      <c r="B95" s="7653"/>
      <c r="C95" s="7724"/>
      <c r="D95" s="3815">
        <v>400000000</v>
      </c>
      <c r="E95" s="896">
        <v>0.06</v>
      </c>
      <c r="F95" s="3815">
        <f>D95*E95</f>
        <v>24000000</v>
      </c>
      <c r="G95" s="7470" t="s">
        <v>5579</v>
      </c>
      <c r="H95" s="7493"/>
      <c r="I95" s="7493"/>
      <c r="J95" s="7493"/>
      <c r="K95" s="7510"/>
      <c r="L95" s="3758" t="s">
        <v>5578</v>
      </c>
    </row>
    <row r="96" spans="1:12" ht="30" customHeight="1" x14ac:dyDescent="0.2">
      <c r="A96" s="1028">
        <v>49</v>
      </c>
      <c r="B96" s="19" t="s">
        <v>189</v>
      </c>
      <c r="C96" s="3529" t="s">
        <v>1295</v>
      </c>
      <c r="D96" s="3513">
        <v>230000000</v>
      </c>
      <c r="E96" s="3523">
        <v>0.05</v>
      </c>
      <c r="F96" s="3513">
        <f t="shared" si="12"/>
        <v>11500000</v>
      </c>
      <c r="G96" s="3513">
        <v>12000000</v>
      </c>
      <c r="H96" s="3513" t="s">
        <v>5340</v>
      </c>
      <c r="I96" s="3534" t="s">
        <v>1052</v>
      </c>
      <c r="J96" s="3513">
        <f>G96</f>
        <v>12000000</v>
      </c>
      <c r="K96" s="3513">
        <f>F96-J96</f>
        <v>-500000</v>
      </c>
      <c r="L96" s="763" t="s">
        <v>4877</v>
      </c>
    </row>
    <row r="97" spans="1:12" ht="30" customHeight="1" x14ac:dyDescent="0.2">
      <c r="A97" s="7654">
        <v>50</v>
      </c>
      <c r="B97" s="7652" t="s">
        <v>190</v>
      </c>
      <c r="C97" s="7723" t="s">
        <v>889</v>
      </c>
      <c r="D97" s="7563">
        <v>350000000</v>
      </c>
      <c r="E97" s="7659">
        <v>0.05</v>
      </c>
      <c r="F97" s="7563">
        <f t="shared" si="12"/>
        <v>17500000</v>
      </c>
      <c r="G97" s="7732" t="s">
        <v>5349</v>
      </c>
      <c r="H97" s="7733"/>
      <c r="I97" s="7733"/>
      <c r="J97" s="7733"/>
      <c r="K97" s="7734"/>
      <c r="L97" s="3561"/>
    </row>
    <row r="98" spans="1:12" ht="30" customHeight="1" x14ac:dyDescent="0.2">
      <c r="A98" s="7655"/>
      <c r="B98" s="7653"/>
      <c r="C98" s="7724"/>
      <c r="D98" s="7564"/>
      <c r="E98" s="7660"/>
      <c r="F98" s="7564"/>
      <c r="G98" s="3513">
        <v>17000000</v>
      </c>
      <c r="H98" s="3513" t="s">
        <v>5340</v>
      </c>
      <c r="I98" s="3513" t="s">
        <v>1054</v>
      </c>
      <c r="J98" s="3513">
        <f>G98</f>
        <v>17000000</v>
      </c>
      <c r="K98" s="3513">
        <f>F97-J98</f>
        <v>500000</v>
      </c>
      <c r="L98" s="763" t="s">
        <v>4789</v>
      </c>
    </row>
    <row r="99" spans="1:12" ht="30" customHeight="1" x14ac:dyDescent="0.2">
      <c r="A99" s="7654">
        <v>51</v>
      </c>
      <c r="B99" s="7652" t="s">
        <v>191</v>
      </c>
      <c r="C99" s="7723" t="s">
        <v>889</v>
      </c>
      <c r="D99" s="7563">
        <v>260000000</v>
      </c>
      <c r="E99" s="7659">
        <f>F99/D99</f>
        <v>5.5769230769230772E-2</v>
      </c>
      <c r="F99" s="7563">
        <v>14500000</v>
      </c>
      <c r="G99" s="3513"/>
      <c r="H99" s="3513"/>
      <c r="I99" s="3513" t="s">
        <v>3500</v>
      </c>
      <c r="J99" s="3513">
        <f>G99</f>
        <v>0</v>
      </c>
      <c r="K99" s="3513">
        <f>F99-J99</f>
        <v>14500000</v>
      </c>
      <c r="L99" s="1388" t="s">
        <v>4905</v>
      </c>
    </row>
    <row r="100" spans="1:12" ht="30" customHeight="1" x14ac:dyDescent="0.2">
      <c r="A100" s="7655"/>
      <c r="B100" s="7653"/>
      <c r="C100" s="7724"/>
      <c r="D100" s="7564"/>
      <c r="E100" s="7660"/>
      <c r="F100" s="7564"/>
      <c r="G100" s="3481"/>
      <c r="H100" s="3481"/>
      <c r="I100" s="3481" t="s">
        <v>3500</v>
      </c>
      <c r="J100" s="3481">
        <f>G100</f>
        <v>0</v>
      </c>
      <c r="K100" s="3481">
        <f>F99-J100</f>
        <v>14500000</v>
      </c>
      <c r="L100" s="1388" t="s">
        <v>4906</v>
      </c>
    </row>
    <row r="101" spans="1:12" ht="30" customHeight="1" x14ac:dyDescent="0.2">
      <c r="A101" s="8123"/>
      <c r="B101" s="7652" t="s">
        <v>192</v>
      </c>
      <c r="C101" s="7723" t="s">
        <v>889</v>
      </c>
      <c r="D101" s="3481">
        <v>100000000</v>
      </c>
      <c r="E101" s="3488">
        <v>7.0000000000000007E-2</v>
      </c>
      <c r="F101" s="3481">
        <f>D101*E101</f>
        <v>7000000.0000000009</v>
      </c>
      <c r="G101" s="7563">
        <v>9500000</v>
      </c>
      <c r="H101" s="7563" t="s">
        <v>5358</v>
      </c>
      <c r="I101" s="7563" t="s">
        <v>2540</v>
      </c>
      <c r="J101" s="7563">
        <f>G101</f>
        <v>9500000</v>
      </c>
      <c r="K101" s="7563">
        <f>(F101+F102+F103)-J101</f>
        <v>0</v>
      </c>
      <c r="L101" s="7757" t="s">
        <v>4807</v>
      </c>
    </row>
    <row r="102" spans="1:12" ht="30" customHeight="1" x14ac:dyDescent="0.2">
      <c r="A102" s="8200"/>
      <c r="B102" s="7665"/>
      <c r="C102" s="7747"/>
      <c r="D102" s="3481">
        <v>49500000</v>
      </c>
      <c r="E102" s="3488">
        <v>0.05</v>
      </c>
      <c r="F102" s="3481">
        <f>D102*E102</f>
        <v>2475000</v>
      </c>
      <c r="G102" s="7586"/>
      <c r="H102" s="7586"/>
      <c r="I102" s="7586"/>
      <c r="J102" s="7586"/>
      <c r="K102" s="7586"/>
      <c r="L102" s="8037"/>
    </row>
    <row r="103" spans="1:12" ht="30" customHeight="1" x14ac:dyDescent="0.2">
      <c r="A103" s="8124"/>
      <c r="B103" s="7653"/>
      <c r="C103" s="7724"/>
      <c r="D103" s="3481">
        <v>500000</v>
      </c>
      <c r="E103" s="3488">
        <v>0.05</v>
      </c>
      <c r="F103" s="3481">
        <f>D103*E103</f>
        <v>25000</v>
      </c>
      <c r="G103" s="7564"/>
      <c r="H103" s="7564"/>
      <c r="I103" s="7564"/>
      <c r="J103" s="7564"/>
      <c r="K103" s="7564"/>
      <c r="L103" s="3512"/>
    </row>
    <row r="104" spans="1:12" ht="30" customHeight="1" x14ac:dyDescent="0.2">
      <c r="A104" s="7654"/>
      <c r="B104" s="7652" t="s">
        <v>193</v>
      </c>
      <c r="C104" s="7723" t="s">
        <v>1287</v>
      </c>
      <c r="D104" s="7563">
        <v>850000000</v>
      </c>
      <c r="E104" s="7659">
        <v>7.0000000000000007E-2</v>
      </c>
      <c r="F104" s="7563">
        <f>D104*E104</f>
        <v>59500000.000000007</v>
      </c>
      <c r="G104" s="7482">
        <v>62000000</v>
      </c>
      <c r="H104" s="7482" t="s">
        <v>1012</v>
      </c>
      <c r="I104" s="7482" t="s">
        <v>5833</v>
      </c>
      <c r="J104" s="7482">
        <f>G104+G105</f>
        <v>62000000</v>
      </c>
      <c r="K104" s="7482">
        <f>F104+2000000-J104</f>
        <v>-499999.99999999255</v>
      </c>
      <c r="L104" s="1388" t="s">
        <v>3725</v>
      </c>
    </row>
    <row r="105" spans="1:12" ht="30" customHeight="1" x14ac:dyDescent="0.2">
      <c r="A105" s="7656"/>
      <c r="B105" s="7665"/>
      <c r="C105" s="7747"/>
      <c r="D105" s="7564"/>
      <c r="E105" s="7660"/>
      <c r="F105" s="7564"/>
      <c r="G105" s="7482"/>
      <c r="H105" s="7482"/>
      <c r="I105" s="7482"/>
      <c r="J105" s="7482"/>
      <c r="K105" s="7482"/>
      <c r="L105" s="763" t="s">
        <v>4488</v>
      </c>
    </row>
    <row r="106" spans="1:12" ht="30" customHeight="1" x14ac:dyDescent="0.2">
      <c r="A106" s="7656"/>
      <c r="B106" s="7665"/>
      <c r="C106" s="7747"/>
      <c r="D106" s="7470" t="s">
        <v>6087</v>
      </c>
      <c r="E106" s="7510"/>
      <c r="F106" s="4228">
        <v>2000000</v>
      </c>
      <c r="G106" s="7482"/>
      <c r="H106" s="7482"/>
      <c r="I106" s="7482"/>
      <c r="J106" s="7482"/>
      <c r="K106" s="7482"/>
      <c r="L106" s="4239"/>
    </row>
    <row r="107" spans="1:12" ht="30" customHeight="1" x14ac:dyDescent="0.2">
      <c r="A107" s="7656"/>
      <c r="B107" s="7665"/>
      <c r="C107" s="7747"/>
      <c r="D107" s="4188">
        <v>200000000</v>
      </c>
      <c r="E107" s="4195">
        <v>7.0000000000000007E-2</v>
      </c>
      <c r="F107" s="4188">
        <f>D107*E107</f>
        <v>14000000.000000002</v>
      </c>
      <c r="G107" s="7997" t="s">
        <v>6007</v>
      </c>
      <c r="H107" s="7998"/>
      <c r="I107" s="7998"/>
      <c r="J107" s="7999"/>
      <c r="K107" s="4187"/>
      <c r="L107" s="4223" t="s">
        <v>6070</v>
      </c>
    </row>
    <row r="108" spans="1:12" ht="30" customHeight="1" x14ac:dyDescent="0.2">
      <c r="A108" s="7655"/>
      <c r="B108" s="7653"/>
      <c r="C108" s="7724"/>
      <c r="D108" s="4231">
        <f>D104+D107</f>
        <v>1050000000</v>
      </c>
      <c r="E108" s="4232">
        <v>7.0000000000000007E-2</v>
      </c>
      <c r="F108" s="4231">
        <f>D108*E108</f>
        <v>73500000</v>
      </c>
      <c r="G108" s="7732" t="s">
        <v>6086</v>
      </c>
      <c r="H108" s="7733"/>
      <c r="I108" s="7733"/>
      <c r="J108" s="7734"/>
      <c r="K108" s="4227"/>
      <c r="L108" s="4244" t="s">
        <v>6071</v>
      </c>
    </row>
    <row r="109" spans="1:12" ht="30" customHeight="1" x14ac:dyDescent="0.2">
      <c r="A109" s="7654">
        <v>54</v>
      </c>
      <c r="B109" s="7652" t="s">
        <v>1060</v>
      </c>
      <c r="C109" s="7723"/>
      <c r="D109" s="3483">
        <v>35000000</v>
      </c>
      <c r="E109" s="3489">
        <v>7.1999999999999995E-2</v>
      </c>
      <c r="F109" s="3483">
        <v>2500000</v>
      </c>
      <c r="G109" s="7924">
        <v>3500000</v>
      </c>
      <c r="H109" s="7924" t="s">
        <v>5434</v>
      </c>
      <c r="I109" s="7926" t="s">
        <v>2501</v>
      </c>
      <c r="J109" s="7924">
        <f>G109</f>
        <v>3500000</v>
      </c>
      <c r="K109" s="7924">
        <f>(F109+F110)-J109</f>
        <v>0</v>
      </c>
      <c r="L109" s="7703"/>
    </row>
    <row r="110" spans="1:12" ht="30" customHeight="1" x14ac:dyDescent="0.2">
      <c r="A110" s="7656"/>
      <c r="B110" s="7653"/>
      <c r="C110" s="7724"/>
      <c r="D110" s="3483">
        <v>13000000</v>
      </c>
      <c r="E110" s="3523">
        <v>7.6999999999999999E-2</v>
      </c>
      <c r="F110" s="3483">
        <v>1000000</v>
      </c>
      <c r="G110" s="7925"/>
      <c r="H110" s="7925"/>
      <c r="I110" s="7927"/>
      <c r="J110" s="7925"/>
      <c r="K110" s="7925"/>
      <c r="L110" s="7705"/>
    </row>
    <row r="111" spans="1:12" ht="30" customHeight="1" x14ac:dyDescent="0.2">
      <c r="A111" s="7654">
        <v>55</v>
      </c>
      <c r="B111" s="7652" t="s">
        <v>1247</v>
      </c>
      <c r="C111" s="7723" t="s">
        <v>1295</v>
      </c>
      <c r="D111" s="3513">
        <v>175000000</v>
      </c>
      <c r="E111" s="3523">
        <v>0.52</v>
      </c>
      <c r="F111" s="3513">
        <v>9000000</v>
      </c>
      <c r="G111" s="7563">
        <v>18250000</v>
      </c>
      <c r="H111" s="7561" t="s">
        <v>5358</v>
      </c>
      <c r="I111" s="7857" t="s">
        <v>1063</v>
      </c>
      <c r="J111" s="7563">
        <f>G111</f>
        <v>18250000</v>
      </c>
      <c r="K111" s="7482">
        <f>(F111+F112+F113)-J111</f>
        <v>0</v>
      </c>
      <c r="L111" s="7713"/>
    </row>
    <row r="112" spans="1:12" ht="30" customHeight="1" x14ac:dyDescent="0.2">
      <c r="A112" s="7656"/>
      <c r="B112" s="7665"/>
      <c r="C112" s="7747"/>
      <c r="D112" s="3481">
        <f>85000000+20000000</f>
        <v>105000000</v>
      </c>
      <c r="E112" s="3488">
        <v>7.0000000000000007E-2</v>
      </c>
      <c r="F112" s="3481">
        <v>7500000</v>
      </c>
      <c r="G112" s="7586"/>
      <c r="H112" s="7672"/>
      <c r="I112" s="7857"/>
      <c r="J112" s="7586"/>
      <c r="K112" s="7482"/>
      <c r="L112" s="7797"/>
    </row>
    <row r="113" spans="1:12" ht="30" customHeight="1" x14ac:dyDescent="0.2">
      <c r="A113" s="7655"/>
      <c r="B113" s="7653"/>
      <c r="C113" s="7724"/>
      <c r="D113" s="3513">
        <v>35000000</v>
      </c>
      <c r="E113" s="3523">
        <v>0.05</v>
      </c>
      <c r="F113" s="3513">
        <f>D113*E113</f>
        <v>1750000</v>
      </c>
      <c r="G113" s="7564"/>
      <c r="H113" s="7562"/>
      <c r="I113" s="7857"/>
      <c r="J113" s="7564"/>
      <c r="K113" s="7482"/>
      <c r="L113" s="7714"/>
    </row>
    <row r="114" spans="1:12" ht="30" customHeight="1" x14ac:dyDescent="0.2">
      <c r="A114" s="7654">
        <v>56</v>
      </c>
      <c r="B114" s="7652" t="s">
        <v>35</v>
      </c>
      <c r="C114" s="7723" t="s">
        <v>1295</v>
      </c>
      <c r="D114" s="7563">
        <v>3284000000</v>
      </c>
      <c r="E114" s="7659">
        <v>7.0000000000000007E-2</v>
      </c>
      <c r="F114" s="7563">
        <v>229880000</v>
      </c>
      <c r="G114" s="3483">
        <v>40000000</v>
      </c>
      <c r="H114" s="3483" t="s">
        <v>5347</v>
      </c>
      <c r="I114" s="3582" t="s">
        <v>4945</v>
      </c>
      <c r="J114" s="1455">
        <f>G114</f>
        <v>40000000</v>
      </c>
      <c r="K114" s="4224">
        <f>F114-J114</f>
        <v>189880000</v>
      </c>
      <c r="L114" s="637"/>
    </row>
    <row r="115" spans="1:12" ht="30" customHeight="1" x14ac:dyDescent="0.2">
      <c r="A115" s="7656"/>
      <c r="B115" s="7665"/>
      <c r="C115" s="7747"/>
      <c r="D115" s="7586"/>
      <c r="E115" s="7676"/>
      <c r="F115" s="7586"/>
      <c r="G115" s="7732" t="s">
        <v>6073</v>
      </c>
      <c r="H115" s="7733"/>
      <c r="I115" s="7733"/>
      <c r="J115" s="7734"/>
      <c r="K115" s="4224"/>
      <c r="L115" s="180"/>
    </row>
    <row r="116" spans="1:12" ht="30" customHeight="1" x14ac:dyDescent="0.2">
      <c r="A116" s="7656"/>
      <c r="B116" s="7665"/>
      <c r="C116" s="4236" t="s">
        <v>1306</v>
      </c>
      <c r="D116" s="4225">
        <f>1891929000+151354320+22190000-320</f>
        <v>2065473000</v>
      </c>
      <c r="E116" s="4240">
        <v>0.08</v>
      </c>
      <c r="F116" s="4225">
        <f t="shared" ref="F116:F122" si="13">D116*E116</f>
        <v>165237840</v>
      </c>
      <c r="G116" s="7732" t="s">
        <v>6074</v>
      </c>
      <c r="H116" s="7733"/>
      <c r="I116" s="7733"/>
      <c r="J116" s="7734"/>
      <c r="K116" s="4224"/>
      <c r="L116" s="1611"/>
    </row>
    <row r="117" spans="1:12" ht="30" customHeight="1" x14ac:dyDescent="0.2">
      <c r="A117" s="7656"/>
      <c r="B117" s="7665"/>
      <c r="C117" s="7747" t="s">
        <v>1306</v>
      </c>
      <c r="D117" s="4224">
        <v>189880000</v>
      </c>
      <c r="E117" s="4235">
        <v>0.08</v>
      </c>
      <c r="F117" s="4224">
        <f t="shared" si="13"/>
        <v>15190400</v>
      </c>
      <c r="G117" s="7732" t="s">
        <v>4955</v>
      </c>
      <c r="H117" s="7733"/>
      <c r="I117" s="7733"/>
      <c r="J117" s="7734"/>
      <c r="K117" s="4224"/>
      <c r="L117" s="1611"/>
    </row>
    <row r="118" spans="1:12" ht="30" customHeight="1" x14ac:dyDescent="0.2">
      <c r="A118" s="7656"/>
      <c r="B118" s="7665"/>
      <c r="C118" s="7747"/>
      <c r="D118" s="4224">
        <v>8418000</v>
      </c>
      <c r="E118" s="4235">
        <v>0.08</v>
      </c>
      <c r="F118" s="4224">
        <f t="shared" si="13"/>
        <v>673440</v>
      </c>
      <c r="G118" s="7732" t="s">
        <v>6078</v>
      </c>
      <c r="H118" s="7733"/>
      <c r="I118" s="7733"/>
      <c r="J118" s="7734"/>
      <c r="K118" s="4224"/>
      <c r="L118" s="1611"/>
    </row>
    <row r="119" spans="1:12" ht="30" customHeight="1" x14ac:dyDescent="0.2">
      <c r="A119" s="7656"/>
      <c r="B119" s="7665"/>
      <c r="C119" s="7747"/>
      <c r="D119" s="4224">
        <v>165237840</v>
      </c>
      <c r="E119" s="4235">
        <v>0.08</v>
      </c>
      <c r="F119" s="4224">
        <f t="shared" si="13"/>
        <v>13219027.200000001</v>
      </c>
      <c r="G119" s="7732" t="s">
        <v>6079</v>
      </c>
      <c r="H119" s="7733"/>
      <c r="I119" s="7733"/>
      <c r="J119" s="7734"/>
      <c r="K119" s="4224"/>
      <c r="L119" s="1611"/>
    </row>
    <row r="120" spans="1:12" ht="30" customHeight="1" x14ac:dyDescent="0.2">
      <c r="A120" s="7656"/>
      <c r="B120" s="7665"/>
      <c r="C120" s="7747"/>
      <c r="D120" s="4224">
        <v>22190000</v>
      </c>
      <c r="E120" s="4235">
        <v>0.08</v>
      </c>
      <c r="F120" s="4224">
        <f t="shared" si="13"/>
        <v>1775200</v>
      </c>
      <c r="G120" s="7732" t="s">
        <v>6076</v>
      </c>
      <c r="H120" s="7733"/>
      <c r="I120" s="7733"/>
      <c r="J120" s="7734"/>
      <c r="K120" s="4224"/>
      <c r="L120" s="1611"/>
    </row>
    <row r="121" spans="1:12" ht="30" customHeight="1" x14ac:dyDescent="0.2">
      <c r="A121" s="7656"/>
      <c r="B121" s="7653"/>
      <c r="C121" s="7724"/>
      <c r="D121" s="4225">
        <f>SUM(D116:D120)</f>
        <v>2451198840</v>
      </c>
      <c r="E121" s="4240">
        <v>0.08</v>
      </c>
      <c r="F121" s="4225">
        <f t="shared" si="13"/>
        <v>196095907.20000002</v>
      </c>
      <c r="G121" s="7732" t="s">
        <v>6077</v>
      </c>
      <c r="H121" s="7733"/>
      <c r="I121" s="7733"/>
      <c r="J121" s="7734"/>
      <c r="K121" s="4224"/>
      <c r="L121" s="1611"/>
    </row>
    <row r="122" spans="1:12" ht="30" customHeight="1" x14ac:dyDescent="0.2">
      <c r="A122" s="4238">
        <v>57</v>
      </c>
      <c r="B122" s="4237" t="s">
        <v>1077</v>
      </c>
      <c r="C122" s="4236" t="s">
        <v>1298</v>
      </c>
      <c r="D122" s="4224">
        <v>317000000</v>
      </c>
      <c r="E122" s="4235">
        <v>7.0000000000000007E-2</v>
      </c>
      <c r="F122" s="4224">
        <f t="shared" si="13"/>
        <v>22190000.000000004</v>
      </c>
      <c r="G122" s="7732" t="s">
        <v>6075</v>
      </c>
      <c r="H122" s="7733"/>
      <c r="I122" s="7733"/>
      <c r="J122" s="7734"/>
      <c r="K122" s="4224"/>
      <c r="L122" s="4230"/>
    </row>
    <row r="123" spans="1:12" ht="30" customHeight="1" x14ac:dyDescent="0.2">
      <c r="A123" s="7654"/>
      <c r="B123" s="7652" t="s">
        <v>5903</v>
      </c>
      <c r="C123" s="7723"/>
      <c r="D123" s="4064">
        <v>27000000</v>
      </c>
      <c r="E123" s="4066"/>
      <c r="F123" s="4064"/>
      <c r="G123" s="7732" t="s">
        <v>5904</v>
      </c>
      <c r="H123" s="7733"/>
      <c r="I123" s="7733"/>
      <c r="J123" s="7734"/>
      <c r="K123" s="4063"/>
      <c r="L123" s="4081"/>
    </row>
    <row r="124" spans="1:12" ht="30" customHeight="1" x14ac:dyDescent="0.2">
      <c r="A124" s="7656"/>
      <c r="B124" s="7665"/>
      <c r="C124" s="7747"/>
      <c r="D124" s="4064">
        <v>23000000</v>
      </c>
      <c r="E124" s="4066"/>
      <c r="F124" s="4064"/>
      <c r="G124" s="7732" t="s">
        <v>5905</v>
      </c>
      <c r="H124" s="7733"/>
      <c r="I124" s="7733"/>
      <c r="J124" s="7734"/>
      <c r="K124" s="4063"/>
      <c r="L124" s="4081"/>
    </row>
    <row r="125" spans="1:12" ht="30" customHeight="1" x14ac:dyDescent="0.2">
      <c r="A125" s="7655"/>
      <c r="B125" s="7653"/>
      <c r="C125" s="7724"/>
      <c r="D125" s="4069">
        <f>SUM(D123:D124)</f>
        <v>50000000</v>
      </c>
      <c r="E125" s="4068"/>
      <c r="F125" s="4069"/>
      <c r="G125" s="4070"/>
      <c r="H125" s="4072"/>
      <c r="I125" s="4072"/>
      <c r="J125" s="4071"/>
      <c r="K125" s="4063"/>
      <c r="L125" s="4081"/>
    </row>
    <row r="126" spans="1:12" ht="30" customHeight="1" x14ac:dyDescent="0.2">
      <c r="A126" s="7654"/>
      <c r="B126" s="7652" t="s">
        <v>5229</v>
      </c>
      <c r="C126" s="7723" t="s">
        <v>1796</v>
      </c>
      <c r="D126" s="3483">
        <v>56000000</v>
      </c>
      <c r="E126" s="3489">
        <v>7.0000000000000007E-2</v>
      </c>
      <c r="F126" s="3483">
        <f>D126*E126</f>
        <v>3920000.0000000005</v>
      </c>
      <c r="G126" s="7991" t="s">
        <v>6072</v>
      </c>
      <c r="H126" s="7992"/>
      <c r="I126" s="7992"/>
      <c r="J126" s="7993"/>
      <c r="K126" s="3482"/>
      <c r="L126" s="180" t="s">
        <v>5279</v>
      </c>
    </row>
    <row r="127" spans="1:12" ht="30" customHeight="1" x14ac:dyDescent="0.2">
      <c r="A127" s="7655"/>
      <c r="B127" s="7653"/>
      <c r="C127" s="7724"/>
      <c r="D127" s="3483">
        <v>100000000</v>
      </c>
      <c r="E127" s="3489">
        <v>7.0000000000000007E-2</v>
      </c>
      <c r="F127" s="3483">
        <f>D127*E127</f>
        <v>7000000.0000000009</v>
      </c>
      <c r="G127" s="7997"/>
      <c r="H127" s="7998"/>
      <c r="I127" s="7998"/>
      <c r="J127" s="7999"/>
      <c r="K127" s="3482"/>
      <c r="L127" s="3547"/>
    </row>
    <row r="128" spans="1:12" ht="30" customHeight="1" x14ac:dyDescent="0.2">
      <c r="A128" s="7654">
        <v>58</v>
      </c>
      <c r="B128" s="7652" t="s">
        <v>1064</v>
      </c>
      <c r="C128" s="7723" t="s">
        <v>889</v>
      </c>
      <c r="D128" s="3483">
        <v>11000000</v>
      </c>
      <c r="E128" s="3523">
        <v>7.0000000000000007E-2</v>
      </c>
      <c r="F128" s="3483">
        <v>700000</v>
      </c>
      <c r="G128" s="7563">
        <v>2100000</v>
      </c>
      <c r="H128" s="7563" t="s">
        <v>1649</v>
      </c>
      <c r="I128" s="7775" t="s">
        <v>1066</v>
      </c>
      <c r="J128" s="7563">
        <f>G128</f>
        <v>2100000</v>
      </c>
      <c r="K128" s="7563">
        <f>(F128+F129)-J128</f>
        <v>0</v>
      </c>
      <c r="L128" s="3527"/>
    </row>
    <row r="129" spans="1:12" ht="30" customHeight="1" x14ac:dyDescent="0.2">
      <c r="A129" s="7656"/>
      <c r="B129" s="7665"/>
      <c r="C129" s="7747"/>
      <c r="D129" s="3483">
        <v>20000000</v>
      </c>
      <c r="E129" s="3523">
        <v>7.0000000000000007E-2</v>
      </c>
      <c r="F129" s="3483">
        <f>D129*E129</f>
        <v>1400000.0000000002</v>
      </c>
      <c r="G129" s="7564"/>
      <c r="H129" s="7564"/>
      <c r="I129" s="7777"/>
      <c r="J129" s="7564"/>
      <c r="K129" s="7564"/>
      <c r="L129" s="3561"/>
    </row>
    <row r="130" spans="1:12" ht="30" customHeight="1" x14ac:dyDescent="0.2">
      <c r="A130" s="7655"/>
      <c r="B130" s="7653"/>
      <c r="C130" s="7724"/>
      <c r="D130" s="3757">
        <v>30000000</v>
      </c>
      <c r="E130" s="3793">
        <v>7.0000000000000007E-2</v>
      </c>
      <c r="F130" s="3757">
        <f>D130*E130</f>
        <v>2100000</v>
      </c>
      <c r="G130" s="7732" t="s">
        <v>5557</v>
      </c>
      <c r="H130" s="7733"/>
      <c r="I130" s="7733"/>
      <c r="J130" s="7734"/>
      <c r="K130" s="3756"/>
      <c r="L130" s="3758" t="s">
        <v>5558</v>
      </c>
    </row>
    <row r="131" spans="1:12" ht="30" customHeight="1" x14ac:dyDescent="0.2">
      <c r="A131" s="7654"/>
      <c r="B131" s="7652" t="s">
        <v>194</v>
      </c>
      <c r="C131" s="7723" t="s">
        <v>1295</v>
      </c>
      <c r="D131" s="3483">
        <v>100000000</v>
      </c>
      <c r="E131" s="3523">
        <v>5.1999999999999998E-2</v>
      </c>
      <c r="F131" s="3483">
        <f t="shared" si="12"/>
        <v>5200000</v>
      </c>
      <c r="G131" s="7494" t="s">
        <v>6103</v>
      </c>
      <c r="H131" s="7495"/>
      <c r="I131" s="7495"/>
      <c r="J131" s="7768"/>
      <c r="K131" s="7563">
        <f>(F131+F132)-J131</f>
        <v>6000000</v>
      </c>
      <c r="L131" s="637" t="s">
        <v>5357</v>
      </c>
    </row>
    <row r="132" spans="1:12" ht="30" customHeight="1" x14ac:dyDescent="0.2">
      <c r="A132" s="7656"/>
      <c r="B132" s="7665"/>
      <c r="C132" s="7747"/>
      <c r="D132" s="3483">
        <v>15000000</v>
      </c>
      <c r="E132" s="3523">
        <v>5.5E-2</v>
      </c>
      <c r="F132" s="3483">
        <v>800000</v>
      </c>
      <c r="G132" s="7877"/>
      <c r="H132" s="7524"/>
      <c r="I132" s="7524"/>
      <c r="J132" s="7878"/>
      <c r="K132" s="7564"/>
      <c r="L132" s="180"/>
    </row>
    <row r="133" spans="1:12" ht="30" customHeight="1" x14ac:dyDescent="0.2">
      <c r="A133" s="7656"/>
      <c r="B133" s="7665"/>
      <c r="C133" s="7747"/>
      <c r="D133" s="3483">
        <v>29000000</v>
      </c>
      <c r="E133" s="3523">
        <v>5.1999999999999998E-2</v>
      </c>
      <c r="F133" s="3483">
        <v>1500000</v>
      </c>
      <c r="G133" s="7877"/>
      <c r="H133" s="7524"/>
      <c r="I133" s="7524"/>
      <c r="J133" s="7878"/>
      <c r="K133" s="3483"/>
      <c r="L133" s="180" t="s">
        <v>5911</v>
      </c>
    </row>
    <row r="134" spans="1:12" ht="30" customHeight="1" x14ac:dyDescent="0.2">
      <c r="A134" s="7656"/>
      <c r="B134" s="7665"/>
      <c r="C134" s="7747"/>
      <c r="D134" s="3483">
        <v>6000000</v>
      </c>
      <c r="E134" s="3523">
        <v>5.1999999999999998E-2</v>
      </c>
      <c r="F134" s="3483">
        <v>300000</v>
      </c>
      <c r="G134" s="7877"/>
      <c r="H134" s="7524"/>
      <c r="I134" s="7524"/>
      <c r="J134" s="7878"/>
      <c r="K134" s="3483"/>
      <c r="L134" s="180" t="s">
        <v>4989</v>
      </c>
    </row>
    <row r="135" spans="1:12" ht="30" customHeight="1" x14ac:dyDescent="0.2">
      <c r="A135" s="7656"/>
      <c r="B135" s="7665"/>
      <c r="C135" s="7747"/>
      <c r="D135" s="3587">
        <v>10000000</v>
      </c>
      <c r="E135" s="3600">
        <v>0.05</v>
      </c>
      <c r="F135" s="3587">
        <f>E135*D135</f>
        <v>500000</v>
      </c>
      <c r="G135" s="7769"/>
      <c r="H135" s="7805"/>
      <c r="I135" s="7805"/>
      <c r="J135" s="7770"/>
      <c r="K135" s="3587"/>
      <c r="L135" s="180"/>
    </row>
    <row r="136" spans="1:12" ht="30" customHeight="1" x14ac:dyDescent="0.2">
      <c r="A136" s="7655"/>
      <c r="B136" s="7653"/>
      <c r="C136" s="7724"/>
      <c r="D136" s="3592">
        <v>160000000</v>
      </c>
      <c r="E136" s="435">
        <v>5.1999999999999998E-2</v>
      </c>
      <c r="F136" s="3592">
        <v>8300000</v>
      </c>
      <c r="G136" s="3587"/>
      <c r="H136" s="3587"/>
      <c r="I136" s="3593"/>
      <c r="J136" s="3587"/>
      <c r="K136" s="3587"/>
      <c r="L136" s="180"/>
    </row>
    <row r="137" spans="1:12" ht="30" customHeight="1" x14ac:dyDescent="0.2">
      <c r="A137" s="3526">
        <v>60</v>
      </c>
      <c r="B137" s="3527" t="s">
        <v>1498</v>
      </c>
      <c r="C137" s="3504" t="s">
        <v>889</v>
      </c>
      <c r="D137" s="3483"/>
      <c r="E137" s="3523"/>
      <c r="F137" s="3483">
        <f t="shared" si="12"/>
        <v>0</v>
      </c>
      <c r="G137" s="3483">
        <v>10000000</v>
      </c>
      <c r="H137" s="3483" t="s">
        <v>5340</v>
      </c>
      <c r="I137" s="3582" t="s">
        <v>5352</v>
      </c>
      <c r="J137" s="3483">
        <f>G137</f>
        <v>10000000</v>
      </c>
      <c r="K137" s="3483">
        <f>F137-J137</f>
        <v>-10000000</v>
      </c>
      <c r="L137" s="3527"/>
    </row>
    <row r="138" spans="1:12" ht="30" customHeight="1" x14ac:dyDescent="0.2">
      <c r="A138" s="3487">
        <v>61</v>
      </c>
      <c r="B138" s="3527" t="s">
        <v>196</v>
      </c>
      <c r="C138" s="3504"/>
      <c r="D138" s="3483">
        <v>100000000</v>
      </c>
      <c r="E138" s="3523">
        <v>7.0000000000000007E-2</v>
      </c>
      <c r="F138" s="3483">
        <f t="shared" si="12"/>
        <v>7000000.0000000009</v>
      </c>
      <c r="G138" s="3483">
        <v>7000000</v>
      </c>
      <c r="H138" s="3483" t="s">
        <v>5434</v>
      </c>
      <c r="I138" s="3582" t="s">
        <v>3466</v>
      </c>
      <c r="J138" s="3483">
        <f>G138</f>
        <v>7000000</v>
      </c>
      <c r="K138" s="3483">
        <f>F138-J138</f>
        <v>0</v>
      </c>
      <c r="L138" s="3527"/>
    </row>
    <row r="139" spans="1:12" ht="30" customHeight="1" x14ac:dyDescent="0.2">
      <c r="A139" s="7654">
        <v>62</v>
      </c>
      <c r="B139" s="7652" t="s">
        <v>197</v>
      </c>
      <c r="C139" s="7723"/>
      <c r="D139" s="7677">
        <v>125000000</v>
      </c>
      <c r="E139" s="7691">
        <v>5.1999999999999998E-2</v>
      </c>
      <c r="F139" s="7677">
        <f t="shared" si="12"/>
        <v>6500000</v>
      </c>
      <c r="G139" s="4185">
        <v>5000000</v>
      </c>
      <c r="H139" s="4185" t="s">
        <v>5367</v>
      </c>
      <c r="I139" s="4185" t="s">
        <v>1251</v>
      </c>
      <c r="J139" s="4185">
        <f>G139</f>
        <v>5000000</v>
      </c>
      <c r="K139" s="4185">
        <f>F139-J139</f>
        <v>1500000</v>
      </c>
      <c r="L139" s="3561" t="s">
        <v>6005</v>
      </c>
    </row>
    <row r="140" spans="1:12" ht="30" customHeight="1" x14ac:dyDescent="0.2">
      <c r="A140" s="7655"/>
      <c r="B140" s="7653"/>
      <c r="C140" s="7724"/>
      <c r="D140" s="7678"/>
      <c r="E140" s="7693"/>
      <c r="F140" s="7678"/>
      <c r="G140" s="4185">
        <v>3850000</v>
      </c>
      <c r="H140" s="4185" t="s">
        <v>5995</v>
      </c>
      <c r="I140" s="4185" t="s">
        <v>1251</v>
      </c>
      <c r="J140" s="4185">
        <f>G140</f>
        <v>3850000</v>
      </c>
      <c r="K140" s="4188"/>
      <c r="L140" s="4167" t="s">
        <v>6006</v>
      </c>
    </row>
    <row r="141" spans="1:12" ht="30" customHeight="1" x14ac:dyDescent="0.2">
      <c r="A141" s="7879"/>
      <c r="B141" s="7652" t="s">
        <v>198</v>
      </c>
      <c r="C141" s="7723" t="s">
        <v>889</v>
      </c>
      <c r="D141" s="3829">
        <v>2000000000</v>
      </c>
      <c r="E141" s="3523">
        <v>7.0000000000000007E-2</v>
      </c>
      <c r="F141" s="3513">
        <f>D141*E141</f>
        <v>140000000</v>
      </c>
      <c r="G141" s="8102" t="s">
        <v>4808</v>
      </c>
      <c r="H141" s="8103"/>
      <c r="I141" s="8103"/>
      <c r="J141" s="8104"/>
      <c r="K141" s="3483"/>
      <c r="L141" s="29"/>
    </row>
    <row r="142" spans="1:12" ht="30" customHeight="1" x14ac:dyDescent="0.2">
      <c r="A142" s="7879"/>
      <c r="B142" s="7665"/>
      <c r="C142" s="7747"/>
      <c r="D142" s="3804">
        <v>300000000</v>
      </c>
      <c r="E142" s="3489">
        <v>7.0000000000000007E-2</v>
      </c>
      <c r="F142" s="3483">
        <f>D142*E142</f>
        <v>21000000.000000004</v>
      </c>
      <c r="G142" s="8102" t="s">
        <v>5344</v>
      </c>
      <c r="H142" s="8103"/>
      <c r="I142" s="8103"/>
      <c r="J142" s="8104"/>
      <c r="K142" s="3483"/>
      <c r="L142" s="29" t="s">
        <v>5238</v>
      </c>
    </row>
    <row r="143" spans="1:12" ht="30" customHeight="1" x14ac:dyDescent="0.2">
      <c r="A143" s="7879"/>
      <c r="B143" s="7665"/>
      <c r="C143" s="7747"/>
      <c r="D143" s="7470" t="s">
        <v>4906</v>
      </c>
      <c r="E143" s="7493"/>
      <c r="F143" s="7510"/>
      <c r="G143" s="3483">
        <v>49100000</v>
      </c>
      <c r="H143" s="3483" t="s">
        <v>5345</v>
      </c>
      <c r="I143" s="65" t="s">
        <v>3724</v>
      </c>
      <c r="J143" s="3483">
        <f>G143</f>
        <v>49100000</v>
      </c>
      <c r="K143" s="3483">
        <v>0</v>
      </c>
      <c r="L143" s="7713" t="s">
        <v>6002</v>
      </c>
    </row>
    <row r="144" spans="1:12" ht="30" customHeight="1" x14ac:dyDescent="0.2">
      <c r="A144" s="7879"/>
      <c r="B144" s="7665"/>
      <c r="C144" s="7747"/>
      <c r="D144" s="3829">
        <v>100000000</v>
      </c>
      <c r="E144" s="3489">
        <v>7.0000000000000007E-2</v>
      </c>
      <c r="F144" s="3513">
        <f>D144*E144</f>
        <v>7000000.0000000009</v>
      </c>
      <c r="G144" s="3483"/>
      <c r="H144" s="3483"/>
      <c r="I144" s="65"/>
      <c r="J144" s="3483"/>
      <c r="K144" s="3483"/>
      <c r="L144" s="7714"/>
    </row>
    <row r="145" spans="1:12" ht="30" customHeight="1" x14ac:dyDescent="0.2">
      <c r="A145" s="7879"/>
      <c r="B145" s="7665"/>
      <c r="C145" s="7747"/>
      <c r="D145" s="3817">
        <v>150000000</v>
      </c>
      <c r="E145" s="3489">
        <v>7.0000000000000007E-2</v>
      </c>
      <c r="F145" s="3513">
        <f>D145*E145</f>
        <v>10500000.000000002</v>
      </c>
      <c r="G145" s="3483"/>
      <c r="H145" s="3483"/>
      <c r="I145" s="65"/>
      <c r="J145" s="3483"/>
      <c r="K145" s="3483"/>
      <c r="L145" s="29" t="s">
        <v>5346</v>
      </c>
    </row>
    <row r="146" spans="1:12" ht="30" customHeight="1" x14ac:dyDescent="0.2">
      <c r="A146" s="7879"/>
      <c r="B146" s="7653"/>
      <c r="C146" s="7724"/>
      <c r="D146" s="3570">
        <v>2550000000</v>
      </c>
      <c r="E146" s="3572">
        <v>7.0000000000000007E-2</v>
      </c>
      <c r="F146" s="3570">
        <f>D146*E146</f>
        <v>178500000.00000003</v>
      </c>
      <c r="G146" s="7732" t="s">
        <v>5580</v>
      </c>
      <c r="H146" s="7733"/>
      <c r="I146" s="7733"/>
      <c r="J146" s="7734"/>
      <c r="K146" s="3483"/>
      <c r="L146" s="3759" t="s">
        <v>5581</v>
      </c>
    </row>
    <row r="147" spans="1:12" ht="30" customHeight="1" x14ac:dyDescent="0.2">
      <c r="A147" s="3487">
        <v>64</v>
      </c>
      <c r="B147" s="3491" t="s">
        <v>1336</v>
      </c>
      <c r="C147" s="3504" t="s">
        <v>889</v>
      </c>
      <c r="D147" s="3483">
        <v>200000000</v>
      </c>
      <c r="E147" s="3489">
        <v>5.5E-2</v>
      </c>
      <c r="F147" s="3483">
        <f t="shared" si="12"/>
        <v>11000000</v>
      </c>
      <c r="G147" s="3483">
        <v>11000000</v>
      </c>
      <c r="H147" s="3483" t="s">
        <v>5358</v>
      </c>
      <c r="I147" s="3582" t="s">
        <v>3925</v>
      </c>
      <c r="J147" s="3483">
        <f>G147</f>
        <v>11000000</v>
      </c>
      <c r="K147" s="3483">
        <f t="shared" ref="K147:K160" si="14">F147-J147</f>
        <v>0</v>
      </c>
      <c r="L147" s="3561"/>
    </row>
    <row r="148" spans="1:12" ht="30" customHeight="1" x14ac:dyDescent="0.2">
      <c r="A148" s="3487"/>
      <c r="B148" s="3491" t="s">
        <v>4816</v>
      </c>
      <c r="C148" s="3504" t="s">
        <v>889</v>
      </c>
      <c r="D148" s="3513">
        <v>534000000</v>
      </c>
      <c r="E148" s="3523">
        <f>F148/D148</f>
        <v>6.1573033707865168E-2</v>
      </c>
      <c r="F148" s="3513">
        <v>32880000</v>
      </c>
      <c r="G148" s="3513">
        <v>32880000</v>
      </c>
      <c r="H148" s="3513" t="s">
        <v>1527</v>
      </c>
      <c r="I148" s="3534" t="s">
        <v>3501</v>
      </c>
      <c r="J148" s="3513">
        <f>G148</f>
        <v>32880000</v>
      </c>
      <c r="K148" s="3513">
        <f>F148-J148</f>
        <v>0</v>
      </c>
      <c r="L148" s="3493"/>
    </row>
    <row r="149" spans="1:12" ht="30" customHeight="1" x14ac:dyDescent="0.2">
      <c r="A149" s="7654"/>
      <c r="B149" s="7652" t="s">
        <v>4816</v>
      </c>
      <c r="C149" s="7723" t="s">
        <v>262</v>
      </c>
      <c r="D149" s="4027">
        <v>534000000</v>
      </c>
      <c r="E149" s="4034">
        <v>6.2E-2</v>
      </c>
      <c r="F149" s="4027">
        <v>32880000</v>
      </c>
      <c r="G149" s="7732" t="s">
        <v>5859</v>
      </c>
      <c r="H149" s="7733"/>
      <c r="I149" s="7733"/>
      <c r="J149" s="7734"/>
      <c r="K149" s="4027"/>
      <c r="L149" s="4033"/>
    </row>
    <row r="150" spans="1:12" ht="30" customHeight="1" x14ac:dyDescent="0.2">
      <c r="A150" s="7656"/>
      <c r="B150" s="7665"/>
      <c r="C150" s="7747"/>
      <c r="D150" s="4027">
        <v>20000000</v>
      </c>
      <c r="E150" s="4034">
        <v>7.0000000000000007E-2</v>
      </c>
      <c r="F150" s="4027">
        <f>D150*E150</f>
        <v>1400000.0000000002</v>
      </c>
      <c r="G150" s="7732" t="s">
        <v>5860</v>
      </c>
      <c r="H150" s="7733"/>
      <c r="I150" s="7733"/>
      <c r="J150" s="7734"/>
      <c r="K150" s="4027"/>
      <c r="L150" s="4033" t="s">
        <v>5855</v>
      </c>
    </row>
    <row r="151" spans="1:12" ht="30" customHeight="1" x14ac:dyDescent="0.2">
      <c r="A151" s="7656"/>
      <c r="B151" s="7665"/>
      <c r="C151" s="7747"/>
      <c r="D151" s="4027">
        <v>30000000</v>
      </c>
      <c r="E151" s="4034">
        <v>7.0000000000000007E-2</v>
      </c>
      <c r="F151" s="4027">
        <f>D151*E151</f>
        <v>2100000</v>
      </c>
      <c r="G151" s="7732" t="s">
        <v>5861</v>
      </c>
      <c r="H151" s="7733"/>
      <c r="I151" s="7733"/>
      <c r="J151" s="7734"/>
      <c r="K151" s="4027"/>
      <c r="L151" s="4033" t="s">
        <v>5856</v>
      </c>
    </row>
    <row r="152" spans="1:12" ht="30" customHeight="1" x14ac:dyDescent="0.2">
      <c r="A152" s="7656"/>
      <c r="B152" s="7665"/>
      <c r="C152" s="7747"/>
      <c r="D152" s="4027">
        <v>20000000</v>
      </c>
      <c r="E152" s="4034">
        <v>7.0000000000000007E-2</v>
      </c>
      <c r="F152" s="4027">
        <f>D152*E152</f>
        <v>1400000.0000000002</v>
      </c>
      <c r="G152" s="7732" t="s">
        <v>5861</v>
      </c>
      <c r="H152" s="7733"/>
      <c r="I152" s="7733"/>
      <c r="J152" s="7734"/>
      <c r="K152" s="4027"/>
      <c r="L152" s="4033" t="s">
        <v>5857</v>
      </c>
    </row>
    <row r="153" spans="1:12" ht="30" customHeight="1" x14ac:dyDescent="0.2">
      <c r="A153" s="7656"/>
      <c r="B153" s="7665"/>
      <c r="C153" s="7747"/>
      <c r="D153" s="4027">
        <v>20000000</v>
      </c>
      <c r="E153" s="4034">
        <v>7.0000000000000007E-2</v>
      </c>
      <c r="F153" s="4027">
        <f>D153*E153</f>
        <v>1400000.0000000002</v>
      </c>
      <c r="G153" s="7732" t="s">
        <v>5863</v>
      </c>
      <c r="H153" s="7733"/>
      <c r="I153" s="7733"/>
      <c r="J153" s="7734"/>
      <c r="K153" s="4027"/>
      <c r="L153" s="4033" t="s">
        <v>5862</v>
      </c>
    </row>
    <row r="154" spans="1:12" ht="30" customHeight="1" x14ac:dyDescent="0.2">
      <c r="A154" s="7655"/>
      <c r="B154" s="7653"/>
      <c r="C154" s="7724"/>
      <c r="D154" s="4041">
        <f>SUM(D149:D153)</f>
        <v>624000000</v>
      </c>
      <c r="E154" s="896"/>
      <c r="F154" s="4041">
        <f>SUM(F149:F153)</f>
        <v>39180000</v>
      </c>
      <c r="G154" s="4027"/>
      <c r="H154" s="4027"/>
      <c r="I154" s="4036"/>
      <c r="J154" s="4027"/>
      <c r="K154" s="4027"/>
      <c r="L154" s="4033" t="s">
        <v>5858</v>
      </c>
    </row>
    <row r="155" spans="1:12" ht="30" customHeight="1" x14ac:dyDescent="0.2">
      <c r="A155" s="3486">
        <v>68</v>
      </c>
      <c r="B155" s="3527" t="s">
        <v>202</v>
      </c>
      <c r="C155" s="3529" t="s">
        <v>1295</v>
      </c>
      <c r="D155" s="3513">
        <v>150000000</v>
      </c>
      <c r="E155" s="3523">
        <v>0.05</v>
      </c>
      <c r="F155" s="3513">
        <f t="shared" si="12"/>
        <v>7500000</v>
      </c>
      <c r="G155" s="3513">
        <v>7500000</v>
      </c>
      <c r="H155" s="3513" t="s">
        <v>5358</v>
      </c>
      <c r="I155" s="1538" t="s">
        <v>3926</v>
      </c>
      <c r="J155" s="3513">
        <f t="shared" ref="J155:J158" si="15">G155</f>
        <v>7500000</v>
      </c>
      <c r="K155" s="3513">
        <f t="shared" si="14"/>
        <v>0</v>
      </c>
      <c r="L155" s="3506"/>
    </row>
    <row r="156" spans="1:12" ht="30" customHeight="1" x14ac:dyDescent="0.2">
      <c r="A156" s="1028">
        <v>69</v>
      </c>
      <c r="B156" s="3322" t="s">
        <v>203</v>
      </c>
      <c r="C156" s="3024" t="s">
        <v>889</v>
      </c>
      <c r="D156" s="2548">
        <v>280000000</v>
      </c>
      <c r="E156" s="2549">
        <f>F156/D156</f>
        <v>7.0000000000000007E-2</v>
      </c>
      <c r="F156" s="2548">
        <v>19600000</v>
      </c>
      <c r="G156" s="2548">
        <v>19600000</v>
      </c>
      <c r="H156" s="2548" t="s">
        <v>5358</v>
      </c>
      <c r="I156" s="4023" t="s">
        <v>934</v>
      </c>
      <c r="J156" s="2548">
        <f>G156</f>
        <v>19600000</v>
      </c>
      <c r="K156" s="2548">
        <f t="shared" si="14"/>
        <v>0</v>
      </c>
      <c r="L156" s="4003" t="s">
        <v>5793</v>
      </c>
    </row>
    <row r="157" spans="1:12" ht="30" customHeight="1" x14ac:dyDescent="0.2">
      <c r="A157" s="3651"/>
      <c r="B157" s="3653" t="s">
        <v>5399</v>
      </c>
      <c r="C157" s="3661"/>
      <c r="D157" s="3660">
        <v>450000000</v>
      </c>
      <c r="E157" s="3660"/>
      <c r="F157" s="3660"/>
      <c r="G157" s="3646"/>
      <c r="H157" s="3646"/>
      <c r="I157" s="3662"/>
      <c r="J157" s="3646"/>
      <c r="K157" s="3646"/>
      <c r="L157" s="736" t="s">
        <v>5400</v>
      </c>
    </row>
    <row r="158" spans="1:12" ht="30" customHeight="1" x14ac:dyDescent="0.2">
      <c r="A158" s="7654"/>
      <c r="B158" s="7652" t="s">
        <v>205</v>
      </c>
      <c r="C158" s="7723" t="s">
        <v>889</v>
      </c>
      <c r="D158" s="3483">
        <v>30000000</v>
      </c>
      <c r="E158" s="3489">
        <v>0.05</v>
      </c>
      <c r="F158" s="3483">
        <f t="shared" si="12"/>
        <v>1500000</v>
      </c>
      <c r="G158" s="7563">
        <v>2000000</v>
      </c>
      <c r="H158" s="7563" t="s">
        <v>5340</v>
      </c>
      <c r="I158" s="7563" t="s">
        <v>1407</v>
      </c>
      <c r="J158" s="7563">
        <f t="shared" si="15"/>
        <v>2000000</v>
      </c>
      <c r="K158" s="7563">
        <f>(F158+F159)-J158</f>
        <v>0</v>
      </c>
      <c r="L158" s="3497"/>
    </row>
    <row r="159" spans="1:12" ht="30" customHeight="1" x14ac:dyDescent="0.2">
      <c r="A159" s="7655"/>
      <c r="B159" s="7653"/>
      <c r="C159" s="7724"/>
      <c r="D159" s="3482">
        <v>10000000</v>
      </c>
      <c r="E159" s="3498">
        <v>0.05</v>
      </c>
      <c r="F159" s="3482">
        <f t="shared" si="12"/>
        <v>500000</v>
      </c>
      <c r="G159" s="7564"/>
      <c r="H159" s="7564"/>
      <c r="I159" s="7564"/>
      <c r="J159" s="7564"/>
      <c r="K159" s="7564"/>
      <c r="L159" s="3548"/>
    </row>
    <row r="160" spans="1:12" ht="30" customHeight="1" x14ac:dyDescent="0.2">
      <c r="A160" s="7654">
        <v>72</v>
      </c>
      <c r="B160" s="7652" t="s">
        <v>1023</v>
      </c>
      <c r="C160" s="7723" t="s">
        <v>1718</v>
      </c>
      <c r="D160" s="7563">
        <v>1685000000</v>
      </c>
      <c r="E160" s="7659">
        <v>0.06</v>
      </c>
      <c r="F160" s="7563">
        <f t="shared" si="12"/>
        <v>101100000</v>
      </c>
      <c r="G160" s="3483">
        <v>50000000</v>
      </c>
      <c r="H160" s="3483" t="s">
        <v>5367</v>
      </c>
      <c r="I160" s="3582" t="s">
        <v>3067</v>
      </c>
      <c r="J160" s="7563">
        <f>G160+G161</f>
        <v>100000000</v>
      </c>
      <c r="K160" s="7563">
        <f t="shared" si="14"/>
        <v>1100000</v>
      </c>
      <c r="L160" s="7798"/>
    </row>
    <row r="161" spans="1:12" ht="30" customHeight="1" x14ac:dyDescent="0.2">
      <c r="A161" s="7656"/>
      <c r="B161" s="7665"/>
      <c r="C161" s="7747"/>
      <c r="D161" s="7564"/>
      <c r="E161" s="7660"/>
      <c r="F161" s="7564"/>
      <c r="G161" s="3483">
        <v>50000000</v>
      </c>
      <c r="H161" s="3483" t="s">
        <v>1879</v>
      </c>
      <c r="I161" s="3582" t="s">
        <v>3067</v>
      </c>
      <c r="J161" s="7564"/>
      <c r="K161" s="7564"/>
      <c r="L161" s="7800"/>
    </row>
    <row r="162" spans="1:12" ht="30" customHeight="1" x14ac:dyDescent="0.2">
      <c r="A162" s="7656"/>
      <c r="B162" s="7665"/>
      <c r="C162" s="7747"/>
      <c r="D162" s="7494" t="s">
        <v>6001</v>
      </c>
      <c r="E162" s="7495"/>
      <c r="F162" s="7768"/>
      <c r="G162" s="4166">
        <v>100000000</v>
      </c>
      <c r="H162" s="4166"/>
      <c r="I162" s="4181"/>
      <c r="J162" s="7563">
        <f>G162+G163+G164+G165+G166</f>
        <v>200000000</v>
      </c>
      <c r="K162" s="7563">
        <f>285000000-J162</f>
        <v>85000000</v>
      </c>
      <c r="L162" s="4169"/>
    </row>
    <row r="163" spans="1:12" ht="30" customHeight="1" x14ac:dyDescent="0.2">
      <c r="A163" s="7656"/>
      <c r="B163" s="7665"/>
      <c r="C163" s="7747"/>
      <c r="D163" s="7877"/>
      <c r="E163" s="7524"/>
      <c r="F163" s="7878"/>
      <c r="G163" s="4166">
        <v>50000000</v>
      </c>
      <c r="H163" s="4166"/>
      <c r="I163" s="4181"/>
      <c r="J163" s="7586"/>
      <c r="K163" s="7586"/>
      <c r="L163" s="4169"/>
    </row>
    <row r="164" spans="1:12" ht="30" customHeight="1" x14ac:dyDescent="0.2">
      <c r="A164" s="7656"/>
      <c r="B164" s="7665"/>
      <c r="C164" s="7747"/>
      <c r="D164" s="7877"/>
      <c r="E164" s="7524"/>
      <c r="F164" s="7878"/>
      <c r="G164" s="4166">
        <v>50000000</v>
      </c>
      <c r="H164" s="4166" t="s">
        <v>5995</v>
      </c>
      <c r="I164" s="4181" t="s">
        <v>3067</v>
      </c>
      <c r="J164" s="7586"/>
      <c r="K164" s="7586"/>
      <c r="L164" s="4169"/>
    </row>
    <row r="165" spans="1:12" ht="30" customHeight="1" x14ac:dyDescent="0.2">
      <c r="A165" s="7656"/>
      <c r="B165" s="7665"/>
      <c r="C165" s="7747"/>
      <c r="D165" s="7877"/>
      <c r="E165" s="7524"/>
      <c r="F165" s="7878"/>
      <c r="G165" s="4166"/>
      <c r="H165" s="4166"/>
      <c r="I165" s="4181"/>
      <c r="J165" s="7586"/>
      <c r="K165" s="7586"/>
      <c r="L165" s="4169"/>
    </row>
    <row r="166" spans="1:12" ht="30" customHeight="1" x14ac:dyDescent="0.2">
      <c r="A166" s="7656"/>
      <c r="B166" s="7665"/>
      <c r="C166" s="7747"/>
      <c r="D166" s="7769"/>
      <c r="E166" s="7805"/>
      <c r="F166" s="7770"/>
      <c r="G166" s="4166"/>
      <c r="H166" s="4166"/>
      <c r="I166" s="4181"/>
      <c r="J166" s="7564"/>
      <c r="K166" s="7564"/>
      <c r="L166" s="4169"/>
    </row>
    <row r="167" spans="1:12" ht="30" customHeight="1" x14ac:dyDescent="0.2">
      <c r="A167" s="7655"/>
      <c r="B167" s="7653"/>
      <c r="C167" s="7724"/>
      <c r="D167" s="4180">
        <f>D160-285000000</f>
        <v>1400000000</v>
      </c>
      <c r="E167" s="4178">
        <v>0.06</v>
      </c>
      <c r="F167" s="4180">
        <f>D167*E167</f>
        <v>84000000</v>
      </c>
      <c r="G167" s="4166"/>
      <c r="H167" s="4166"/>
      <c r="I167" s="4181"/>
      <c r="J167" s="4166"/>
      <c r="K167" s="4166"/>
      <c r="L167" s="4169"/>
    </row>
    <row r="168" spans="1:12" ht="30" customHeight="1" x14ac:dyDescent="0.2">
      <c r="A168" s="3487">
        <v>73</v>
      </c>
      <c r="B168" s="3527" t="s">
        <v>206</v>
      </c>
      <c r="C168" s="3504" t="s">
        <v>1293</v>
      </c>
      <c r="D168" s="3483">
        <v>20000000</v>
      </c>
      <c r="E168" s="3523">
        <v>0.05</v>
      </c>
      <c r="F168" s="3483">
        <f t="shared" si="12"/>
        <v>1000000</v>
      </c>
      <c r="G168" s="3483">
        <v>1000000</v>
      </c>
      <c r="H168" s="3483" t="s">
        <v>1527</v>
      </c>
      <c r="I168" s="3582" t="s">
        <v>4899</v>
      </c>
      <c r="J168" s="3483">
        <f>G168</f>
        <v>1000000</v>
      </c>
      <c r="K168" s="3483">
        <f>F168-J168</f>
        <v>0</v>
      </c>
      <c r="L168" s="3527"/>
    </row>
    <row r="169" spans="1:12" ht="30" customHeight="1" x14ac:dyDescent="0.2">
      <c r="A169" s="7654">
        <v>74</v>
      </c>
      <c r="B169" s="7652" t="s">
        <v>4203</v>
      </c>
      <c r="C169" s="7723" t="s">
        <v>2644</v>
      </c>
      <c r="D169" s="3483">
        <v>125000000</v>
      </c>
      <c r="E169" s="3523">
        <v>0.04</v>
      </c>
      <c r="F169" s="3483">
        <f t="shared" si="12"/>
        <v>5000000</v>
      </c>
      <c r="G169" s="7563">
        <v>10000000</v>
      </c>
      <c r="H169" s="7563" t="s">
        <v>5434</v>
      </c>
      <c r="I169" s="7563" t="s">
        <v>3067</v>
      </c>
      <c r="J169" s="7563">
        <f>G169</f>
        <v>10000000</v>
      </c>
      <c r="K169" s="7563">
        <f>(F169+F170+F171)-J169</f>
        <v>0</v>
      </c>
      <c r="L169" s="637"/>
    </row>
    <row r="170" spans="1:12" ht="30" customHeight="1" x14ac:dyDescent="0.2">
      <c r="A170" s="7656"/>
      <c r="B170" s="7665"/>
      <c r="C170" s="7747"/>
      <c r="D170" s="3483">
        <v>90000000</v>
      </c>
      <c r="E170" s="3523">
        <v>0.05</v>
      </c>
      <c r="F170" s="3483">
        <f t="shared" si="12"/>
        <v>4500000</v>
      </c>
      <c r="G170" s="7586"/>
      <c r="H170" s="7586"/>
      <c r="I170" s="7586"/>
      <c r="J170" s="7586"/>
      <c r="K170" s="7586"/>
      <c r="L170" s="180"/>
    </row>
    <row r="171" spans="1:12" ht="30" customHeight="1" x14ac:dyDescent="0.2">
      <c r="A171" s="7655"/>
      <c r="B171" s="7653"/>
      <c r="C171" s="7724"/>
      <c r="D171" s="3483">
        <v>10000000</v>
      </c>
      <c r="E171" s="3523">
        <v>0.05</v>
      </c>
      <c r="F171" s="3483">
        <f t="shared" si="12"/>
        <v>500000</v>
      </c>
      <c r="G171" s="7564"/>
      <c r="H171" s="7564"/>
      <c r="I171" s="7564"/>
      <c r="J171" s="7564"/>
      <c r="K171" s="7564"/>
      <c r="L171" s="29" t="s">
        <v>4972</v>
      </c>
    </row>
    <row r="172" spans="1:12" ht="30" customHeight="1" x14ac:dyDescent="0.2">
      <c r="A172" s="3526"/>
      <c r="B172" s="3527" t="s">
        <v>4205</v>
      </c>
      <c r="C172" s="3504" t="s">
        <v>262</v>
      </c>
      <c r="D172" s="3483">
        <v>200000000</v>
      </c>
      <c r="E172" s="3523">
        <v>0.05</v>
      </c>
      <c r="F172" s="3483">
        <f t="shared" si="12"/>
        <v>10000000</v>
      </c>
      <c r="G172" s="3483">
        <v>10000000</v>
      </c>
      <c r="H172" s="3483" t="s">
        <v>5367</v>
      </c>
      <c r="I172" s="3509" t="s">
        <v>4461</v>
      </c>
      <c r="J172" s="3483">
        <f>G172</f>
        <v>10000000</v>
      </c>
      <c r="K172" s="3483">
        <f>F172-J172</f>
        <v>0</v>
      </c>
      <c r="L172" s="736"/>
    </row>
    <row r="173" spans="1:12" ht="30" customHeight="1" x14ac:dyDescent="0.2">
      <c r="A173" s="3486"/>
      <c r="B173" s="3527" t="s">
        <v>208</v>
      </c>
      <c r="C173" s="3504" t="s">
        <v>392</v>
      </c>
      <c r="D173" s="3483">
        <v>50000000</v>
      </c>
      <c r="E173" s="3523">
        <v>0.05</v>
      </c>
      <c r="F173" s="3483">
        <f t="shared" si="12"/>
        <v>2500000</v>
      </c>
      <c r="G173" s="3483">
        <v>2500000</v>
      </c>
      <c r="H173" s="3483" t="s">
        <v>1527</v>
      </c>
      <c r="I173" s="3509" t="s">
        <v>5417</v>
      </c>
      <c r="J173" s="3483">
        <f>G173</f>
        <v>2500000</v>
      </c>
      <c r="K173" s="3483">
        <f>F173-J173</f>
        <v>0</v>
      </c>
      <c r="L173" s="180"/>
    </row>
    <row r="174" spans="1:12" ht="30" customHeight="1" x14ac:dyDescent="0.2">
      <c r="A174" s="3486">
        <v>76</v>
      </c>
      <c r="B174" s="3490" t="s">
        <v>3462</v>
      </c>
      <c r="C174" s="3503" t="s">
        <v>1293</v>
      </c>
      <c r="D174" s="3483">
        <v>150000000</v>
      </c>
      <c r="E174" s="3523">
        <v>0.05</v>
      </c>
      <c r="F174" s="3483">
        <f t="shared" si="12"/>
        <v>7500000</v>
      </c>
      <c r="G174" s="3483">
        <v>7500000</v>
      </c>
      <c r="H174" s="3483" t="s">
        <v>1527</v>
      </c>
      <c r="I174" s="3582" t="s">
        <v>4863</v>
      </c>
      <c r="J174" s="3483">
        <f>G174</f>
        <v>7500000</v>
      </c>
      <c r="K174" s="3483">
        <f>F174-J174</f>
        <v>0</v>
      </c>
      <c r="L174" s="180"/>
    </row>
    <row r="175" spans="1:12" ht="30" customHeight="1" x14ac:dyDescent="0.2">
      <c r="A175" s="7654">
        <v>77</v>
      </c>
      <c r="B175" s="7652" t="s">
        <v>210</v>
      </c>
      <c r="C175" s="7723" t="s">
        <v>1717</v>
      </c>
      <c r="D175" s="3483">
        <v>30000000</v>
      </c>
      <c r="E175" s="3523">
        <v>7.0000000000000007E-2</v>
      </c>
      <c r="F175" s="3483">
        <f t="shared" si="12"/>
        <v>2100000</v>
      </c>
      <c r="G175" s="7563">
        <v>3675000</v>
      </c>
      <c r="H175" s="7563" t="s">
        <v>5434</v>
      </c>
      <c r="I175" s="7561" t="s">
        <v>4871</v>
      </c>
      <c r="J175" s="7563">
        <f>G175</f>
        <v>3675000</v>
      </c>
      <c r="K175" s="7563">
        <f>(F175+F176)-J175</f>
        <v>0</v>
      </c>
      <c r="L175" s="7713"/>
    </row>
    <row r="176" spans="1:12" ht="30" customHeight="1" x14ac:dyDescent="0.2">
      <c r="A176" s="7655"/>
      <c r="B176" s="7653"/>
      <c r="C176" s="7724"/>
      <c r="D176" s="3483">
        <v>35000000</v>
      </c>
      <c r="E176" s="3523">
        <v>4.4999999999999998E-2</v>
      </c>
      <c r="F176" s="3483">
        <f t="shared" si="12"/>
        <v>1575000</v>
      </c>
      <c r="G176" s="7564"/>
      <c r="H176" s="7564"/>
      <c r="I176" s="7562"/>
      <c r="J176" s="7564"/>
      <c r="K176" s="7564"/>
      <c r="L176" s="7714"/>
    </row>
    <row r="177" spans="1:16" ht="30" customHeight="1" x14ac:dyDescent="0.2">
      <c r="A177" s="3526">
        <v>78</v>
      </c>
      <c r="B177" s="3527" t="s">
        <v>211</v>
      </c>
      <c r="C177" s="3504" t="s">
        <v>2644</v>
      </c>
      <c r="D177" s="3483">
        <v>45000000</v>
      </c>
      <c r="E177" s="3523">
        <v>4.2000000000000003E-2</v>
      </c>
      <c r="F177" s="3483">
        <v>1900000</v>
      </c>
      <c r="G177" s="3483">
        <v>1900000</v>
      </c>
      <c r="H177" s="3483" t="s">
        <v>5434</v>
      </c>
      <c r="I177" s="3552" t="s">
        <v>1259</v>
      </c>
      <c r="J177" s="3483">
        <f t="shared" ref="J177:J191" si="16">G177</f>
        <v>1900000</v>
      </c>
      <c r="K177" s="3483">
        <f t="shared" ref="K177:K190" si="17">F177-J177</f>
        <v>0</v>
      </c>
      <c r="L177" s="3527"/>
    </row>
    <row r="178" spans="1:16" ht="30" customHeight="1" x14ac:dyDescent="0.2">
      <c r="A178" s="7654">
        <v>79</v>
      </c>
      <c r="B178" s="8132" t="s">
        <v>212</v>
      </c>
      <c r="C178" s="8134" t="s">
        <v>889</v>
      </c>
      <c r="D178" s="4220">
        <v>15000000</v>
      </c>
      <c r="E178" s="2549">
        <v>4.4999999999999998E-2</v>
      </c>
      <c r="F178" s="4220">
        <f t="shared" si="12"/>
        <v>675000</v>
      </c>
      <c r="G178" s="4220">
        <v>675000</v>
      </c>
      <c r="H178" s="4220" t="s">
        <v>5340</v>
      </c>
      <c r="I178" s="287" t="s">
        <v>1766</v>
      </c>
      <c r="J178" s="4220">
        <f t="shared" si="16"/>
        <v>675000</v>
      </c>
      <c r="K178" s="4220">
        <f t="shared" si="17"/>
        <v>0</v>
      </c>
      <c r="L178" s="2551"/>
      <c r="M178" s="366"/>
      <c r="N178" s="366"/>
      <c r="O178" s="366"/>
      <c r="P178" s="366"/>
    </row>
    <row r="179" spans="1:16" ht="30" customHeight="1" x14ac:dyDescent="0.2">
      <c r="A179" s="7655"/>
      <c r="B179" s="8133"/>
      <c r="C179" s="8135"/>
      <c r="D179" s="8139" t="s">
        <v>6024</v>
      </c>
      <c r="E179" s="8140"/>
      <c r="F179" s="8141"/>
      <c r="G179" s="4220">
        <v>15675000</v>
      </c>
      <c r="H179" s="4220" t="s">
        <v>6023</v>
      </c>
      <c r="I179" s="287" t="s">
        <v>1259</v>
      </c>
      <c r="J179" s="4220">
        <f t="shared" si="16"/>
        <v>15675000</v>
      </c>
      <c r="K179" s="4220"/>
      <c r="L179" s="4241" t="s">
        <v>6059</v>
      </c>
      <c r="M179" s="366"/>
      <c r="N179" s="366"/>
      <c r="O179" s="366"/>
      <c r="P179" s="366"/>
    </row>
    <row r="180" spans="1:16" ht="30" customHeight="1" x14ac:dyDescent="0.2">
      <c r="A180" s="7654">
        <v>80</v>
      </c>
      <c r="B180" s="7652" t="s">
        <v>182</v>
      </c>
      <c r="C180" s="7723" t="s">
        <v>1293</v>
      </c>
      <c r="D180" s="3483">
        <v>145000000</v>
      </c>
      <c r="E180" s="3523">
        <v>4.4999999999999998E-2</v>
      </c>
      <c r="F180" s="3483">
        <v>6775000</v>
      </c>
      <c r="G180" s="3483">
        <v>6775000</v>
      </c>
      <c r="H180" s="3483" t="s">
        <v>1649</v>
      </c>
      <c r="I180" s="3513" t="s">
        <v>3928</v>
      </c>
      <c r="J180" s="3483">
        <f t="shared" si="16"/>
        <v>6775000</v>
      </c>
      <c r="K180" s="3483">
        <f t="shared" si="17"/>
        <v>0</v>
      </c>
      <c r="L180" s="3527"/>
      <c r="M180" s="366"/>
      <c r="N180" s="366"/>
      <c r="O180" s="366"/>
      <c r="P180" s="366"/>
    </row>
    <row r="181" spans="1:16" ht="30" customHeight="1" x14ac:dyDescent="0.2">
      <c r="A181" s="7656"/>
      <c r="B181" s="7665"/>
      <c r="C181" s="7747"/>
      <c r="D181" s="7494" t="s">
        <v>5450</v>
      </c>
      <c r="E181" s="7495"/>
      <c r="F181" s="7768"/>
      <c r="G181" s="3683">
        <v>50000000</v>
      </c>
      <c r="H181" s="3683" t="s">
        <v>5434</v>
      </c>
      <c r="I181" s="3694" t="s">
        <v>3928</v>
      </c>
      <c r="J181" s="7846">
        <f>G181+G182+G183</f>
        <v>113000000</v>
      </c>
      <c r="K181" s="7563">
        <f>113000000-J181</f>
        <v>0</v>
      </c>
      <c r="L181" s="7713" t="s">
        <v>5449</v>
      </c>
      <c r="M181" s="366"/>
      <c r="N181" s="366"/>
      <c r="O181" s="366"/>
      <c r="P181" s="366"/>
    </row>
    <row r="182" spans="1:16" ht="30" customHeight="1" x14ac:dyDescent="0.2">
      <c r="A182" s="7656"/>
      <c r="B182" s="7665"/>
      <c r="C182" s="7747"/>
      <c r="D182" s="7877"/>
      <c r="E182" s="7524"/>
      <c r="F182" s="7878"/>
      <c r="G182" s="3683">
        <v>43000000</v>
      </c>
      <c r="H182" s="3683" t="s">
        <v>5345</v>
      </c>
      <c r="I182" s="3694" t="s">
        <v>3928</v>
      </c>
      <c r="J182" s="7847"/>
      <c r="K182" s="7586"/>
      <c r="L182" s="7797"/>
      <c r="M182" s="366"/>
      <c r="N182" s="366"/>
      <c r="O182" s="366"/>
      <c r="P182" s="366"/>
    </row>
    <row r="183" spans="1:16" ht="30" customHeight="1" x14ac:dyDescent="0.2">
      <c r="A183" s="7655"/>
      <c r="B183" s="7653"/>
      <c r="C183" s="7724"/>
      <c r="D183" s="7769"/>
      <c r="E183" s="7805"/>
      <c r="F183" s="7770"/>
      <c r="G183" s="3683">
        <v>20000000</v>
      </c>
      <c r="H183" s="3683" t="s">
        <v>5367</v>
      </c>
      <c r="I183" s="3694" t="s">
        <v>3928</v>
      </c>
      <c r="J183" s="7848"/>
      <c r="K183" s="7564"/>
      <c r="L183" s="7714"/>
      <c r="M183" s="366"/>
      <c r="N183" s="366"/>
      <c r="O183" s="366"/>
      <c r="P183" s="366"/>
    </row>
    <row r="184" spans="1:16" ht="30" customHeight="1" x14ac:dyDescent="0.2">
      <c r="A184" s="3526">
        <v>81</v>
      </c>
      <c r="B184" s="3527" t="s">
        <v>213</v>
      </c>
      <c r="C184" s="3504"/>
      <c r="D184" s="3483">
        <v>5000000</v>
      </c>
      <c r="E184" s="3523">
        <v>0.04</v>
      </c>
      <c r="F184" s="3483">
        <f t="shared" si="12"/>
        <v>200000</v>
      </c>
      <c r="G184" s="3483">
        <v>200000</v>
      </c>
      <c r="H184" s="3483" t="s">
        <v>1649</v>
      </c>
      <c r="I184" s="3582" t="s">
        <v>1363</v>
      </c>
      <c r="J184" s="3483">
        <f t="shared" si="16"/>
        <v>200000</v>
      </c>
      <c r="K184" s="3483">
        <f t="shared" si="17"/>
        <v>0</v>
      </c>
      <c r="L184" s="3527"/>
      <c r="M184" s="366"/>
      <c r="N184" s="366"/>
      <c r="O184" s="366"/>
      <c r="P184" s="366"/>
    </row>
    <row r="185" spans="1:16" ht="30" customHeight="1" x14ac:dyDescent="0.2">
      <c r="A185" s="7654">
        <v>82</v>
      </c>
      <c r="B185" s="7652" t="s">
        <v>214</v>
      </c>
      <c r="C185" s="7723" t="s">
        <v>2644</v>
      </c>
      <c r="D185" s="3483">
        <v>16000000</v>
      </c>
      <c r="E185" s="3523">
        <v>0.05</v>
      </c>
      <c r="F185" s="3483">
        <f t="shared" si="12"/>
        <v>800000</v>
      </c>
      <c r="G185" s="3483">
        <v>800000</v>
      </c>
      <c r="H185" s="3483" t="s">
        <v>5434</v>
      </c>
      <c r="I185" s="3552" t="s">
        <v>964</v>
      </c>
      <c r="J185" s="3483">
        <f t="shared" si="16"/>
        <v>800000</v>
      </c>
      <c r="K185" s="3483">
        <f t="shared" si="17"/>
        <v>0</v>
      </c>
      <c r="L185" s="3527"/>
      <c r="M185" s="366"/>
      <c r="N185" s="366"/>
      <c r="O185" s="366"/>
      <c r="P185" s="366"/>
    </row>
    <row r="186" spans="1:16" ht="30" customHeight="1" x14ac:dyDescent="0.2">
      <c r="A186" s="7656"/>
      <c r="B186" s="7665"/>
      <c r="C186" s="7747"/>
      <c r="D186" s="7494" t="s">
        <v>5733</v>
      </c>
      <c r="E186" s="7495"/>
      <c r="F186" s="7768"/>
      <c r="G186" s="3951">
        <v>5000000</v>
      </c>
      <c r="H186" s="3951" t="s">
        <v>1972</v>
      </c>
      <c r="I186" s="3966" t="s">
        <v>5734</v>
      </c>
      <c r="J186" s="7563">
        <f>G186+G187</f>
        <v>5000000</v>
      </c>
      <c r="K186" s="7563">
        <f>16000000-J186</f>
        <v>11000000</v>
      </c>
      <c r="L186" s="3954"/>
      <c r="M186" s="366"/>
      <c r="N186" s="366"/>
      <c r="O186" s="366"/>
      <c r="P186" s="366"/>
    </row>
    <row r="187" spans="1:16" ht="30" customHeight="1" x14ac:dyDescent="0.2">
      <c r="A187" s="7655"/>
      <c r="B187" s="7653"/>
      <c r="C187" s="7724"/>
      <c r="D187" s="7769"/>
      <c r="E187" s="7805"/>
      <c r="F187" s="7770"/>
      <c r="G187" s="3951"/>
      <c r="H187" s="3951"/>
      <c r="I187" s="3966"/>
      <c r="J187" s="7564"/>
      <c r="K187" s="7564"/>
      <c r="L187" s="3954"/>
      <c r="M187" s="366"/>
      <c r="N187" s="366"/>
      <c r="O187" s="366"/>
      <c r="P187" s="366"/>
    </row>
    <row r="188" spans="1:16" ht="30" customHeight="1" x14ac:dyDescent="0.2">
      <c r="A188" s="7654">
        <v>83</v>
      </c>
      <c r="B188" s="7652" t="s">
        <v>215</v>
      </c>
      <c r="C188" s="7723" t="s">
        <v>889</v>
      </c>
      <c r="D188" s="7563">
        <v>160000000</v>
      </c>
      <c r="E188" s="7659">
        <v>0.05</v>
      </c>
      <c r="F188" s="7563">
        <f>D188*E188</f>
        <v>8000000</v>
      </c>
      <c r="G188" s="3483">
        <v>8000000</v>
      </c>
      <c r="H188" s="3483" t="s">
        <v>5340</v>
      </c>
      <c r="I188" s="3513" t="s">
        <v>3982</v>
      </c>
      <c r="J188" s="3483">
        <f t="shared" si="16"/>
        <v>8000000</v>
      </c>
      <c r="K188" s="3483">
        <f t="shared" si="17"/>
        <v>0</v>
      </c>
      <c r="L188" s="29" t="s">
        <v>4906</v>
      </c>
      <c r="M188" s="366"/>
      <c r="N188" s="366"/>
      <c r="O188" s="366"/>
      <c r="P188" s="366"/>
    </row>
    <row r="189" spans="1:16" ht="30" customHeight="1" x14ac:dyDescent="0.2">
      <c r="A189" s="7655"/>
      <c r="B189" s="7653"/>
      <c r="C189" s="7724"/>
      <c r="D189" s="7564"/>
      <c r="E189" s="7660"/>
      <c r="F189" s="7564"/>
      <c r="G189" s="3683">
        <v>8000000</v>
      </c>
      <c r="H189" s="3683" t="s">
        <v>5345</v>
      </c>
      <c r="I189" s="3696" t="s">
        <v>3982</v>
      </c>
      <c r="J189" s="3683">
        <f>G189</f>
        <v>8000000</v>
      </c>
      <c r="K189" s="3683">
        <f>F188-J189</f>
        <v>0</v>
      </c>
      <c r="L189" s="29" t="s">
        <v>5482</v>
      </c>
      <c r="M189" s="366"/>
      <c r="N189" s="366"/>
      <c r="O189" s="366"/>
      <c r="P189" s="366"/>
    </row>
    <row r="190" spans="1:16" ht="30" customHeight="1" x14ac:dyDescent="0.2">
      <c r="A190" s="3526">
        <v>84</v>
      </c>
      <c r="B190" s="3527" t="s">
        <v>216</v>
      </c>
      <c r="C190" s="3504"/>
      <c r="D190" s="3483">
        <v>400000000</v>
      </c>
      <c r="E190" s="3523">
        <v>6.0999999999999999E-2</v>
      </c>
      <c r="F190" s="3483">
        <f t="shared" si="12"/>
        <v>24400000</v>
      </c>
      <c r="G190" s="3483">
        <v>24400000</v>
      </c>
      <c r="H190" s="3483" t="s">
        <v>5434</v>
      </c>
      <c r="I190" s="3552" t="s">
        <v>1553</v>
      </c>
      <c r="J190" s="3483">
        <f t="shared" si="16"/>
        <v>24400000</v>
      </c>
      <c r="K190" s="3483">
        <f t="shared" si="17"/>
        <v>0</v>
      </c>
      <c r="L190" s="3527"/>
      <c r="M190" s="366"/>
      <c r="N190" s="366"/>
      <c r="O190" s="366"/>
      <c r="P190" s="366"/>
    </row>
    <row r="191" spans="1:16" ht="30" customHeight="1" x14ac:dyDescent="0.2">
      <c r="A191" s="7654"/>
      <c r="B191" s="7652" t="s">
        <v>975</v>
      </c>
      <c r="C191" s="7723" t="s">
        <v>889</v>
      </c>
      <c r="D191" s="3660">
        <v>850000000</v>
      </c>
      <c r="E191" s="3663">
        <v>0.06</v>
      </c>
      <c r="F191" s="3660">
        <v>52400000</v>
      </c>
      <c r="G191" s="3513">
        <v>52400000</v>
      </c>
      <c r="H191" s="3513" t="s">
        <v>1649</v>
      </c>
      <c r="I191" s="3513" t="s">
        <v>4150</v>
      </c>
      <c r="J191" s="3660">
        <f t="shared" si="16"/>
        <v>52400000</v>
      </c>
      <c r="K191" s="3660">
        <f>F191-J191</f>
        <v>0</v>
      </c>
      <c r="L191" s="3503"/>
      <c r="M191" s="366"/>
      <c r="N191" s="366"/>
      <c r="O191" s="366"/>
      <c r="P191" s="366"/>
    </row>
    <row r="192" spans="1:16" ht="30" customHeight="1" x14ac:dyDescent="0.2">
      <c r="A192" s="7656"/>
      <c r="B192" s="7665"/>
      <c r="C192" s="7747"/>
      <c r="D192" s="3660">
        <v>90000000</v>
      </c>
      <c r="E192" s="3663">
        <v>0.06</v>
      </c>
      <c r="F192" s="3660">
        <f>D192*E192</f>
        <v>5400000</v>
      </c>
      <c r="G192" s="7470" t="s">
        <v>5405</v>
      </c>
      <c r="H192" s="7493"/>
      <c r="I192" s="7493"/>
      <c r="J192" s="7510"/>
      <c r="K192" s="3660"/>
      <c r="L192" s="3514"/>
      <c r="M192" s="366"/>
      <c r="N192" s="366"/>
      <c r="O192" s="366"/>
      <c r="P192" s="366"/>
    </row>
    <row r="193" spans="1:16" ht="30" customHeight="1" x14ac:dyDescent="0.2">
      <c r="A193" s="7656"/>
      <c r="B193" s="7665"/>
      <c r="C193" s="7747"/>
      <c r="D193" s="4186">
        <v>940000000</v>
      </c>
      <c r="E193" s="4222">
        <f>F193/D193</f>
        <v>6.1489361702127661E-2</v>
      </c>
      <c r="F193" s="4186">
        <f>SUM(F191:F192)</f>
        <v>57800000</v>
      </c>
      <c r="G193" s="7732" t="s">
        <v>6038</v>
      </c>
      <c r="H193" s="7733"/>
      <c r="I193" s="7733"/>
      <c r="J193" s="7734"/>
      <c r="K193" s="4185"/>
      <c r="L193" s="4204"/>
      <c r="M193" s="366"/>
      <c r="N193" s="366"/>
      <c r="O193" s="366"/>
      <c r="P193" s="366"/>
    </row>
    <row r="194" spans="1:16" ht="30" customHeight="1" x14ac:dyDescent="0.2">
      <c r="A194" s="7655"/>
      <c r="B194" s="7653"/>
      <c r="C194" s="7724"/>
      <c r="D194" s="4185">
        <f>D193+57800000+42200000</f>
        <v>1040000000</v>
      </c>
      <c r="E194" s="4206"/>
      <c r="F194" s="4185"/>
      <c r="G194" s="7732" t="s">
        <v>6039</v>
      </c>
      <c r="H194" s="7733"/>
      <c r="I194" s="7733"/>
      <c r="J194" s="7734"/>
      <c r="K194" s="4185"/>
      <c r="L194" s="4204"/>
      <c r="M194" s="366"/>
      <c r="N194" s="366"/>
      <c r="O194" s="366"/>
      <c r="P194" s="366"/>
    </row>
    <row r="195" spans="1:16" ht="30" customHeight="1" x14ac:dyDescent="0.2">
      <c r="A195" s="7654">
        <v>86</v>
      </c>
      <c r="B195" s="7652" t="s">
        <v>217</v>
      </c>
      <c r="C195" s="7723" t="s">
        <v>889</v>
      </c>
      <c r="D195" s="3513">
        <v>111000000</v>
      </c>
      <c r="E195" s="3523">
        <v>0.05</v>
      </c>
      <c r="F195" s="3513">
        <f t="shared" ref="F195:F199" si="18">D195*E195</f>
        <v>5550000</v>
      </c>
      <c r="G195" s="3513"/>
      <c r="H195" s="3513"/>
      <c r="I195" s="3513" t="s">
        <v>3971</v>
      </c>
      <c r="J195" s="3513">
        <f>G195</f>
        <v>0</v>
      </c>
      <c r="K195" s="3513">
        <f>F195-J195</f>
        <v>5550000</v>
      </c>
      <c r="L195" s="180"/>
      <c r="M195" s="366"/>
      <c r="N195" s="366"/>
      <c r="O195" s="366"/>
      <c r="P195" s="366"/>
    </row>
    <row r="196" spans="1:16" ht="30" customHeight="1" x14ac:dyDescent="0.2">
      <c r="A196" s="7656"/>
      <c r="B196" s="7665"/>
      <c r="C196" s="7747"/>
      <c r="D196" s="3483">
        <v>5000000</v>
      </c>
      <c r="E196" s="3489">
        <v>0.05</v>
      </c>
      <c r="F196" s="3483">
        <f t="shared" si="18"/>
        <v>250000</v>
      </c>
      <c r="G196" s="7732" t="s">
        <v>4882</v>
      </c>
      <c r="H196" s="7733"/>
      <c r="I196" s="7733"/>
      <c r="J196" s="7733"/>
      <c r="K196" s="7734"/>
      <c r="L196" s="3023"/>
      <c r="M196" s="366"/>
      <c r="N196" s="366"/>
      <c r="O196" s="366"/>
      <c r="P196" s="366"/>
    </row>
    <row r="197" spans="1:16" ht="30" customHeight="1" x14ac:dyDescent="0.2">
      <c r="A197" s="7656"/>
      <c r="B197" s="7665"/>
      <c r="C197" s="7747"/>
      <c r="D197" s="3483">
        <v>10000000</v>
      </c>
      <c r="E197" s="3489">
        <v>0.05</v>
      </c>
      <c r="F197" s="3483">
        <f t="shared" si="18"/>
        <v>500000</v>
      </c>
      <c r="G197" s="7732" t="s">
        <v>5089</v>
      </c>
      <c r="H197" s="7733"/>
      <c r="I197" s="7733"/>
      <c r="J197" s="7733"/>
      <c r="K197" s="7734"/>
      <c r="L197" s="3023"/>
      <c r="M197" s="366"/>
      <c r="N197" s="366"/>
      <c r="O197" s="366"/>
      <c r="P197" s="366"/>
    </row>
    <row r="198" spans="1:16" ht="30" customHeight="1" x14ac:dyDescent="0.2">
      <c r="A198" s="7656"/>
      <c r="B198" s="7665"/>
      <c r="C198" s="7747"/>
      <c r="D198" s="3683">
        <v>126000000</v>
      </c>
      <c r="E198" s="3688">
        <v>0.05</v>
      </c>
      <c r="F198" s="3683">
        <f t="shared" si="18"/>
        <v>6300000</v>
      </c>
      <c r="G198" s="3696">
        <v>1050000</v>
      </c>
      <c r="H198" s="3696" t="s">
        <v>1649</v>
      </c>
      <c r="I198" s="3696" t="s">
        <v>3971</v>
      </c>
      <c r="J198" s="3696">
        <f>G198</f>
        <v>1050000</v>
      </c>
      <c r="K198" s="3696"/>
      <c r="L198" s="3023"/>
      <c r="M198" s="366"/>
      <c r="N198" s="366"/>
      <c r="O198" s="366"/>
      <c r="P198" s="366"/>
    </row>
    <row r="199" spans="1:16" ht="30" customHeight="1" x14ac:dyDescent="0.2">
      <c r="A199" s="7656"/>
      <c r="B199" s="7665"/>
      <c r="C199" s="7747"/>
      <c r="D199" s="3683">
        <v>5000000</v>
      </c>
      <c r="E199" s="3688">
        <v>0.05</v>
      </c>
      <c r="F199" s="3683">
        <f t="shared" si="18"/>
        <v>250000</v>
      </c>
      <c r="G199" s="7732" t="s">
        <v>5472</v>
      </c>
      <c r="H199" s="7733"/>
      <c r="I199" s="7733"/>
      <c r="J199" s="7733"/>
      <c r="K199" s="7734"/>
      <c r="L199" s="3023"/>
      <c r="M199" s="366"/>
      <c r="N199" s="366"/>
      <c r="O199" s="366"/>
      <c r="P199" s="366"/>
    </row>
    <row r="200" spans="1:16" ht="30" customHeight="1" x14ac:dyDescent="0.2">
      <c r="A200" s="7655"/>
      <c r="B200" s="7653"/>
      <c r="C200" s="7724"/>
      <c r="D200" s="3709">
        <f>SUM(D198:D199)</f>
        <v>131000000</v>
      </c>
      <c r="E200" s="3711">
        <v>0.05</v>
      </c>
      <c r="F200" s="3709">
        <f>D200*E200</f>
        <v>6550000</v>
      </c>
      <c r="G200" s="3690"/>
      <c r="H200" s="3691"/>
      <c r="I200" s="3691"/>
      <c r="J200" s="3691"/>
      <c r="K200" s="3692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3527" t="s">
        <v>174</v>
      </c>
      <c r="C201" s="3529" t="s">
        <v>889</v>
      </c>
      <c r="D201" s="3483">
        <v>793000000</v>
      </c>
      <c r="E201" s="3489">
        <v>6.6000000000000003E-2</v>
      </c>
      <c r="F201" s="3483">
        <v>52300000</v>
      </c>
      <c r="G201" s="3513">
        <v>52300000</v>
      </c>
      <c r="H201" s="3513" t="s">
        <v>1527</v>
      </c>
      <c r="I201" s="3513" t="s">
        <v>3061</v>
      </c>
      <c r="J201" s="3513">
        <f>G201</f>
        <v>52300000</v>
      </c>
      <c r="K201" s="3513">
        <f>F201-J201</f>
        <v>0</v>
      </c>
      <c r="L201" s="3528"/>
      <c r="M201" s="2927"/>
      <c r="N201" s="2927"/>
      <c r="O201" s="2927"/>
      <c r="P201" s="2299"/>
    </row>
    <row r="202" spans="1:16" ht="30" customHeight="1" x14ac:dyDescent="0.2">
      <c r="A202" s="3526">
        <v>88</v>
      </c>
      <c r="B202" s="3527" t="s">
        <v>218</v>
      </c>
      <c r="C202" s="3504" t="s">
        <v>1295</v>
      </c>
      <c r="D202" s="3483">
        <v>100000000</v>
      </c>
      <c r="E202" s="3523">
        <v>0.06</v>
      </c>
      <c r="F202" s="3483">
        <f>D202*E202</f>
        <v>6000000</v>
      </c>
      <c r="G202" s="3483">
        <v>6000000</v>
      </c>
      <c r="H202" s="3483" t="s">
        <v>5340</v>
      </c>
      <c r="I202" s="18" t="s">
        <v>4866</v>
      </c>
      <c r="J202" s="3483">
        <f>G202</f>
        <v>6000000</v>
      </c>
      <c r="K202" s="3483">
        <f>F202-J202</f>
        <v>0</v>
      </c>
      <c r="L202" s="3527"/>
      <c r="M202" s="366"/>
      <c r="N202" s="366"/>
      <c r="O202" s="366"/>
      <c r="P202" s="366"/>
    </row>
    <row r="203" spans="1:16" ht="30" customHeight="1" x14ac:dyDescent="0.2">
      <c r="A203" s="7654">
        <v>89</v>
      </c>
      <c r="B203" s="7652" t="s">
        <v>219</v>
      </c>
      <c r="C203" s="7723" t="s">
        <v>1293</v>
      </c>
      <c r="D203" s="4182">
        <v>93000000</v>
      </c>
      <c r="E203" s="4184">
        <v>7.0000000000000007E-2</v>
      </c>
      <c r="F203" s="4182">
        <v>6500000</v>
      </c>
      <c r="G203" s="8117" t="s">
        <v>6004</v>
      </c>
      <c r="H203" s="8118"/>
      <c r="I203" s="8118"/>
      <c r="J203" s="8119"/>
      <c r="K203" s="7563">
        <f>(30200000+F206)-J203</f>
        <v>36200000</v>
      </c>
      <c r="L203" s="29"/>
      <c r="M203" s="366"/>
      <c r="N203" s="366"/>
      <c r="O203" s="366"/>
      <c r="P203" s="366"/>
    </row>
    <row r="204" spans="1:16" ht="30" customHeight="1" x14ac:dyDescent="0.2">
      <c r="A204" s="7656"/>
      <c r="B204" s="7665"/>
      <c r="C204" s="7747"/>
      <c r="D204" s="4182">
        <v>450000000</v>
      </c>
      <c r="E204" s="4184">
        <v>5.1999999999999998E-2</v>
      </c>
      <c r="F204" s="4183">
        <v>23500000</v>
      </c>
      <c r="G204" s="8314"/>
      <c r="H204" s="8315"/>
      <c r="I204" s="8315"/>
      <c r="J204" s="8316"/>
      <c r="K204" s="7586"/>
      <c r="L204" s="29" t="s">
        <v>6003</v>
      </c>
      <c r="M204" s="366"/>
      <c r="N204" s="366"/>
      <c r="O204" s="366"/>
      <c r="P204" s="366"/>
    </row>
    <row r="205" spans="1:16" ht="30" customHeight="1" x14ac:dyDescent="0.2">
      <c r="A205" s="7656"/>
      <c r="B205" s="7665"/>
      <c r="C205" s="7747"/>
      <c r="D205" s="7470" t="s">
        <v>5866</v>
      </c>
      <c r="E205" s="7510"/>
      <c r="F205" s="4183">
        <v>1200000</v>
      </c>
      <c r="G205" s="8314"/>
      <c r="H205" s="8315"/>
      <c r="I205" s="8315"/>
      <c r="J205" s="8316"/>
      <c r="K205" s="7586"/>
      <c r="L205" s="29"/>
      <c r="M205" s="366"/>
      <c r="N205" s="366"/>
      <c r="O205" s="366"/>
      <c r="P205" s="366"/>
    </row>
    <row r="206" spans="1:16" ht="30" customHeight="1" x14ac:dyDescent="0.2">
      <c r="A206" s="7656"/>
      <c r="B206" s="7665"/>
      <c r="C206" s="7747"/>
      <c r="D206" s="4183">
        <v>100000000</v>
      </c>
      <c r="E206" s="4184">
        <v>0.06</v>
      </c>
      <c r="F206" s="4183">
        <f>D206*E206</f>
        <v>6000000</v>
      </c>
      <c r="G206" s="8314"/>
      <c r="H206" s="8315"/>
      <c r="I206" s="8315"/>
      <c r="J206" s="8316"/>
      <c r="K206" s="7564"/>
      <c r="L206" s="29"/>
      <c r="M206" s="366"/>
      <c r="N206" s="366"/>
      <c r="O206" s="366"/>
      <c r="P206" s="366"/>
    </row>
    <row r="207" spans="1:16" ht="30" customHeight="1" x14ac:dyDescent="0.2">
      <c r="A207" s="7656"/>
      <c r="B207" s="7665"/>
      <c r="C207" s="7747"/>
      <c r="D207" s="4183">
        <v>50000000</v>
      </c>
      <c r="E207" s="4184">
        <v>0.06</v>
      </c>
      <c r="F207" s="4183">
        <f>D207*E207</f>
        <v>3000000</v>
      </c>
      <c r="G207" s="8120"/>
      <c r="H207" s="8121"/>
      <c r="I207" s="8121"/>
      <c r="J207" s="8122"/>
      <c r="K207" s="4029"/>
      <c r="L207" s="180"/>
      <c r="M207" s="366"/>
      <c r="N207" s="366"/>
      <c r="O207" s="366"/>
      <c r="P207" s="366"/>
    </row>
    <row r="208" spans="1:16" ht="30" customHeight="1" x14ac:dyDescent="0.2">
      <c r="A208" s="7655"/>
      <c r="B208" s="7653"/>
      <c r="C208" s="7724"/>
      <c r="D208" s="4039">
        <f>D203+D204+D206+D207</f>
        <v>693000000</v>
      </c>
      <c r="E208" s="896"/>
      <c r="F208" s="4039">
        <f>SUM(F203:F207)</f>
        <v>40200000</v>
      </c>
      <c r="G208" s="4058"/>
      <c r="H208" s="4059"/>
      <c r="I208" s="4059"/>
      <c r="J208" s="4060"/>
      <c r="K208" s="4029"/>
      <c r="L208" s="180"/>
      <c r="M208" s="366"/>
      <c r="N208" s="366"/>
      <c r="O208" s="366"/>
      <c r="P208" s="366"/>
    </row>
    <row r="209" spans="1:16" ht="30" customHeight="1" x14ac:dyDescent="0.2">
      <c r="A209" s="7654">
        <v>90</v>
      </c>
      <c r="B209" s="7652" t="s">
        <v>220</v>
      </c>
      <c r="C209" s="7723" t="s">
        <v>1172</v>
      </c>
      <c r="D209" s="3483">
        <v>130000000</v>
      </c>
      <c r="E209" s="3523">
        <v>7.0000000000000007E-2</v>
      </c>
      <c r="F209" s="3483">
        <f>D209*E209</f>
        <v>9100000</v>
      </c>
      <c r="G209" s="7563">
        <v>14460000</v>
      </c>
      <c r="H209" s="7563" t="s">
        <v>1649</v>
      </c>
      <c r="I209" s="7561" t="s">
        <v>1808</v>
      </c>
      <c r="J209" s="7563">
        <f>G209</f>
        <v>14460000</v>
      </c>
      <c r="K209" s="7563">
        <f>(F209+F210)-J209</f>
        <v>0</v>
      </c>
      <c r="L209" s="7703"/>
      <c r="M209" s="366"/>
      <c r="N209" s="366"/>
      <c r="O209" s="366"/>
      <c r="P209" s="366"/>
    </row>
    <row r="210" spans="1:16" ht="30" customHeight="1" x14ac:dyDescent="0.2">
      <c r="A210" s="7655"/>
      <c r="B210" s="7653"/>
      <c r="C210" s="7724"/>
      <c r="D210" s="3483">
        <v>100000000</v>
      </c>
      <c r="E210" s="3523">
        <v>5.3999999999999999E-2</v>
      </c>
      <c r="F210" s="3483">
        <v>5360000</v>
      </c>
      <c r="G210" s="7564"/>
      <c r="H210" s="7564"/>
      <c r="I210" s="7562"/>
      <c r="J210" s="7564"/>
      <c r="K210" s="7564"/>
      <c r="L210" s="7705"/>
      <c r="M210" s="366"/>
      <c r="N210" s="366"/>
      <c r="O210" s="366"/>
      <c r="P210" s="366"/>
    </row>
    <row r="211" spans="1:16" ht="30" customHeight="1" x14ac:dyDescent="0.2">
      <c r="A211" s="7654">
        <v>91</v>
      </c>
      <c r="B211" s="7652" t="s">
        <v>4466</v>
      </c>
      <c r="C211" s="7723"/>
      <c r="D211" s="3483">
        <v>50000000</v>
      </c>
      <c r="E211" s="3523">
        <v>0.05</v>
      </c>
      <c r="F211" s="3483">
        <f t="shared" si="12"/>
        <v>2500000</v>
      </c>
      <c r="G211" s="7563">
        <v>14000000</v>
      </c>
      <c r="H211" s="7563" t="s">
        <v>1649</v>
      </c>
      <c r="I211" s="7772" t="s">
        <v>4464</v>
      </c>
      <c r="J211" s="7563">
        <f>G211</f>
        <v>14000000</v>
      </c>
      <c r="K211" s="7563">
        <f>(F211+F212+F213)-J211</f>
        <v>0</v>
      </c>
      <c r="L211" s="7713" t="s">
        <v>5474</v>
      </c>
      <c r="M211" s="366"/>
      <c r="N211" s="366"/>
      <c r="O211" s="366"/>
      <c r="P211" s="366"/>
    </row>
    <row r="212" spans="1:16" ht="30" customHeight="1" x14ac:dyDescent="0.2">
      <c r="A212" s="7656"/>
      <c r="B212" s="7665"/>
      <c r="C212" s="7747"/>
      <c r="D212" s="3483">
        <v>30000000</v>
      </c>
      <c r="E212" s="3523">
        <v>0.05</v>
      </c>
      <c r="F212" s="3483">
        <f>D212*E212</f>
        <v>1500000</v>
      </c>
      <c r="G212" s="7586"/>
      <c r="H212" s="7586"/>
      <c r="I212" s="8185"/>
      <c r="J212" s="7586"/>
      <c r="K212" s="7586"/>
      <c r="L212" s="7797"/>
      <c r="M212" s="366"/>
      <c r="N212" s="366"/>
      <c r="O212" s="366"/>
      <c r="P212" s="366"/>
    </row>
    <row r="213" spans="1:16" ht="30" customHeight="1" x14ac:dyDescent="0.2">
      <c r="A213" s="7655"/>
      <c r="B213" s="7653"/>
      <c r="C213" s="7724"/>
      <c r="D213" s="3483">
        <v>200000000</v>
      </c>
      <c r="E213" s="3523">
        <v>0.05</v>
      </c>
      <c r="F213" s="3483">
        <f>D213*E213</f>
        <v>10000000</v>
      </c>
      <c r="G213" s="7564"/>
      <c r="H213" s="7564"/>
      <c r="I213" s="7773"/>
      <c r="J213" s="7564"/>
      <c r="K213" s="7564"/>
      <c r="L213" s="7714"/>
      <c r="M213" s="366"/>
      <c r="N213" s="366"/>
      <c r="O213" s="366"/>
      <c r="P213" s="366"/>
    </row>
    <row r="214" spans="1:16" ht="30" customHeight="1" x14ac:dyDescent="0.2">
      <c r="A214" s="7879">
        <v>92</v>
      </c>
      <c r="B214" s="7652" t="s">
        <v>749</v>
      </c>
      <c r="C214" s="7723" t="s">
        <v>889</v>
      </c>
      <c r="D214" s="3513">
        <v>320000000</v>
      </c>
      <c r="E214" s="3523">
        <v>5.2999999999999999E-2</v>
      </c>
      <c r="F214" s="3513">
        <v>17000000</v>
      </c>
      <c r="G214" s="3513">
        <v>17000000</v>
      </c>
      <c r="H214" s="3513" t="s">
        <v>5358</v>
      </c>
      <c r="I214" s="3534" t="s">
        <v>3009</v>
      </c>
      <c r="J214" s="3513">
        <f>G214</f>
        <v>17000000</v>
      </c>
      <c r="K214" s="3513">
        <f>F214-J214</f>
        <v>0</v>
      </c>
      <c r="L214" s="3530"/>
      <c r="M214" s="366"/>
      <c r="N214" s="366"/>
      <c r="O214" s="366"/>
      <c r="P214" s="366"/>
    </row>
    <row r="215" spans="1:16" ht="30" customHeight="1" x14ac:dyDescent="0.2">
      <c r="A215" s="7879"/>
      <c r="B215" s="7665"/>
      <c r="C215" s="7724"/>
      <c r="D215" s="4030">
        <v>30000000</v>
      </c>
      <c r="E215" s="4031">
        <v>0.05</v>
      </c>
      <c r="F215" s="4027">
        <f>D215*E215</f>
        <v>1500000</v>
      </c>
      <c r="G215" s="7732" t="s">
        <v>5871</v>
      </c>
      <c r="H215" s="7733"/>
      <c r="I215" s="7733"/>
      <c r="J215" s="7734"/>
      <c r="K215" s="4028"/>
      <c r="L215" s="4035"/>
      <c r="M215" s="366"/>
      <c r="N215" s="366"/>
      <c r="O215" s="366"/>
      <c r="P215" s="366"/>
    </row>
    <row r="216" spans="1:16" ht="30" customHeight="1" x14ac:dyDescent="0.2">
      <c r="A216" s="7879"/>
      <c r="B216" s="7665"/>
      <c r="C216" s="7723" t="s">
        <v>1287</v>
      </c>
      <c r="D216" s="3483">
        <v>273000000</v>
      </c>
      <c r="E216" s="3489">
        <f>F216/D216</f>
        <v>5.4615384615384614E-2</v>
      </c>
      <c r="F216" s="3483">
        <v>14910000</v>
      </c>
      <c r="G216" s="7563">
        <v>19910000</v>
      </c>
      <c r="H216" s="7563" t="s">
        <v>1972</v>
      </c>
      <c r="I216" s="7563" t="s">
        <v>3009</v>
      </c>
      <c r="J216" s="7563">
        <f>G216</f>
        <v>19910000</v>
      </c>
      <c r="K216" s="7563">
        <f>(F216+F217)-J216</f>
        <v>0</v>
      </c>
      <c r="L216" s="180"/>
      <c r="M216" s="366"/>
      <c r="N216" s="366"/>
      <c r="O216" s="366"/>
      <c r="P216" s="366"/>
    </row>
    <row r="217" spans="1:16" ht="30" customHeight="1" x14ac:dyDescent="0.2">
      <c r="A217" s="7879"/>
      <c r="B217" s="7665"/>
      <c r="C217" s="7747"/>
      <c r="D217" s="3525">
        <v>100000000</v>
      </c>
      <c r="E217" s="3488">
        <v>0.05</v>
      </c>
      <c r="F217" s="3481">
        <f>D217*E217</f>
        <v>5000000</v>
      </c>
      <c r="G217" s="7564"/>
      <c r="H217" s="7586"/>
      <c r="I217" s="7586"/>
      <c r="J217" s="7564"/>
      <c r="K217" s="7564"/>
      <c r="L217" s="180"/>
      <c r="M217" s="366"/>
      <c r="N217" s="366"/>
      <c r="O217" s="366"/>
      <c r="P217" s="366"/>
    </row>
    <row r="218" spans="1:16" ht="30" customHeight="1" x14ac:dyDescent="0.2">
      <c r="A218" s="7654"/>
      <c r="B218" s="7652" t="s">
        <v>222</v>
      </c>
      <c r="C218" s="7723" t="s">
        <v>889</v>
      </c>
      <c r="D218" s="3513">
        <v>25000000</v>
      </c>
      <c r="E218" s="3488">
        <v>5.5E-2</v>
      </c>
      <c r="F218" s="3513">
        <f>D218*E218</f>
        <v>1375000</v>
      </c>
      <c r="G218" s="7789" t="s">
        <v>4953</v>
      </c>
      <c r="H218" s="7790"/>
      <c r="I218" s="7790"/>
      <c r="J218" s="7791"/>
      <c r="K218" s="3513"/>
      <c r="L218" s="2013" t="s">
        <v>3916</v>
      </c>
      <c r="M218" s="366"/>
      <c r="N218" s="366"/>
      <c r="O218" s="366"/>
      <c r="P218" s="366"/>
    </row>
    <row r="219" spans="1:16" ht="30" customHeight="1" x14ac:dyDescent="0.2">
      <c r="A219" s="7656"/>
      <c r="B219" s="7665"/>
      <c r="C219" s="7747"/>
      <c r="D219" s="3483">
        <v>15000000</v>
      </c>
      <c r="E219" s="3488">
        <v>5.5E-2</v>
      </c>
      <c r="F219" s="3483">
        <f>D219*E219</f>
        <v>825000</v>
      </c>
      <c r="G219" s="7789" t="s">
        <v>4954</v>
      </c>
      <c r="H219" s="7790"/>
      <c r="I219" s="7790"/>
      <c r="J219" s="7791"/>
      <c r="K219" s="3483"/>
      <c r="L219" s="2013"/>
      <c r="M219" s="366"/>
      <c r="N219" s="366"/>
      <c r="O219" s="366"/>
      <c r="P219" s="366"/>
    </row>
    <row r="220" spans="1:16" ht="30" customHeight="1" x14ac:dyDescent="0.2">
      <c r="A220" s="7656"/>
      <c r="B220" s="7665"/>
      <c r="C220" s="7747"/>
      <c r="D220" s="7563">
        <v>40000000</v>
      </c>
      <c r="E220" s="7659">
        <v>5.5E-2</v>
      </c>
      <c r="F220" s="7563">
        <f>D220*E220</f>
        <v>2200000</v>
      </c>
      <c r="G220" s="7789" t="s">
        <v>4955</v>
      </c>
      <c r="H220" s="7790"/>
      <c r="I220" s="7790"/>
      <c r="J220" s="7791"/>
      <c r="K220" s="3483"/>
      <c r="L220" s="2013"/>
      <c r="M220" s="366"/>
      <c r="N220" s="366"/>
      <c r="O220" s="366"/>
      <c r="P220" s="366"/>
    </row>
    <row r="221" spans="1:16" ht="30" customHeight="1" x14ac:dyDescent="0.2">
      <c r="A221" s="7655"/>
      <c r="B221" s="7653"/>
      <c r="C221" s="7724"/>
      <c r="D221" s="7564"/>
      <c r="E221" s="7660"/>
      <c r="F221" s="7564"/>
      <c r="G221" s="3696">
        <v>2200000</v>
      </c>
      <c r="H221" s="3696" t="s">
        <v>1649</v>
      </c>
      <c r="I221" s="3696" t="s">
        <v>5473</v>
      </c>
      <c r="J221" s="3696">
        <f t="shared" ref="J221:J227" si="19">G221</f>
        <v>2200000</v>
      </c>
      <c r="K221" s="3683">
        <f>F220-J221</f>
        <v>0</v>
      </c>
      <c r="L221" s="2013"/>
      <c r="M221" s="366"/>
      <c r="N221" s="366"/>
      <c r="O221" s="366"/>
      <c r="P221" s="366"/>
    </row>
    <row r="222" spans="1:16" ht="30" customHeight="1" x14ac:dyDescent="0.2">
      <c r="A222" s="3526">
        <v>94</v>
      </c>
      <c r="B222" s="3527" t="s">
        <v>1144</v>
      </c>
      <c r="C222" s="3504"/>
      <c r="D222" s="3483">
        <v>25000000</v>
      </c>
      <c r="E222" s="3523">
        <v>0.04</v>
      </c>
      <c r="F222" s="3483">
        <f>D222*E222</f>
        <v>1000000</v>
      </c>
      <c r="G222" s="3483">
        <v>1000000</v>
      </c>
      <c r="H222" s="3483" t="s">
        <v>5358</v>
      </c>
      <c r="I222" s="3582" t="s">
        <v>1146</v>
      </c>
      <c r="J222" s="3483">
        <f t="shared" si="19"/>
        <v>1000000</v>
      </c>
      <c r="K222" s="3483">
        <f t="shared" ref="K222:K226" si="20">F222-J222</f>
        <v>0</v>
      </c>
      <c r="L222" s="3527"/>
      <c r="M222" s="366"/>
      <c r="N222" s="366"/>
      <c r="O222" s="366"/>
      <c r="P222" s="366"/>
    </row>
    <row r="223" spans="1:16" ht="30" customHeight="1" x14ac:dyDescent="0.2">
      <c r="A223" s="3487"/>
      <c r="B223" s="19" t="s">
        <v>223</v>
      </c>
      <c r="C223" s="3529"/>
      <c r="D223" s="3513">
        <v>355000000</v>
      </c>
      <c r="E223" s="3523">
        <v>0.05</v>
      </c>
      <c r="F223" s="3513">
        <v>17800000</v>
      </c>
      <c r="G223" s="3513">
        <v>17800000</v>
      </c>
      <c r="H223" s="3513" t="s">
        <v>1649</v>
      </c>
      <c r="I223" s="3534" t="s">
        <v>3431</v>
      </c>
      <c r="J223" s="3513">
        <f t="shared" si="19"/>
        <v>17800000</v>
      </c>
      <c r="K223" s="3513">
        <f t="shared" si="20"/>
        <v>0</v>
      </c>
      <c r="L223" s="378"/>
      <c r="M223" s="366"/>
      <c r="N223" s="366"/>
      <c r="O223" s="366"/>
      <c r="P223" s="366"/>
    </row>
    <row r="224" spans="1:16" ht="30" customHeight="1" x14ac:dyDescent="0.2">
      <c r="A224" s="3428">
        <v>98</v>
      </c>
      <c r="B224" s="2551" t="s">
        <v>226</v>
      </c>
      <c r="C224" s="3712"/>
      <c r="D224" s="3713">
        <v>20000000</v>
      </c>
      <c r="E224" s="2549">
        <v>0.05</v>
      </c>
      <c r="F224" s="3713">
        <f t="shared" ref="F224" si="21">D224*E224</f>
        <v>1000000</v>
      </c>
      <c r="G224" s="3713">
        <v>24000000</v>
      </c>
      <c r="H224" s="3713" t="s">
        <v>1649</v>
      </c>
      <c r="I224" s="2548" t="s">
        <v>5479</v>
      </c>
      <c r="J224" s="3713">
        <f t="shared" si="19"/>
        <v>24000000</v>
      </c>
      <c r="K224" s="3713"/>
      <c r="L224" s="3737" t="s">
        <v>5480</v>
      </c>
      <c r="M224" s="366"/>
      <c r="N224" s="366"/>
      <c r="O224" s="366"/>
      <c r="P224" s="366"/>
    </row>
    <row r="225" spans="1:16" ht="30" customHeight="1" x14ac:dyDescent="0.2">
      <c r="A225" s="3526">
        <v>99</v>
      </c>
      <c r="B225" s="3527" t="s">
        <v>227</v>
      </c>
      <c r="C225" s="3504" t="s">
        <v>1297</v>
      </c>
      <c r="D225" s="3483">
        <v>100000000</v>
      </c>
      <c r="E225" s="3523">
        <v>0.04</v>
      </c>
      <c r="F225" s="3483">
        <f>D225*E225</f>
        <v>4000000</v>
      </c>
      <c r="G225" s="3483">
        <v>4000000</v>
      </c>
      <c r="H225" s="3483" t="s">
        <v>5340</v>
      </c>
      <c r="I225" s="3552" t="s">
        <v>4847</v>
      </c>
      <c r="J225" s="3483">
        <f t="shared" si="19"/>
        <v>4000000</v>
      </c>
      <c r="K225" s="3483">
        <f t="shared" si="20"/>
        <v>0</v>
      </c>
      <c r="L225" s="3527"/>
      <c r="M225" s="366"/>
      <c r="N225" s="366"/>
      <c r="O225" s="366"/>
      <c r="P225" s="366"/>
    </row>
    <row r="226" spans="1:16" ht="30" customHeight="1" x14ac:dyDescent="0.2">
      <c r="A226" s="3526">
        <v>100</v>
      </c>
      <c r="B226" s="3527" t="s">
        <v>228</v>
      </c>
      <c r="C226" s="3504" t="s">
        <v>392</v>
      </c>
      <c r="D226" s="3483">
        <v>101000000</v>
      </c>
      <c r="E226" s="3523">
        <v>5.0999999999999997E-2</v>
      </c>
      <c r="F226" s="3483">
        <v>5100000</v>
      </c>
      <c r="G226" s="3483">
        <v>5100000</v>
      </c>
      <c r="H226" s="3483" t="s">
        <v>3977</v>
      </c>
      <c r="I226" s="3582" t="s">
        <v>2860</v>
      </c>
      <c r="J226" s="3483">
        <f t="shared" si="19"/>
        <v>5100000</v>
      </c>
      <c r="K226" s="3483">
        <f t="shared" si="20"/>
        <v>0</v>
      </c>
      <c r="L226" s="3527"/>
      <c r="M226" s="366"/>
      <c r="N226" s="366"/>
      <c r="O226" s="366"/>
      <c r="P226" s="366"/>
    </row>
    <row r="227" spans="1:16" ht="30" customHeight="1" x14ac:dyDescent="0.2">
      <c r="A227" s="7795"/>
      <c r="B227" s="7652" t="s">
        <v>177</v>
      </c>
      <c r="C227" s="7723" t="s">
        <v>1080</v>
      </c>
      <c r="D227" s="7563">
        <v>100000000</v>
      </c>
      <c r="E227" s="7659">
        <v>0.06</v>
      </c>
      <c r="F227" s="7563">
        <f>D227*E227</f>
        <v>6000000</v>
      </c>
      <c r="G227" s="7563">
        <v>6000000</v>
      </c>
      <c r="H227" s="7563" t="s">
        <v>5340</v>
      </c>
      <c r="I227" s="7563" t="s">
        <v>3345</v>
      </c>
      <c r="J227" s="7563">
        <f t="shared" si="19"/>
        <v>6000000</v>
      </c>
      <c r="K227" s="7563">
        <f>F227-J227</f>
        <v>0</v>
      </c>
      <c r="L227" s="3537" t="s">
        <v>5350</v>
      </c>
      <c r="M227" s="366"/>
      <c r="N227" s="366"/>
      <c r="O227" s="366"/>
      <c r="P227" s="366"/>
    </row>
    <row r="228" spans="1:16" ht="30" customHeight="1" x14ac:dyDescent="0.2">
      <c r="A228" s="7796"/>
      <c r="B228" s="7653"/>
      <c r="C228" s="7724"/>
      <c r="D228" s="7564"/>
      <c r="E228" s="7660"/>
      <c r="F228" s="7564"/>
      <c r="G228" s="7564"/>
      <c r="H228" s="7564"/>
      <c r="I228" s="7564"/>
      <c r="J228" s="7564"/>
      <c r="K228" s="7564"/>
      <c r="L228" s="3537" t="s">
        <v>4905</v>
      </c>
      <c r="M228" s="366"/>
      <c r="N228" s="366"/>
      <c r="O228" s="366"/>
      <c r="P228" s="366"/>
    </row>
    <row r="229" spans="1:16" ht="30" customHeight="1" x14ac:dyDescent="0.2">
      <c r="A229" s="7703"/>
      <c r="B229" s="8291" t="s">
        <v>6067</v>
      </c>
      <c r="C229" s="7723"/>
      <c r="D229" s="7563">
        <v>350000000</v>
      </c>
      <c r="E229" s="7659"/>
      <c r="F229" s="7563"/>
      <c r="G229" s="4228"/>
      <c r="H229" s="4228"/>
      <c r="I229" s="4228"/>
      <c r="J229" s="4228"/>
      <c r="K229" s="4228"/>
      <c r="L229" s="2013" t="s">
        <v>6068</v>
      </c>
      <c r="M229" s="366"/>
      <c r="N229" s="366"/>
      <c r="O229" s="366"/>
      <c r="P229" s="366"/>
    </row>
    <row r="230" spans="1:16" ht="30" customHeight="1" x14ac:dyDescent="0.2">
      <c r="A230" s="7705"/>
      <c r="B230" s="8293"/>
      <c r="C230" s="7724"/>
      <c r="D230" s="7564"/>
      <c r="E230" s="7660"/>
      <c r="F230" s="7564"/>
      <c r="G230" s="4228"/>
      <c r="H230" s="4228"/>
      <c r="I230" s="4228"/>
      <c r="J230" s="4228"/>
      <c r="K230" s="4228"/>
      <c r="L230" s="2013" t="s">
        <v>6069</v>
      </c>
      <c r="M230" s="366"/>
      <c r="N230" s="366"/>
      <c r="O230" s="366"/>
      <c r="P230" s="366"/>
    </row>
    <row r="231" spans="1:16" s="1539" customFormat="1" ht="30" customHeight="1" x14ac:dyDescent="0.2">
      <c r="A231" s="3"/>
      <c r="B231" s="3704" t="s">
        <v>230</v>
      </c>
      <c r="C231" s="3703" t="s">
        <v>1172</v>
      </c>
      <c r="D231" s="3696">
        <v>37000000</v>
      </c>
      <c r="E231" s="3702">
        <v>5.5E-2</v>
      </c>
      <c r="F231" s="3696">
        <v>2000000</v>
      </c>
      <c r="G231" s="3696">
        <v>2000000</v>
      </c>
      <c r="H231" s="3696" t="s">
        <v>1649</v>
      </c>
      <c r="I231" s="3513" t="s">
        <v>4262</v>
      </c>
      <c r="J231" s="3513">
        <f>G231</f>
        <v>2000000</v>
      </c>
      <c r="K231" s="3513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3487">
        <v>104</v>
      </c>
      <c r="B232" s="3491" t="s">
        <v>231</v>
      </c>
      <c r="C232" s="3504" t="s">
        <v>1172</v>
      </c>
      <c r="D232" s="3483">
        <v>20000000</v>
      </c>
      <c r="E232" s="3489">
        <v>0.05</v>
      </c>
      <c r="F232" s="3483">
        <f t="shared" si="12"/>
        <v>1000000</v>
      </c>
      <c r="G232" s="3483"/>
      <c r="H232" s="3483"/>
      <c r="I232" s="3582" t="s">
        <v>3437</v>
      </c>
      <c r="J232" s="3483">
        <f>G232</f>
        <v>0</v>
      </c>
      <c r="K232" s="3483">
        <f>F232-J232</f>
        <v>1000000</v>
      </c>
      <c r="L232" s="3491"/>
      <c r="M232" s="366"/>
      <c r="N232" s="366"/>
      <c r="O232" s="366"/>
      <c r="P232" s="366"/>
    </row>
    <row r="233" spans="1:16" ht="30" customHeight="1" x14ac:dyDescent="0.2">
      <c r="A233" s="7654"/>
      <c r="B233" s="7652" t="s">
        <v>4840</v>
      </c>
      <c r="C233" s="7723"/>
      <c r="D233" s="7563">
        <v>10000000</v>
      </c>
      <c r="E233" s="7659">
        <v>0.05</v>
      </c>
      <c r="F233" s="7563">
        <f>D233*E233</f>
        <v>500000</v>
      </c>
      <c r="G233" s="3483">
        <v>500000</v>
      </c>
      <c r="H233" s="3483" t="s">
        <v>5340</v>
      </c>
      <c r="I233" s="3582" t="s">
        <v>5351</v>
      </c>
      <c r="J233" s="3483">
        <f>G233</f>
        <v>500000</v>
      </c>
      <c r="K233" s="3483">
        <f>F233-J233</f>
        <v>0</v>
      </c>
      <c r="L233" s="4140" t="s">
        <v>4905</v>
      </c>
      <c r="M233" s="366"/>
      <c r="N233" s="366"/>
      <c r="O233" s="366"/>
      <c r="P233" s="366"/>
    </row>
    <row r="234" spans="1:16" ht="30" customHeight="1" x14ac:dyDescent="0.2">
      <c r="A234" s="7655"/>
      <c r="B234" s="7653"/>
      <c r="C234" s="7724"/>
      <c r="D234" s="7564"/>
      <c r="E234" s="7660"/>
      <c r="F234" s="7564"/>
      <c r="G234" s="4137">
        <v>500000</v>
      </c>
      <c r="H234" s="4137" t="s">
        <v>5990</v>
      </c>
      <c r="I234" s="4155" t="s">
        <v>5351</v>
      </c>
      <c r="J234" s="4137">
        <f>G234</f>
        <v>500000</v>
      </c>
      <c r="K234" s="4137">
        <f>F233-J234</f>
        <v>0</v>
      </c>
      <c r="L234" s="4140" t="s">
        <v>4906</v>
      </c>
      <c r="M234" s="366"/>
      <c r="N234" s="366"/>
      <c r="O234" s="366"/>
      <c r="P234" s="366"/>
    </row>
    <row r="235" spans="1:16" ht="30" customHeight="1" x14ac:dyDescent="0.2">
      <c r="A235" s="3486">
        <v>105</v>
      </c>
      <c r="B235" s="62" t="s">
        <v>232</v>
      </c>
      <c r="C235" s="3529"/>
      <c r="D235" s="3484"/>
      <c r="E235" s="2519"/>
      <c r="F235" s="3484">
        <f t="shared" ref="F235:F271" si="22">D235*E235</f>
        <v>0</v>
      </c>
      <c r="G235" s="3513">
        <v>2500000</v>
      </c>
      <c r="H235" s="3513" t="s">
        <v>1649</v>
      </c>
      <c r="I235" s="3534" t="s">
        <v>3548</v>
      </c>
      <c r="J235" s="3513">
        <f>G235</f>
        <v>2500000</v>
      </c>
      <c r="K235" s="3484">
        <f>F235-J235</f>
        <v>-2500000</v>
      </c>
      <c r="L235" s="3494" t="s">
        <v>3549</v>
      </c>
    </row>
    <row r="236" spans="1:16" ht="30" customHeight="1" x14ac:dyDescent="0.2">
      <c r="A236" s="7654">
        <v>108</v>
      </c>
      <c r="B236" s="7652" t="s">
        <v>235</v>
      </c>
      <c r="C236" s="7723" t="s">
        <v>1172</v>
      </c>
      <c r="D236" s="3513">
        <v>1430000000</v>
      </c>
      <c r="E236" s="3523">
        <v>5.5E-2</v>
      </c>
      <c r="F236" s="3513">
        <f t="shared" si="22"/>
        <v>78650000</v>
      </c>
      <c r="G236" s="3534"/>
      <c r="H236" s="3534"/>
      <c r="I236" s="3534"/>
      <c r="J236" s="3534"/>
      <c r="K236" s="3513">
        <v>0</v>
      </c>
      <c r="L236" s="3529"/>
    </row>
    <row r="237" spans="1:16" ht="30" customHeight="1" x14ac:dyDescent="0.2">
      <c r="A237" s="7656"/>
      <c r="B237" s="7665"/>
      <c r="C237" s="7747"/>
      <c r="D237" s="3483">
        <v>150000000</v>
      </c>
      <c r="E237" s="3489">
        <v>5.5E-2</v>
      </c>
      <c r="F237" s="3483">
        <f>D237*E237</f>
        <v>8250000</v>
      </c>
      <c r="G237" s="3513"/>
      <c r="H237" s="3513"/>
      <c r="I237" s="3513"/>
      <c r="J237" s="3513"/>
      <c r="K237" s="3483"/>
      <c r="L237" s="3494" t="s">
        <v>4647</v>
      </c>
    </row>
    <row r="238" spans="1:16" ht="30" customHeight="1" x14ac:dyDescent="0.2">
      <c r="A238" s="7656"/>
      <c r="B238" s="7665"/>
      <c r="C238" s="7747"/>
      <c r="D238" s="3513">
        <v>30000000</v>
      </c>
      <c r="E238" s="3523">
        <v>5.5E-2</v>
      </c>
      <c r="F238" s="3513">
        <f>D238*E238</f>
        <v>1650000</v>
      </c>
      <c r="G238" s="3513"/>
      <c r="H238" s="3513"/>
      <c r="I238" s="3513"/>
      <c r="J238" s="3513"/>
      <c r="K238" s="3483"/>
      <c r="L238" s="3494" t="s">
        <v>5041</v>
      </c>
    </row>
    <row r="239" spans="1:16" ht="30" customHeight="1" x14ac:dyDescent="0.2">
      <c r="A239" s="7656"/>
      <c r="B239" s="7665"/>
      <c r="C239" s="7747"/>
      <c r="D239" s="2653">
        <f>SUM(D236:D238)</f>
        <v>1610000000</v>
      </c>
      <c r="E239" s="2652">
        <v>5.5E-2</v>
      </c>
      <c r="F239" s="2653">
        <f>D239*E239</f>
        <v>88550000</v>
      </c>
      <c r="G239" s="3513"/>
      <c r="H239" s="3513"/>
      <c r="I239" s="3513"/>
      <c r="J239" s="3513"/>
      <c r="K239" s="3483"/>
      <c r="L239" s="3494" t="s">
        <v>5134</v>
      </c>
    </row>
    <row r="240" spans="1:16" ht="30" customHeight="1" x14ac:dyDescent="0.2">
      <c r="A240" s="7656"/>
      <c r="B240" s="7665"/>
      <c r="C240" s="7747"/>
      <c r="D240" s="8230" t="s">
        <v>5194</v>
      </c>
      <c r="E240" s="8230"/>
      <c r="F240" s="8230"/>
      <c r="G240" s="3483"/>
      <c r="H240" s="3483"/>
      <c r="I240" s="3509"/>
      <c r="J240" s="3483"/>
      <c r="K240" s="3483"/>
      <c r="L240" s="3494"/>
    </row>
    <row r="241" spans="1:12" ht="30" customHeight="1" x14ac:dyDescent="0.2">
      <c r="A241" s="7655"/>
      <c r="B241" s="7653"/>
      <c r="C241" s="7724"/>
      <c r="D241" s="3570">
        <f>D239-200000000</f>
        <v>1410000000</v>
      </c>
      <c r="E241" s="2652">
        <v>5.5E-2</v>
      </c>
      <c r="F241" s="2653">
        <f>D241*E241</f>
        <v>77550000</v>
      </c>
      <c r="G241" s="7732" t="s">
        <v>6135</v>
      </c>
      <c r="H241" s="7733"/>
      <c r="I241" s="7733"/>
      <c r="J241" s="7734"/>
      <c r="K241" s="3483"/>
      <c r="L241" s="3494"/>
    </row>
    <row r="242" spans="1:12" ht="30" customHeight="1" x14ac:dyDescent="0.2">
      <c r="A242" s="7654">
        <v>109</v>
      </c>
      <c r="B242" s="7652" t="s">
        <v>236</v>
      </c>
      <c r="C242" s="7723"/>
      <c r="D242" s="7482">
        <v>1000000000</v>
      </c>
      <c r="E242" s="7659">
        <v>0.05</v>
      </c>
      <c r="F242" s="7563">
        <f t="shared" si="22"/>
        <v>50000000</v>
      </c>
      <c r="G242" s="3483">
        <v>50000000</v>
      </c>
      <c r="H242" s="3483" t="s">
        <v>1527</v>
      </c>
      <c r="I242" s="3582" t="s">
        <v>4427</v>
      </c>
      <c r="J242" s="3483">
        <f t="shared" ref="J242:J248" si="23">G242</f>
        <v>50000000</v>
      </c>
      <c r="K242" s="3483">
        <f t="shared" ref="K242:K248" si="24">F242-J242</f>
        <v>0</v>
      </c>
      <c r="L242" s="3494"/>
    </row>
    <row r="243" spans="1:12" ht="30" customHeight="1" x14ac:dyDescent="0.2">
      <c r="A243" s="7655"/>
      <c r="B243" s="7653"/>
      <c r="C243" s="7724"/>
      <c r="D243" s="7482"/>
      <c r="E243" s="7660"/>
      <c r="F243" s="7564"/>
      <c r="G243" s="3483"/>
      <c r="H243" s="3483"/>
      <c r="I243" s="3582"/>
      <c r="J243" s="3483">
        <f>G243</f>
        <v>0</v>
      </c>
      <c r="K243" s="3483"/>
      <c r="L243" s="3494" t="s">
        <v>4817</v>
      </c>
    </row>
    <row r="244" spans="1:12" ht="30" customHeight="1" x14ac:dyDescent="0.2">
      <c r="A244" s="3428">
        <v>110</v>
      </c>
      <c r="B244" s="3827" t="s">
        <v>1842</v>
      </c>
      <c r="C244" s="3810" t="s">
        <v>1292</v>
      </c>
      <c r="D244" s="3811">
        <v>14000000</v>
      </c>
      <c r="E244" s="3356">
        <v>4.2999999999999997E-2</v>
      </c>
      <c r="F244" s="3812">
        <v>600000</v>
      </c>
      <c r="G244" s="3812">
        <v>14600000</v>
      </c>
      <c r="H244" s="3812" t="s">
        <v>1879</v>
      </c>
      <c r="I244" s="287" t="s">
        <v>5576</v>
      </c>
      <c r="J244" s="2548">
        <f t="shared" si="23"/>
        <v>14600000</v>
      </c>
      <c r="K244" s="2548"/>
      <c r="L244" s="3828" t="s">
        <v>5577</v>
      </c>
    </row>
    <row r="245" spans="1:12" ht="30" customHeight="1" x14ac:dyDescent="0.2">
      <c r="A245" s="3487"/>
      <c r="B245" s="19" t="s">
        <v>237</v>
      </c>
      <c r="C245" s="3529" t="s">
        <v>392</v>
      </c>
      <c r="D245" s="3513">
        <v>30000000</v>
      </c>
      <c r="E245" s="3523">
        <v>0.05</v>
      </c>
      <c r="F245" s="3483">
        <f>D245*E245</f>
        <v>1500000</v>
      </c>
      <c r="G245" s="3513">
        <v>1500000</v>
      </c>
      <c r="H245" s="3513" t="s">
        <v>5434</v>
      </c>
      <c r="I245" s="3513" t="s">
        <v>3927</v>
      </c>
      <c r="J245" s="3513">
        <f t="shared" si="23"/>
        <v>1500000</v>
      </c>
      <c r="K245" s="3483">
        <f t="shared" si="24"/>
        <v>0</v>
      </c>
      <c r="L245" s="3494"/>
    </row>
    <row r="246" spans="1:12" ht="30" customHeight="1" x14ac:dyDescent="0.2">
      <c r="A246" s="7654">
        <v>112</v>
      </c>
      <c r="B246" s="7652" t="s">
        <v>238</v>
      </c>
      <c r="C246" s="7723" t="s">
        <v>889</v>
      </c>
      <c r="D246" s="3483">
        <v>40000000</v>
      </c>
      <c r="E246" s="3523">
        <v>0.05</v>
      </c>
      <c r="F246" s="3483">
        <f t="shared" si="22"/>
        <v>2000000</v>
      </c>
      <c r="G246" s="8311" t="s">
        <v>4878</v>
      </c>
      <c r="H246" s="8312"/>
      <c r="I246" s="8312"/>
      <c r="J246" s="8313"/>
      <c r="K246" s="3483">
        <f t="shared" si="24"/>
        <v>2000000</v>
      </c>
      <c r="L246" s="2013" t="s">
        <v>5898</v>
      </c>
    </row>
    <row r="247" spans="1:12" ht="30" customHeight="1" x14ac:dyDescent="0.2">
      <c r="A247" s="7655"/>
      <c r="B247" s="7653"/>
      <c r="C247" s="7724"/>
      <c r="D247" s="3483">
        <v>45000000</v>
      </c>
      <c r="E247" s="3523">
        <v>0.05</v>
      </c>
      <c r="F247" s="3483">
        <f>D247*E247</f>
        <v>2250000</v>
      </c>
      <c r="G247" s="3683">
        <v>2250000</v>
      </c>
      <c r="H247" s="3552" t="s">
        <v>5434</v>
      </c>
      <c r="I247" s="3552" t="s">
        <v>3465</v>
      </c>
      <c r="J247" s="3696">
        <f>G247</f>
        <v>2250000</v>
      </c>
      <c r="K247" s="3483">
        <f>F247-J247</f>
        <v>0</v>
      </c>
      <c r="L247" s="2013" t="s">
        <v>4879</v>
      </c>
    </row>
    <row r="248" spans="1:12" ht="30" customHeight="1" x14ac:dyDescent="0.2">
      <c r="A248" s="3487"/>
      <c r="B248" s="3490" t="s">
        <v>239</v>
      </c>
      <c r="C248" s="3529" t="s">
        <v>402</v>
      </c>
      <c r="D248" s="3483">
        <v>250000000</v>
      </c>
      <c r="E248" s="3523">
        <v>0.05</v>
      </c>
      <c r="F248" s="3483">
        <f>D248*E248</f>
        <v>12500000</v>
      </c>
      <c r="G248" s="3513">
        <v>12500000</v>
      </c>
      <c r="H248" s="3513" t="s">
        <v>1649</v>
      </c>
      <c r="I248" s="3513" t="s">
        <v>3989</v>
      </c>
      <c r="J248" s="3513">
        <f t="shared" si="23"/>
        <v>12500000</v>
      </c>
      <c r="K248" s="3483">
        <f t="shared" si="24"/>
        <v>0</v>
      </c>
      <c r="L248" s="3494" t="s">
        <v>5469</v>
      </c>
    </row>
    <row r="249" spans="1:12" ht="30" customHeight="1" x14ac:dyDescent="0.2">
      <c r="A249" s="7654"/>
      <c r="B249" s="7652" t="s">
        <v>5559</v>
      </c>
      <c r="C249" s="3778" t="s">
        <v>1306</v>
      </c>
      <c r="D249" s="3757">
        <v>120000000</v>
      </c>
      <c r="E249" s="3793">
        <v>0.05</v>
      </c>
      <c r="F249" s="3757">
        <f>D249*E249</f>
        <v>6000000</v>
      </c>
      <c r="G249" s="7732" t="s">
        <v>5802</v>
      </c>
      <c r="H249" s="7733"/>
      <c r="I249" s="7733"/>
      <c r="J249" s="7734"/>
      <c r="K249" s="3757"/>
      <c r="L249" s="3759" t="s">
        <v>5560</v>
      </c>
    </row>
    <row r="250" spans="1:12" ht="30" customHeight="1" x14ac:dyDescent="0.2">
      <c r="A250" s="7656"/>
      <c r="B250" s="7665"/>
      <c r="C250" s="4144"/>
      <c r="D250" s="4137">
        <v>460000000</v>
      </c>
      <c r="E250" s="4150"/>
      <c r="F250" s="4137"/>
      <c r="G250" s="7732" t="s">
        <v>5982</v>
      </c>
      <c r="H250" s="7733"/>
      <c r="I250" s="7733"/>
      <c r="J250" s="7734"/>
      <c r="K250" s="4137"/>
      <c r="L250" s="4140"/>
    </row>
    <row r="251" spans="1:12" ht="30" customHeight="1" x14ac:dyDescent="0.2">
      <c r="A251" s="7655"/>
      <c r="B251" s="7653"/>
      <c r="C251" s="4144"/>
      <c r="D251" s="4137"/>
      <c r="E251" s="4150"/>
      <c r="F251" s="4137"/>
      <c r="G251" s="7470"/>
      <c r="H251" s="7493"/>
      <c r="I251" s="7493"/>
      <c r="J251" s="7510"/>
      <c r="K251" s="4137"/>
      <c r="L251" s="4140"/>
    </row>
    <row r="252" spans="1:12" ht="30" customHeight="1" x14ac:dyDescent="0.2">
      <c r="A252" s="3526">
        <v>114</v>
      </c>
      <c r="B252" s="3527" t="s">
        <v>240</v>
      </c>
      <c r="C252" s="3504"/>
      <c r="D252" s="3483">
        <v>100000000</v>
      </c>
      <c r="E252" s="3523">
        <v>4.4999999999999998E-2</v>
      </c>
      <c r="F252" s="3483">
        <f t="shared" si="22"/>
        <v>4500000</v>
      </c>
      <c r="G252" s="3483"/>
      <c r="H252" s="3483"/>
      <c r="I252" s="84"/>
      <c r="J252" s="3483">
        <f>G252</f>
        <v>0</v>
      </c>
      <c r="K252" s="3483">
        <f>F252-J252</f>
        <v>4500000</v>
      </c>
      <c r="L252" s="3527"/>
    </row>
    <row r="253" spans="1:12" ht="30" customHeight="1" x14ac:dyDescent="0.2">
      <c r="A253" s="1028"/>
      <c r="B253" s="19" t="s">
        <v>243</v>
      </c>
      <c r="C253" s="3529" t="s">
        <v>889</v>
      </c>
      <c r="D253" s="3513">
        <v>445000000</v>
      </c>
      <c r="E253" s="3523">
        <v>4.4999999999999998E-2</v>
      </c>
      <c r="F253" s="3513">
        <v>20000000</v>
      </c>
      <c r="G253" s="3483">
        <v>20000000</v>
      </c>
      <c r="H253" s="3483" t="s">
        <v>5358</v>
      </c>
      <c r="I253" s="84" t="s">
        <v>2646</v>
      </c>
      <c r="J253" s="3483">
        <f>G253</f>
        <v>20000000</v>
      </c>
      <c r="K253" s="3483">
        <f>F253-J253</f>
        <v>0</v>
      </c>
      <c r="L253" s="3561"/>
    </row>
    <row r="254" spans="1:12" ht="30" customHeight="1" x14ac:dyDescent="0.2">
      <c r="A254" s="7654">
        <v>118</v>
      </c>
      <c r="B254" s="7652" t="s">
        <v>244</v>
      </c>
      <c r="C254" s="7723" t="s">
        <v>4223</v>
      </c>
      <c r="D254" s="7563">
        <v>33000000</v>
      </c>
      <c r="E254" s="7659">
        <v>0.05</v>
      </c>
      <c r="F254" s="7563">
        <f>D254*E254</f>
        <v>1650000</v>
      </c>
      <c r="G254" s="7563">
        <v>1650000</v>
      </c>
      <c r="H254" s="7563" t="s">
        <v>3977</v>
      </c>
      <c r="I254" s="8148" t="s">
        <v>611</v>
      </c>
      <c r="J254" s="7563">
        <f>G254</f>
        <v>1650000</v>
      </c>
      <c r="K254" s="7563">
        <f>F254-J254</f>
        <v>0</v>
      </c>
      <c r="L254" s="3561"/>
    </row>
    <row r="255" spans="1:12" ht="30" customHeight="1" x14ac:dyDescent="0.2">
      <c r="A255" s="7656"/>
      <c r="B255" s="7665"/>
      <c r="C255" s="7724"/>
      <c r="D255" s="7564"/>
      <c r="E255" s="7660"/>
      <c r="F255" s="7564"/>
      <c r="G255" s="7564"/>
      <c r="H255" s="7564"/>
      <c r="I255" s="8149"/>
      <c r="J255" s="7564"/>
      <c r="K255" s="7564"/>
      <c r="L255" s="3561"/>
    </row>
    <row r="256" spans="1:12" ht="30" customHeight="1" x14ac:dyDescent="0.2">
      <c r="A256" s="7654">
        <v>120</v>
      </c>
      <c r="B256" s="7652" t="s">
        <v>246</v>
      </c>
      <c r="C256" s="7723" t="s">
        <v>371</v>
      </c>
      <c r="D256" s="3513">
        <v>617000000</v>
      </c>
      <c r="E256" s="3523">
        <v>7.0000000000000007E-2</v>
      </c>
      <c r="F256" s="3513">
        <v>43200000</v>
      </c>
      <c r="G256" s="3513">
        <v>10000000</v>
      </c>
      <c r="H256" s="3513" t="s">
        <v>5358</v>
      </c>
      <c r="I256" s="3534" t="s">
        <v>5359</v>
      </c>
      <c r="J256" s="3513">
        <f>G256</f>
        <v>10000000</v>
      </c>
      <c r="K256" s="3513">
        <f>F256-J256</f>
        <v>33200000</v>
      </c>
      <c r="L256" s="2013" t="s">
        <v>5439</v>
      </c>
    </row>
    <row r="257" spans="1:12" ht="30" customHeight="1" x14ac:dyDescent="0.2">
      <c r="A257" s="7655"/>
      <c r="B257" s="7665"/>
      <c r="C257" s="7747"/>
      <c r="D257" s="3683"/>
      <c r="E257" s="3688"/>
      <c r="F257" s="3683"/>
      <c r="G257" s="3683">
        <v>22900000</v>
      </c>
      <c r="H257" s="3683" t="s">
        <v>5434</v>
      </c>
      <c r="I257" s="3685" t="s">
        <v>2866</v>
      </c>
      <c r="J257" s="3683">
        <f>G257</f>
        <v>22900000</v>
      </c>
      <c r="K257" s="3683"/>
      <c r="L257" s="3701"/>
    </row>
    <row r="258" spans="1:12" ht="30" customHeight="1" x14ac:dyDescent="0.2">
      <c r="A258" s="4405"/>
      <c r="B258" s="7653"/>
      <c r="C258" s="7724"/>
      <c r="D258" s="4404"/>
      <c r="E258" s="4407"/>
      <c r="F258" s="4404"/>
      <c r="G258" s="7732" t="s">
        <v>6171</v>
      </c>
      <c r="H258" s="7733"/>
      <c r="I258" s="7733"/>
      <c r="J258" s="7734"/>
      <c r="K258" s="4404"/>
      <c r="L258" s="4423"/>
    </row>
    <row r="259" spans="1:12" ht="30" customHeight="1" x14ac:dyDescent="0.2">
      <c r="A259" s="3526">
        <v>122</v>
      </c>
      <c r="B259" s="3491" t="s">
        <v>248</v>
      </c>
      <c r="C259" s="3504"/>
      <c r="D259" s="3483">
        <v>50000000</v>
      </c>
      <c r="E259" s="3489">
        <v>4.4999999999999998E-2</v>
      </c>
      <c r="F259" s="3483">
        <f t="shared" si="22"/>
        <v>2250000</v>
      </c>
      <c r="G259" s="3483">
        <v>2250000</v>
      </c>
      <c r="H259" s="3483" t="s">
        <v>1649</v>
      </c>
      <c r="I259" s="3516" t="s">
        <v>1568</v>
      </c>
      <c r="J259" s="3483">
        <f>G259</f>
        <v>2250000</v>
      </c>
      <c r="K259" s="3483">
        <f>F259-J259</f>
        <v>0</v>
      </c>
      <c r="L259" s="3527"/>
    </row>
    <row r="260" spans="1:12" ht="30" customHeight="1" x14ac:dyDescent="0.2">
      <c r="A260" s="7654">
        <v>123</v>
      </c>
      <c r="B260" s="7652" t="s">
        <v>1650</v>
      </c>
      <c r="C260" s="7723" t="s">
        <v>1176</v>
      </c>
      <c r="D260" s="3513">
        <v>60000000</v>
      </c>
      <c r="E260" s="3523">
        <v>0.05</v>
      </c>
      <c r="F260" s="3513">
        <f t="shared" si="22"/>
        <v>3000000</v>
      </c>
      <c r="G260" s="7563">
        <v>7000000</v>
      </c>
      <c r="H260" s="7563" t="s">
        <v>5596</v>
      </c>
      <c r="I260" s="7561" t="s">
        <v>2776</v>
      </c>
      <c r="J260" s="7563">
        <f>G260</f>
        <v>7000000</v>
      </c>
      <c r="K260" s="7563">
        <f>(F260+F261+F262)-G260</f>
        <v>0</v>
      </c>
      <c r="L260" s="7703"/>
    </row>
    <row r="261" spans="1:12" ht="30" customHeight="1" x14ac:dyDescent="0.2">
      <c r="A261" s="7656"/>
      <c r="B261" s="7665"/>
      <c r="C261" s="7747"/>
      <c r="D261" s="3513">
        <v>20000000</v>
      </c>
      <c r="E261" s="3523">
        <v>7.0000000000000007E-2</v>
      </c>
      <c r="F261" s="3513">
        <f t="shared" si="22"/>
        <v>1400000.0000000002</v>
      </c>
      <c r="G261" s="7586"/>
      <c r="H261" s="7586"/>
      <c r="I261" s="7672"/>
      <c r="J261" s="7586"/>
      <c r="K261" s="7586"/>
      <c r="L261" s="7704"/>
    </row>
    <row r="262" spans="1:12" ht="30" customHeight="1" x14ac:dyDescent="0.2">
      <c r="A262" s="7656"/>
      <c r="B262" s="7653"/>
      <c r="C262" s="7724"/>
      <c r="D262" s="3513">
        <v>52000000</v>
      </c>
      <c r="E262" s="3523">
        <v>0.05</v>
      </c>
      <c r="F262" s="3513">
        <f>D262*E262</f>
        <v>2600000</v>
      </c>
      <c r="G262" s="7564"/>
      <c r="H262" s="7564"/>
      <c r="I262" s="7562"/>
      <c r="J262" s="7564"/>
      <c r="K262" s="7564"/>
      <c r="L262" s="3494"/>
    </row>
    <row r="263" spans="1:12" ht="30" customHeight="1" x14ac:dyDescent="0.2">
      <c r="A263" s="7654">
        <v>124</v>
      </c>
      <c r="B263" s="7652" t="s">
        <v>250</v>
      </c>
      <c r="C263" s="7723" t="s">
        <v>392</v>
      </c>
      <c r="D263" s="3483">
        <v>200000000</v>
      </c>
      <c r="E263" s="3489">
        <v>0.05</v>
      </c>
      <c r="F263" s="3483">
        <f t="shared" si="22"/>
        <v>10000000</v>
      </c>
      <c r="G263" s="7563">
        <v>50000000</v>
      </c>
      <c r="H263" s="7563" t="s">
        <v>5367</v>
      </c>
      <c r="I263" s="7772" t="s">
        <v>5605</v>
      </c>
      <c r="J263" s="7563">
        <f t="shared" ref="J263:J276" si="25">G263</f>
        <v>50000000</v>
      </c>
      <c r="K263" s="7563">
        <f>(F263+F264)-J263</f>
        <v>-4000000</v>
      </c>
      <c r="L263" s="3905" t="s">
        <v>5659</v>
      </c>
    </row>
    <row r="264" spans="1:12" ht="30" customHeight="1" x14ac:dyDescent="0.2">
      <c r="A264" s="7655"/>
      <c r="B264" s="7653"/>
      <c r="C264" s="7724"/>
      <c r="D264" s="3483">
        <v>600000000</v>
      </c>
      <c r="E264" s="3489">
        <v>0.06</v>
      </c>
      <c r="F264" s="3483">
        <f t="shared" si="22"/>
        <v>36000000</v>
      </c>
      <c r="G264" s="7564"/>
      <c r="H264" s="7564"/>
      <c r="I264" s="7773"/>
      <c r="J264" s="7564"/>
      <c r="K264" s="7564"/>
      <c r="L264" s="3491"/>
    </row>
    <row r="265" spans="1:12" ht="30" customHeight="1" x14ac:dyDescent="0.2">
      <c r="A265" s="7654">
        <v>125</v>
      </c>
      <c r="B265" s="7652" t="s">
        <v>251</v>
      </c>
      <c r="C265" s="378"/>
      <c r="D265" s="3513">
        <v>200000000</v>
      </c>
      <c r="E265" s="3523">
        <v>0.06</v>
      </c>
      <c r="F265" s="3513">
        <f>D265*E265</f>
        <v>12000000</v>
      </c>
      <c r="G265" s="3483">
        <v>12000000</v>
      </c>
      <c r="H265" s="7563" t="s">
        <v>5345</v>
      </c>
      <c r="I265" s="7561" t="s">
        <v>1630</v>
      </c>
      <c r="J265" s="3483">
        <f t="shared" si="25"/>
        <v>12000000</v>
      </c>
      <c r="K265" s="3483">
        <f t="shared" ref="K265:K276" si="26">F265-J265</f>
        <v>0</v>
      </c>
      <c r="L265" s="2013" t="s">
        <v>5946</v>
      </c>
    </row>
    <row r="266" spans="1:12" ht="30" customHeight="1" x14ac:dyDescent="0.2">
      <c r="A266" s="7656"/>
      <c r="B266" s="7665"/>
      <c r="C266" s="7723" t="s">
        <v>1287</v>
      </c>
      <c r="D266" s="7563">
        <v>100000000</v>
      </c>
      <c r="E266" s="7659">
        <v>0.06</v>
      </c>
      <c r="F266" s="7563">
        <f>D266*E266</f>
        <v>6000000</v>
      </c>
      <c r="G266" s="3696">
        <v>3000000</v>
      </c>
      <c r="H266" s="7564"/>
      <c r="I266" s="7562"/>
      <c r="J266" s="7482">
        <f>G266+G267</f>
        <v>6000000</v>
      </c>
      <c r="K266" s="7563">
        <f>F266-J266</f>
        <v>0</v>
      </c>
      <c r="L266" s="3527"/>
    </row>
    <row r="267" spans="1:12" ht="30" customHeight="1" x14ac:dyDescent="0.2">
      <c r="A267" s="7655"/>
      <c r="B267" s="7653"/>
      <c r="C267" s="7724"/>
      <c r="D267" s="7564"/>
      <c r="E267" s="7660"/>
      <c r="F267" s="7564"/>
      <c r="G267" s="3513">
        <v>3000000</v>
      </c>
      <c r="H267" s="3513" t="s">
        <v>5697</v>
      </c>
      <c r="I267" s="3513" t="s">
        <v>1630</v>
      </c>
      <c r="J267" s="7482"/>
      <c r="K267" s="7564"/>
      <c r="L267" s="2013"/>
    </row>
    <row r="268" spans="1:12" ht="30" customHeight="1" x14ac:dyDescent="0.2">
      <c r="A268" s="3574"/>
      <c r="B268" s="19" t="s">
        <v>4853</v>
      </c>
      <c r="C268" s="3529"/>
      <c r="D268" s="3684">
        <v>100000000</v>
      </c>
      <c r="E268" s="2519"/>
      <c r="F268" s="3684"/>
      <c r="G268" s="7732"/>
      <c r="H268" s="7733"/>
      <c r="I268" s="7733"/>
      <c r="J268" s="7734"/>
      <c r="K268" s="3483"/>
      <c r="L268" s="2013"/>
    </row>
    <row r="269" spans="1:12" ht="30" customHeight="1" x14ac:dyDescent="0.2">
      <c r="A269" s="3730"/>
      <c r="B269" s="3726" t="s">
        <v>5492</v>
      </c>
      <c r="C269" s="3725"/>
      <c r="D269" s="3722">
        <v>250000000</v>
      </c>
      <c r="E269" s="3724"/>
      <c r="F269" s="3722"/>
      <c r="G269" s="3729"/>
      <c r="H269" s="3729"/>
      <c r="I269" s="3729"/>
      <c r="J269" s="3729"/>
      <c r="K269" s="3720"/>
      <c r="L269" s="3727" t="s">
        <v>5493</v>
      </c>
    </row>
    <row r="270" spans="1:12" ht="30" customHeight="1" x14ac:dyDescent="0.2">
      <c r="A270" s="3486">
        <v>127</v>
      </c>
      <c r="B270" s="3530" t="s">
        <v>253</v>
      </c>
      <c r="C270" s="3529" t="s">
        <v>889</v>
      </c>
      <c r="D270" s="3513">
        <v>800000000</v>
      </c>
      <c r="E270" s="3523">
        <v>0.05</v>
      </c>
      <c r="F270" s="3513">
        <f t="shared" si="22"/>
        <v>40000000</v>
      </c>
      <c r="G270" s="3513">
        <v>40000000</v>
      </c>
      <c r="H270" s="3513" t="s">
        <v>5347</v>
      </c>
      <c r="I270" s="3534" t="s">
        <v>2540</v>
      </c>
      <c r="J270" s="3513">
        <f t="shared" si="25"/>
        <v>40000000</v>
      </c>
      <c r="K270" s="3513">
        <f t="shared" si="26"/>
        <v>0</v>
      </c>
      <c r="L270" s="3506"/>
    </row>
    <row r="271" spans="1:12" ht="30" customHeight="1" x14ac:dyDescent="0.2">
      <c r="A271" s="3526">
        <v>128</v>
      </c>
      <c r="B271" s="3527" t="s">
        <v>254</v>
      </c>
      <c r="C271" s="3504"/>
      <c r="D271" s="3501"/>
      <c r="E271" s="3502"/>
      <c r="F271" s="3501">
        <f t="shared" si="22"/>
        <v>0</v>
      </c>
      <c r="G271" s="3483"/>
      <c r="H271" s="3483"/>
      <c r="I271" s="3582"/>
      <c r="J271" s="3483">
        <f t="shared" si="25"/>
        <v>0</v>
      </c>
      <c r="K271" s="3501">
        <f t="shared" si="26"/>
        <v>0</v>
      </c>
      <c r="L271" s="3527"/>
    </row>
    <row r="272" spans="1:12" ht="30" customHeight="1" x14ac:dyDescent="0.2">
      <c r="A272" s="7654"/>
      <c r="B272" s="7652" t="s">
        <v>5214</v>
      </c>
      <c r="C272" s="7723"/>
      <c r="D272" s="3513">
        <v>200000000</v>
      </c>
      <c r="E272" s="3523">
        <v>0.06</v>
      </c>
      <c r="F272" s="3513">
        <f>D272*E272</f>
        <v>12000000</v>
      </c>
      <c r="G272" s="7563">
        <v>16000000</v>
      </c>
      <c r="H272" s="7563" t="s">
        <v>5990</v>
      </c>
      <c r="I272" s="7561" t="s">
        <v>5314</v>
      </c>
      <c r="J272" s="7563">
        <f>G272</f>
        <v>16000000</v>
      </c>
      <c r="K272" s="7563">
        <f>F274-J272</f>
        <v>0</v>
      </c>
      <c r="L272" s="3493"/>
    </row>
    <row r="273" spans="1:12" ht="30" customHeight="1" x14ac:dyDescent="0.2">
      <c r="A273" s="7656"/>
      <c r="B273" s="7665"/>
      <c r="C273" s="7747"/>
      <c r="D273" s="3513">
        <v>70000000</v>
      </c>
      <c r="E273" s="3523">
        <v>0.06</v>
      </c>
      <c r="F273" s="3513">
        <f>D273*E273</f>
        <v>4200000</v>
      </c>
      <c r="G273" s="7586"/>
      <c r="H273" s="7586"/>
      <c r="I273" s="7672"/>
      <c r="J273" s="7586"/>
      <c r="K273" s="7586"/>
      <c r="L273" s="3548"/>
    </row>
    <row r="274" spans="1:12" ht="30" customHeight="1" x14ac:dyDescent="0.2">
      <c r="A274" s="7655"/>
      <c r="B274" s="7653"/>
      <c r="C274" s="7724"/>
      <c r="D274" s="3583">
        <v>270000000</v>
      </c>
      <c r="E274" s="896">
        <v>0.06</v>
      </c>
      <c r="F274" s="3583">
        <v>16000000</v>
      </c>
      <c r="G274" s="7564"/>
      <c r="H274" s="7564"/>
      <c r="I274" s="7562"/>
      <c r="J274" s="7564"/>
      <c r="K274" s="7564"/>
      <c r="L274" s="3494"/>
    </row>
    <row r="275" spans="1:12" ht="30" customHeight="1" x14ac:dyDescent="0.2">
      <c r="A275" s="3316"/>
      <c r="B275" s="3527" t="s">
        <v>1171</v>
      </c>
      <c r="C275" s="3529" t="s">
        <v>1299</v>
      </c>
      <c r="D275" s="3513">
        <v>150000000</v>
      </c>
      <c r="E275" s="3523">
        <v>0.05</v>
      </c>
      <c r="F275" s="3513">
        <f>D275*E275</f>
        <v>7500000</v>
      </c>
      <c r="G275" s="3513">
        <v>7500000</v>
      </c>
      <c r="H275" s="3513" t="s">
        <v>5634</v>
      </c>
      <c r="I275" s="3513" t="s">
        <v>1840</v>
      </c>
      <c r="J275" s="3513">
        <f t="shared" si="25"/>
        <v>7500000</v>
      </c>
      <c r="K275" s="3513">
        <f t="shared" si="26"/>
        <v>0</v>
      </c>
      <c r="L275" s="3578"/>
    </row>
    <row r="276" spans="1:12" ht="30" customHeight="1" x14ac:dyDescent="0.2">
      <c r="A276" s="7654">
        <v>131</v>
      </c>
      <c r="B276" s="7652" t="s">
        <v>256</v>
      </c>
      <c r="C276" s="7723"/>
      <c r="D276" s="7563">
        <v>400000000</v>
      </c>
      <c r="E276" s="7659">
        <v>0.05</v>
      </c>
      <c r="F276" s="7563">
        <f>D276*E276</f>
        <v>20000000</v>
      </c>
      <c r="G276" s="7563">
        <v>20000000</v>
      </c>
      <c r="H276" s="7563" t="s">
        <v>5345</v>
      </c>
      <c r="I276" s="7563" t="s">
        <v>3436</v>
      </c>
      <c r="J276" s="7563">
        <f t="shared" si="25"/>
        <v>20000000</v>
      </c>
      <c r="K276" s="7563">
        <f t="shared" si="26"/>
        <v>0</v>
      </c>
      <c r="L276" s="3493"/>
    </row>
    <row r="277" spans="1:12" ht="30" customHeight="1" x14ac:dyDescent="0.2">
      <c r="A277" s="7655"/>
      <c r="B277" s="7653"/>
      <c r="C277" s="7724"/>
      <c r="D277" s="7564"/>
      <c r="E277" s="7660"/>
      <c r="F277" s="7564"/>
      <c r="G277" s="7564"/>
      <c r="H277" s="7564"/>
      <c r="I277" s="7564"/>
      <c r="J277" s="7564"/>
      <c r="K277" s="7564"/>
      <c r="L277" s="3548" t="s">
        <v>4013</v>
      </c>
    </row>
    <row r="278" spans="1:12" ht="30" customHeight="1" x14ac:dyDescent="0.2">
      <c r="A278" s="1028"/>
      <c r="B278" s="19" t="s">
        <v>1218</v>
      </c>
      <c r="C278" s="3529" t="s">
        <v>1652</v>
      </c>
      <c r="D278" s="3513">
        <v>490000000</v>
      </c>
      <c r="E278" s="3523">
        <v>0.06</v>
      </c>
      <c r="F278" s="3513">
        <f>D278*E278</f>
        <v>29400000</v>
      </c>
      <c r="G278" s="3513">
        <v>29500000</v>
      </c>
      <c r="H278" s="3513" t="s">
        <v>1649</v>
      </c>
      <c r="I278" s="3513" t="s">
        <v>4897</v>
      </c>
      <c r="J278" s="3513">
        <f>G278</f>
        <v>29500000</v>
      </c>
      <c r="K278" s="3513">
        <f>F278-J278</f>
        <v>-100000</v>
      </c>
      <c r="L278" s="3493" t="s">
        <v>4898</v>
      </c>
    </row>
    <row r="279" spans="1:12" ht="30" customHeight="1" x14ac:dyDescent="0.2">
      <c r="A279" s="3526">
        <v>133</v>
      </c>
      <c r="B279" s="3491" t="s">
        <v>175</v>
      </c>
      <c r="C279" s="3504" t="s">
        <v>1718</v>
      </c>
      <c r="D279" s="3483">
        <v>100000000</v>
      </c>
      <c r="E279" s="3489">
        <v>0.05</v>
      </c>
      <c r="F279" s="3483">
        <f t="shared" ref="F279:F365" si="27">D279*E279</f>
        <v>5000000</v>
      </c>
      <c r="G279" s="3483">
        <v>5000000</v>
      </c>
      <c r="H279" s="3483" t="s">
        <v>2019</v>
      </c>
      <c r="I279" s="3582" t="s">
        <v>4412</v>
      </c>
      <c r="J279" s="3483">
        <f>G279</f>
        <v>5000000</v>
      </c>
      <c r="K279" s="3483">
        <f>F279-J279</f>
        <v>0</v>
      </c>
      <c r="L279" s="3493"/>
    </row>
    <row r="280" spans="1:12" ht="30" customHeight="1" x14ac:dyDescent="0.2">
      <c r="A280" s="3486">
        <v>134</v>
      </c>
      <c r="B280" s="3530" t="s">
        <v>166</v>
      </c>
      <c r="C280" s="3529" t="s">
        <v>1652</v>
      </c>
      <c r="D280" s="3513">
        <v>110000000</v>
      </c>
      <c r="E280" s="3523">
        <v>0.04</v>
      </c>
      <c r="F280" s="3513">
        <f t="shared" si="27"/>
        <v>4400000</v>
      </c>
      <c r="G280" s="3483">
        <v>4400000</v>
      </c>
      <c r="H280" s="3483" t="s">
        <v>2019</v>
      </c>
      <c r="I280" s="3582" t="s">
        <v>4099</v>
      </c>
      <c r="J280" s="3481">
        <f>G280</f>
        <v>4400000</v>
      </c>
      <c r="K280" s="3481">
        <f>F280-J280</f>
        <v>0</v>
      </c>
      <c r="L280" s="3506"/>
    </row>
    <row r="281" spans="1:12" ht="30" customHeight="1" x14ac:dyDescent="0.2">
      <c r="A281" s="7654">
        <v>135</v>
      </c>
      <c r="B281" s="7652" t="s">
        <v>4363</v>
      </c>
      <c r="C281" s="3703" t="s">
        <v>1299</v>
      </c>
      <c r="D281" s="3483">
        <v>124000000</v>
      </c>
      <c r="E281" s="3523">
        <v>4.9000000000000002E-2</v>
      </c>
      <c r="F281" s="3483">
        <v>6000000</v>
      </c>
      <c r="G281" s="3483">
        <v>6000000</v>
      </c>
      <c r="H281" s="3483" t="s">
        <v>5735</v>
      </c>
      <c r="I281" s="26" t="s">
        <v>1549</v>
      </c>
      <c r="J281" s="3975">
        <f>G281</f>
        <v>6000000</v>
      </c>
      <c r="K281" s="3696">
        <f>F281-J281</f>
        <v>0</v>
      </c>
      <c r="L281" s="7703"/>
    </row>
    <row r="282" spans="1:12" ht="30" customHeight="1" x14ac:dyDescent="0.2">
      <c r="A282" s="7656"/>
      <c r="B282" s="7665"/>
      <c r="C282" s="3703" t="s">
        <v>392</v>
      </c>
      <c r="D282" s="3696">
        <v>100000000</v>
      </c>
      <c r="E282" s="3702">
        <v>0.05</v>
      </c>
      <c r="F282" s="3696">
        <f>D282*E282</f>
        <v>5000000</v>
      </c>
      <c r="G282" s="7563">
        <v>10000000</v>
      </c>
      <c r="H282" s="7563" t="s">
        <v>5434</v>
      </c>
      <c r="I282" s="8115" t="s">
        <v>1549</v>
      </c>
      <c r="J282" s="7563">
        <f>G282</f>
        <v>10000000</v>
      </c>
      <c r="K282" s="7563">
        <f>(F282+F283)-J282</f>
        <v>0</v>
      </c>
      <c r="L282" s="7705"/>
    </row>
    <row r="283" spans="1:12" ht="30" customHeight="1" x14ac:dyDescent="0.2">
      <c r="A283" s="7655"/>
      <c r="B283" s="7653"/>
      <c r="C283" s="3529" t="s">
        <v>392</v>
      </c>
      <c r="D283" s="3696">
        <v>100000000</v>
      </c>
      <c r="E283" s="3702">
        <v>0.05</v>
      </c>
      <c r="F283" s="3696">
        <f>D283*E283</f>
        <v>5000000</v>
      </c>
      <c r="G283" s="7564"/>
      <c r="H283" s="7564"/>
      <c r="I283" s="8116"/>
      <c r="J283" s="7564"/>
      <c r="K283" s="7564"/>
      <c r="L283" s="3493" t="s">
        <v>4966</v>
      </c>
    </row>
    <row r="284" spans="1:12" ht="30" customHeight="1" x14ac:dyDescent="0.2">
      <c r="A284" s="7654">
        <v>136</v>
      </c>
      <c r="B284" s="7652" t="s">
        <v>4002</v>
      </c>
      <c r="C284" s="7873"/>
      <c r="D284" s="7677"/>
      <c r="E284" s="7691"/>
      <c r="F284" s="7677">
        <f t="shared" si="27"/>
        <v>0</v>
      </c>
      <c r="G284" s="3483"/>
      <c r="H284" s="3483"/>
      <c r="I284" s="24" t="s">
        <v>3968</v>
      </c>
      <c r="J284" s="3483">
        <f>G284</f>
        <v>0</v>
      </c>
      <c r="K284" s="3501">
        <f>F284-J284</f>
        <v>0</v>
      </c>
      <c r="L284" s="3493"/>
    </row>
    <row r="285" spans="1:12" ht="30" customHeight="1" x14ac:dyDescent="0.2">
      <c r="A285" s="7656"/>
      <c r="B285" s="7665"/>
      <c r="C285" s="7873"/>
      <c r="D285" s="7690"/>
      <c r="E285" s="7692"/>
      <c r="F285" s="7690"/>
      <c r="G285" s="3513"/>
      <c r="H285" s="3513"/>
      <c r="I285" s="234" t="s">
        <v>3968</v>
      </c>
      <c r="J285" s="3513">
        <f>G285</f>
        <v>0</v>
      </c>
      <c r="K285" s="3484"/>
      <c r="L285" s="3561"/>
    </row>
    <row r="286" spans="1:12" ht="30" customHeight="1" x14ac:dyDescent="0.2">
      <c r="A286" s="7655"/>
      <c r="B286" s="7653"/>
      <c r="C286" s="7873"/>
      <c r="D286" s="7678"/>
      <c r="E286" s="7693"/>
      <c r="F286" s="7678"/>
      <c r="G286" s="3513"/>
      <c r="H286" s="3513"/>
      <c r="I286" s="3513"/>
      <c r="J286" s="3513"/>
      <c r="K286" s="3484"/>
      <c r="L286" s="3561"/>
    </row>
    <row r="287" spans="1:12" ht="30" customHeight="1" x14ac:dyDescent="0.2">
      <c r="A287" s="3486"/>
      <c r="B287" s="3490" t="s">
        <v>257</v>
      </c>
      <c r="C287" s="3514" t="s">
        <v>1652</v>
      </c>
      <c r="D287" s="3483">
        <v>100000000</v>
      </c>
      <c r="E287" s="3523">
        <v>0.05</v>
      </c>
      <c r="F287" s="3483">
        <f>D287*E287</f>
        <v>5000000</v>
      </c>
      <c r="G287" s="3482">
        <v>5000000</v>
      </c>
      <c r="H287" s="3482" t="s">
        <v>2019</v>
      </c>
      <c r="I287" s="1610" t="s">
        <v>4003</v>
      </c>
      <c r="J287" s="3482">
        <f>G287</f>
        <v>5000000</v>
      </c>
      <c r="K287" s="3482">
        <f>F287-J287</f>
        <v>0</v>
      </c>
      <c r="L287" s="3548"/>
    </row>
    <row r="288" spans="1:12" ht="30" customHeight="1" x14ac:dyDescent="0.2">
      <c r="A288" s="7654"/>
      <c r="B288" s="7652" t="s">
        <v>179</v>
      </c>
      <c r="C288" s="7723" t="s">
        <v>1176</v>
      </c>
      <c r="D288" s="3513">
        <v>80000000</v>
      </c>
      <c r="E288" s="3523">
        <v>0.05</v>
      </c>
      <c r="F288" s="3513">
        <f>D288*E288</f>
        <v>4000000</v>
      </c>
      <c r="G288" s="7563">
        <v>6100000</v>
      </c>
      <c r="H288" s="7563" t="s">
        <v>2019</v>
      </c>
      <c r="I288" s="7563" t="s">
        <v>1711</v>
      </c>
      <c r="J288" s="7563">
        <f>G288</f>
        <v>6100000</v>
      </c>
      <c r="K288" s="7563">
        <f>(F288+F289)-J288</f>
        <v>0</v>
      </c>
      <c r="L288" s="7713"/>
    </row>
    <row r="289" spans="1:12" ht="30" customHeight="1" x14ac:dyDescent="0.2">
      <c r="A289" s="7655"/>
      <c r="B289" s="7653"/>
      <c r="C289" s="7724"/>
      <c r="D289" s="3481">
        <v>30000000</v>
      </c>
      <c r="E289" s="3488">
        <v>7.0000000000000007E-2</v>
      </c>
      <c r="F289" s="3481">
        <f>D289*E289</f>
        <v>2100000</v>
      </c>
      <c r="G289" s="7564"/>
      <c r="H289" s="7564"/>
      <c r="I289" s="7564"/>
      <c r="J289" s="7564"/>
      <c r="K289" s="7564"/>
      <c r="L289" s="7714"/>
    </row>
    <row r="290" spans="1:12" ht="30" customHeight="1" x14ac:dyDescent="0.2">
      <c r="A290" s="7879">
        <v>138</v>
      </c>
      <c r="B290" s="7717" t="s">
        <v>259</v>
      </c>
      <c r="C290" s="7873" t="s">
        <v>1172</v>
      </c>
      <c r="D290" s="7482">
        <v>1500000000</v>
      </c>
      <c r="E290" s="7659">
        <v>7.0000000000000007E-2</v>
      </c>
      <c r="F290" s="7563">
        <f>D290*E290</f>
        <v>105000000.00000001</v>
      </c>
      <c r="G290" s="3831">
        <v>50000000</v>
      </c>
      <c r="H290" s="3831" t="s">
        <v>5367</v>
      </c>
      <c r="I290" s="3831" t="s">
        <v>529</v>
      </c>
      <c r="J290" s="7563">
        <f>G290+G291</f>
        <v>105000000</v>
      </c>
      <c r="K290" s="7563">
        <f>F290-J290</f>
        <v>0</v>
      </c>
      <c r="L290" s="180" t="s">
        <v>4810</v>
      </c>
    </row>
    <row r="291" spans="1:12" ht="30" customHeight="1" x14ac:dyDescent="0.2">
      <c r="A291" s="7879"/>
      <c r="B291" s="7717"/>
      <c r="C291" s="7873"/>
      <c r="D291" s="7482"/>
      <c r="E291" s="7660"/>
      <c r="F291" s="7564"/>
      <c r="G291" s="3831">
        <v>55000000</v>
      </c>
      <c r="H291" s="3831" t="s">
        <v>5585</v>
      </c>
      <c r="I291" s="3831" t="s">
        <v>529</v>
      </c>
      <c r="J291" s="7564"/>
      <c r="K291" s="7564"/>
      <c r="L291" s="180" t="s">
        <v>4811</v>
      </c>
    </row>
    <row r="292" spans="1:12" ht="30" customHeight="1" x14ac:dyDescent="0.2">
      <c r="A292" s="3526">
        <v>139</v>
      </c>
      <c r="B292" s="19" t="s">
        <v>160</v>
      </c>
      <c r="C292" s="3504" t="s">
        <v>1718</v>
      </c>
      <c r="D292" s="3513">
        <v>110000000</v>
      </c>
      <c r="E292" s="3523">
        <v>0.05</v>
      </c>
      <c r="F292" s="3513">
        <f t="shared" si="27"/>
        <v>5500000</v>
      </c>
      <c r="G292" s="3483">
        <v>5500000</v>
      </c>
      <c r="H292" s="3483" t="s">
        <v>2019</v>
      </c>
      <c r="I292" s="26" t="s">
        <v>2757</v>
      </c>
      <c r="J292" s="3513">
        <f>G292</f>
        <v>5500000</v>
      </c>
      <c r="K292" s="3513">
        <f>F292-J292</f>
        <v>0</v>
      </c>
      <c r="L292" s="19"/>
    </row>
    <row r="293" spans="1:12" ht="30" customHeight="1" x14ac:dyDescent="0.2">
      <c r="A293" s="3526"/>
      <c r="B293" s="19" t="s">
        <v>2270</v>
      </c>
      <c r="C293" s="3504" t="s">
        <v>262</v>
      </c>
      <c r="D293" s="3513">
        <v>50000000</v>
      </c>
      <c r="E293" s="3523">
        <v>0.05</v>
      </c>
      <c r="F293" s="3513">
        <f>D293*E293</f>
        <v>2500000</v>
      </c>
      <c r="G293" s="3483">
        <v>2500000</v>
      </c>
      <c r="H293" s="3483" t="s">
        <v>5585</v>
      </c>
      <c r="I293" s="26" t="s">
        <v>2757</v>
      </c>
      <c r="J293" s="3513">
        <f>G293</f>
        <v>2500000</v>
      </c>
      <c r="K293" s="3513">
        <f>F293-J293</f>
        <v>0</v>
      </c>
      <c r="L293" s="19"/>
    </row>
    <row r="294" spans="1:12" ht="30" customHeight="1" x14ac:dyDescent="0.2">
      <c r="A294" s="7654">
        <v>140</v>
      </c>
      <c r="B294" s="7652" t="s">
        <v>533</v>
      </c>
      <c r="C294" s="7723" t="s">
        <v>372</v>
      </c>
      <c r="D294" s="7563">
        <v>150000000</v>
      </c>
      <c r="E294" s="7659">
        <v>0.04</v>
      </c>
      <c r="F294" s="7563">
        <f t="shared" si="27"/>
        <v>6000000</v>
      </c>
      <c r="G294" s="3483">
        <v>6000000</v>
      </c>
      <c r="H294" s="3483" t="s">
        <v>3977</v>
      </c>
      <c r="I294" s="18" t="s">
        <v>2682</v>
      </c>
      <c r="J294" s="3483">
        <f>G294</f>
        <v>6000000</v>
      </c>
      <c r="K294" s="3483">
        <f>F294-J294</f>
        <v>0</v>
      </c>
      <c r="L294" s="3527"/>
    </row>
    <row r="295" spans="1:12" ht="30" customHeight="1" x14ac:dyDescent="0.2">
      <c r="A295" s="7655"/>
      <c r="B295" s="7653"/>
      <c r="C295" s="7724"/>
      <c r="D295" s="7564"/>
      <c r="E295" s="7660"/>
      <c r="F295" s="7564"/>
      <c r="G295" s="4166">
        <v>1000000</v>
      </c>
      <c r="H295" s="4166" t="s">
        <v>5990</v>
      </c>
      <c r="I295" s="96" t="s">
        <v>5999</v>
      </c>
      <c r="J295" s="4166">
        <f>G295</f>
        <v>1000000</v>
      </c>
      <c r="K295" s="4166"/>
      <c r="L295" s="4179" t="s">
        <v>6000</v>
      </c>
    </row>
    <row r="296" spans="1:12" ht="30" customHeight="1" x14ac:dyDescent="0.2">
      <c r="A296" s="1028">
        <v>141</v>
      </c>
      <c r="B296" s="19" t="s">
        <v>7</v>
      </c>
      <c r="C296" s="3529"/>
      <c r="D296" s="3513">
        <v>30000000</v>
      </c>
      <c r="E296" s="3523">
        <v>0.05</v>
      </c>
      <c r="F296" s="3513">
        <f t="shared" si="27"/>
        <v>1500000</v>
      </c>
      <c r="G296" s="3483"/>
      <c r="H296" s="3483"/>
      <c r="I296" s="3582" t="s">
        <v>535</v>
      </c>
      <c r="J296" s="3483">
        <f>G296</f>
        <v>0</v>
      </c>
      <c r="K296" s="3483">
        <f>F296-J296</f>
        <v>1500000</v>
      </c>
      <c r="L296" s="3493"/>
    </row>
    <row r="297" spans="1:12" ht="30" customHeight="1" x14ac:dyDescent="0.2">
      <c r="A297" s="7654">
        <v>142</v>
      </c>
      <c r="B297" s="7652" t="s">
        <v>8</v>
      </c>
      <c r="C297" s="7723"/>
      <c r="D297" s="7563">
        <v>2000000000</v>
      </c>
      <c r="E297" s="7659">
        <v>0.08</v>
      </c>
      <c r="F297" s="7563">
        <f>D297*E297</f>
        <v>160000000</v>
      </c>
      <c r="G297" s="4768">
        <v>100000000</v>
      </c>
      <c r="H297" s="4768"/>
      <c r="I297" s="4768" t="s">
        <v>5555</v>
      </c>
      <c r="J297" s="7482">
        <f>G297+G298</f>
        <v>140000000</v>
      </c>
      <c r="K297" s="7482">
        <f>F297-J297</f>
        <v>20000000</v>
      </c>
      <c r="L297" s="7713"/>
    </row>
    <row r="298" spans="1:12" ht="30" customHeight="1" x14ac:dyDescent="0.2">
      <c r="A298" s="7656"/>
      <c r="B298" s="7665"/>
      <c r="C298" s="7747"/>
      <c r="D298" s="7586"/>
      <c r="E298" s="7676"/>
      <c r="F298" s="7586"/>
      <c r="G298" s="4768">
        <v>40000000</v>
      </c>
      <c r="H298" s="4768" t="s">
        <v>5367</v>
      </c>
      <c r="I298" s="4768" t="s">
        <v>1937</v>
      </c>
      <c r="J298" s="7482"/>
      <c r="K298" s="7482"/>
      <c r="L298" s="7797"/>
    </row>
    <row r="299" spans="1:12" ht="30" customHeight="1" x14ac:dyDescent="0.2">
      <c r="A299" s="7656"/>
      <c r="B299" s="7665"/>
      <c r="C299" s="7747"/>
      <c r="D299" s="7586"/>
      <c r="E299" s="7676"/>
      <c r="F299" s="7586"/>
      <c r="G299" s="4807">
        <v>50000000</v>
      </c>
      <c r="H299" s="4807" t="s">
        <v>5054</v>
      </c>
      <c r="I299" s="4841" t="s">
        <v>1937</v>
      </c>
      <c r="J299" s="7563"/>
      <c r="K299" s="7563"/>
      <c r="L299" s="7797"/>
    </row>
    <row r="300" spans="1:12" ht="30" customHeight="1" x14ac:dyDescent="0.2">
      <c r="A300" s="7656"/>
      <c r="B300" s="7665"/>
      <c r="C300" s="7747"/>
      <c r="D300" s="7586"/>
      <c r="E300" s="7676"/>
      <c r="F300" s="7586"/>
      <c r="G300" s="4807">
        <v>50000000</v>
      </c>
      <c r="H300" s="4807" t="s">
        <v>5054</v>
      </c>
      <c r="I300" s="1455" t="s">
        <v>1937</v>
      </c>
      <c r="J300" s="7586"/>
      <c r="K300" s="7586"/>
      <c r="L300" s="7797"/>
    </row>
    <row r="301" spans="1:12" ht="30" customHeight="1" x14ac:dyDescent="0.2">
      <c r="A301" s="7655"/>
      <c r="B301" s="7653"/>
      <c r="C301" s="7724"/>
      <c r="D301" s="7564"/>
      <c r="E301" s="7660"/>
      <c r="F301" s="7564"/>
      <c r="G301" s="4807">
        <v>10000000</v>
      </c>
      <c r="H301" s="4807" t="s">
        <v>5054</v>
      </c>
      <c r="I301" s="1455" t="s">
        <v>1937</v>
      </c>
      <c r="J301" s="7564"/>
      <c r="K301" s="7564"/>
      <c r="L301" s="4795"/>
    </row>
    <row r="302" spans="1:12" ht="30" customHeight="1" x14ac:dyDescent="0.2">
      <c r="A302" s="3526">
        <v>143</v>
      </c>
      <c r="B302" s="3527" t="s">
        <v>4146</v>
      </c>
      <c r="C302" s="3529"/>
      <c r="D302" s="3513">
        <v>50000000</v>
      </c>
      <c r="E302" s="3523">
        <v>0.04</v>
      </c>
      <c r="F302" s="3513">
        <f t="shared" si="27"/>
        <v>2000000</v>
      </c>
      <c r="G302" s="3513">
        <v>2000000</v>
      </c>
      <c r="H302" s="3513" t="s">
        <v>5434</v>
      </c>
      <c r="I302" s="26" t="s">
        <v>4924</v>
      </c>
      <c r="J302" s="3513">
        <f>G302</f>
        <v>2000000</v>
      </c>
      <c r="K302" s="3513">
        <f t="shared" ref="K302:K317" si="28">F302-J302</f>
        <v>0</v>
      </c>
      <c r="L302" s="3561" t="s">
        <v>4925</v>
      </c>
    </row>
    <row r="303" spans="1:12" ht="30" customHeight="1" x14ac:dyDescent="0.2">
      <c r="A303" s="3526">
        <v>144</v>
      </c>
      <c r="B303" s="3527" t="s">
        <v>514</v>
      </c>
      <c r="C303" s="3504"/>
      <c r="D303" s="3483">
        <v>5000000</v>
      </c>
      <c r="E303" s="3523">
        <v>0.05</v>
      </c>
      <c r="F303" s="3483">
        <f t="shared" si="27"/>
        <v>250000</v>
      </c>
      <c r="G303" s="3483">
        <v>250000</v>
      </c>
      <c r="H303" s="3483" t="s">
        <v>5347</v>
      </c>
      <c r="I303" s="3582" t="s">
        <v>516</v>
      </c>
      <c r="J303" s="3483">
        <f>G303</f>
        <v>250000</v>
      </c>
      <c r="K303" s="3483">
        <f t="shared" si="28"/>
        <v>0</v>
      </c>
      <c r="L303" s="3527"/>
    </row>
    <row r="304" spans="1:12" ht="30" customHeight="1" x14ac:dyDescent="0.2">
      <c r="A304" s="3526">
        <v>145</v>
      </c>
      <c r="B304" s="3527" t="s">
        <v>10</v>
      </c>
      <c r="C304" s="3504" t="s">
        <v>1172</v>
      </c>
      <c r="D304" s="3483">
        <v>100000000</v>
      </c>
      <c r="E304" s="3523">
        <v>0.05</v>
      </c>
      <c r="F304" s="3483">
        <f t="shared" si="27"/>
        <v>5000000</v>
      </c>
      <c r="G304" s="3483">
        <v>5000000</v>
      </c>
      <c r="H304" s="3483" t="s">
        <v>2019</v>
      </c>
      <c r="I304" s="18" t="s">
        <v>3525</v>
      </c>
      <c r="J304" s="3483">
        <f>G304</f>
        <v>5000000</v>
      </c>
      <c r="K304" s="3483">
        <f t="shared" si="28"/>
        <v>0</v>
      </c>
      <c r="L304" s="3527"/>
    </row>
    <row r="305" spans="1:16" ht="30" customHeight="1" x14ac:dyDescent="0.2">
      <c r="A305" s="3526">
        <v>146</v>
      </c>
      <c r="B305" s="3527" t="s">
        <v>11</v>
      </c>
      <c r="C305" s="3504"/>
      <c r="D305" s="3483">
        <v>50000000</v>
      </c>
      <c r="E305" s="3523">
        <v>4.4999999999999998E-2</v>
      </c>
      <c r="F305" s="3483">
        <f t="shared" si="27"/>
        <v>2250000</v>
      </c>
      <c r="G305" s="3483"/>
      <c r="H305" s="3483"/>
      <c r="I305" s="3582"/>
      <c r="J305" s="3483"/>
      <c r="K305" s="3483">
        <f t="shared" si="28"/>
        <v>2250000</v>
      </c>
      <c r="L305" s="3527"/>
    </row>
    <row r="306" spans="1:16" ht="30" customHeight="1" x14ac:dyDescent="0.2">
      <c r="A306" s="7654">
        <v>147</v>
      </c>
      <c r="B306" s="7652" t="s">
        <v>12</v>
      </c>
      <c r="C306" s="7723" t="s">
        <v>1295</v>
      </c>
      <c r="D306" s="3483">
        <v>60000000</v>
      </c>
      <c r="E306" s="3523">
        <v>0.05</v>
      </c>
      <c r="F306" s="3483">
        <f t="shared" si="27"/>
        <v>3000000</v>
      </c>
      <c r="G306" s="7563">
        <v>6500000</v>
      </c>
      <c r="H306" s="7563" t="s">
        <v>5340</v>
      </c>
      <c r="I306" s="8115" t="s">
        <v>4843</v>
      </c>
      <c r="J306" s="7563">
        <f>G306</f>
        <v>6500000</v>
      </c>
      <c r="K306" s="7563">
        <f>(F306+F307)-G306</f>
        <v>0</v>
      </c>
      <c r="L306" s="3560"/>
    </row>
    <row r="307" spans="1:16" ht="30" customHeight="1" x14ac:dyDescent="0.2">
      <c r="A307" s="7655"/>
      <c r="B307" s="7653"/>
      <c r="C307" s="7724"/>
      <c r="D307" s="3483">
        <v>70000000</v>
      </c>
      <c r="E307" s="3523">
        <v>0.05</v>
      </c>
      <c r="F307" s="3483">
        <f t="shared" si="27"/>
        <v>3500000</v>
      </c>
      <c r="G307" s="7564"/>
      <c r="H307" s="7564"/>
      <c r="I307" s="8116"/>
      <c r="J307" s="7564"/>
      <c r="K307" s="7564"/>
      <c r="L307" s="2013" t="s">
        <v>4671</v>
      </c>
    </row>
    <row r="308" spans="1:16" ht="30" customHeight="1" x14ac:dyDescent="0.2">
      <c r="A308" s="3486">
        <v>148</v>
      </c>
      <c r="B308" s="3530" t="s">
        <v>13</v>
      </c>
      <c r="C308" s="3529" t="s">
        <v>371</v>
      </c>
      <c r="D308" s="3513">
        <v>50000000</v>
      </c>
      <c r="E308" s="3523">
        <v>0.05</v>
      </c>
      <c r="F308" s="3513">
        <f t="shared" si="27"/>
        <v>2500000</v>
      </c>
      <c r="G308" s="3513">
        <v>2500000</v>
      </c>
      <c r="H308" s="3513" t="s">
        <v>5585</v>
      </c>
      <c r="I308" s="3534" t="s">
        <v>1401</v>
      </c>
      <c r="J308" s="3513">
        <f t="shared" ref="J308:J316" si="29">G308</f>
        <v>2500000</v>
      </c>
      <c r="K308" s="3513">
        <f t="shared" si="28"/>
        <v>0</v>
      </c>
      <c r="L308" s="2013"/>
    </row>
    <row r="309" spans="1:16" ht="30" customHeight="1" x14ac:dyDescent="0.2">
      <c r="A309" s="7654">
        <v>149</v>
      </c>
      <c r="B309" s="7652" t="s">
        <v>14</v>
      </c>
      <c r="C309" s="7723" t="s">
        <v>1291</v>
      </c>
      <c r="D309" s="7563">
        <v>80000000</v>
      </c>
      <c r="E309" s="7659">
        <v>0.05</v>
      </c>
      <c r="F309" s="7563">
        <f t="shared" si="27"/>
        <v>4000000</v>
      </c>
      <c r="G309" s="3483">
        <v>4000000</v>
      </c>
      <c r="H309" s="3483" t="s">
        <v>1013</v>
      </c>
      <c r="I309" s="3575" t="s">
        <v>5695</v>
      </c>
      <c r="J309" s="3483">
        <f t="shared" si="29"/>
        <v>4000000</v>
      </c>
      <c r="K309" s="3483">
        <f t="shared" si="28"/>
        <v>0</v>
      </c>
      <c r="L309" s="2013" t="s">
        <v>5694</v>
      </c>
    </row>
    <row r="310" spans="1:16" ht="30" customHeight="1" x14ac:dyDescent="0.2">
      <c r="A310" s="7656"/>
      <c r="B310" s="7665"/>
      <c r="C310" s="7747"/>
      <c r="D310" s="7586"/>
      <c r="E310" s="7676"/>
      <c r="F310" s="7586"/>
      <c r="G310" s="3931">
        <v>4000000</v>
      </c>
      <c r="H310" s="3931" t="s">
        <v>5697</v>
      </c>
      <c r="I310" s="52" t="s">
        <v>2580</v>
      </c>
      <c r="J310" s="3931">
        <f>G310</f>
        <v>4000000</v>
      </c>
      <c r="K310" s="3931">
        <f>F309-J310</f>
        <v>0</v>
      </c>
      <c r="L310" s="3941" t="s">
        <v>5700</v>
      </c>
    </row>
    <row r="311" spans="1:16" ht="30" customHeight="1" x14ac:dyDescent="0.2">
      <c r="A311" s="7655"/>
      <c r="B311" s="7653"/>
      <c r="C311" s="7724"/>
      <c r="D311" s="7564"/>
      <c r="E311" s="7660"/>
      <c r="F311" s="7564"/>
      <c r="G311" s="7732" t="s">
        <v>6529</v>
      </c>
      <c r="H311" s="7733"/>
      <c r="I311" s="7733"/>
      <c r="J311" s="7734"/>
      <c r="K311" s="3931"/>
      <c r="L311" s="3941"/>
    </row>
    <row r="312" spans="1:16" ht="30" customHeight="1" x14ac:dyDescent="0.2">
      <c r="A312" s="3526">
        <v>150</v>
      </c>
      <c r="B312" s="3527" t="s">
        <v>15</v>
      </c>
      <c r="C312" s="3504" t="s">
        <v>1294</v>
      </c>
      <c r="D312" s="3483">
        <v>160000000</v>
      </c>
      <c r="E312" s="3523">
        <v>0.04</v>
      </c>
      <c r="F312" s="3483">
        <f t="shared" si="27"/>
        <v>6400000</v>
      </c>
      <c r="G312" s="3483">
        <v>6400000</v>
      </c>
      <c r="H312" s="3483" t="s">
        <v>5697</v>
      </c>
      <c r="I312" s="3582" t="s">
        <v>2986</v>
      </c>
      <c r="J312" s="3483">
        <f t="shared" si="29"/>
        <v>6400000</v>
      </c>
      <c r="K312" s="3483">
        <f t="shared" si="28"/>
        <v>0</v>
      </c>
      <c r="L312" s="3493"/>
    </row>
    <row r="313" spans="1:16" ht="30" customHeight="1" x14ac:dyDescent="0.2">
      <c r="A313" s="7654">
        <v>151</v>
      </c>
      <c r="B313" s="7652" t="s">
        <v>16</v>
      </c>
      <c r="C313" s="7723" t="s">
        <v>3390</v>
      </c>
      <c r="D313" s="3483">
        <v>180000000</v>
      </c>
      <c r="E313" s="3523">
        <v>0.05</v>
      </c>
      <c r="F313" s="3483">
        <f t="shared" si="27"/>
        <v>9000000</v>
      </c>
      <c r="G313" s="3483">
        <v>9000000</v>
      </c>
      <c r="H313" s="3483" t="s">
        <v>5735</v>
      </c>
      <c r="I313" s="3582" t="s">
        <v>2149</v>
      </c>
      <c r="J313" s="3483">
        <f t="shared" si="29"/>
        <v>9000000</v>
      </c>
      <c r="K313" s="3483">
        <f t="shared" si="28"/>
        <v>0</v>
      </c>
      <c r="L313" s="3527"/>
    </row>
    <row r="314" spans="1:16" ht="30" customHeight="1" x14ac:dyDescent="0.2">
      <c r="A314" s="7655"/>
      <c r="B314" s="7653"/>
      <c r="C314" s="7724"/>
      <c r="D314" s="3757">
        <v>200000000</v>
      </c>
      <c r="E314" s="3793"/>
      <c r="F314" s="3757"/>
      <c r="G314" s="3757"/>
      <c r="H314" s="3757"/>
      <c r="I314" s="3816"/>
      <c r="J314" s="3757"/>
      <c r="K314" s="3757"/>
      <c r="L314" s="2013" t="s">
        <v>5595</v>
      </c>
    </row>
    <row r="315" spans="1:16" ht="30" customHeight="1" x14ac:dyDescent="0.2">
      <c r="A315" s="3526">
        <v>153</v>
      </c>
      <c r="B315" s="3527" t="s">
        <v>17</v>
      </c>
      <c r="C315" s="3504" t="s">
        <v>1299</v>
      </c>
      <c r="D315" s="3483">
        <v>30000000</v>
      </c>
      <c r="E315" s="3523">
        <v>0.05</v>
      </c>
      <c r="F315" s="3483">
        <f t="shared" si="27"/>
        <v>1500000</v>
      </c>
      <c r="G315" s="3483">
        <v>1500000</v>
      </c>
      <c r="H315" s="3483" t="s">
        <v>5735</v>
      </c>
      <c r="I315" s="3582" t="s">
        <v>1143</v>
      </c>
      <c r="J315" s="3483">
        <f t="shared" si="29"/>
        <v>1500000</v>
      </c>
      <c r="K315" s="3483">
        <f t="shared" si="28"/>
        <v>0</v>
      </c>
      <c r="L315" s="3527"/>
    </row>
    <row r="316" spans="1:16" ht="30" customHeight="1" x14ac:dyDescent="0.2">
      <c r="A316" s="3526">
        <v>154</v>
      </c>
      <c r="B316" s="3527" t="s">
        <v>18</v>
      </c>
      <c r="C316" s="3504" t="s">
        <v>1796</v>
      </c>
      <c r="D316" s="3483">
        <v>15000000</v>
      </c>
      <c r="E316" s="3523">
        <v>7.0000000000000007E-2</v>
      </c>
      <c r="F316" s="3483">
        <f t="shared" si="27"/>
        <v>1050000</v>
      </c>
      <c r="G316" s="3483">
        <v>1050000</v>
      </c>
      <c r="H316" s="3483" t="s">
        <v>5990</v>
      </c>
      <c r="I316" s="3582" t="s">
        <v>1278</v>
      </c>
      <c r="J316" s="3483">
        <f t="shared" si="29"/>
        <v>1050000</v>
      </c>
      <c r="K316" s="3483">
        <f t="shared" si="28"/>
        <v>0</v>
      </c>
      <c r="L316" s="3527"/>
    </row>
    <row r="317" spans="1:16" ht="30" customHeight="1" x14ac:dyDescent="0.2">
      <c r="A317" s="3526">
        <v>155</v>
      </c>
      <c r="B317" s="3527" t="s">
        <v>19</v>
      </c>
      <c r="C317" s="3504"/>
      <c r="D317" s="3501"/>
      <c r="E317" s="2519"/>
      <c r="F317" s="3501">
        <f t="shared" si="27"/>
        <v>0</v>
      </c>
      <c r="G317" s="3483"/>
      <c r="H317" s="3483"/>
      <c r="I317" s="3582"/>
      <c r="J317" s="3483"/>
      <c r="K317" s="3501">
        <f t="shared" si="28"/>
        <v>0</v>
      </c>
      <c r="L317" s="3527"/>
    </row>
    <row r="318" spans="1:16" ht="30" customHeight="1" x14ac:dyDescent="0.2">
      <c r="A318" s="3486">
        <v>156</v>
      </c>
      <c r="B318" s="3530" t="s">
        <v>20</v>
      </c>
      <c r="C318" s="378"/>
      <c r="D318" s="3513">
        <v>50000000</v>
      </c>
      <c r="E318" s="3523">
        <v>0.04</v>
      </c>
      <c r="F318" s="3513">
        <f t="shared" si="27"/>
        <v>2000000</v>
      </c>
      <c r="G318" s="3483">
        <v>2000000</v>
      </c>
      <c r="H318" s="3483" t="s">
        <v>5697</v>
      </c>
      <c r="I318" s="18" t="s">
        <v>5120</v>
      </c>
      <c r="J318" s="3513">
        <f>G318</f>
        <v>2000000</v>
      </c>
      <c r="K318" s="3513">
        <f>F318-J318</f>
        <v>0</v>
      </c>
      <c r="L318" s="3493"/>
      <c r="M318" s="366"/>
      <c r="N318" s="366"/>
      <c r="O318" s="366"/>
      <c r="P318" s="366"/>
    </row>
    <row r="319" spans="1:16" ht="30" customHeight="1" x14ac:dyDescent="0.2">
      <c r="A319" s="3526">
        <v>157</v>
      </c>
      <c r="B319" s="3527" t="s">
        <v>21</v>
      </c>
      <c r="C319" s="3504" t="s">
        <v>1294</v>
      </c>
      <c r="D319" s="3483">
        <v>20000000</v>
      </c>
      <c r="E319" s="3489">
        <v>0.05</v>
      </c>
      <c r="F319" s="3483">
        <f t="shared" si="27"/>
        <v>1000000</v>
      </c>
      <c r="G319" s="3483">
        <v>1000000</v>
      </c>
      <c r="H319" s="3483" t="s">
        <v>5634</v>
      </c>
      <c r="I319" s="3582" t="s">
        <v>4523</v>
      </c>
      <c r="J319" s="3483">
        <f>G319</f>
        <v>1000000</v>
      </c>
      <c r="K319" s="3483">
        <f>F319-J319</f>
        <v>0</v>
      </c>
      <c r="L319" s="3527"/>
      <c r="M319" s="366"/>
      <c r="N319" s="366"/>
      <c r="O319" s="366"/>
      <c r="P319" s="366"/>
    </row>
    <row r="320" spans="1:16" ht="30" customHeight="1" x14ac:dyDescent="0.2">
      <c r="A320" s="7654"/>
      <c r="B320" s="7652" t="s">
        <v>822</v>
      </c>
      <c r="C320" s="7723" t="s">
        <v>1306</v>
      </c>
      <c r="D320" s="3570">
        <v>160000000</v>
      </c>
      <c r="E320" s="896">
        <v>0.05</v>
      </c>
      <c r="F320" s="3570">
        <f>D320*E320</f>
        <v>8000000</v>
      </c>
      <c r="G320" s="7563">
        <v>10700000</v>
      </c>
      <c r="H320" s="7563" t="s">
        <v>5839</v>
      </c>
      <c r="I320" s="7563" t="s">
        <v>3129</v>
      </c>
      <c r="J320" s="7563">
        <f>G320</f>
        <v>10700000</v>
      </c>
      <c r="K320" s="7563">
        <f>(F320+F321)-J320</f>
        <v>0</v>
      </c>
      <c r="L320" s="233"/>
      <c r="M320" s="233"/>
      <c r="N320" s="233"/>
      <c r="O320" s="233"/>
      <c r="P320" s="233"/>
    </row>
    <row r="321" spans="1:16" ht="30" customHeight="1" x14ac:dyDescent="0.2">
      <c r="A321" s="7656"/>
      <c r="B321" s="7653"/>
      <c r="C321" s="7724"/>
      <c r="D321" s="3570">
        <f>22000000+9200000+13800000</f>
        <v>45000000</v>
      </c>
      <c r="E321" s="896">
        <v>0.06</v>
      </c>
      <c r="F321" s="3570">
        <f>D321*E321</f>
        <v>2700000</v>
      </c>
      <c r="G321" s="7564"/>
      <c r="H321" s="7564"/>
      <c r="I321" s="7564"/>
      <c r="J321" s="7564"/>
      <c r="K321" s="7564"/>
      <c r="L321" s="3527"/>
      <c r="M321" s="366"/>
      <c r="N321" s="366"/>
      <c r="O321" s="366"/>
      <c r="P321" s="366"/>
    </row>
    <row r="322" spans="1:16" ht="30" customHeight="1" x14ac:dyDescent="0.2">
      <c r="A322" s="3526">
        <v>159</v>
      </c>
      <c r="B322" s="3527" t="s">
        <v>22</v>
      </c>
      <c r="C322" s="3504" t="s">
        <v>1300</v>
      </c>
      <c r="D322" s="3483">
        <v>25000000</v>
      </c>
      <c r="E322" s="3523">
        <v>0.05</v>
      </c>
      <c r="F322" s="3483">
        <f t="shared" si="27"/>
        <v>1250000</v>
      </c>
      <c r="G322" s="3483"/>
      <c r="H322" s="3483"/>
      <c r="I322" s="3582" t="s">
        <v>2192</v>
      </c>
      <c r="J322" s="3483">
        <f t="shared" ref="J322:J324" si="30">G322</f>
        <v>0</v>
      </c>
      <c r="K322" s="3483">
        <f t="shared" ref="K322:K336" si="31">F322-J322</f>
        <v>1250000</v>
      </c>
      <c r="L322" s="388" t="s">
        <v>5259</v>
      </c>
      <c r="M322" s="366"/>
      <c r="N322" s="366"/>
      <c r="O322" s="366"/>
      <c r="P322" s="366"/>
    </row>
    <row r="323" spans="1:16" ht="30" customHeight="1" x14ac:dyDescent="0.2">
      <c r="A323" s="3526">
        <v>160</v>
      </c>
      <c r="B323" s="3527" t="s">
        <v>23</v>
      </c>
      <c r="C323" s="3504"/>
      <c r="D323" s="3483">
        <v>55000000</v>
      </c>
      <c r="E323" s="3523">
        <v>0.05</v>
      </c>
      <c r="F323" s="3483">
        <f t="shared" si="27"/>
        <v>2750000</v>
      </c>
      <c r="G323" s="3483"/>
      <c r="H323" s="3483"/>
      <c r="I323" s="3582"/>
      <c r="J323" s="3483">
        <f t="shared" si="30"/>
        <v>0</v>
      </c>
      <c r="K323" s="3483">
        <f t="shared" si="31"/>
        <v>2750000</v>
      </c>
      <c r="L323" s="3527"/>
      <c r="M323" s="366"/>
      <c r="N323" s="366"/>
      <c r="O323" s="366"/>
      <c r="P323" s="366"/>
    </row>
    <row r="324" spans="1:16" ht="30" customHeight="1" x14ac:dyDescent="0.2">
      <c r="A324" s="3526">
        <v>161</v>
      </c>
      <c r="B324" s="3530" t="s">
        <v>24</v>
      </c>
      <c r="C324" s="3529" t="s">
        <v>1306</v>
      </c>
      <c r="D324" s="3483">
        <v>20000000</v>
      </c>
      <c r="E324" s="3523">
        <v>4.4999999999999998E-2</v>
      </c>
      <c r="F324" s="3483">
        <f t="shared" si="27"/>
        <v>900000</v>
      </c>
      <c r="G324" s="3483">
        <v>900000</v>
      </c>
      <c r="H324" s="3483" t="s">
        <v>5839</v>
      </c>
      <c r="I324" s="3582" t="s">
        <v>721</v>
      </c>
      <c r="J324" s="3483">
        <f t="shared" si="30"/>
        <v>900000</v>
      </c>
      <c r="K324" s="3483">
        <f t="shared" si="31"/>
        <v>0</v>
      </c>
      <c r="L324" s="3527"/>
      <c r="M324" s="366"/>
      <c r="N324" s="366"/>
      <c r="O324" s="366"/>
      <c r="P324" s="366"/>
    </row>
    <row r="325" spans="1:16" ht="30" customHeight="1" x14ac:dyDescent="0.2">
      <c r="A325" s="7654">
        <v>162</v>
      </c>
      <c r="B325" s="7652" t="s">
        <v>25</v>
      </c>
      <c r="C325" s="7723" t="s">
        <v>1306</v>
      </c>
      <c r="D325" s="3483">
        <v>180000000</v>
      </c>
      <c r="E325" s="3523">
        <v>0.05</v>
      </c>
      <c r="F325" s="3483">
        <f t="shared" si="27"/>
        <v>9000000</v>
      </c>
      <c r="G325" s="7954" t="s">
        <v>5277</v>
      </c>
      <c r="H325" s="7955"/>
      <c r="I325" s="7955"/>
      <c r="J325" s="7956"/>
      <c r="K325" s="3483">
        <f t="shared" si="31"/>
        <v>9000000</v>
      </c>
      <c r="L325" s="388" t="s">
        <v>5500</v>
      </c>
      <c r="M325" s="366"/>
      <c r="N325" s="366"/>
      <c r="O325" s="366"/>
      <c r="P325" s="366"/>
    </row>
    <row r="326" spans="1:16" ht="30" customHeight="1" x14ac:dyDescent="0.2">
      <c r="A326" s="7655"/>
      <c r="B326" s="7653"/>
      <c r="C326" s="7724"/>
      <c r="D326" s="3720">
        <v>90000000</v>
      </c>
      <c r="E326" s="3724">
        <v>0.05</v>
      </c>
      <c r="F326" s="3720">
        <f t="shared" si="27"/>
        <v>4500000</v>
      </c>
      <c r="G326" s="7732" t="s">
        <v>5652</v>
      </c>
      <c r="H326" s="7733"/>
      <c r="I326" s="7733"/>
      <c r="J326" s="7734"/>
      <c r="K326" s="3719"/>
      <c r="L326" s="388" t="s">
        <v>5501</v>
      </c>
      <c r="M326" s="366"/>
      <c r="N326" s="366"/>
      <c r="O326" s="366"/>
      <c r="P326" s="366"/>
    </row>
    <row r="327" spans="1:16" ht="30" customHeight="1" x14ac:dyDescent="0.2">
      <c r="A327" s="7654">
        <v>163</v>
      </c>
      <c r="B327" s="7652" t="s">
        <v>828</v>
      </c>
      <c r="C327" s="7723" t="s">
        <v>1306</v>
      </c>
      <c r="D327" s="3499">
        <v>200000000</v>
      </c>
      <c r="E327" s="435">
        <v>0.06</v>
      </c>
      <c r="F327" s="3499">
        <f t="shared" si="27"/>
        <v>12000000</v>
      </c>
      <c r="G327" s="7563">
        <v>22500000</v>
      </c>
      <c r="H327" s="7563" t="s">
        <v>5839</v>
      </c>
      <c r="I327" s="7561" t="s">
        <v>3732</v>
      </c>
      <c r="J327" s="7563">
        <f>G327</f>
        <v>22500000</v>
      </c>
      <c r="K327" s="7563">
        <f>(F327+F328+F329)-J327</f>
        <v>0</v>
      </c>
      <c r="L327" s="388" t="s">
        <v>4623</v>
      </c>
      <c r="M327" s="366"/>
      <c r="N327" s="366"/>
      <c r="O327" s="366"/>
      <c r="P327" s="366"/>
    </row>
    <row r="328" spans="1:16" ht="30" customHeight="1" x14ac:dyDescent="0.2">
      <c r="A328" s="7656"/>
      <c r="B328" s="7665"/>
      <c r="C328" s="7747"/>
      <c r="D328" s="3499">
        <v>50000000</v>
      </c>
      <c r="E328" s="435">
        <v>7.0000000000000007E-2</v>
      </c>
      <c r="F328" s="3499">
        <f t="shared" si="27"/>
        <v>3500000.0000000005</v>
      </c>
      <c r="G328" s="7586"/>
      <c r="H328" s="7586"/>
      <c r="I328" s="7672"/>
      <c r="J328" s="7586"/>
      <c r="K328" s="7586"/>
      <c r="L328" s="388" t="s">
        <v>4624</v>
      </c>
      <c r="M328" s="366"/>
      <c r="N328" s="366"/>
      <c r="O328" s="366"/>
      <c r="P328" s="366"/>
    </row>
    <row r="329" spans="1:16" ht="30" customHeight="1" x14ac:dyDescent="0.2">
      <c r="A329" s="7655"/>
      <c r="B329" s="7653"/>
      <c r="C329" s="7724"/>
      <c r="D329" s="3499">
        <v>100000000</v>
      </c>
      <c r="E329" s="435">
        <v>7.0000000000000007E-2</v>
      </c>
      <c r="F329" s="3499">
        <f t="shared" si="27"/>
        <v>7000000.0000000009</v>
      </c>
      <c r="G329" s="7564"/>
      <c r="H329" s="7564"/>
      <c r="I329" s="7562"/>
      <c r="J329" s="7564"/>
      <c r="K329" s="7564"/>
      <c r="L329" s="388" t="s">
        <v>4999</v>
      </c>
      <c r="M329" s="366"/>
      <c r="N329" s="366"/>
      <c r="O329" s="366"/>
      <c r="P329" s="366"/>
    </row>
    <row r="330" spans="1:16" ht="30" customHeight="1" x14ac:dyDescent="0.2">
      <c r="A330" s="3526">
        <v>164</v>
      </c>
      <c r="B330" s="3527" t="s">
        <v>26</v>
      </c>
      <c r="C330" s="3504" t="s">
        <v>1306</v>
      </c>
      <c r="D330" s="3483">
        <v>50000000</v>
      </c>
      <c r="E330" s="3523">
        <v>0.05</v>
      </c>
      <c r="F330" s="3483">
        <f t="shared" si="27"/>
        <v>2500000</v>
      </c>
      <c r="G330" s="3483">
        <v>2500000</v>
      </c>
      <c r="H330" s="3483" t="s">
        <v>5849</v>
      </c>
      <c r="I330" s="3582" t="s">
        <v>741</v>
      </c>
      <c r="J330" s="3483">
        <f t="shared" ref="J330:J339" si="32">G330</f>
        <v>2500000</v>
      </c>
      <c r="K330" s="3483">
        <f t="shared" si="31"/>
        <v>0</v>
      </c>
      <c r="L330" s="3527"/>
      <c r="M330" s="366"/>
      <c r="N330" s="366"/>
      <c r="O330" s="366"/>
      <c r="P330" s="366"/>
    </row>
    <row r="331" spans="1:16" ht="30" customHeight="1" x14ac:dyDescent="0.2">
      <c r="A331" s="3526">
        <v>166</v>
      </c>
      <c r="B331" s="3527" t="s">
        <v>28</v>
      </c>
      <c r="C331" s="3504" t="s">
        <v>551</v>
      </c>
      <c r="D331" s="3483">
        <v>100000000</v>
      </c>
      <c r="E331" s="3523">
        <v>0.05</v>
      </c>
      <c r="F331" s="3483">
        <f t="shared" si="27"/>
        <v>5000000</v>
      </c>
      <c r="G331" s="3483">
        <v>5000000</v>
      </c>
      <c r="H331" s="3483" t="s">
        <v>5735</v>
      </c>
      <c r="I331" s="26" t="s">
        <v>4123</v>
      </c>
      <c r="J331" s="3483">
        <f t="shared" si="32"/>
        <v>5000000</v>
      </c>
      <c r="K331" s="3483">
        <f t="shared" si="31"/>
        <v>0</v>
      </c>
      <c r="L331" s="3527"/>
      <c r="M331" s="366"/>
      <c r="N331" s="366"/>
      <c r="O331" s="366"/>
      <c r="P331" s="366"/>
    </row>
    <row r="332" spans="1:16" ht="30" customHeight="1" x14ac:dyDescent="0.2">
      <c r="A332" s="3526">
        <v>167</v>
      </c>
      <c r="B332" s="3527" t="s">
        <v>737</v>
      </c>
      <c r="C332" s="3504" t="s">
        <v>1306</v>
      </c>
      <c r="D332" s="3483">
        <v>50000000</v>
      </c>
      <c r="E332" s="3523">
        <v>0.05</v>
      </c>
      <c r="F332" s="3483">
        <f t="shared" si="27"/>
        <v>2500000</v>
      </c>
      <c r="G332" s="3483">
        <v>2500000</v>
      </c>
      <c r="H332" s="3483" t="s">
        <v>5839</v>
      </c>
      <c r="I332" s="3582" t="s">
        <v>739</v>
      </c>
      <c r="J332" s="3483">
        <f t="shared" si="32"/>
        <v>2500000</v>
      </c>
      <c r="K332" s="3483">
        <f t="shared" si="31"/>
        <v>0</v>
      </c>
      <c r="L332" s="3527"/>
      <c r="M332" s="366"/>
      <c r="N332" s="366"/>
      <c r="O332" s="366"/>
      <c r="P332" s="366"/>
    </row>
    <row r="333" spans="1:16" ht="30" customHeight="1" x14ac:dyDescent="0.2">
      <c r="A333" s="7654">
        <v>168</v>
      </c>
      <c r="B333" s="7652" t="s">
        <v>818</v>
      </c>
      <c r="C333" s="7723" t="s">
        <v>1306</v>
      </c>
      <c r="D333" s="3483">
        <v>50000000</v>
      </c>
      <c r="E333" s="3523">
        <v>7.0000000000000007E-2</v>
      </c>
      <c r="F333" s="3483">
        <f t="shared" si="27"/>
        <v>3500000.0000000005</v>
      </c>
      <c r="G333" s="3501"/>
      <c r="H333" s="3501"/>
      <c r="I333" s="56" t="s">
        <v>4908</v>
      </c>
      <c r="J333" s="3501">
        <f>G333</f>
        <v>0</v>
      </c>
      <c r="K333" s="909">
        <f t="shared" si="31"/>
        <v>3500000.0000000005</v>
      </c>
      <c r="L333" s="388" t="s">
        <v>5215</v>
      </c>
      <c r="M333" s="366"/>
      <c r="N333" s="366"/>
      <c r="O333" s="366"/>
      <c r="P333" s="366"/>
    </row>
    <row r="334" spans="1:16" ht="30" customHeight="1" x14ac:dyDescent="0.2">
      <c r="A334" s="7656"/>
      <c r="B334" s="7665"/>
      <c r="C334" s="7747"/>
      <c r="D334" s="3570">
        <v>48000000</v>
      </c>
      <c r="E334" s="3523"/>
      <c r="F334" s="3483"/>
      <c r="G334" s="7461" t="s">
        <v>4856</v>
      </c>
      <c r="H334" s="7481"/>
      <c r="I334" s="7481"/>
      <c r="J334" s="7481"/>
      <c r="K334" s="7520"/>
      <c r="L334" s="4163" t="s">
        <v>5988</v>
      </c>
      <c r="M334" s="366"/>
      <c r="N334" s="366"/>
      <c r="O334" s="366"/>
      <c r="P334" s="366"/>
    </row>
    <row r="335" spans="1:16" ht="30" customHeight="1" x14ac:dyDescent="0.2">
      <c r="A335" s="7655"/>
      <c r="B335" s="7653"/>
      <c r="C335" s="7724"/>
      <c r="D335" s="4153">
        <v>70000000</v>
      </c>
      <c r="E335" s="4150"/>
      <c r="F335" s="4137"/>
      <c r="G335" s="4149"/>
      <c r="H335" s="4149"/>
      <c r="I335" s="4149"/>
      <c r="J335" s="4149"/>
      <c r="K335" s="4156"/>
      <c r="L335" s="4164" t="s">
        <v>5989</v>
      </c>
      <c r="M335" s="366"/>
      <c r="N335" s="366"/>
      <c r="O335" s="366"/>
      <c r="P335" s="366"/>
    </row>
    <row r="336" spans="1:16" ht="30" customHeight="1" x14ac:dyDescent="0.2">
      <c r="A336" s="3574"/>
      <c r="B336" s="3530" t="s">
        <v>29</v>
      </c>
      <c r="C336" s="3504" t="s">
        <v>1107</v>
      </c>
      <c r="D336" s="3483">
        <v>20000000</v>
      </c>
      <c r="E336" s="3523">
        <v>0.05</v>
      </c>
      <c r="F336" s="3483">
        <f>D336*E336</f>
        <v>1000000</v>
      </c>
      <c r="G336" s="3483">
        <v>1000000</v>
      </c>
      <c r="H336" s="3483" t="s">
        <v>5839</v>
      </c>
      <c r="I336" s="3483" t="s">
        <v>848</v>
      </c>
      <c r="J336" s="3483">
        <f t="shared" si="32"/>
        <v>1000000</v>
      </c>
      <c r="K336" s="3483">
        <f t="shared" si="31"/>
        <v>0</v>
      </c>
      <c r="L336" s="7732"/>
      <c r="M336" s="7733"/>
      <c r="N336" s="7733"/>
      <c r="O336" s="7733"/>
      <c r="P336" s="7734"/>
    </row>
    <row r="337" spans="1:16" ht="30" customHeight="1" x14ac:dyDescent="0.2">
      <c r="A337" s="3526">
        <v>170</v>
      </c>
      <c r="B337" s="3527" t="s">
        <v>30</v>
      </c>
      <c r="C337" s="3504" t="s">
        <v>1107</v>
      </c>
      <c r="D337" s="3483">
        <v>70000000</v>
      </c>
      <c r="E337" s="3523">
        <v>5.2999999999999999E-2</v>
      </c>
      <c r="F337" s="3483">
        <v>3700000</v>
      </c>
      <c r="G337" s="3483">
        <v>3700000</v>
      </c>
      <c r="H337" s="3483" t="s">
        <v>2341</v>
      </c>
      <c r="I337" s="3582" t="s">
        <v>4138</v>
      </c>
      <c r="J337" s="3483">
        <f t="shared" si="32"/>
        <v>3700000</v>
      </c>
      <c r="K337" s="3483">
        <f>F337-J337</f>
        <v>0</v>
      </c>
      <c r="L337" s="3527"/>
      <c r="M337" s="366"/>
      <c r="N337" s="366"/>
      <c r="O337" s="366"/>
      <c r="P337" s="366"/>
    </row>
    <row r="338" spans="1:16" ht="30" customHeight="1" x14ac:dyDescent="0.2">
      <c r="A338" s="3526">
        <v>171</v>
      </c>
      <c r="B338" s="3527" t="s">
        <v>31</v>
      </c>
      <c r="C338" s="3504" t="s">
        <v>1293</v>
      </c>
      <c r="D338" s="3483">
        <v>10000000</v>
      </c>
      <c r="E338" s="3523">
        <v>0.04</v>
      </c>
      <c r="F338" s="3483">
        <f>D338*E338</f>
        <v>400000</v>
      </c>
      <c r="G338" s="3483">
        <v>400000</v>
      </c>
      <c r="H338" s="3483" t="s">
        <v>1527</v>
      </c>
      <c r="I338" s="3582" t="s">
        <v>670</v>
      </c>
      <c r="J338" s="3483">
        <f t="shared" si="32"/>
        <v>400000</v>
      </c>
      <c r="K338" s="3483">
        <f>F338-J338</f>
        <v>0</v>
      </c>
      <c r="L338" s="3561"/>
    </row>
    <row r="339" spans="1:16" ht="30" customHeight="1" x14ac:dyDescent="0.2">
      <c r="A339" s="3486">
        <v>172</v>
      </c>
      <c r="B339" s="3530" t="s">
        <v>32</v>
      </c>
      <c r="C339" s="3529" t="s">
        <v>989</v>
      </c>
      <c r="D339" s="3483">
        <v>5000000</v>
      </c>
      <c r="E339" s="3523">
        <v>0.06</v>
      </c>
      <c r="F339" s="3483">
        <f t="shared" si="27"/>
        <v>300000</v>
      </c>
      <c r="G339" s="3483">
        <v>300000</v>
      </c>
      <c r="H339" s="3483" t="s">
        <v>5849</v>
      </c>
      <c r="I339" s="3582" t="s">
        <v>632</v>
      </c>
      <c r="J339" s="3483">
        <f t="shared" si="32"/>
        <v>300000</v>
      </c>
      <c r="K339" s="3483">
        <f>F339-J339</f>
        <v>0</v>
      </c>
      <c r="L339" s="388"/>
    </row>
    <row r="340" spans="1:16" ht="30" customHeight="1" x14ac:dyDescent="0.2">
      <c r="A340" s="7654">
        <v>173</v>
      </c>
      <c r="B340" s="7652" t="s">
        <v>33</v>
      </c>
      <c r="C340" s="7723" t="s">
        <v>1306</v>
      </c>
      <c r="D340" s="7563">
        <v>50000000</v>
      </c>
      <c r="E340" s="7659">
        <v>0.05</v>
      </c>
      <c r="F340" s="7563">
        <f t="shared" si="27"/>
        <v>2500000</v>
      </c>
      <c r="G340" s="7563">
        <v>2000000</v>
      </c>
      <c r="H340" s="7563" t="s">
        <v>5849</v>
      </c>
      <c r="I340" s="7561" t="s">
        <v>838</v>
      </c>
      <c r="J340" s="7563">
        <f>G340+G341</f>
        <v>2000000</v>
      </c>
      <c r="K340" s="7563">
        <f>F340-J340</f>
        <v>500000</v>
      </c>
      <c r="L340" s="7798" t="s">
        <v>5852</v>
      </c>
    </row>
    <row r="341" spans="1:16" ht="30" customHeight="1" x14ac:dyDescent="0.2">
      <c r="A341" s="7656"/>
      <c r="B341" s="7665"/>
      <c r="C341" s="7747"/>
      <c r="D341" s="7586"/>
      <c r="E341" s="7676"/>
      <c r="F341" s="7586"/>
      <c r="G341" s="7586"/>
      <c r="H341" s="7586"/>
      <c r="I341" s="7672"/>
      <c r="J341" s="7586"/>
      <c r="K341" s="7586"/>
      <c r="L341" s="7799"/>
    </row>
    <row r="342" spans="1:16" ht="30" customHeight="1" x14ac:dyDescent="0.2">
      <c r="A342" s="7655"/>
      <c r="B342" s="7653"/>
      <c r="C342" s="7724"/>
      <c r="D342" s="7564"/>
      <c r="E342" s="7660"/>
      <c r="F342" s="7564"/>
      <c r="G342" s="7564"/>
      <c r="H342" s="7564"/>
      <c r="I342" s="7562"/>
      <c r="J342" s="7564"/>
      <c r="K342" s="7564"/>
      <c r="L342" s="7800"/>
    </row>
    <row r="343" spans="1:16" ht="30" customHeight="1" x14ac:dyDescent="0.2">
      <c r="A343" s="7654"/>
      <c r="B343" s="7652" t="s">
        <v>4266</v>
      </c>
      <c r="C343" s="7723" t="s">
        <v>1287</v>
      </c>
      <c r="D343" s="4870">
        <v>5730000000</v>
      </c>
      <c r="E343" s="2519">
        <v>0.08</v>
      </c>
      <c r="F343" s="4870">
        <f>D343*E343</f>
        <v>458400000</v>
      </c>
      <c r="G343" s="7732" t="s">
        <v>6126</v>
      </c>
      <c r="H343" s="7733"/>
      <c r="I343" s="7733"/>
      <c r="J343" s="7734"/>
      <c r="K343" s="233"/>
      <c r="L343" s="1661" t="s">
        <v>6127</v>
      </c>
    </row>
    <row r="344" spans="1:16" ht="30" customHeight="1" x14ac:dyDescent="0.2">
      <c r="A344" s="7655"/>
      <c r="B344" s="7653"/>
      <c r="C344" s="7724"/>
      <c r="D344" s="3501"/>
      <c r="E344" s="3502"/>
      <c r="F344" s="3501"/>
      <c r="G344" s="3425"/>
      <c r="H344" s="3426"/>
      <c r="I344" s="3532"/>
      <c r="J344" s="3427"/>
      <c r="K344" s="178"/>
      <c r="L344" s="1661" t="s">
        <v>5264</v>
      </c>
    </row>
    <row r="345" spans="1:16" ht="30" customHeight="1" x14ac:dyDescent="0.2">
      <c r="A345" s="3526">
        <v>175</v>
      </c>
      <c r="B345" s="3527" t="s">
        <v>36</v>
      </c>
      <c r="C345" s="3504" t="s">
        <v>1306</v>
      </c>
      <c r="D345" s="3483">
        <v>200000000</v>
      </c>
      <c r="E345" s="3489">
        <v>0.05</v>
      </c>
      <c r="F345" s="3483">
        <f t="shared" si="27"/>
        <v>10000000</v>
      </c>
      <c r="G345" s="3483">
        <v>10000000</v>
      </c>
      <c r="H345" s="3483" t="s">
        <v>5839</v>
      </c>
      <c r="I345" s="18" t="s">
        <v>3738</v>
      </c>
      <c r="J345" s="3483">
        <f>G345</f>
        <v>10000000</v>
      </c>
      <c r="K345" s="3513">
        <f t="shared" ref="K345:K350" si="33">F345-J345</f>
        <v>0</v>
      </c>
      <c r="L345" s="3527"/>
    </row>
    <row r="346" spans="1:16" ht="30" customHeight="1" x14ac:dyDescent="0.2">
      <c r="A346" s="3526">
        <v>176</v>
      </c>
      <c r="B346" s="3527" t="s">
        <v>37</v>
      </c>
      <c r="C346" s="3504" t="s">
        <v>1107</v>
      </c>
      <c r="D346" s="3483">
        <v>150000000</v>
      </c>
      <c r="E346" s="3523">
        <v>7.0000000000000007E-2</v>
      </c>
      <c r="F346" s="3483">
        <f t="shared" si="27"/>
        <v>10500000.000000002</v>
      </c>
      <c r="G346" s="3483">
        <v>10500000</v>
      </c>
      <c r="H346" s="3483" t="s">
        <v>5948</v>
      </c>
      <c r="I346" s="3582" t="s">
        <v>3223</v>
      </c>
      <c r="J346" s="3483">
        <f t="shared" ref="J346:J352" si="34">G346</f>
        <v>10500000</v>
      </c>
      <c r="K346" s="3483">
        <f t="shared" si="33"/>
        <v>0</v>
      </c>
      <c r="L346" s="3527"/>
    </row>
    <row r="347" spans="1:16" ht="30" customHeight="1" x14ac:dyDescent="0.2">
      <c r="A347" s="3526">
        <v>177</v>
      </c>
      <c r="B347" s="3527" t="s">
        <v>5177</v>
      </c>
      <c r="C347" s="3504" t="s">
        <v>1299</v>
      </c>
      <c r="D347" s="3483">
        <v>25000000</v>
      </c>
      <c r="E347" s="3523">
        <v>0.04</v>
      </c>
      <c r="F347" s="3483">
        <f t="shared" si="27"/>
        <v>1000000</v>
      </c>
      <c r="G347" s="3483">
        <v>1000000</v>
      </c>
      <c r="H347" s="3483" t="s">
        <v>5735</v>
      </c>
      <c r="I347" s="18" t="s">
        <v>746</v>
      </c>
      <c r="J347" s="3483">
        <f t="shared" si="34"/>
        <v>1000000</v>
      </c>
      <c r="K347" s="3483">
        <f t="shared" si="33"/>
        <v>0</v>
      </c>
      <c r="L347" s="3527"/>
    </row>
    <row r="348" spans="1:16" ht="30" customHeight="1" x14ac:dyDescent="0.2">
      <c r="A348" s="3526">
        <v>178</v>
      </c>
      <c r="B348" s="3527" t="s">
        <v>39</v>
      </c>
      <c r="C348" s="3504" t="s">
        <v>1299</v>
      </c>
      <c r="D348" s="3483">
        <v>90000000</v>
      </c>
      <c r="E348" s="3523">
        <v>0.05</v>
      </c>
      <c r="F348" s="3483">
        <f>D348*E348</f>
        <v>4500000</v>
      </c>
      <c r="G348" s="3483">
        <v>4500000</v>
      </c>
      <c r="H348" s="3483" t="s">
        <v>5849</v>
      </c>
      <c r="I348" s="3582" t="s">
        <v>2164</v>
      </c>
      <c r="J348" s="3483">
        <f t="shared" si="34"/>
        <v>4500000</v>
      </c>
      <c r="K348" s="3483">
        <f t="shared" si="33"/>
        <v>0</v>
      </c>
      <c r="L348" s="3527"/>
    </row>
    <row r="349" spans="1:16" ht="30" customHeight="1" x14ac:dyDescent="0.2">
      <c r="A349" s="3573">
        <v>179</v>
      </c>
      <c r="B349" s="3530" t="s">
        <v>40</v>
      </c>
      <c r="C349" s="3503" t="s">
        <v>1306</v>
      </c>
      <c r="D349" s="3481">
        <v>320000000</v>
      </c>
      <c r="E349" s="3488">
        <v>0.06</v>
      </c>
      <c r="F349" s="3481">
        <f t="shared" si="27"/>
        <v>19200000</v>
      </c>
      <c r="G349" s="3483">
        <v>19200000</v>
      </c>
      <c r="H349" s="3483" t="s">
        <v>1012</v>
      </c>
      <c r="I349" s="3582" t="s">
        <v>1090</v>
      </c>
      <c r="J349" s="3481">
        <f t="shared" si="34"/>
        <v>19200000</v>
      </c>
      <c r="K349" s="3481">
        <f t="shared" si="33"/>
        <v>0</v>
      </c>
      <c r="L349" s="3506"/>
    </row>
    <row r="350" spans="1:16" ht="30" customHeight="1" x14ac:dyDescent="0.2">
      <c r="A350" s="3486">
        <v>180</v>
      </c>
      <c r="B350" s="19" t="s">
        <v>41</v>
      </c>
      <c r="C350" s="3578" t="s">
        <v>2403</v>
      </c>
      <c r="D350" s="3513">
        <v>300000000</v>
      </c>
      <c r="E350" s="3523">
        <v>5.7000000000000002E-2</v>
      </c>
      <c r="F350" s="3513">
        <v>17000000</v>
      </c>
      <c r="G350" s="3513">
        <v>17000000</v>
      </c>
      <c r="H350" s="3513" t="s">
        <v>5849</v>
      </c>
      <c r="I350" s="3534" t="s">
        <v>2260</v>
      </c>
      <c r="J350" s="3513">
        <f t="shared" si="34"/>
        <v>17000000</v>
      </c>
      <c r="K350" s="3513">
        <f t="shared" si="33"/>
        <v>0</v>
      </c>
      <c r="L350" s="3550"/>
    </row>
    <row r="351" spans="1:16" ht="30" customHeight="1" x14ac:dyDescent="0.2">
      <c r="A351" s="3526">
        <v>181</v>
      </c>
      <c r="B351" s="3491" t="s">
        <v>42</v>
      </c>
      <c r="C351" s="3504" t="s">
        <v>989</v>
      </c>
      <c r="D351" s="3483">
        <v>50000000</v>
      </c>
      <c r="E351" s="3489">
        <v>0.05</v>
      </c>
      <c r="F351" s="3483">
        <f t="shared" si="27"/>
        <v>2500000</v>
      </c>
      <c r="G351" s="3483">
        <v>2500000</v>
      </c>
      <c r="H351" s="3483" t="s">
        <v>5948</v>
      </c>
      <c r="I351" s="3582" t="s">
        <v>1076</v>
      </c>
      <c r="J351" s="3483">
        <f t="shared" si="34"/>
        <v>2500000</v>
      </c>
      <c r="K351" s="3483">
        <f>F351-J351</f>
        <v>0</v>
      </c>
      <c r="L351" s="3491"/>
    </row>
    <row r="352" spans="1:16" ht="30" customHeight="1" x14ac:dyDescent="0.2">
      <c r="A352" s="7654"/>
      <c r="B352" s="7652" t="s">
        <v>43</v>
      </c>
      <c r="C352" s="7723" t="s">
        <v>1287</v>
      </c>
      <c r="D352" s="7563">
        <v>125000000</v>
      </c>
      <c r="E352" s="7659">
        <v>0.05</v>
      </c>
      <c r="F352" s="7563">
        <f>D352*E352</f>
        <v>6250000</v>
      </c>
      <c r="G352" s="7563">
        <v>6310000</v>
      </c>
      <c r="H352" s="7563" t="s">
        <v>5735</v>
      </c>
      <c r="I352" s="7563" t="s">
        <v>3716</v>
      </c>
      <c r="J352" s="7563">
        <f t="shared" si="34"/>
        <v>6310000</v>
      </c>
      <c r="K352" s="7563">
        <f>F354-J352</f>
        <v>0</v>
      </c>
      <c r="L352" s="3538"/>
    </row>
    <row r="353" spans="1:12" ht="30" customHeight="1" x14ac:dyDescent="0.2">
      <c r="A353" s="7656"/>
      <c r="B353" s="7665"/>
      <c r="C353" s="7747"/>
      <c r="D353" s="7564"/>
      <c r="E353" s="7660"/>
      <c r="F353" s="7564"/>
      <c r="G353" s="7586"/>
      <c r="H353" s="7586"/>
      <c r="I353" s="7586"/>
      <c r="J353" s="7586"/>
      <c r="K353" s="7586"/>
      <c r="L353" s="3783" t="s">
        <v>5592</v>
      </c>
    </row>
    <row r="354" spans="1:12" ht="30" customHeight="1" x14ac:dyDescent="0.2">
      <c r="A354" s="7655"/>
      <c r="B354" s="7653"/>
      <c r="C354" s="7724"/>
      <c r="D354" s="3771">
        <v>126200000</v>
      </c>
      <c r="E354" s="3773">
        <v>0.05</v>
      </c>
      <c r="F354" s="3771">
        <f>D354*E354</f>
        <v>6310000</v>
      </c>
      <c r="G354" s="7564"/>
      <c r="H354" s="7564"/>
      <c r="I354" s="7564"/>
      <c r="J354" s="7564"/>
      <c r="K354" s="7564"/>
      <c r="L354" s="3784" t="s">
        <v>5593</v>
      </c>
    </row>
    <row r="355" spans="1:12" ht="30" customHeight="1" x14ac:dyDescent="0.2">
      <c r="A355" s="4107">
        <v>183</v>
      </c>
      <c r="B355" s="4126" t="s">
        <v>4148</v>
      </c>
      <c r="C355" s="378" t="s">
        <v>1100</v>
      </c>
      <c r="D355" s="3513">
        <v>50000000</v>
      </c>
      <c r="E355" s="3523">
        <v>0.05</v>
      </c>
      <c r="F355" s="3513">
        <f t="shared" si="27"/>
        <v>2500000</v>
      </c>
      <c r="G355" s="3513">
        <v>2500000</v>
      </c>
      <c r="H355" s="3513" t="s">
        <v>5948</v>
      </c>
      <c r="I355" s="3582" t="s">
        <v>5951</v>
      </c>
      <c r="J355" s="3483">
        <f t="shared" ref="J355:J363" si="35">G355</f>
        <v>2500000</v>
      </c>
      <c r="K355" s="3483">
        <f t="shared" ref="K355:K358" si="36">F355-J355</f>
        <v>0</v>
      </c>
      <c r="L355" s="2013" t="s">
        <v>5235</v>
      </c>
    </row>
    <row r="356" spans="1:12" ht="30" customHeight="1" x14ac:dyDescent="0.2">
      <c r="A356" s="3526">
        <v>184</v>
      </c>
      <c r="B356" s="3527" t="s">
        <v>45</v>
      </c>
      <c r="C356" s="3504" t="s">
        <v>989</v>
      </c>
      <c r="D356" s="3483">
        <v>20000000</v>
      </c>
      <c r="E356" s="3489">
        <v>0.05</v>
      </c>
      <c r="F356" s="3483">
        <f t="shared" si="27"/>
        <v>1000000</v>
      </c>
      <c r="G356" s="3483">
        <v>1000000</v>
      </c>
      <c r="H356" s="3483" t="s">
        <v>5849</v>
      </c>
      <c r="I356" s="3582" t="s">
        <v>4505</v>
      </c>
      <c r="J356" s="3483">
        <f t="shared" si="35"/>
        <v>1000000</v>
      </c>
      <c r="K356" s="3483">
        <f t="shared" si="36"/>
        <v>0</v>
      </c>
      <c r="L356" s="3947" t="s">
        <v>5693</v>
      </c>
    </row>
    <row r="357" spans="1:12" ht="30" customHeight="1" x14ac:dyDescent="0.2">
      <c r="A357" s="3526">
        <v>186</v>
      </c>
      <c r="B357" s="3527" t="s">
        <v>47</v>
      </c>
      <c r="C357" s="3504" t="s">
        <v>1107</v>
      </c>
      <c r="D357" s="3483">
        <v>8000000</v>
      </c>
      <c r="E357" s="3523">
        <v>0.04</v>
      </c>
      <c r="F357" s="3483">
        <f t="shared" si="27"/>
        <v>320000</v>
      </c>
      <c r="G357" s="3483">
        <v>320000</v>
      </c>
      <c r="H357" s="3483" t="s">
        <v>5849</v>
      </c>
      <c r="I357" s="3582" t="s">
        <v>5275</v>
      </c>
      <c r="J357" s="3483">
        <f t="shared" si="35"/>
        <v>320000</v>
      </c>
      <c r="K357" s="3483">
        <f t="shared" si="36"/>
        <v>0</v>
      </c>
      <c r="L357" s="3527"/>
    </row>
    <row r="358" spans="1:12" ht="30" customHeight="1" x14ac:dyDescent="0.2">
      <c r="A358" s="7654">
        <v>187</v>
      </c>
      <c r="B358" s="7652" t="s">
        <v>2470</v>
      </c>
      <c r="C358" s="7723" t="s">
        <v>1138</v>
      </c>
      <c r="D358" s="7563">
        <v>200000000</v>
      </c>
      <c r="E358" s="7659">
        <v>0.05</v>
      </c>
      <c r="F358" s="7563">
        <f t="shared" si="27"/>
        <v>10000000</v>
      </c>
      <c r="G358" s="3483"/>
      <c r="H358" s="3483"/>
      <c r="I358" s="3582" t="s">
        <v>3331</v>
      </c>
      <c r="J358" s="3483">
        <f t="shared" si="35"/>
        <v>0</v>
      </c>
      <c r="K358" s="3483">
        <f t="shared" si="36"/>
        <v>10000000</v>
      </c>
      <c r="L358" s="3561"/>
    </row>
    <row r="359" spans="1:12" ht="30" customHeight="1" x14ac:dyDescent="0.2">
      <c r="A359" s="7655"/>
      <c r="B359" s="7653"/>
      <c r="C359" s="7724"/>
      <c r="D359" s="7564"/>
      <c r="E359" s="7660"/>
      <c r="F359" s="7564"/>
      <c r="G359" s="3482"/>
      <c r="H359" s="3482"/>
      <c r="I359" s="3581" t="s">
        <v>3331</v>
      </c>
      <c r="J359" s="3482">
        <f t="shared" si="35"/>
        <v>0</v>
      </c>
      <c r="K359" s="3483">
        <f>F358-J359</f>
        <v>10000000</v>
      </c>
      <c r="L359" s="3561"/>
    </row>
    <row r="360" spans="1:12" ht="30" customHeight="1" x14ac:dyDescent="0.2">
      <c r="A360" s="7654">
        <v>188</v>
      </c>
      <c r="B360" s="7652" t="s">
        <v>49</v>
      </c>
      <c r="C360" s="7723" t="s">
        <v>1107</v>
      </c>
      <c r="D360" s="3483">
        <v>200000000</v>
      </c>
      <c r="E360" s="3489">
        <v>0.05</v>
      </c>
      <c r="F360" s="3483">
        <f t="shared" si="27"/>
        <v>10000000</v>
      </c>
      <c r="G360" s="7563">
        <v>25000000</v>
      </c>
      <c r="H360" s="7563" t="s">
        <v>2341</v>
      </c>
      <c r="I360" s="7561" t="s">
        <v>5921</v>
      </c>
      <c r="J360" s="7563">
        <f t="shared" si="35"/>
        <v>25000000</v>
      </c>
      <c r="K360" s="7563">
        <f>F361-J360</f>
        <v>0</v>
      </c>
      <c r="L360" s="1661" t="s">
        <v>5224</v>
      </c>
    </row>
    <row r="361" spans="1:12" ht="30" customHeight="1" x14ac:dyDescent="0.2">
      <c r="A361" s="7656"/>
      <c r="B361" s="7665"/>
      <c r="C361" s="7747"/>
      <c r="D361" s="8026">
        <v>500000000</v>
      </c>
      <c r="E361" s="8028">
        <v>0.05</v>
      </c>
      <c r="F361" s="8026">
        <f>D361*E361</f>
        <v>25000000</v>
      </c>
      <c r="G361" s="7586"/>
      <c r="H361" s="7586"/>
      <c r="I361" s="7672"/>
      <c r="J361" s="7586"/>
      <c r="K361" s="7586"/>
      <c r="L361" s="763" t="s">
        <v>5247</v>
      </c>
    </row>
    <row r="362" spans="1:12" ht="30" customHeight="1" x14ac:dyDescent="0.2">
      <c r="A362" s="7655"/>
      <c r="B362" s="7653"/>
      <c r="C362" s="7724"/>
      <c r="D362" s="8027"/>
      <c r="E362" s="8029"/>
      <c r="F362" s="8027"/>
      <c r="G362" s="7564"/>
      <c r="H362" s="7564"/>
      <c r="I362" s="7562"/>
      <c r="J362" s="7564"/>
      <c r="K362" s="7564"/>
      <c r="L362" s="522" t="s">
        <v>5248</v>
      </c>
    </row>
    <row r="363" spans="1:12" ht="30" customHeight="1" x14ac:dyDescent="0.2">
      <c r="A363" s="7654">
        <v>190</v>
      </c>
      <c r="B363" s="7652" t="s">
        <v>51</v>
      </c>
      <c r="C363" s="3504" t="s">
        <v>1100</v>
      </c>
      <c r="D363" s="3483">
        <v>80000000</v>
      </c>
      <c r="E363" s="3523">
        <v>0.05</v>
      </c>
      <c r="F363" s="3483">
        <f t="shared" si="27"/>
        <v>4000000</v>
      </c>
      <c r="G363" s="7563">
        <v>14000000</v>
      </c>
      <c r="H363" s="7563" t="s">
        <v>5990</v>
      </c>
      <c r="I363" s="7561" t="s">
        <v>2967</v>
      </c>
      <c r="J363" s="7563">
        <f t="shared" si="35"/>
        <v>14000000</v>
      </c>
      <c r="K363" s="7563">
        <f>(F363+F364)-J363</f>
        <v>0</v>
      </c>
      <c r="L363" s="7703"/>
    </row>
    <row r="364" spans="1:12" ht="30" customHeight="1" x14ac:dyDescent="0.2">
      <c r="A364" s="7656"/>
      <c r="B364" s="7665"/>
      <c r="C364" s="3504" t="s">
        <v>1100</v>
      </c>
      <c r="D364" s="3483">
        <v>200000000</v>
      </c>
      <c r="E364" s="3523">
        <v>0.05</v>
      </c>
      <c r="F364" s="3483">
        <f t="shared" si="27"/>
        <v>10000000</v>
      </c>
      <c r="G364" s="7564"/>
      <c r="H364" s="7564"/>
      <c r="I364" s="7562"/>
      <c r="J364" s="7564"/>
      <c r="K364" s="7564"/>
      <c r="L364" s="7705"/>
    </row>
    <row r="365" spans="1:12" ht="30" customHeight="1" x14ac:dyDescent="0.2">
      <c r="A365" s="7655"/>
      <c r="B365" s="7653"/>
      <c r="C365" s="3514" t="s">
        <v>262</v>
      </c>
      <c r="D365" s="3482">
        <v>220000000</v>
      </c>
      <c r="E365" s="3488">
        <v>0.05</v>
      </c>
      <c r="F365" s="3482">
        <f t="shared" si="27"/>
        <v>11000000</v>
      </c>
      <c r="G365" s="3483">
        <v>11000000</v>
      </c>
      <c r="H365" s="3483" t="s">
        <v>5367</v>
      </c>
      <c r="I365" s="3582" t="s">
        <v>2967</v>
      </c>
      <c r="J365" s="3482">
        <f>G365</f>
        <v>11000000</v>
      </c>
      <c r="K365" s="3482">
        <f>F365-J365</f>
        <v>0</v>
      </c>
      <c r="L365" s="3519"/>
    </row>
    <row r="366" spans="1:12" ht="30" customHeight="1" x14ac:dyDescent="0.2">
      <c r="A366" s="1028">
        <v>191</v>
      </c>
      <c r="B366" s="3527" t="s">
        <v>52</v>
      </c>
      <c r="C366" s="3529" t="s">
        <v>262</v>
      </c>
      <c r="D366" s="3513">
        <v>700000000</v>
      </c>
      <c r="E366" s="3523">
        <v>7.6999999999999999E-2</v>
      </c>
      <c r="F366" s="3513">
        <v>54000000</v>
      </c>
      <c r="G366" s="3513">
        <v>54000000</v>
      </c>
      <c r="H366" s="3513" t="s">
        <v>1879</v>
      </c>
      <c r="I366" s="3534" t="s">
        <v>678</v>
      </c>
      <c r="J366" s="3513">
        <f>G366</f>
        <v>54000000</v>
      </c>
      <c r="K366" s="3513">
        <f>F366-J366</f>
        <v>0</v>
      </c>
      <c r="L366" s="3535"/>
    </row>
    <row r="367" spans="1:12" ht="30" customHeight="1" x14ac:dyDescent="0.2">
      <c r="A367" s="7654">
        <v>192</v>
      </c>
      <c r="B367" s="7652" t="s">
        <v>53</v>
      </c>
      <c r="C367" s="7873" t="s">
        <v>1287</v>
      </c>
      <c r="D367" s="7482">
        <v>1400000000</v>
      </c>
      <c r="E367" s="7870">
        <v>7.0000000000000007E-2</v>
      </c>
      <c r="F367" s="7482">
        <f>D367*E367</f>
        <v>98000000.000000015</v>
      </c>
      <c r="G367" s="7563">
        <v>98000000</v>
      </c>
      <c r="H367" s="7563" t="s">
        <v>1013</v>
      </c>
      <c r="I367" s="7563" t="s">
        <v>861</v>
      </c>
      <c r="J367" s="7482">
        <f>G367+G368+G369</f>
        <v>167400000</v>
      </c>
      <c r="K367" s="7482">
        <f>F367-J367</f>
        <v>-69399999.999999985</v>
      </c>
      <c r="L367" s="3537"/>
    </row>
    <row r="368" spans="1:12" ht="30" customHeight="1" x14ac:dyDescent="0.2">
      <c r="A368" s="7656"/>
      <c r="B368" s="7665"/>
      <c r="C368" s="7873"/>
      <c r="D368" s="7482"/>
      <c r="E368" s="7870"/>
      <c r="F368" s="7482"/>
      <c r="G368" s="7564"/>
      <c r="H368" s="7564"/>
      <c r="I368" s="7564"/>
      <c r="J368" s="7482"/>
      <c r="K368" s="7482"/>
      <c r="L368" s="180"/>
    </row>
    <row r="369" spans="1:16" ht="30" customHeight="1" x14ac:dyDescent="0.2">
      <c r="A369" s="7656"/>
      <c r="B369" s="7665"/>
      <c r="C369" s="7962" t="s">
        <v>6671</v>
      </c>
      <c r="D369" s="7963"/>
      <c r="E369" s="7963"/>
      <c r="F369" s="7964"/>
      <c r="G369" s="4861">
        <v>69400000</v>
      </c>
      <c r="H369" s="4861" t="s">
        <v>5634</v>
      </c>
      <c r="I369" s="4861" t="s">
        <v>861</v>
      </c>
      <c r="J369" s="4862">
        <f>G369</f>
        <v>69400000</v>
      </c>
      <c r="K369" s="4862"/>
      <c r="L369" s="180"/>
    </row>
    <row r="370" spans="1:16" ht="30" customHeight="1" x14ac:dyDescent="0.2">
      <c r="A370" s="7655"/>
      <c r="B370" s="7653"/>
      <c r="C370" s="7968"/>
      <c r="D370" s="7969"/>
      <c r="E370" s="7969"/>
      <c r="F370" s="7970"/>
      <c r="G370" s="7732" t="s">
        <v>6672</v>
      </c>
      <c r="H370" s="7733"/>
      <c r="I370" s="7733"/>
      <c r="J370" s="7734"/>
      <c r="K370" s="3973"/>
      <c r="L370" s="180"/>
    </row>
    <row r="371" spans="1:16" ht="30" customHeight="1" x14ac:dyDescent="0.2">
      <c r="A371" s="7654">
        <v>193</v>
      </c>
      <c r="B371" s="7652" t="s">
        <v>54</v>
      </c>
      <c r="C371" s="7723" t="s">
        <v>1306</v>
      </c>
      <c r="D371" s="3483">
        <v>45000000</v>
      </c>
      <c r="E371" s="3489">
        <v>0.04</v>
      </c>
      <c r="F371" s="3483">
        <f t="shared" ref="F371:F484" si="37">D371*E371</f>
        <v>1800000</v>
      </c>
      <c r="G371" s="3973">
        <v>1800000</v>
      </c>
      <c r="H371" s="3973" t="s">
        <v>5839</v>
      </c>
      <c r="I371" s="3513" t="s">
        <v>4136</v>
      </c>
      <c r="J371" s="7563">
        <f>G371+G372</f>
        <v>3750000</v>
      </c>
      <c r="K371" s="7563">
        <f>F373-J371</f>
        <v>0</v>
      </c>
      <c r="L371" s="3527"/>
    </row>
    <row r="372" spans="1:16" ht="30" customHeight="1" x14ac:dyDescent="0.2">
      <c r="A372" s="7656"/>
      <c r="B372" s="7665"/>
      <c r="C372" s="7747"/>
      <c r="D372" s="3975">
        <v>30000000</v>
      </c>
      <c r="E372" s="3980"/>
      <c r="F372" s="3975"/>
      <c r="G372" s="7563">
        <v>1950000</v>
      </c>
      <c r="H372" s="7877" t="s">
        <v>5849</v>
      </c>
      <c r="I372" s="7482" t="s">
        <v>4136</v>
      </c>
      <c r="J372" s="7586"/>
      <c r="K372" s="7586"/>
      <c r="L372" s="4006" t="s">
        <v>5843</v>
      </c>
    </row>
    <row r="373" spans="1:16" ht="30" customHeight="1" x14ac:dyDescent="0.2">
      <c r="A373" s="7655"/>
      <c r="B373" s="7653"/>
      <c r="C373" s="7724"/>
      <c r="D373" s="3986">
        <f>D371+D372</f>
        <v>75000000</v>
      </c>
      <c r="E373" s="3987">
        <v>0.05</v>
      </c>
      <c r="F373" s="3986">
        <f>D373*E373</f>
        <v>3750000</v>
      </c>
      <c r="G373" s="7564"/>
      <c r="H373" s="7769"/>
      <c r="I373" s="7482"/>
      <c r="J373" s="7564"/>
      <c r="K373" s="7564"/>
      <c r="L373" s="3992"/>
    </row>
    <row r="374" spans="1:16" ht="30" customHeight="1" x14ac:dyDescent="0.2">
      <c r="A374" s="7654">
        <v>194</v>
      </c>
      <c r="B374" s="7652" t="s">
        <v>55</v>
      </c>
      <c r="C374" s="7723" t="s">
        <v>1287</v>
      </c>
      <c r="D374" s="3513">
        <v>130000000</v>
      </c>
      <c r="E374" s="1027">
        <v>0.05</v>
      </c>
      <c r="F374" s="3513">
        <f t="shared" si="37"/>
        <v>6500000</v>
      </c>
      <c r="G374" s="7563">
        <v>8000000</v>
      </c>
      <c r="H374" s="7561" t="s">
        <v>5849</v>
      </c>
      <c r="I374" s="7561" t="s">
        <v>3184</v>
      </c>
      <c r="J374" s="7563">
        <f>G374</f>
        <v>8000000</v>
      </c>
      <c r="K374" s="7563">
        <f>J374-J374</f>
        <v>0</v>
      </c>
      <c r="L374" s="3561" t="s">
        <v>4958</v>
      </c>
    </row>
    <row r="375" spans="1:16" ht="30" customHeight="1" x14ac:dyDescent="0.2">
      <c r="A375" s="7656"/>
      <c r="B375" s="7665"/>
      <c r="C375" s="7747"/>
      <c r="D375" s="3483">
        <v>6500000</v>
      </c>
      <c r="E375" s="3074">
        <v>0.05</v>
      </c>
      <c r="F375" s="3483">
        <f>D375*E375</f>
        <v>325000</v>
      </c>
      <c r="G375" s="7586"/>
      <c r="H375" s="7672"/>
      <c r="I375" s="7672"/>
      <c r="J375" s="7586"/>
      <c r="K375" s="7586"/>
      <c r="L375" s="3506"/>
    </row>
    <row r="376" spans="1:16" ht="30" customHeight="1" x14ac:dyDescent="0.2">
      <c r="A376" s="7656"/>
      <c r="B376" s="7665"/>
      <c r="C376" s="7747"/>
      <c r="D376" s="3483">
        <v>10000000</v>
      </c>
      <c r="E376" s="3074">
        <v>0.05</v>
      </c>
      <c r="F376" s="3483">
        <f>D376*E376</f>
        <v>500000</v>
      </c>
      <c r="G376" s="7586"/>
      <c r="H376" s="7672"/>
      <c r="I376" s="7672"/>
      <c r="J376" s="7586"/>
      <c r="K376" s="7586"/>
      <c r="L376" s="3506"/>
    </row>
    <row r="377" spans="1:16" ht="30" customHeight="1" x14ac:dyDescent="0.2">
      <c r="A377" s="7656"/>
      <c r="B377" s="7665"/>
      <c r="C377" s="7747"/>
      <c r="D377" s="3483">
        <v>13500000</v>
      </c>
      <c r="E377" s="3074">
        <v>0.05</v>
      </c>
      <c r="F377" s="3483">
        <f>D377*E377</f>
        <v>675000</v>
      </c>
      <c r="G377" s="7586"/>
      <c r="H377" s="7672"/>
      <c r="I377" s="7672"/>
      <c r="J377" s="7586"/>
      <c r="K377" s="7586"/>
      <c r="L377" s="3506"/>
    </row>
    <row r="378" spans="1:16" ht="30" customHeight="1" x14ac:dyDescent="0.2">
      <c r="A378" s="7655"/>
      <c r="B378" s="7653"/>
      <c r="C378" s="7724"/>
      <c r="D378" s="1542">
        <f>SUM(D374:D377)</f>
        <v>160000000</v>
      </c>
      <c r="E378" s="3075">
        <v>0.05</v>
      </c>
      <c r="F378" s="1542">
        <f>D378*E378</f>
        <v>8000000</v>
      </c>
      <c r="G378" s="7564"/>
      <c r="H378" s="7562"/>
      <c r="I378" s="7562"/>
      <c r="J378" s="7564"/>
      <c r="K378" s="7564"/>
      <c r="L378" s="3561"/>
    </row>
    <row r="379" spans="1:16" ht="30" customHeight="1" x14ac:dyDescent="0.2">
      <c r="A379" s="3526">
        <v>195</v>
      </c>
      <c r="B379" s="3491" t="s">
        <v>56</v>
      </c>
      <c r="C379" s="3504" t="s">
        <v>990</v>
      </c>
      <c r="D379" s="3483">
        <v>10000000</v>
      </c>
      <c r="E379" s="3489">
        <v>0.05</v>
      </c>
      <c r="F379" s="3483">
        <f t="shared" si="37"/>
        <v>500000</v>
      </c>
      <c r="G379" s="3483">
        <v>500000</v>
      </c>
      <c r="H379" s="3483" t="s">
        <v>5948</v>
      </c>
      <c r="I379" s="3582" t="s">
        <v>1121</v>
      </c>
      <c r="J379" s="3483">
        <f t="shared" ref="J379:J395" si="38">G379</f>
        <v>500000</v>
      </c>
      <c r="K379" s="3483">
        <f t="shared" ref="K379:K394" si="39">F379-J379</f>
        <v>0</v>
      </c>
      <c r="L379" s="3527"/>
    </row>
    <row r="380" spans="1:16" ht="30" customHeight="1" x14ac:dyDescent="0.2">
      <c r="A380" s="7654">
        <v>196</v>
      </c>
      <c r="B380" s="7652" t="s">
        <v>57</v>
      </c>
      <c r="C380" s="7723" t="s">
        <v>1107</v>
      </c>
      <c r="D380" s="3483">
        <v>20000000</v>
      </c>
      <c r="E380" s="3523">
        <v>0.04</v>
      </c>
      <c r="F380" s="3483">
        <f t="shared" si="37"/>
        <v>800000</v>
      </c>
      <c r="G380" s="7563">
        <v>2300000</v>
      </c>
      <c r="H380" s="7563" t="s">
        <v>2341</v>
      </c>
      <c r="I380" s="7561" t="s">
        <v>3761</v>
      </c>
      <c r="J380" s="7563">
        <f t="shared" si="38"/>
        <v>2300000</v>
      </c>
      <c r="K380" s="7563">
        <f>(F380+F381)-J380</f>
        <v>0</v>
      </c>
      <c r="L380" s="736" t="s">
        <v>5957</v>
      </c>
    </row>
    <row r="381" spans="1:16" ht="30" customHeight="1" x14ac:dyDescent="0.2">
      <c r="A381" s="7656"/>
      <c r="B381" s="7665"/>
      <c r="C381" s="7747"/>
      <c r="D381" s="3483">
        <v>30000000</v>
      </c>
      <c r="E381" s="3523">
        <v>0.05</v>
      </c>
      <c r="F381" s="3483">
        <f t="shared" si="37"/>
        <v>1500000</v>
      </c>
      <c r="G381" s="7564"/>
      <c r="H381" s="7564"/>
      <c r="I381" s="7562"/>
      <c r="J381" s="7564"/>
      <c r="K381" s="7564"/>
      <c r="L381" s="4255" t="s">
        <v>6101</v>
      </c>
    </row>
    <row r="382" spans="1:16" ht="30" customHeight="1" x14ac:dyDescent="0.2">
      <c r="A382" s="7656"/>
      <c r="B382" s="7665"/>
      <c r="C382" s="7747"/>
      <c r="D382" s="4103">
        <v>10000000</v>
      </c>
      <c r="E382" s="4123">
        <v>0.05</v>
      </c>
      <c r="F382" s="4103">
        <f t="shared" si="37"/>
        <v>500000</v>
      </c>
      <c r="G382" s="7470" t="s">
        <v>5955</v>
      </c>
      <c r="H382" s="7493"/>
      <c r="I382" s="7493"/>
      <c r="J382" s="7510"/>
      <c r="K382" s="4102"/>
      <c r="L382" s="4133" t="s">
        <v>5956</v>
      </c>
    </row>
    <row r="383" spans="1:16" ht="30" customHeight="1" x14ac:dyDescent="0.2">
      <c r="A383" s="7655"/>
      <c r="B383" s="7653"/>
      <c r="C383" s="7724"/>
      <c r="D383" s="4116">
        <v>60000000</v>
      </c>
      <c r="E383" s="4135">
        <v>0.05</v>
      </c>
      <c r="F383" s="4116">
        <f t="shared" si="37"/>
        <v>3000000</v>
      </c>
      <c r="G383" s="7732"/>
      <c r="H383" s="7733"/>
      <c r="I383" s="7733"/>
      <c r="J383" s="7734"/>
      <c r="K383" s="4102"/>
      <c r="L383" s="4255" t="s">
        <v>6102</v>
      </c>
    </row>
    <row r="384" spans="1:16" ht="30" customHeight="1" x14ac:dyDescent="0.2">
      <c r="A384" s="7654">
        <v>197</v>
      </c>
      <c r="B384" s="7717" t="s">
        <v>4151</v>
      </c>
      <c r="C384" s="7723" t="s">
        <v>1134</v>
      </c>
      <c r="D384" s="3513">
        <v>100000000</v>
      </c>
      <c r="E384" s="3523">
        <v>0.05</v>
      </c>
      <c r="F384" s="3513">
        <f t="shared" si="37"/>
        <v>5000000</v>
      </c>
      <c r="G384" s="7563">
        <v>12000000</v>
      </c>
      <c r="H384" s="7563" t="s">
        <v>5839</v>
      </c>
      <c r="I384" s="7563" t="s">
        <v>4152</v>
      </c>
      <c r="J384" s="7563">
        <f t="shared" si="38"/>
        <v>12000000</v>
      </c>
      <c r="K384" s="7563">
        <f>(F384+F385)-J384</f>
        <v>0</v>
      </c>
      <c r="L384" s="736"/>
      <c r="M384" s="366"/>
      <c r="N384" s="366"/>
      <c r="O384" s="366"/>
      <c r="P384" s="366"/>
    </row>
    <row r="385" spans="1:16" ht="30" customHeight="1" x14ac:dyDescent="0.2">
      <c r="A385" s="7655"/>
      <c r="B385" s="7717"/>
      <c r="C385" s="7724"/>
      <c r="D385" s="3483">
        <v>100000000</v>
      </c>
      <c r="E385" s="3489">
        <v>7.0000000000000007E-2</v>
      </c>
      <c r="F385" s="3483">
        <f t="shared" si="37"/>
        <v>7000000.0000000009</v>
      </c>
      <c r="G385" s="7564"/>
      <c r="H385" s="7564"/>
      <c r="I385" s="7564"/>
      <c r="J385" s="7564"/>
      <c r="K385" s="7564"/>
      <c r="L385" s="637" t="s">
        <v>5161</v>
      </c>
      <c r="M385" s="366"/>
      <c r="N385" s="366"/>
      <c r="O385" s="366"/>
      <c r="P385" s="366"/>
    </row>
    <row r="386" spans="1:16" ht="30" customHeight="1" x14ac:dyDescent="0.2">
      <c r="A386" s="7654">
        <v>198</v>
      </c>
      <c r="B386" s="7665" t="s">
        <v>59</v>
      </c>
      <c r="C386" s="3529" t="s">
        <v>1100</v>
      </c>
      <c r="D386" s="3483">
        <v>30000000</v>
      </c>
      <c r="E386" s="3489">
        <v>8.5000000000000006E-2</v>
      </c>
      <c r="F386" s="3483">
        <v>2500000</v>
      </c>
      <c r="G386" s="233">
        <v>2500000</v>
      </c>
      <c r="H386" s="3483" t="s">
        <v>6023</v>
      </c>
      <c r="I386" s="3483" t="s">
        <v>4137</v>
      </c>
      <c r="J386" s="3483">
        <f t="shared" si="38"/>
        <v>2500000</v>
      </c>
      <c r="K386" s="3483">
        <f t="shared" si="39"/>
        <v>0</v>
      </c>
      <c r="L386" s="7713" t="s">
        <v>4607</v>
      </c>
      <c r="M386" s="366"/>
      <c r="N386" s="366"/>
      <c r="O386" s="366"/>
      <c r="P386" s="366"/>
    </row>
    <row r="387" spans="1:16" ht="30" customHeight="1" x14ac:dyDescent="0.2">
      <c r="A387" s="7655"/>
      <c r="B387" s="7653"/>
      <c r="C387" s="3529" t="s">
        <v>1718</v>
      </c>
      <c r="D387" s="3483">
        <v>100000000</v>
      </c>
      <c r="E387" s="3523">
        <v>7.0000000000000007E-2</v>
      </c>
      <c r="F387" s="3483">
        <f>D387*E387</f>
        <v>7000000.0000000009</v>
      </c>
      <c r="G387" s="3779">
        <v>7000000</v>
      </c>
      <c r="H387" s="3483" t="s">
        <v>3977</v>
      </c>
      <c r="I387" s="3483" t="s">
        <v>4137</v>
      </c>
      <c r="J387" s="3483">
        <f>G387</f>
        <v>7000000</v>
      </c>
      <c r="K387" s="3483">
        <f>F387-J387</f>
        <v>0</v>
      </c>
      <c r="L387" s="7714"/>
      <c r="M387" s="366"/>
      <c r="N387" s="366"/>
      <c r="O387" s="366"/>
      <c r="P387" s="366"/>
    </row>
    <row r="388" spans="1:16" ht="30" customHeight="1" x14ac:dyDescent="0.2">
      <c r="A388" s="3526">
        <v>199</v>
      </c>
      <c r="B388" s="3527" t="s">
        <v>60</v>
      </c>
      <c r="C388" s="3504" t="s">
        <v>1100</v>
      </c>
      <c r="D388" s="3483">
        <v>50000000</v>
      </c>
      <c r="E388" s="3523">
        <v>0.05</v>
      </c>
      <c r="F388" s="3483">
        <f t="shared" si="37"/>
        <v>2500000</v>
      </c>
      <c r="G388" s="3483">
        <v>2500000</v>
      </c>
      <c r="H388" s="3483" t="s">
        <v>5990</v>
      </c>
      <c r="I388" s="3513" t="s">
        <v>4776</v>
      </c>
      <c r="J388" s="3483">
        <f t="shared" si="38"/>
        <v>2500000</v>
      </c>
      <c r="K388" s="3483">
        <f t="shared" si="39"/>
        <v>0</v>
      </c>
      <c r="L388" s="3527"/>
      <c r="M388" s="366"/>
      <c r="N388" s="366"/>
      <c r="O388" s="366"/>
      <c r="P388" s="366"/>
    </row>
    <row r="389" spans="1:16" ht="30" customHeight="1" x14ac:dyDescent="0.2">
      <c r="A389" s="7654">
        <v>200</v>
      </c>
      <c r="B389" s="7652" t="s">
        <v>61</v>
      </c>
      <c r="C389" s="7723" t="s">
        <v>1081</v>
      </c>
      <c r="D389" s="7563">
        <v>350000000</v>
      </c>
      <c r="E389" s="7659">
        <v>7.0000000000000007E-2</v>
      </c>
      <c r="F389" s="7563">
        <f t="shared" si="37"/>
        <v>24500000.000000004</v>
      </c>
      <c r="G389" s="3483">
        <v>24500000</v>
      </c>
      <c r="H389" s="3483" t="s">
        <v>5340</v>
      </c>
      <c r="I389" s="3582" t="s">
        <v>1574</v>
      </c>
      <c r="J389" s="3483">
        <f>G389</f>
        <v>24500000</v>
      </c>
      <c r="K389" s="3483">
        <f t="shared" si="39"/>
        <v>0</v>
      </c>
      <c r="L389" s="2013" t="s">
        <v>4905</v>
      </c>
      <c r="M389" s="366"/>
      <c r="N389" s="366"/>
      <c r="O389" s="366"/>
      <c r="P389" s="366"/>
    </row>
    <row r="390" spans="1:16" ht="30" customHeight="1" x14ac:dyDescent="0.2">
      <c r="A390" s="7655"/>
      <c r="B390" s="7653"/>
      <c r="C390" s="7724"/>
      <c r="D390" s="7564"/>
      <c r="E390" s="7660"/>
      <c r="F390" s="7564"/>
      <c r="G390" s="4137">
        <v>24500000</v>
      </c>
      <c r="H390" s="4137" t="s">
        <v>5990</v>
      </c>
      <c r="I390" s="4155" t="s">
        <v>1574</v>
      </c>
      <c r="J390" s="4137">
        <f>G390</f>
        <v>24500000</v>
      </c>
      <c r="K390" s="4137">
        <f>F389-J390</f>
        <v>0</v>
      </c>
      <c r="L390" s="2013" t="s">
        <v>4906</v>
      </c>
      <c r="M390" s="366"/>
      <c r="N390" s="366"/>
      <c r="O390" s="366"/>
      <c r="P390" s="366"/>
    </row>
    <row r="391" spans="1:16" ht="30" customHeight="1" x14ac:dyDescent="0.2">
      <c r="A391" s="3526">
        <v>201</v>
      </c>
      <c r="B391" s="3527" t="s">
        <v>62</v>
      </c>
      <c r="C391" s="3504"/>
      <c r="D391" s="3483">
        <v>60000000</v>
      </c>
      <c r="E391" s="3523">
        <v>7.0000000000000007E-2</v>
      </c>
      <c r="F391" s="3483">
        <v>4500000</v>
      </c>
      <c r="G391" s="3483">
        <v>4500000</v>
      </c>
      <c r="H391" s="3483" t="s">
        <v>5990</v>
      </c>
      <c r="I391" s="3552" t="s">
        <v>3900</v>
      </c>
      <c r="J391" s="3483">
        <f t="shared" si="38"/>
        <v>4500000</v>
      </c>
      <c r="K391" s="3483">
        <f t="shared" si="39"/>
        <v>0</v>
      </c>
      <c r="L391" s="3527"/>
      <c r="M391" s="366"/>
      <c r="N391" s="366"/>
      <c r="O391" s="366"/>
      <c r="P391" s="366"/>
    </row>
    <row r="392" spans="1:16" ht="30" customHeight="1" x14ac:dyDescent="0.2">
      <c r="A392" s="3316">
        <v>202</v>
      </c>
      <c r="B392" s="4159" t="s">
        <v>63</v>
      </c>
      <c r="C392" s="4160" t="s">
        <v>1081</v>
      </c>
      <c r="D392" s="3513">
        <v>100000000</v>
      </c>
      <c r="E392" s="3523">
        <v>0.05</v>
      </c>
      <c r="F392" s="3513">
        <f t="shared" si="37"/>
        <v>5000000</v>
      </c>
      <c r="G392" s="3513">
        <v>5000000</v>
      </c>
      <c r="H392" s="3483" t="s">
        <v>5995</v>
      </c>
      <c r="I392" s="3582" t="s">
        <v>3889</v>
      </c>
      <c r="J392" s="3483">
        <f t="shared" si="38"/>
        <v>5000000</v>
      </c>
      <c r="K392" s="3483">
        <f t="shared" si="39"/>
        <v>0</v>
      </c>
      <c r="L392" s="4161" t="s">
        <v>5478</v>
      </c>
      <c r="M392" s="366"/>
      <c r="N392" s="366"/>
      <c r="O392" s="366"/>
      <c r="P392" s="366"/>
    </row>
    <row r="393" spans="1:16" ht="30" customHeight="1" x14ac:dyDescent="0.2">
      <c r="A393" s="3526">
        <v>203</v>
      </c>
      <c r="B393" s="3491" t="s">
        <v>1244</v>
      </c>
      <c r="C393" s="3504" t="s">
        <v>1081</v>
      </c>
      <c r="D393" s="3483">
        <v>60000000</v>
      </c>
      <c r="E393" s="3489">
        <v>0.05</v>
      </c>
      <c r="F393" s="3483">
        <f t="shared" si="37"/>
        <v>3000000</v>
      </c>
      <c r="G393" s="3483">
        <v>3000000</v>
      </c>
      <c r="H393" s="3483" t="s">
        <v>5995</v>
      </c>
      <c r="I393" s="3582" t="s">
        <v>1154</v>
      </c>
      <c r="J393" s="3483">
        <f t="shared" si="38"/>
        <v>3000000</v>
      </c>
      <c r="K393" s="3483">
        <f t="shared" si="39"/>
        <v>0</v>
      </c>
      <c r="L393" s="3527"/>
    </row>
    <row r="394" spans="1:16" ht="30" customHeight="1" x14ac:dyDescent="0.2">
      <c r="A394" s="3526">
        <v>205</v>
      </c>
      <c r="B394" s="3527" t="s">
        <v>65</v>
      </c>
      <c r="C394" s="3504" t="s">
        <v>3245</v>
      </c>
      <c r="D394" s="3483">
        <v>15000000</v>
      </c>
      <c r="E394" s="3523">
        <v>0.04</v>
      </c>
      <c r="F394" s="3483">
        <f t="shared" si="37"/>
        <v>600000</v>
      </c>
      <c r="G394" s="3483">
        <v>600000</v>
      </c>
      <c r="H394" s="3483" t="s">
        <v>5948</v>
      </c>
      <c r="I394" s="3582" t="s">
        <v>3244</v>
      </c>
      <c r="J394" s="3483">
        <f t="shared" si="38"/>
        <v>600000</v>
      </c>
      <c r="K394" s="3483">
        <f t="shared" si="39"/>
        <v>0</v>
      </c>
      <c r="L394" s="3527"/>
    </row>
    <row r="395" spans="1:16" ht="30" customHeight="1" x14ac:dyDescent="0.2">
      <c r="A395" s="7661">
        <v>207</v>
      </c>
      <c r="B395" s="7652" t="s">
        <v>2676</v>
      </c>
      <c r="C395" s="7723" t="s">
        <v>681</v>
      </c>
      <c r="D395" s="3483">
        <v>45000000</v>
      </c>
      <c r="E395" s="3523">
        <v>0.04</v>
      </c>
      <c r="F395" s="3483">
        <f t="shared" si="37"/>
        <v>1800000</v>
      </c>
      <c r="G395" s="7563">
        <v>6000000</v>
      </c>
      <c r="H395" s="7563" t="s">
        <v>5839</v>
      </c>
      <c r="I395" s="7561" t="s">
        <v>3739</v>
      </c>
      <c r="J395" s="7563">
        <f t="shared" si="38"/>
        <v>6000000</v>
      </c>
      <c r="K395" s="7563">
        <f>F398-J395</f>
        <v>0</v>
      </c>
      <c r="L395" s="7713"/>
    </row>
    <row r="396" spans="1:16" ht="30" customHeight="1" x14ac:dyDescent="0.2">
      <c r="A396" s="7662"/>
      <c r="B396" s="7665"/>
      <c r="C396" s="7747"/>
      <c r="D396" s="3483">
        <v>50000000</v>
      </c>
      <c r="E396" s="3523">
        <v>0.04</v>
      </c>
      <c r="F396" s="3483">
        <f t="shared" si="37"/>
        <v>2000000</v>
      </c>
      <c r="G396" s="7586"/>
      <c r="H396" s="7586"/>
      <c r="I396" s="7672"/>
      <c r="J396" s="7586"/>
      <c r="K396" s="7586"/>
      <c r="L396" s="7714"/>
    </row>
    <row r="397" spans="1:16" ht="30" customHeight="1" x14ac:dyDescent="0.2">
      <c r="A397" s="7662"/>
      <c r="B397" s="7665"/>
      <c r="C397" s="7747"/>
      <c r="D397" s="3483">
        <v>55000000</v>
      </c>
      <c r="E397" s="3523">
        <v>0.04</v>
      </c>
      <c r="F397" s="3483">
        <f t="shared" si="37"/>
        <v>2200000</v>
      </c>
      <c r="G397" s="7586"/>
      <c r="H397" s="7586"/>
      <c r="I397" s="7672"/>
      <c r="J397" s="7586"/>
      <c r="K397" s="7586"/>
      <c r="L397" s="3494" t="s">
        <v>5239</v>
      </c>
    </row>
    <row r="398" spans="1:16" ht="30" customHeight="1" x14ac:dyDescent="0.2">
      <c r="A398" s="7663"/>
      <c r="B398" s="7653"/>
      <c r="C398" s="7724"/>
      <c r="D398" s="3570">
        <v>150000000</v>
      </c>
      <c r="E398" s="896">
        <v>0.04</v>
      </c>
      <c r="F398" s="3570">
        <f>D398*E398</f>
        <v>6000000</v>
      </c>
      <c r="G398" s="7564"/>
      <c r="H398" s="7564"/>
      <c r="I398" s="7562"/>
      <c r="J398" s="7564"/>
      <c r="K398" s="7564"/>
      <c r="L398" s="3494"/>
    </row>
    <row r="399" spans="1:16" ht="30" customHeight="1" x14ac:dyDescent="0.2">
      <c r="A399" s="3486">
        <v>208</v>
      </c>
      <c r="B399" s="19" t="s">
        <v>69</v>
      </c>
      <c r="C399" s="378" t="s">
        <v>1100</v>
      </c>
      <c r="D399" s="3513">
        <v>15000000</v>
      </c>
      <c r="E399" s="3523">
        <v>0.04</v>
      </c>
      <c r="F399" s="3513">
        <f t="shared" si="37"/>
        <v>600000</v>
      </c>
      <c r="G399" s="3513">
        <v>600000</v>
      </c>
      <c r="H399" s="3513" t="s">
        <v>5990</v>
      </c>
      <c r="I399" s="3534" t="s">
        <v>1099</v>
      </c>
      <c r="J399" s="3513">
        <f t="shared" ref="J399:J414" si="40">G399</f>
        <v>600000</v>
      </c>
      <c r="K399" s="3513">
        <f t="shared" ref="K399:K417" si="41">F399-J399</f>
        <v>0</v>
      </c>
      <c r="L399" s="2013"/>
    </row>
    <row r="400" spans="1:16" ht="30" customHeight="1" x14ac:dyDescent="0.2">
      <c r="A400" s="3526">
        <v>210</v>
      </c>
      <c r="B400" s="3527" t="s">
        <v>72</v>
      </c>
      <c r="C400" s="7723" t="s">
        <v>392</v>
      </c>
      <c r="D400" s="3483">
        <v>50000000</v>
      </c>
      <c r="E400" s="3523">
        <v>7.0000000000000007E-2</v>
      </c>
      <c r="F400" s="3483">
        <f t="shared" si="37"/>
        <v>3500000.0000000005</v>
      </c>
      <c r="G400" s="7563">
        <v>7000000</v>
      </c>
      <c r="H400" s="7563" t="s">
        <v>5434</v>
      </c>
      <c r="I400" s="7561" t="s">
        <v>4892</v>
      </c>
      <c r="J400" s="7563">
        <f t="shared" si="40"/>
        <v>7000000</v>
      </c>
      <c r="K400" s="7563">
        <f>(F400+F401)-J400</f>
        <v>0</v>
      </c>
      <c r="L400" s="3527"/>
    </row>
    <row r="401" spans="1:12" ht="30" customHeight="1" x14ac:dyDescent="0.2">
      <c r="A401" s="3526"/>
      <c r="B401" s="3527" t="s">
        <v>4821</v>
      </c>
      <c r="C401" s="7724"/>
      <c r="D401" s="3483">
        <v>50000000</v>
      </c>
      <c r="E401" s="3523">
        <v>7.0000000000000007E-2</v>
      </c>
      <c r="F401" s="3483">
        <f t="shared" si="37"/>
        <v>3500000.0000000005</v>
      </c>
      <c r="G401" s="7564"/>
      <c r="H401" s="7564"/>
      <c r="I401" s="7562"/>
      <c r="J401" s="7564"/>
      <c r="K401" s="7564"/>
      <c r="L401" s="3527"/>
    </row>
    <row r="402" spans="1:12" ht="30" customHeight="1" x14ac:dyDescent="0.2">
      <c r="A402" s="7654">
        <v>211</v>
      </c>
      <c r="B402" s="7652" t="s">
        <v>73</v>
      </c>
      <c r="C402" s="7723" t="s">
        <v>1295</v>
      </c>
      <c r="D402" s="3483">
        <v>100000000</v>
      </c>
      <c r="E402" s="3523">
        <v>0.05</v>
      </c>
      <c r="F402" s="3483">
        <f t="shared" si="37"/>
        <v>5000000</v>
      </c>
      <c r="G402" s="3483">
        <v>5000000</v>
      </c>
      <c r="H402" s="3483" t="s">
        <v>5358</v>
      </c>
      <c r="I402" s="3582" t="s">
        <v>4001</v>
      </c>
      <c r="J402" s="3483">
        <f t="shared" si="40"/>
        <v>5000000</v>
      </c>
      <c r="K402" s="3483">
        <f t="shared" si="41"/>
        <v>0</v>
      </c>
      <c r="L402" s="4213" t="s">
        <v>6012</v>
      </c>
    </row>
    <row r="403" spans="1:12" ht="30" customHeight="1" x14ac:dyDescent="0.2">
      <c r="A403" s="7655"/>
      <c r="B403" s="7653"/>
      <c r="C403" s="7724"/>
      <c r="D403" s="4188">
        <v>100000000</v>
      </c>
      <c r="E403" s="4206"/>
      <c r="F403" s="4188"/>
      <c r="G403" s="7732" t="s">
        <v>6010</v>
      </c>
      <c r="H403" s="7733"/>
      <c r="I403" s="7733"/>
      <c r="J403" s="7734"/>
      <c r="K403" s="4187"/>
      <c r="L403" s="4213" t="s">
        <v>6011</v>
      </c>
    </row>
    <row r="404" spans="1:12" ht="30" customHeight="1" x14ac:dyDescent="0.2">
      <c r="A404" s="7654">
        <v>212</v>
      </c>
      <c r="B404" s="7652" t="s">
        <v>74</v>
      </c>
      <c r="C404" s="7723" t="s">
        <v>889</v>
      </c>
      <c r="D404" s="3483">
        <v>30000000</v>
      </c>
      <c r="E404" s="3523">
        <v>0.05</v>
      </c>
      <c r="F404" s="3483">
        <f t="shared" si="37"/>
        <v>1500000</v>
      </c>
      <c r="G404" s="7563">
        <v>2000000</v>
      </c>
      <c r="H404" s="7563" t="s">
        <v>5340</v>
      </c>
      <c r="I404" s="7561" t="s">
        <v>1275</v>
      </c>
      <c r="J404" s="7563">
        <f t="shared" si="40"/>
        <v>2000000</v>
      </c>
      <c r="K404" s="7563">
        <f>(F404+F405)-J404</f>
        <v>0</v>
      </c>
      <c r="L404" s="3527"/>
    </row>
    <row r="405" spans="1:12" ht="30" customHeight="1" x14ac:dyDescent="0.2">
      <c r="A405" s="7655"/>
      <c r="B405" s="7653"/>
      <c r="C405" s="7724"/>
      <c r="D405" s="3483">
        <v>10000000</v>
      </c>
      <c r="E405" s="3523">
        <v>0.05</v>
      </c>
      <c r="F405" s="3483">
        <f t="shared" si="37"/>
        <v>500000</v>
      </c>
      <c r="G405" s="7564"/>
      <c r="H405" s="7564"/>
      <c r="I405" s="7562"/>
      <c r="J405" s="7564"/>
      <c r="K405" s="7564"/>
      <c r="L405" s="3527"/>
    </row>
    <row r="406" spans="1:12" ht="30" customHeight="1" x14ac:dyDescent="0.2">
      <c r="A406" s="3526">
        <v>213</v>
      </c>
      <c r="B406" s="3527" t="s">
        <v>5115</v>
      </c>
      <c r="C406" s="3504" t="s">
        <v>889</v>
      </c>
      <c r="D406" s="3483">
        <v>15000000</v>
      </c>
      <c r="E406" s="3523">
        <v>4.7E-2</v>
      </c>
      <c r="F406" s="3483">
        <v>700000</v>
      </c>
      <c r="G406" s="3483">
        <v>700000</v>
      </c>
      <c r="H406" s="3483" t="s">
        <v>1527</v>
      </c>
      <c r="I406" s="3582" t="s">
        <v>325</v>
      </c>
      <c r="J406" s="3483">
        <f t="shared" si="40"/>
        <v>700000</v>
      </c>
      <c r="K406" s="3483">
        <f t="shared" si="41"/>
        <v>0</v>
      </c>
      <c r="L406" s="3527"/>
    </row>
    <row r="407" spans="1:12" ht="30" customHeight="1" x14ac:dyDescent="0.2">
      <c r="A407" s="3526">
        <v>214</v>
      </c>
      <c r="B407" s="3527" t="s">
        <v>937</v>
      </c>
      <c r="C407" s="3504"/>
      <c r="D407" s="3483">
        <v>200000000</v>
      </c>
      <c r="E407" s="3523">
        <v>5.5E-2</v>
      </c>
      <c r="F407" s="3483">
        <f t="shared" si="37"/>
        <v>11000000</v>
      </c>
      <c r="G407" s="3483">
        <v>11000000</v>
      </c>
      <c r="H407" s="3483" t="s">
        <v>5347</v>
      </c>
      <c r="I407" s="3582" t="s">
        <v>5498</v>
      </c>
      <c r="J407" s="3483">
        <f t="shared" si="40"/>
        <v>11000000</v>
      </c>
      <c r="K407" s="3483">
        <f t="shared" si="41"/>
        <v>0</v>
      </c>
      <c r="L407" s="3527"/>
    </row>
    <row r="408" spans="1:12" ht="30" customHeight="1" x14ac:dyDescent="0.2">
      <c r="A408" s="7654">
        <v>216</v>
      </c>
      <c r="B408" s="7652" t="s">
        <v>77</v>
      </c>
      <c r="C408" s="7723" t="s">
        <v>889</v>
      </c>
      <c r="D408" s="3483">
        <v>400000000</v>
      </c>
      <c r="E408" s="3523">
        <v>0.05</v>
      </c>
      <c r="F408" s="3483">
        <f t="shared" si="37"/>
        <v>20000000</v>
      </c>
      <c r="G408" s="8099" t="s">
        <v>5636</v>
      </c>
      <c r="H408" s="8100"/>
      <c r="I408" s="8100"/>
      <c r="J408" s="8101"/>
      <c r="K408" s="3483">
        <f t="shared" si="41"/>
        <v>20000000</v>
      </c>
      <c r="L408" s="3527"/>
    </row>
    <row r="409" spans="1:12" ht="30" customHeight="1" x14ac:dyDescent="0.2">
      <c r="A409" s="7656"/>
      <c r="B409" s="7665"/>
      <c r="C409" s="7747"/>
      <c r="D409" s="3483">
        <v>20000000</v>
      </c>
      <c r="E409" s="3523">
        <v>0.05</v>
      </c>
      <c r="F409" s="3483">
        <f t="shared" si="37"/>
        <v>1000000</v>
      </c>
      <c r="G409" s="7732" t="s">
        <v>5003</v>
      </c>
      <c r="H409" s="7733"/>
      <c r="I409" s="7733"/>
      <c r="J409" s="7734"/>
      <c r="K409" s="3483">
        <f t="shared" si="41"/>
        <v>1000000</v>
      </c>
      <c r="L409" s="3490"/>
    </row>
    <row r="410" spans="1:12" ht="30" customHeight="1" x14ac:dyDescent="0.2">
      <c r="A410" s="7656"/>
      <c r="B410" s="7665"/>
      <c r="C410" s="7747"/>
      <c r="D410" s="4064">
        <v>40000000</v>
      </c>
      <c r="E410" s="4073">
        <v>0.05</v>
      </c>
      <c r="F410" s="4064">
        <f t="shared" si="37"/>
        <v>2000000</v>
      </c>
      <c r="G410" s="7732" t="s">
        <v>5902</v>
      </c>
      <c r="H410" s="7733"/>
      <c r="I410" s="7733"/>
      <c r="J410" s="7734"/>
      <c r="K410" s="4064">
        <f t="shared" si="41"/>
        <v>2000000</v>
      </c>
      <c r="L410" s="4067"/>
    </row>
    <row r="411" spans="1:12" ht="30" customHeight="1" x14ac:dyDescent="0.2">
      <c r="A411" s="7655"/>
      <c r="B411" s="7653"/>
      <c r="C411" s="7724"/>
      <c r="D411" s="4064">
        <f>SUM(D408:D410)</f>
        <v>460000000</v>
      </c>
      <c r="E411" s="4073">
        <v>0.05</v>
      </c>
      <c r="F411" s="4064">
        <f>D411*E411</f>
        <v>23000000</v>
      </c>
      <c r="G411" s="7732" t="s">
        <v>5865</v>
      </c>
      <c r="H411" s="7733"/>
      <c r="I411" s="7733"/>
      <c r="J411" s="7734"/>
      <c r="K411" s="4064">
        <f t="shared" si="41"/>
        <v>23000000</v>
      </c>
      <c r="L411" s="4067"/>
    </row>
    <row r="412" spans="1:12" ht="30" customHeight="1" x14ac:dyDescent="0.2">
      <c r="A412" s="3486">
        <v>217</v>
      </c>
      <c r="B412" s="3527" t="s">
        <v>79</v>
      </c>
      <c r="C412" s="3529"/>
      <c r="D412" s="3513">
        <v>160000000</v>
      </c>
      <c r="E412" s="3523">
        <v>0.05</v>
      </c>
      <c r="F412" s="3513">
        <f t="shared" si="37"/>
        <v>8000000</v>
      </c>
      <c r="G412" s="3513"/>
      <c r="H412" s="3513"/>
      <c r="I412" s="3552"/>
      <c r="J412" s="3513">
        <f t="shared" si="40"/>
        <v>0</v>
      </c>
      <c r="K412" s="3513">
        <f t="shared" si="41"/>
        <v>8000000</v>
      </c>
      <c r="L412" s="3493"/>
    </row>
    <row r="413" spans="1:12" ht="30" customHeight="1" x14ac:dyDescent="0.2">
      <c r="A413" s="7654">
        <v>218</v>
      </c>
      <c r="B413" s="7710" t="s">
        <v>80</v>
      </c>
      <c r="C413" s="7813"/>
      <c r="D413" s="7677">
        <v>45000000</v>
      </c>
      <c r="E413" s="7691">
        <v>0.04</v>
      </c>
      <c r="F413" s="7677">
        <f t="shared" si="37"/>
        <v>1800000</v>
      </c>
      <c r="G413" s="3501"/>
      <c r="H413" s="3501"/>
      <c r="I413" s="3026" t="s">
        <v>1695</v>
      </c>
      <c r="J413" s="3501">
        <f t="shared" si="40"/>
        <v>0</v>
      </c>
      <c r="K413" s="3501">
        <f t="shared" si="41"/>
        <v>1800000</v>
      </c>
      <c r="L413" s="3527"/>
    </row>
    <row r="414" spans="1:12" ht="30" customHeight="1" x14ac:dyDescent="0.2">
      <c r="A414" s="7655"/>
      <c r="B414" s="7712"/>
      <c r="C414" s="7815"/>
      <c r="D414" s="7678"/>
      <c r="E414" s="7693"/>
      <c r="F414" s="7678"/>
      <c r="G414" s="3501"/>
      <c r="H414" s="3501"/>
      <c r="I414" s="3026" t="s">
        <v>3561</v>
      </c>
      <c r="J414" s="3501">
        <f t="shared" si="40"/>
        <v>0</v>
      </c>
      <c r="K414" s="3501"/>
      <c r="L414" s="2013"/>
    </row>
    <row r="415" spans="1:12" ht="30" customHeight="1" x14ac:dyDescent="0.2">
      <c r="A415" s="3526">
        <v>219</v>
      </c>
      <c r="B415" s="3527" t="s">
        <v>1791</v>
      </c>
      <c r="C415" s="3504"/>
      <c r="D415" s="3501"/>
      <c r="E415" s="2519"/>
      <c r="F415" s="3501">
        <f t="shared" si="37"/>
        <v>0</v>
      </c>
      <c r="G415" s="3483"/>
      <c r="H415" s="3483"/>
      <c r="I415" s="3582"/>
      <c r="J415" s="3483"/>
      <c r="K415" s="3501">
        <f t="shared" si="41"/>
        <v>0</v>
      </c>
      <c r="L415" s="3527"/>
    </row>
    <row r="416" spans="1:12" ht="30" customHeight="1" x14ac:dyDescent="0.2">
      <c r="A416" s="3526">
        <v>220</v>
      </c>
      <c r="B416" s="3530" t="s">
        <v>81</v>
      </c>
      <c r="C416" s="3503" t="s">
        <v>889</v>
      </c>
      <c r="D416" s="3481">
        <v>203000000</v>
      </c>
      <c r="E416" s="3488">
        <v>0.05</v>
      </c>
      <c r="F416" s="3481">
        <f t="shared" si="37"/>
        <v>10150000</v>
      </c>
      <c r="G416" s="3483">
        <v>10150000</v>
      </c>
      <c r="H416" s="3483" t="s">
        <v>5398</v>
      </c>
      <c r="I416" s="3582" t="s">
        <v>3409</v>
      </c>
      <c r="J416" s="3481">
        <f>G416</f>
        <v>10150000</v>
      </c>
      <c r="K416" s="3481">
        <f t="shared" si="41"/>
        <v>0</v>
      </c>
      <c r="L416" s="3527"/>
    </row>
    <row r="417" spans="1:12" ht="30" customHeight="1" x14ac:dyDescent="0.2">
      <c r="A417" s="3526">
        <v>221</v>
      </c>
      <c r="B417" s="3530" t="s">
        <v>326</v>
      </c>
      <c r="C417" s="3503" t="s">
        <v>1652</v>
      </c>
      <c r="D417" s="3481">
        <v>275000000</v>
      </c>
      <c r="E417" s="3488">
        <v>4.2000000000000003E-2</v>
      </c>
      <c r="F417" s="3481">
        <f>D417*E417</f>
        <v>11550000</v>
      </c>
      <c r="G417" s="3482">
        <v>11550000</v>
      </c>
      <c r="H417" s="3482" t="s">
        <v>1649</v>
      </c>
      <c r="I417" s="3581" t="s">
        <v>1654</v>
      </c>
      <c r="J417" s="3481">
        <f>G417</f>
        <v>11550000</v>
      </c>
      <c r="K417" s="3481">
        <f t="shared" si="41"/>
        <v>0</v>
      </c>
      <c r="L417" s="3506"/>
    </row>
    <row r="418" spans="1:12" ht="30" customHeight="1" x14ac:dyDescent="0.2">
      <c r="A418" s="7879">
        <v>222</v>
      </c>
      <c r="B418" s="7652" t="s">
        <v>1818</v>
      </c>
      <c r="C418" s="7723" t="s">
        <v>1287</v>
      </c>
      <c r="D418" s="7563">
        <v>700000000</v>
      </c>
      <c r="E418" s="7659">
        <v>0.06</v>
      </c>
      <c r="F418" s="7563">
        <f>D418*E418</f>
        <v>42000000</v>
      </c>
      <c r="G418" s="7563"/>
      <c r="H418" s="7563"/>
      <c r="I418" s="7561" t="s">
        <v>3724</v>
      </c>
      <c r="J418" s="7563">
        <f>G418</f>
        <v>0</v>
      </c>
      <c r="K418" s="7563">
        <f>F418-J418</f>
        <v>42000000</v>
      </c>
      <c r="L418" s="3535"/>
    </row>
    <row r="419" spans="1:12" ht="30" customHeight="1" x14ac:dyDescent="0.2">
      <c r="A419" s="7879"/>
      <c r="B419" s="7665"/>
      <c r="C419" s="7747"/>
      <c r="D419" s="7586"/>
      <c r="E419" s="7676"/>
      <c r="F419" s="7586"/>
      <c r="G419" s="7586"/>
      <c r="H419" s="7586"/>
      <c r="I419" s="7672"/>
      <c r="J419" s="7586"/>
      <c r="K419" s="7586"/>
      <c r="L419" s="3537"/>
    </row>
    <row r="420" spans="1:12" ht="30" customHeight="1" x14ac:dyDescent="0.2">
      <c r="A420" s="7879"/>
      <c r="B420" s="7653"/>
      <c r="C420" s="7724"/>
      <c r="D420" s="7564"/>
      <c r="E420" s="7660"/>
      <c r="F420" s="7564"/>
      <c r="G420" s="7564"/>
      <c r="H420" s="7564"/>
      <c r="I420" s="7562"/>
      <c r="J420" s="7564"/>
      <c r="K420" s="7564"/>
      <c r="L420" s="3536"/>
    </row>
    <row r="421" spans="1:12" ht="30" customHeight="1" x14ac:dyDescent="0.2">
      <c r="A421" s="1028">
        <v>224</v>
      </c>
      <c r="B421" s="19" t="s">
        <v>2623</v>
      </c>
      <c r="C421" s="3529"/>
      <c r="D421" s="3513">
        <v>10000000</v>
      </c>
      <c r="E421" s="3523">
        <v>0.05</v>
      </c>
      <c r="F421" s="3513">
        <f t="shared" si="37"/>
        <v>500000</v>
      </c>
      <c r="G421" s="3483"/>
      <c r="H421" s="3483"/>
      <c r="I421" s="3582" t="s">
        <v>3934</v>
      </c>
      <c r="J421" s="3483">
        <f t="shared" ref="J421:J428" si="42">G421</f>
        <v>0</v>
      </c>
      <c r="K421" s="3483">
        <f t="shared" ref="K421:K428" si="43">F421-J421</f>
        <v>500000</v>
      </c>
      <c r="L421" s="3527"/>
    </row>
    <row r="422" spans="1:12" ht="30" customHeight="1" x14ac:dyDescent="0.2">
      <c r="A422" s="7654">
        <v>226</v>
      </c>
      <c r="B422" s="7652" t="s">
        <v>86</v>
      </c>
      <c r="C422" s="7723" t="s">
        <v>889</v>
      </c>
      <c r="D422" s="3513">
        <v>410000000</v>
      </c>
      <c r="E422" s="3523">
        <v>0.06</v>
      </c>
      <c r="F422" s="3513">
        <f>D422*E422</f>
        <v>24600000</v>
      </c>
      <c r="G422" s="3513">
        <v>24600000</v>
      </c>
      <c r="H422" s="3513" t="s">
        <v>5434</v>
      </c>
      <c r="I422" s="3513" t="s">
        <v>2391</v>
      </c>
      <c r="J422" s="3513">
        <f t="shared" si="42"/>
        <v>24600000</v>
      </c>
      <c r="K422" s="3483">
        <f t="shared" si="43"/>
        <v>0</v>
      </c>
      <c r="L422" s="3494"/>
    </row>
    <row r="423" spans="1:12" ht="30" customHeight="1" x14ac:dyDescent="0.2">
      <c r="A423" s="7656"/>
      <c r="B423" s="7665"/>
      <c r="C423" s="7747"/>
      <c r="D423" s="3896">
        <v>60000000</v>
      </c>
      <c r="E423" s="3904"/>
      <c r="F423" s="3896"/>
      <c r="G423" s="7991" t="s">
        <v>5653</v>
      </c>
      <c r="H423" s="7992"/>
      <c r="I423" s="7992"/>
      <c r="J423" s="7993"/>
      <c r="K423" s="3897"/>
      <c r="L423" s="3901"/>
    </row>
    <row r="424" spans="1:12" ht="30" customHeight="1" x14ac:dyDescent="0.2">
      <c r="A424" s="7656"/>
      <c r="B424" s="7665"/>
      <c r="C424" s="7747"/>
      <c r="D424" s="3896">
        <v>30000000</v>
      </c>
      <c r="E424" s="3904"/>
      <c r="F424" s="3896"/>
      <c r="G424" s="7997"/>
      <c r="H424" s="7998"/>
      <c r="I424" s="7998"/>
      <c r="J424" s="7999"/>
      <c r="K424" s="3897"/>
      <c r="L424" s="3901"/>
    </row>
    <row r="425" spans="1:12" ht="30" customHeight="1" x14ac:dyDescent="0.2">
      <c r="A425" s="7655"/>
      <c r="B425" s="7653"/>
      <c r="C425" s="7724"/>
      <c r="D425" s="3912">
        <f>SUM(D422:D424)</f>
        <v>500000000</v>
      </c>
      <c r="E425" s="896">
        <v>0.06</v>
      </c>
      <c r="F425" s="3912">
        <f>D425*E425</f>
        <v>30000000</v>
      </c>
      <c r="G425" s="3896"/>
      <c r="H425" s="3896"/>
      <c r="I425" s="3896"/>
      <c r="J425" s="3896"/>
      <c r="K425" s="3897"/>
      <c r="L425" s="3901"/>
    </row>
    <row r="426" spans="1:12" ht="30" customHeight="1" x14ac:dyDescent="0.2">
      <c r="A426" s="1028">
        <v>227</v>
      </c>
      <c r="B426" s="19" t="s">
        <v>87</v>
      </c>
      <c r="C426" s="3529" t="s">
        <v>889</v>
      </c>
      <c r="D426" s="3513">
        <v>20000000</v>
      </c>
      <c r="E426" s="3523">
        <v>0.05</v>
      </c>
      <c r="F426" s="3513">
        <f>D426*E426</f>
        <v>1000000</v>
      </c>
      <c r="G426" s="8241" t="s">
        <v>4822</v>
      </c>
      <c r="H426" s="8242"/>
      <c r="I426" s="8242"/>
      <c r="J426" s="8243"/>
      <c r="K426" s="3483">
        <f t="shared" si="43"/>
        <v>1000000</v>
      </c>
      <c r="L426" s="2013"/>
    </row>
    <row r="427" spans="1:12" ht="30" customHeight="1" x14ac:dyDescent="0.2">
      <c r="A427" s="3526">
        <v>228</v>
      </c>
      <c r="B427" s="3527" t="s">
        <v>88</v>
      </c>
      <c r="C427" s="3504" t="s">
        <v>1176</v>
      </c>
      <c r="D427" s="3483">
        <v>10000000</v>
      </c>
      <c r="E427" s="3523">
        <v>0.04</v>
      </c>
      <c r="F427" s="3483">
        <f t="shared" si="37"/>
        <v>400000</v>
      </c>
      <c r="G427" s="3483">
        <v>400000</v>
      </c>
      <c r="H427" s="3483" t="s">
        <v>5367</v>
      </c>
      <c r="I427" s="26" t="s">
        <v>417</v>
      </c>
      <c r="J427" s="3483">
        <f t="shared" si="42"/>
        <v>400000</v>
      </c>
      <c r="K427" s="3483">
        <f t="shared" si="43"/>
        <v>0</v>
      </c>
      <c r="L427" s="3527"/>
    </row>
    <row r="428" spans="1:12" ht="30" customHeight="1" x14ac:dyDescent="0.2">
      <c r="A428" s="7654">
        <v>229</v>
      </c>
      <c r="B428" s="7652" t="s">
        <v>89</v>
      </c>
      <c r="C428" s="7723" t="s">
        <v>889</v>
      </c>
      <c r="D428" s="3483">
        <v>52000000</v>
      </c>
      <c r="E428" s="3523">
        <v>0.05</v>
      </c>
      <c r="F428" s="3483">
        <f t="shared" si="37"/>
        <v>2600000</v>
      </c>
      <c r="G428" s="3483">
        <v>2600000</v>
      </c>
      <c r="H428" s="3483" t="s">
        <v>5358</v>
      </c>
      <c r="I428" s="3582" t="s">
        <v>3969</v>
      </c>
      <c r="J428" s="3483">
        <f t="shared" si="42"/>
        <v>2600000</v>
      </c>
      <c r="K428" s="3483">
        <f t="shared" si="43"/>
        <v>0</v>
      </c>
      <c r="L428" s="3527"/>
    </row>
    <row r="429" spans="1:12" ht="30" customHeight="1" x14ac:dyDescent="0.2">
      <c r="A429" s="7656"/>
      <c r="B429" s="7665"/>
      <c r="C429" s="7747"/>
      <c r="D429" s="4030">
        <v>123000000</v>
      </c>
      <c r="E429" s="4034">
        <v>0.05</v>
      </c>
      <c r="F429" s="4030">
        <f>D429*E429</f>
        <v>6150000</v>
      </c>
      <c r="G429" s="7991" t="s">
        <v>5958</v>
      </c>
      <c r="H429" s="7992"/>
      <c r="I429" s="7992"/>
      <c r="J429" s="7993"/>
      <c r="K429" s="4030"/>
      <c r="L429" s="4037" t="s">
        <v>5875</v>
      </c>
    </row>
    <row r="430" spans="1:12" ht="30" customHeight="1" x14ac:dyDescent="0.2">
      <c r="A430" s="7655"/>
      <c r="B430" s="7653"/>
      <c r="C430" s="7724"/>
      <c r="D430" s="3483">
        <v>5000000</v>
      </c>
      <c r="E430" s="3523">
        <v>0.05</v>
      </c>
      <c r="F430" s="3483">
        <f t="shared" si="37"/>
        <v>250000</v>
      </c>
      <c r="G430" s="7997"/>
      <c r="H430" s="7998"/>
      <c r="I430" s="7998"/>
      <c r="J430" s="7999"/>
      <c r="K430" s="3483"/>
      <c r="L430" s="3545" t="s">
        <v>4991</v>
      </c>
    </row>
    <row r="431" spans="1:12" ht="30" customHeight="1" x14ac:dyDescent="0.2">
      <c r="A431" s="4525"/>
      <c r="B431" s="4529" t="s">
        <v>89</v>
      </c>
      <c r="C431" s="4527" t="s">
        <v>942</v>
      </c>
      <c r="D431" s="4188">
        <f>SUM(D428:D430)</f>
        <v>180000000</v>
      </c>
      <c r="E431" s="4206">
        <v>0.05</v>
      </c>
      <c r="F431" s="4188">
        <f>D431*E431</f>
        <v>9000000</v>
      </c>
      <c r="G431" s="4185">
        <v>4900000</v>
      </c>
      <c r="H431" s="4185" t="s">
        <v>6023</v>
      </c>
      <c r="I431" s="4185" t="s">
        <v>3969</v>
      </c>
      <c r="J431" s="4185">
        <f>G431</f>
        <v>4900000</v>
      </c>
      <c r="K431" s="4187"/>
      <c r="L431" s="4213" t="s">
        <v>6026</v>
      </c>
    </row>
    <row r="432" spans="1:12" ht="30" customHeight="1" x14ac:dyDescent="0.2">
      <c r="A432" s="7654"/>
      <c r="B432" s="7652" t="s">
        <v>5008</v>
      </c>
      <c r="C432" s="7723" t="s">
        <v>1718</v>
      </c>
      <c r="D432" s="3513">
        <v>35000000</v>
      </c>
      <c r="E432" s="3523">
        <v>0.05</v>
      </c>
      <c r="F432" s="3513">
        <f t="shared" si="37"/>
        <v>1750000</v>
      </c>
      <c r="G432" s="7563">
        <v>2342000</v>
      </c>
      <c r="H432" s="7563" t="s">
        <v>3977</v>
      </c>
      <c r="I432" s="7563" t="s">
        <v>5517</v>
      </c>
      <c r="J432" s="7563">
        <f>G432</f>
        <v>2342000</v>
      </c>
      <c r="K432" s="7563">
        <v>0</v>
      </c>
      <c r="L432" s="1661"/>
    </row>
    <row r="433" spans="1:12" ht="30" customHeight="1" x14ac:dyDescent="0.2">
      <c r="A433" s="7656"/>
      <c r="B433" s="7665"/>
      <c r="C433" s="7747"/>
      <c r="D433" s="3483">
        <v>10000000</v>
      </c>
      <c r="E433" s="3489">
        <v>0.05</v>
      </c>
      <c r="F433" s="3483">
        <f t="shared" si="37"/>
        <v>500000</v>
      </c>
      <c r="G433" s="7586"/>
      <c r="H433" s="7586"/>
      <c r="I433" s="7586"/>
      <c r="J433" s="7586"/>
      <c r="K433" s="7586"/>
      <c r="L433" s="1661" t="s">
        <v>5006</v>
      </c>
    </row>
    <row r="434" spans="1:12" ht="30" customHeight="1" x14ac:dyDescent="0.2">
      <c r="A434" s="7655"/>
      <c r="B434" s="7653"/>
      <c r="C434" s="7724"/>
      <c r="D434" s="3483">
        <v>5000000</v>
      </c>
      <c r="E434" s="3489">
        <v>0.05</v>
      </c>
      <c r="F434" s="3483">
        <f t="shared" si="37"/>
        <v>250000</v>
      </c>
      <c r="G434" s="7564"/>
      <c r="H434" s="7564"/>
      <c r="I434" s="7564"/>
      <c r="J434" s="7564"/>
      <c r="K434" s="7564"/>
      <c r="L434" s="1661" t="s">
        <v>5007</v>
      </c>
    </row>
    <row r="435" spans="1:12" ht="30" customHeight="1" x14ac:dyDescent="0.2">
      <c r="A435" s="3486">
        <v>231</v>
      </c>
      <c r="B435" s="3530" t="s">
        <v>91</v>
      </c>
      <c r="C435" s="3529" t="s">
        <v>1080</v>
      </c>
      <c r="D435" s="3483">
        <v>20000000</v>
      </c>
      <c r="E435" s="3489">
        <v>0.05</v>
      </c>
      <c r="F435" s="3483">
        <f t="shared" si="37"/>
        <v>1000000</v>
      </c>
      <c r="G435" s="3483">
        <v>1000000</v>
      </c>
      <c r="H435" s="3483" t="s">
        <v>5434</v>
      </c>
      <c r="I435" s="3575" t="s">
        <v>298</v>
      </c>
      <c r="J435" s="3483">
        <f>G435</f>
        <v>1000000</v>
      </c>
      <c r="K435" s="3483">
        <f>F435-G435</f>
        <v>0</v>
      </c>
      <c r="L435" s="2013"/>
    </row>
    <row r="436" spans="1:12" ht="30" customHeight="1" x14ac:dyDescent="0.2">
      <c r="A436" s="7654">
        <v>232</v>
      </c>
      <c r="B436" s="7652" t="s">
        <v>1602</v>
      </c>
      <c r="C436" s="7723" t="s">
        <v>1172</v>
      </c>
      <c r="D436" s="3720">
        <v>55000000</v>
      </c>
      <c r="E436" s="3724">
        <v>0.04</v>
      </c>
      <c r="F436" s="3720">
        <f t="shared" si="37"/>
        <v>2200000</v>
      </c>
      <c r="G436" s="3720">
        <v>2200000</v>
      </c>
      <c r="H436" s="3720" t="s">
        <v>5434</v>
      </c>
      <c r="I436" s="3732" t="s">
        <v>4362</v>
      </c>
      <c r="J436" s="3720">
        <f t="shared" ref="J436:J449" si="44">G436</f>
        <v>2200000</v>
      </c>
      <c r="K436" s="3720">
        <f t="shared" ref="K436:K448" si="45">F436-J436</f>
        <v>0</v>
      </c>
      <c r="L436" s="7818" t="s">
        <v>5491</v>
      </c>
    </row>
    <row r="437" spans="1:12" ht="30" customHeight="1" x14ac:dyDescent="0.2">
      <c r="A437" s="7655"/>
      <c r="B437" s="7653"/>
      <c r="C437" s="7724"/>
      <c r="D437" s="3720">
        <v>35000000</v>
      </c>
      <c r="E437" s="3724">
        <v>0.04</v>
      </c>
      <c r="F437" s="3720">
        <f t="shared" si="37"/>
        <v>1400000</v>
      </c>
      <c r="G437" s="7470" t="s">
        <v>5490</v>
      </c>
      <c r="H437" s="7493"/>
      <c r="I437" s="7493"/>
      <c r="J437" s="7510"/>
      <c r="K437" s="3720"/>
      <c r="L437" s="7819"/>
    </row>
    <row r="438" spans="1:12" ht="30" customHeight="1" x14ac:dyDescent="0.2">
      <c r="A438" s="3526">
        <v>233</v>
      </c>
      <c r="B438" s="3527" t="s">
        <v>275</v>
      </c>
      <c r="C438" s="3504" t="s">
        <v>372</v>
      </c>
      <c r="D438" s="3483">
        <v>50000000</v>
      </c>
      <c r="E438" s="3523">
        <v>0.05</v>
      </c>
      <c r="F438" s="3483">
        <f t="shared" si="37"/>
        <v>2500000</v>
      </c>
      <c r="G438" s="3483">
        <v>2500000</v>
      </c>
      <c r="H438" s="3483" t="s">
        <v>5697</v>
      </c>
      <c r="I438" s="3582" t="s">
        <v>5699</v>
      </c>
      <c r="J438" s="3483">
        <f t="shared" si="44"/>
        <v>2500000</v>
      </c>
      <c r="K438" s="3483">
        <f t="shared" si="45"/>
        <v>0</v>
      </c>
      <c r="L438" s="2013"/>
    </row>
    <row r="439" spans="1:12" ht="30" customHeight="1" x14ac:dyDescent="0.2">
      <c r="A439" s="3526">
        <v>234</v>
      </c>
      <c r="B439" s="3530" t="s">
        <v>93</v>
      </c>
      <c r="C439" s="3529" t="s">
        <v>1293</v>
      </c>
      <c r="D439" s="3513">
        <v>400000000</v>
      </c>
      <c r="E439" s="3523">
        <f>F439/D439</f>
        <v>5.2499999999999998E-2</v>
      </c>
      <c r="F439" s="3513">
        <v>21000000</v>
      </c>
      <c r="G439" s="3513">
        <v>21000000</v>
      </c>
      <c r="H439" s="3513" t="s">
        <v>2019</v>
      </c>
      <c r="I439" s="3534" t="s">
        <v>506</v>
      </c>
      <c r="J439" s="3513">
        <f t="shared" si="44"/>
        <v>21000000</v>
      </c>
      <c r="K439" s="3483">
        <f t="shared" si="45"/>
        <v>0</v>
      </c>
      <c r="L439" s="3535"/>
    </row>
    <row r="440" spans="1:12" ht="30" customHeight="1" x14ac:dyDescent="0.2">
      <c r="A440" s="7654">
        <v>235</v>
      </c>
      <c r="B440" s="7652" t="s">
        <v>94</v>
      </c>
      <c r="C440" s="7873" t="s">
        <v>1172</v>
      </c>
      <c r="D440" s="7563">
        <v>60000000</v>
      </c>
      <c r="E440" s="7659">
        <v>0.05</v>
      </c>
      <c r="F440" s="7563">
        <f t="shared" si="37"/>
        <v>3000000</v>
      </c>
      <c r="G440" s="7482">
        <v>3000000</v>
      </c>
      <c r="H440" s="7482" t="s">
        <v>2019</v>
      </c>
      <c r="I440" s="8073" t="s">
        <v>4384</v>
      </c>
      <c r="J440" s="7563">
        <f t="shared" si="44"/>
        <v>3000000</v>
      </c>
      <c r="K440" s="7563">
        <f t="shared" si="45"/>
        <v>0</v>
      </c>
      <c r="L440" s="637"/>
    </row>
    <row r="441" spans="1:12" ht="30" customHeight="1" x14ac:dyDescent="0.2">
      <c r="A441" s="7656"/>
      <c r="B441" s="7653"/>
      <c r="C441" s="7873"/>
      <c r="D441" s="7564"/>
      <c r="E441" s="7660"/>
      <c r="F441" s="7564"/>
      <c r="G441" s="7482"/>
      <c r="H441" s="7482"/>
      <c r="I441" s="8074"/>
      <c r="J441" s="7564"/>
      <c r="K441" s="7564"/>
      <c r="L441" s="3536"/>
    </row>
    <row r="442" spans="1:12" ht="30" customHeight="1" x14ac:dyDescent="0.2">
      <c r="A442" s="3526">
        <v>236</v>
      </c>
      <c r="B442" s="3527" t="s">
        <v>95</v>
      </c>
      <c r="C442" s="3504"/>
      <c r="D442" s="3483">
        <v>20000000</v>
      </c>
      <c r="E442" s="3523">
        <v>0.05</v>
      </c>
      <c r="F442" s="3483">
        <f>D442*E442</f>
        <v>1000000</v>
      </c>
      <c r="G442" s="3483">
        <v>1000000</v>
      </c>
      <c r="H442" s="3483" t="s">
        <v>5634</v>
      </c>
      <c r="I442" s="3516" t="s">
        <v>334</v>
      </c>
      <c r="J442" s="3483">
        <f t="shared" si="44"/>
        <v>1000000</v>
      </c>
      <c r="K442" s="3483">
        <f t="shared" si="45"/>
        <v>0</v>
      </c>
      <c r="L442" s="2013"/>
    </row>
    <row r="443" spans="1:12" ht="30" customHeight="1" x14ac:dyDescent="0.2">
      <c r="A443" s="7654"/>
      <c r="B443" s="3491" t="s">
        <v>96</v>
      </c>
      <c r="C443" s="7723" t="s">
        <v>1718</v>
      </c>
      <c r="D443" s="3483">
        <v>55000000</v>
      </c>
      <c r="E443" s="3523">
        <v>0.05</v>
      </c>
      <c r="F443" s="3483">
        <f>D443*E443</f>
        <v>2750000</v>
      </c>
      <c r="G443" s="7563">
        <v>5250000</v>
      </c>
      <c r="H443" s="7563" t="s">
        <v>2019</v>
      </c>
      <c r="I443" s="7563" t="s">
        <v>4415</v>
      </c>
      <c r="J443" s="7563">
        <f>G443</f>
        <v>5250000</v>
      </c>
      <c r="K443" s="7563">
        <f>(F443+F444)-J443</f>
        <v>0</v>
      </c>
      <c r="L443" s="3494"/>
    </row>
    <row r="444" spans="1:12" ht="30" customHeight="1" x14ac:dyDescent="0.2">
      <c r="A444" s="7655"/>
      <c r="B444" s="3491" t="s">
        <v>2011</v>
      </c>
      <c r="C444" s="7724"/>
      <c r="D444" s="3483">
        <v>50000000</v>
      </c>
      <c r="E444" s="3523">
        <v>0.05</v>
      </c>
      <c r="F444" s="3483">
        <f>D444*E444</f>
        <v>2500000</v>
      </c>
      <c r="G444" s="7564"/>
      <c r="H444" s="7564"/>
      <c r="I444" s="7564"/>
      <c r="J444" s="7564"/>
      <c r="K444" s="7564"/>
      <c r="L444" s="3494"/>
    </row>
    <row r="445" spans="1:12" ht="30" customHeight="1" x14ac:dyDescent="0.2">
      <c r="A445" s="3487"/>
      <c r="B445" s="3491" t="s">
        <v>4008</v>
      </c>
      <c r="C445" s="3504" t="s">
        <v>262</v>
      </c>
      <c r="D445" s="3483">
        <v>10000000</v>
      </c>
      <c r="E445" s="3523">
        <v>0.05</v>
      </c>
      <c r="F445" s="3483">
        <f>D445*E445</f>
        <v>500000</v>
      </c>
      <c r="G445" s="3513">
        <v>500000</v>
      </c>
      <c r="H445" s="3513" t="s">
        <v>3977</v>
      </c>
      <c r="I445" s="3513" t="s">
        <v>5086</v>
      </c>
      <c r="J445" s="3513">
        <f>G445</f>
        <v>500000</v>
      </c>
      <c r="K445" s="3483">
        <f>F445-J445</f>
        <v>0</v>
      </c>
      <c r="L445" s="3494"/>
    </row>
    <row r="446" spans="1:12" ht="30" customHeight="1" x14ac:dyDescent="0.2">
      <c r="A446" s="3526">
        <v>238</v>
      </c>
      <c r="B446" s="3527" t="s">
        <v>97</v>
      </c>
      <c r="C446" s="3504" t="s">
        <v>1176</v>
      </c>
      <c r="D446" s="3483">
        <v>100000000</v>
      </c>
      <c r="E446" s="3523">
        <v>0.05</v>
      </c>
      <c r="F446" s="3483">
        <f t="shared" si="37"/>
        <v>5000000</v>
      </c>
      <c r="G446" s="3483">
        <v>5000000</v>
      </c>
      <c r="H446" s="3483" t="s">
        <v>2019</v>
      </c>
      <c r="I446" s="18" t="s">
        <v>3492</v>
      </c>
      <c r="J446" s="3483">
        <f t="shared" si="44"/>
        <v>5000000</v>
      </c>
      <c r="K446" s="3483">
        <f t="shared" si="45"/>
        <v>0</v>
      </c>
      <c r="L446" s="3527"/>
    </row>
    <row r="447" spans="1:12" ht="30" customHeight="1" x14ac:dyDescent="0.2">
      <c r="A447" s="3526">
        <v>239</v>
      </c>
      <c r="B447" s="3527" t="s">
        <v>98</v>
      </c>
      <c r="C447" s="3504" t="s">
        <v>372</v>
      </c>
      <c r="D447" s="3483">
        <v>50000000</v>
      </c>
      <c r="E447" s="3523">
        <v>0.05</v>
      </c>
      <c r="F447" s="3483">
        <f t="shared" si="37"/>
        <v>2500000</v>
      </c>
      <c r="G447" s="3483">
        <v>2500000</v>
      </c>
      <c r="H447" s="3483" t="s">
        <v>5585</v>
      </c>
      <c r="I447" s="3582" t="s">
        <v>348</v>
      </c>
      <c r="J447" s="3483">
        <f t="shared" si="44"/>
        <v>2500000</v>
      </c>
      <c r="K447" s="3483">
        <f t="shared" si="45"/>
        <v>0</v>
      </c>
      <c r="L447" s="3494"/>
    </row>
    <row r="448" spans="1:12" ht="30" customHeight="1" x14ac:dyDescent="0.2">
      <c r="A448" s="4175">
        <v>240</v>
      </c>
      <c r="B448" s="4254" t="s">
        <v>2274</v>
      </c>
      <c r="C448" s="4173" t="s">
        <v>990</v>
      </c>
      <c r="D448" s="4165">
        <v>100000000</v>
      </c>
      <c r="E448" s="4172">
        <v>0.04</v>
      </c>
      <c r="F448" s="4165">
        <f t="shared" si="37"/>
        <v>4000000</v>
      </c>
      <c r="G448" s="3483">
        <v>4000000</v>
      </c>
      <c r="H448" s="3483" t="s">
        <v>5995</v>
      </c>
      <c r="I448" s="3582" t="s">
        <v>5035</v>
      </c>
      <c r="J448" s="3483">
        <f t="shared" si="44"/>
        <v>4000000</v>
      </c>
      <c r="K448" s="3483">
        <f t="shared" si="45"/>
        <v>0</v>
      </c>
      <c r="L448" s="3561"/>
    </row>
    <row r="449" spans="1:14" ht="30" customHeight="1" x14ac:dyDescent="0.2">
      <c r="A449" s="7654">
        <v>241</v>
      </c>
      <c r="B449" s="7652" t="s">
        <v>559</v>
      </c>
      <c r="C449" s="7873" t="s">
        <v>1796</v>
      </c>
      <c r="D449" s="3513">
        <v>20000000</v>
      </c>
      <c r="E449" s="3523">
        <v>7.0000000000000007E-2</v>
      </c>
      <c r="F449" s="3513">
        <f>D449*E449</f>
        <v>1400000.0000000002</v>
      </c>
      <c r="G449" s="7563">
        <v>2300000</v>
      </c>
      <c r="H449" s="7563" t="s">
        <v>5995</v>
      </c>
      <c r="I449" s="7772" t="s">
        <v>557</v>
      </c>
      <c r="J449" s="7563">
        <f t="shared" si="44"/>
        <v>2300000</v>
      </c>
      <c r="K449" s="7563">
        <f>(F449+F450)-J449</f>
        <v>0</v>
      </c>
      <c r="L449" s="8037"/>
    </row>
    <row r="450" spans="1:14" ht="30" customHeight="1" x14ac:dyDescent="0.2">
      <c r="A450" s="7656"/>
      <c r="B450" s="7653"/>
      <c r="C450" s="7873"/>
      <c r="D450" s="3513">
        <v>10000000</v>
      </c>
      <c r="E450" s="3523">
        <v>0.09</v>
      </c>
      <c r="F450" s="3513">
        <f>D450*E450</f>
        <v>900000</v>
      </c>
      <c r="G450" s="7564"/>
      <c r="H450" s="7564"/>
      <c r="I450" s="7773"/>
      <c r="J450" s="7564"/>
      <c r="K450" s="7564"/>
      <c r="L450" s="7758"/>
    </row>
    <row r="451" spans="1:14" ht="30" customHeight="1" x14ac:dyDescent="0.2">
      <c r="A451" s="3526">
        <v>242</v>
      </c>
      <c r="B451" s="3527" t="s">
        <v>100</v>
      </c>
      <c r="C451" s="3504" t="s">
        <v>1652</v>
      </c>
      <c r="D451" s="3483">
        <v>140000000</v>
      </c>
      <c r="E451" s="3489">
        <v>4.4999999999999998E-2</v>
      </c>
      <c r="F451" s="3483">
        <f t="shared" si="37"/>
        <v>6300000</v>
      </c>
      <c r="G451" s="3483">
        <v>6300000</v>
      </c>
      <c r="H451" s="3483" t="s">
        <v>5345</v>
      </c>
      <c r="I451" s="3582" t="s">
        <v>3493</v>
      </c>
      <c r="J451" s="3483">
        <f>G451</f>
        <v>6300000</v>
      </c>
      <c r="K451" s="3483">
        <f t="shared" ref="K451:K457" si="46">F451-J451</f>
        <v>0</v>
      </c>
      <c r="L451" s="3561"/>
    </row>
    <row r="452" spans="1:14" ht="30" customHeight="1" x14ac:dyDescent="0.2">
      <c r="A452" s="3526">
        <v>243</v>
      </c>
      <c r="B452" s="19" t="s">
        <v>507</v>
      </c>
      <c r="C452" s="3529" t="s">
        <v>262</v>
      </c>
      <c r="D452" s="3513">
        <v>20000000</v>
      </c>
      <c r="E452" s="3523">
        <v>0.05</v>
      </c>
      <c r="F452" s="3513">
        <f>D452*E452</f>
        <v>1000000</v>
      </c>
      <c r="G452" s="3513">
        <v>1000000</v>
      </c>
      <c r="H452" s="3513" t="s">
        <v>5367</v>
      </c>
      <c r="I452" s="3513" t="s">
        <v>296</v>
      </c>
      <c r="J452" s="3513">
        <f>G452</f>
        <v>1000000</v>
      </c>
      <c r="K452" s="3513">
        <f t="shared" si="46"/>
        <v>0</v>
      </c>
      <c r="L452" s="3561"/>
      <c r="M452" s="248"/>
      <c r="N452" s="248"/>
    </row>
    <row r="453" spans="1:14" ht="30" customHeight="1" x14ac:dyDescent="0.2">
      <c r="A453" s="7654">
        <v>244</v>
      </c>
      <c r="B453" s="7652" t="s">
        <v>101</v>
      </c>
      <c r="C453" s="7723" t="s">
        <v>372</v>
      </c>
      <c r="D453" s="3483">
        <v>50000000</v>
      </c>
      <c r="E453" s="3523">
        <v>0.05</v>
      </c>
      <c r="F453" s="3483">
        <f t="shared" si="37"/>
        <v>2500000</v>
      </c>
      <c r="G453" s="7563">
        <v>3600000</v>
      </c>
      <c r="H453" s="7563" t="s">
        <v>3977</v>
      </c>
      <c r="I453" s="7561" t="s">
        <v>3530</v>
      </c>
      <c r="J453" s="7563">
        <f>G453</f>
        <v>3600000</v>
      </c>
      <c r="K453" s="7563">
        <f>F454-J453</f>
        <v>0</v>
      </c>
      <c r="L453" s="3527"/>
    </row>
    <row r="454" spans="1:14" ht="30" customHeight="1" x14ac:dyDescent="0.2">
      <c r="A454" s="7655"/>
      <c r="B454" s="7653"/>
      <c r="C454" s="7724"/>
      <c r="D454" s="3570">
        <v>60000000</v>
      </c>
      <c r="E454" s="896">
        <v>0.06</v>
      </c>
      <c r="F454" s="3570">
        <f t="shared" si="37"/>
        <v>3600000</v>
      </c>
      <c r="G454" s="7564"/>
      <c r="H454" s="7564"/>
      <c r="I454" s="7562"/>
      <c r="J454" s="7564"/>
      <c r="K454" s="7564"/>
      <c r="L454" s="1661" t="s">
        <v>5030</v>
      </c>
    </row>
    <row r="455" spans="1:14" ht="30" customHeight="1" x14ac:dyDescent="0.2">
      <c r="A455" s="3526">
        <v>245</v>
      </c>
      <c r="B455" s="3527" t="s">
        <v>4058</v>
      </c>
      <c r="C455" s="3504" t="s">
        <v>262</v>
      </c>
      <c r="D455" s="3483">
        <v>70000000</v>
      </c>
      <c r="E455" s="3523">
        <v>0.05</v>
      </c>
      <c r="F455" s="3483">
        <f t="shared" si="37"/>
        <v>3500000</v>
      </c>
      <c r="G455" s="3483">
        <v>3500000</v>
      </c>
      <c r="H455" s="3483" t="s">
        <v>5367</v>
      </c>
      <c r="I455" s="3518" t="s">
        <v>4064</v>
      </c>
      <c r="J455" s="3483">
        <f>G455</f>
        <v>3500000</v>
      </c>
      <c r="K455" s="3483">
        <f t="shared" si="46"/>
        <v>0</v>
      </c>
      <c r="L455" s="3555"/>
    </row>
    <row r="456" spans="1:14" ht="30" customHeight="1" x14ac:dyDescent="0.2">
      <c r="A456" s="3526">
        <v>246</v>
      </c>
      <c r="B456" s="3527" t="s">
        <v>103</v>
      </c>
      <c r="C456" s="3504" t="s">
        <v>262</v>
      </c>
      <c r="D456" s="3483">
        <v>85000000</v>
      </c>
      <c r="E456" s="3523">
        <v>5.0999999999999997E-2</v>
      </c>
      <c r="F456" s="3483">
        <v>4300000</v>
      </c>
      <c r="G456" s="3483">
        <v>4300000</v>
      </c>
      <c r="H456" s="3483" t="s">
        <v>3977</v>
      </c>
      <c r="I456" s="27" t="s">
        <v>2864</v>
      </c>
      <c r="J456" s="3483">
        <f t="shared" ref="J456:J473" si="47">G456</f>
        <v>4300000</v>
      </c>
      <c r="K456" s="3483">
        <f t="shared" si="46"/>
        <v>0</v>
      </c>
      <c r="L456" s="3527"/>
    </row>
    <row r="457" spans="1:14" ht="30" customHeight="1" x14ac:dyDescent="0.2">
      <c r="A457" s="3526">
        <v>247</v>
      </c>
      <c r="B457" s="3527" t="s">
        <v>104</v>
      </c>
      <c r="C457" s="3504" t="s">
        <v>262</v>
      </c>
      <c r="D457" s="3483">
        <v>220000000</v>
      </c>
      <c r="E457" s="3523">
        <v>7.0000000000000007E-2</v>
      </c>
      <c r="F457" s="3483">
        <f t="shared" si="37"/>
        <v>15400000.000000002</v>
      </c>
      <c r="G457" s="3483">
        <v>15400000</v>
      </c>
      <c r="H457" s="3483" t="s">
        <v>5367</v>
      </c>
      <c r="I457" s="3582" t="s">
        <v>4090</v>
      </c>
      <c r="J457" s="3483">
        <f t="shared" si="47"/>
        <v>15400000</v>
      </c>
      <c r="K457" s="3483">
        <f t="shared" si="46"/>
        <v>0</v>
      </c>
      <c r="L457" s="3561"/>
      <c r="M457" s="858"/>
      <c r="N457" s="859"/>
    </row>
    <row r="458" spans="1:14" ht="30" customHeight="1" x14ac:dyDescent="0.2">
      <c r="A458" s="7654">
        <v>250</v>
      </c>
      <c r="B458" s="7652" t="s">
        <v>107</v>
      </c>
      <c r="C458" s="7723"/>
      <c r="D458" s="3483">
        <v>200000000</v>
      </c>
      <c r="E458" s="3523">
        <v>0.04</v>
      </c>
      <c r="F458" s="3483">
        <f t="shared" si="37"/>
        <v>8000000</v>
      </c>
      <c r="G458" s="7563">
        <v>20500000</v>
      </c>
      <c r="H458" s="7563" t="s">
        <v>5367</v>
      </c>
      <c r="I458" s="7871" t="s">
        <v>1220</v>
      </c>
      <c r="J458" s="7563">
        <f t="shared" si="47"/>
        <v>20500000</v>
      </c>
      <c r="K458" s="7563">
        <f>(F458+F459)-J458</f>
        <v>0</v>
      </c>
      <c r="L458" s="3527"/>
    </row>
    <row r="459" spans="1:14" ht="30" customHeight="1" x14ac:dyDescent="0.2">
      <c r="A459" s="7655"/>
      <c r="B459" s="7653"/>
      <c r="C459" s="7724"/>
      <c r="D459" s="3483">
        <v>250000000</v>
      </c>
      <c r="E459" s="3523">
        <v>0.05</v>
      </c>
      <c r="F459" s="3483">
        <f t="shared" si="37"/>
        <v>12500000</v>
      </c>
      <c r="G459" s="7564"/>
      <c r="H459" s="7564"/>
      <c r="I459" s="7872"/>
      <c r="J459" s="7564"/>
      <c r="K459" s="7564"/>
      <c r="L459" s="3564"/>
    </row>
    <row r="460" spans="1:14" ht="30" customHeight="1" x14ac:dyDescent="0.2">
      <c r="A460" s="7654">
        <v>251</v>
      </c>
      <c r="B460" s="7652" t="s">
        <v>1830</v>
      </c>
      <c r="C460" s="7723" t="s">
        <v>371</v>
      </c>
      <c r="D460" s="3513">
        <v>90000000</v>
      </c>
      <c r="E460" s="3523">
        <v>0.06</v>
      </c>
      <c r="F460" s="3513">
        <f t="shared" si="37"/>
        <v>5400000</v>
      </c>
      <c r="G460" s="7482">
        <v>15200000</v>
      </c>
      <c r="H460" s="7482" t="s">
        <v>5367</v>
      </c>
      <c r="I460" s="7857" t="s">
        <v>5060</v>
      </c>
      <c r="J460" s="7482">
        <f t="shared" si="47"/>
        <v>15200000</v>
      </c>
      <c r="K460" s="7563">
        <f>(F460+F461+F462)-J460</f>
        <v>0</v>
      </c>
      <c r="L460" s="3564"/>
    </row>
    <row r="461" spans="1:14" ht="30" customHeight="1" x14ac:dyDescent="0.2">
      <c r="A461" s="7656"/>
      <c r="B461" s="7665"/>
      <c r="C461" s="7747"/>
      <c r="D461" s="3513">
        <v>100000000</v>
      </c>
      <c r="E461" s="3523">
        <v>7.0000000000000007E-2</v>
      </c>
      <c r="F461" s="3513">
        <f t="shared" si="37"/>
        <v>7000000.0000000009</v>
      </c>
      <c r="G461" s="7482"/>
      <c r="H461" s="7482"/>
      <c r="I461" s="7857"/>
      <c r="J461" s="7482"/>
      <c r="K461" s="7586"/>
      <c r="L461" s="3545"/>
    </row>
    <row r="462" spans="1:14" ht="30" customHeight="1" x14ac:dyDescent="0.2">
      <c r="A462" s="7655"/>
      <c r="B462" s="7653"/>
      <c r="C462" s="7724"/>
      <c r="D462" s="3483">
        <v>40000000</v>
      </c>
      <c r="E462" s="3489">
        <v>7.0000000000000007E-2</v>
      </c>
      <c r="F462" s="3483">
        <f t="shared" si="37"/>
        <v>2800000.0000000005</v>
      </c>
      <c r="G462" s="7482"/>
      <c r="H462" s="7482"/>
      <c r="I462" s="7857"/>
      <c r="J462" s="7482"/>
      <c r="K462" s="7564"/>
      <c r="L462" s="3545" t="s">
        <v>4645</v>
      </c>
    </row>
    <row r="463" spans="1:14" ht="30" customHeight="1" x14ac:dyDescent="0.2">
      <c r="A463" s="7654"/>
      <c r="B463" s="7652" t="s">
        <v>4605</v>
      </c>
      <c r="C463" s="7723" t="s">
        <v>1293</v>
      </c>
      <c r="D463" s="3483">
        <v>150000000</v>
      </c>
      <c r="E463" s="3489">
        <v>0.06</v>
      </c>
      <c r="F463" s="3483">
        <f t="shared" si="37"/>
        <v>9000000</v>
      </c>
      <c r="G463" s="7563">
        <v>14400000</v>
      </c>
      <c r="H463" s="7563" t="s">
        <v>1527</v>
      </c>
      <c r="I463" s="7561" t="s">
        <v>5420</v>
      </c>
      <c r="J463" s="7563">
        <f t="shared" ref="J463" si="48">G463</f>
        <v>14400000</v>
      </c>
      <c r="K463" s="7563"/>
      <c r="L463" s="3545" t="s">
        <v>4606</v>
      </c>
    </row>
    <row r="464" spans="1:14" ht="30" customHeight="1" x14ac:dyDescent="0.2">
      <c r="A464" s="7655"/>
      <c r="B464" s="7653"/>
      <c r="C464" s="7724"/>
      <c r="D464" s="3483">
        <v>90000000</v>
      </c>
      <c r="E464" s="3489"/>
      <c r="F464" s="3483"/>
      <c r="G464" s="7564"/>
      <c r="H464" s="7564"/>
      <c r="I464" s="7562"/>
      <c r="J464" s="7564"/>
      <c r="K464" s="7564"/>
      <c r="L464" s="3545"/>
    </row>
    <row r="465" spans="1:15" ht="30" customHeight="1" x14ac:dyDescent="0.2">
      <c r="A465" s="7654"/>
      <c r="B465" s="7717" t="s">
        <v>4609</v>
      </c>
      <c r="C465" s="7723" t="s">
        <v>1176</v>
      </c>
      <c r="D465" s="3483">
        <v>165000000</v>
      </c>
      <c r="E465" s="3489">
        <v>0.06</v>
      </c>
      <c r="F465" s="3483">
        <f t="shared" si="37"/>
        <v>9900000</v>
      </c>
      <c r="G465" s="7563">
        <v>16200000</v>
      </c>
      <c r="H465" s="7563" t="s">
        <v>5367</v>
      </c>
      <c r="I465" s="7561" t="s">
        <v>1810</v>
      </c>
      <c r="J465" s="7563">
        <f>G465</f>
        <v>16200000</v>
      </c>
      <c r="K465" s="7563">
        <f>(F465+F466)-J465</f>
        <v>0</v>
      </c>
      <c r="L465" s="3545" t="s">
        <v>4951</v>
      </c>
    </row>
    <row r="466" spans="1:15" ht="30" customHeight="1" x14ac:dyDescent="0.2">
      <c r="A466" s="7656"/>
      <c r="B466" s="7717"/>
      <c r="C466" s="7747"/>
      <c r="D466" s="3483">
        <v>105000000</v>
      </c>
      <c r="E466" s="3489">
        <v>0.06</v>
      </c>
      <c r="F466" s="3483">
        <f t="shared" si="37"/>
        <v>6300000</v>
      </c>
      <c r="G466" s="7564"/>
      <c r="H466" s="7564"/>
      <c r="I466" s="7562"/>
      <c r="J466" s="7564"/>
      <c r="K466" s="7564"/>
      <c r="L466" s="3545" t="s">
        <v>4952</v>
      </c>
    </row>
    <row r="467" spans="1:15" ht="30" customHeight="1" x14ac:dyDescent="0.2">
      <c r="A467" s="7656"/>
      <c r="B467" s="7717"/>
      <c r="C467" s="7724"/>
      <c r="D467" s="3897">
        <v>30000000</v>
      </c>
      <c r="E467" s="3899">
        <v>0.06</v>
      </c>
      <c r="F467" s="3897">
        <f t="shared" si="37"/>
        <v>1800000</v>
      </c>
      <c r="G467" s="3897"/>
      <c r="H467" s="3897"/>
      <c r="I467" s="3900"/>
      <c r="J467" s="3897"/>
      <c r="K467" s="3896"/>
      <c r="L467" s="3908" t="s">
        <v>5658</v>
      </c>
    </row>
    <row r="468" spans="1:15" ht="30" customHeight="1" x14ac:dyDescent="0.2">
      <c r="A468" s="7654"/>
      <c r="B468" s="7652" t="s">
        <v>4893</v>
      </c>
      <c r="C468" s="7723" t="s">
        <v>1293</v>
      </c>
      <c r="D468" s="3483">
        <v>300000000</v>
      </c>
      <c r="E468" s="3489">
        <v>0.06</v>
      </c>
      <c r="F468" s="3483">
        <f>D468*E468</f>
        <v>18000000</v>
      </c>
      <c r="G468" s="7563">
        <v>19500000</v>
      </c>
      <c r="H468" s="7563" t="s">
        <v>1649</v>
      </c>
      <c r="I468" s="7561" t="s">
        <v>4894</v>
      </c>
      <c r="J468" s="7563">
        <f>G468</f>
        <v>19500000</v>
      </c>
      <c r="K468" s="7563"/>
      <c r="L468" s="3545" t="s">
        <v>4895</v>
      </c>
    </row>
    <row r="469" spans="1:15" ht="30" customHeight="1" x14ac:dyDescent="0.2">
      <c r="A469" s="7656"/>
      <c r="B469" s="7665"/>
      <c r="C469" s="7747"/>
      <c r="D469" s="3483">
        <v>50000000</v>
      </c>
      <c r="E469" s="3489">
        <v>0.06</v>
      </c>
      <c r="F469" s="3483">
        <f>D469*E469</f>
        <v>3000000</v>
      </c>
      <c r="G469" s="7586"/>
      <c r="H469" s="7586"/>
      <c r="I469" s="7672"/>
      <c r="J469" s="7586"/>
      <c r="K469" s="7586"/>
      <c r="L469" s="3545" t="s">
        <v>5137</v>
      </c>
    </row>
    <row r="470" spans="1:15" ht="30" customHeight="1" x14ac:dyDescent="0.2">
      <c r="A470" s="7655"/>
      <c r="B470" s="7653"/>
      <c r="C470" s="7724"/>
      <c r="D470" s="3570">
        <f>350000000</f>
        <v>350000000</v>
      </c>
      <c r="E470" s="3572">
        <v>0.06</v>
      </c>
      <c r="F470" s="3570">
        <f>D470*E470</f>
        <v>21000000</v>
      </c>
      <c r="G470" s="7564"/>
      <c r="H470" s="7564"/>
      <c r="I470" s="7562"/>
      <c r="J470" s="7564"/>
      <c r="K470" s="7564"/>
      <c r="L470" s="3545"/>
    </row>
    <row r="471" spans="1:15" ht="30" customHeight="1" x14ac:dyDescent="0.2">
      <c r="A471" s="7654">
        <v>252</v>
      </c>
      <c r="B471" s="7652" t="s">
        <v>109</v>
      </c>
      <c r="C471" s="7723" t="s">
        <v>262</v>
      </c>
      <c r="D471" s="3483">
        <v>270000000</v>
      </c>
      <c r="E471" s="3489">
        <v>0.05</v>
      </c>
      <c r="F471" s="3483">
        <f>D471*E471</f>
        <v>13500000</v>
      </c>
      <c r="G471" s="7563">
        <v>17000000</v>
      </c>
      <c r="H471" s="7563" t="s">
        <v>5367</v>
      </c>
      <c r="I471" s="7561" t="s">
        <v>1810</v>
      </c>
      <c r="J471" s="8180">
        <f>G471</f>
        <v>17000000</v>
      </c>
      <c r="K471" s="7563">
        <f>(F471+F472)-J471</f>
        <v>0</v>
      </c>
      <c r="L471" s="3564" t="s">
        <v>4425</v>
      </c>
    </row>
    <row r="472" spans="1:15" ht="30" customHeight="1" x14ac:dyDescent="0.2">
      <c r="A472" s="7655"/>
      <c r="B472" s="7653"/>
      <c r="C472" s="7724"/>
      <c r="D472" s="3483">
        <v>70000000</v>
      </c>
      <c r="E472" s="3489">
        <v>0.05</v>
      </c>
      <c r="F472" s="3483">
        <f>D472*E472</f>
        <v>3500000</v>
      </c>
      <c r="G472" s="7564"/>
      <c r="H472" s="7564"/>
      <c r="I472" s="7562"/>
      <c r="J472" s="7562"/>
      <c r="K472" s="7564"/>
      <c r="L472" s="3564" t="s">
        <v>4424</v>
      </c>
    </row>
    <row r="473" spans="1:15" ht="30" customHeight="1" x14ac:dyDescent="0.2">
      <c r="A473" s="7879">
        <v>253</v>
      </c>
      <c r="B473" s="7652" t="s">
        <v>110</v>
      </c>
      <c r="C473" s="7723" t="s">
        <v>262</v>
      </c>
      <c r="D473" s="3483">
        <v>20000000</v>
      </c>
      <c r="E473" s="3523">
        <v>0.05</v>
      </c>
      <c r="F473" s="3483">
        <f t="shared" si="37"/>
        <v>1000000</v>
      </c>
      <c r="G473" s="7482">
        <v>2334000</v>
      </c>
      <c r="H473" s="7482" t="s">
        <v>1879</v>
      </c>
      <c r="I473" s="7923" t="s">
        <v>810</v>
      </c>
      <c r="J473" s="7482">
        <f t="shared" si="47"/>
        <v>2334000</v>
      </c>
      <c r="K473" s="7482"/>
      <c r="L473" s="3789"/>
      <c r="M473" s="1175"/>
      <c r="N473" s="1175"/>
      <c r="O473" s="1175"/>
    </row>
    <row r="474" spans="1:15" ht="30" customHeight="1" x14ac:dyDescent="0.2">
      <c r="A474" s="7879"/>
      <c r="B474" s="7665"/>
      <c r="C474" s="7747"/>
      <c r="D474" s="3483">
        <v>20000000</v>
      </c>
      <c r="E474" s="3523">
        <v>0.05</v>
      </c>
      <c r="F474" s="3483">
        <f t="shared" si="37"/>
        <v>1000000</v>
      </c>
      <c r="G474" s="7482"/>
      <c r="H474" s="7482"/>
      <c r="I474" s="7923"/>
      <c r="J474" s="7482"/>
      <c r="K474" s="7482"/>
      <c r="L474" s="3813" t="s">
        <v>5900</v>
      </c>
      <c r="M474" s="248"/>
      <c r="N474" s="248"/>
      <c r="O474" s="248"/>
    </row>
    <row r="475" spans="1:15" ht="30" customHeight="1" x14ac:dyDescent="0.2">
      <c r="A475" s="7879"/>
      <c r="B475" s="7653"/>
      <c r="C475" s="7724"/>
      <c r="D475" s="3483">
        <v>20000000</v>
      </c>
      <c r="E475" s="3523">
        <v>0.05</v>
      </c>
      <c r="F475" s="3483">
        <f t="shared" si="37"/>
        <v>1000000</v>
      </c>
      <c r="G475" s="7482"/>
      <c r="H475" s="7482"/>
      <c r="I475" s="7923"/>
      <c r="J475" s="7482"/>
      <c r="K475" s="7482"/>
      <c r="L475" s="3790" t="s">
        <v>5335</v>
      </c>
      <c r="M475" s="248"/>
      <c r="N475" s="248"/>
      <c r="O475" s="248"/>
    </row>
    <row r="476" spans="1:15" ht="30" customHeight="1" x14ac:dyDescent="0.2">
      <c r="A476" s="7656"/>
      <c r="B476" s="7652" t="s">
        <v>1893</v>
      </c>
      <c r="C476" s="7723" t="s">
        <v>371</v>
      </c>
      <c r="D476" s="3483">
        <v>175000000</v>
      </c>
      <c r="E476" s="3523">
        <v>0.06</v>
      </c>
      <c r="F476" s="3483">
        <f t="shared" si="37"/>
        <v>10500000</v>
      </c>
      <c r="G476" s="7563">
        <v>15900000</v>
      </c>
      <c r="H476" s="7563" t="s">
        <v>1879</v>
      </c>
      <c r="I476" s="7563" t="s">
        <v>2946</v>
      </c>
      <c r="J476" s="7563">
        <f>G476</f>
        <v>15900000</v>
      </c>
      <c r="K476" s="7563">
        <f>(F476+F477)-J476</f>
        <v>0</v>
      </c>
      <c r="L476" s="3789"/>
      <c r="M476" s="248"/>
      <c r="N476" s="248"/>
      <c r="O476" s="248"/>
    </row>
    <row r="477" spans="1:15" ht="30" customHeight="1" x14ac:dyDescent="0.2">
      <c r="A477" s="7656"/>
      <c r="B477" s="7665"/>
      <c r="C477" s="7747"/>
      <c r="D477" s="3483">
        <v>90000000</v>
      </c>
      <c r="E477" s="3523">
        <v>0.06</v>
      </c>
      <c r="F477" s="3483">
        <f t="shared" si="37"/>
        <v>5400000</v>
      </c>
      <c r="G477" s="7564"/>
      <c r="H477" s="7564"/>
      <c r="I477" s="7564"/>
      <c r="J477" s="7564"/>
      <c r="K477" s="7564"/>
      <c r="L477" s="3790" t="s">
        <v>5084</v>
      </c>
      <c r="M477" s="248"/>
      <c r="N477" s="248"/>
      <c r="O477" s="248"/>
    </row>
    <row r="478" spans="1:15" ht="30" customHeight="1" x14ac:dyDescent="0.2">
      <c r="A478" s="3428">
        <v>255</v>
      </c>
      <c r="B478" s="2551" t="s">
        <v>112</v>
      </c>
      <c r="C478" s="3024" t="s">
        <v>262</v>
      </c>
      <c r="D478" s="3834">
        <v>40000000</v>
      </c>
      <c r="E478" s="2549">
        <v>0.05</v>
      </c>
      <c r="F478" s="3834">
        <f t="shared" si="37"/>
        <v>2000000</v>
      </c>
      <c r="G478" s="3834">
        <v>42000000</v>
      </c>
      <c r="H478" s="3834" t="s">
        <v>5585</v>
      </c>
      <c r="I478" s="3835" t="s">
        <v>5607</v>
      </c>
      <c r="J478" s="3834">
        <f>G478</f>
        <v>42000000</v>
      </c>
      <c r="K478" s="3834">
        <f>F478-J478</f>
        <v>-40000000</v>
      </c>
      <c r="L478" s="3836" t="s">
        <v>5577</v>
      </c>
    </row>
    <row r="479" spans="1:15" ht="30" customHeight="1" x14ac:dyDescent="0.2">
      <c r="A479" s="7654">
        <v>256</v>
      </c>
      <c r="B479" s="7652" t="s">
        <v>113</v>
      </c>
      <c r="C479" s="3504" t="s">
        <v>371</v>
      </c>
      <c r="D479" s="3483">
        <v>100000000</v>
      </c>
      <c r="E479" s="3523">
        <v>0.05</v>
      </c>
      <c r="F479" s="3483">
        <f t="shared" si="37"/>
        <v>5000000</v>
      </c>
      <c r="G479" s="3483">
        <v>5000000</v>
      </c>
      <c r="H479" s="3483" t="s">
        <v>1879</v>
      </c>
      <c r="I479" s="18" t="s">
        <v>4453</v>
      </c>
      <c r="J479" s="3483">
        <f>G479</f>
        <v>5000000</v>
      </c>
      <c r="K479" s="3483">
        <f>F479-J479</f>
        <v>0</v>
      </c>
      <c r="L479" s="3527"/>
    </row>
    <row r="480" spans="1:15" ht="30" customHeight="1" x14ac:dyDescent="0.2">
      <c r="A480" s="7655"/>
      <c r="B480" s="7653"/>
      <c r="C480" s="4202"/>
      <c r="D480" s="4188">
        <v>150000000</v>
      </c>
      <c r="E480" s="4206"/>
      <c r="F480" s="4188"/>
      <c r="G480" s="7732" t="s">
        <v>6083</v>
      </c>
      <c r="H480" s="7733"/>
      <c r="I480" s="7733"/>
      <c r="J480" s="7734"/>
      <c r="K480" s="4188"/>
      <c r="L480" s="4209"/>
    </row>
    <row r="481" spans="1:12" ht="30" customHeight="1" x14ac:dyDescent="0.2">
      <c r="A481" s="3526">
        <v>257</v>
      </c>
      <c r="B481" s="3527" t="s">
        <v>114</v>
      </c>
      <c r="C481" s="3504" t="s">
        <v>1292</v>
      </c>
      <c r="D481" s="3483">
        <v>30000000</v>
      </c>
      <c r="E481" s="3523">
        <v>0.05</v>
      </c>
      <c r="F481" s="3483">
        <f t="shared" si="37"/>
        <v>1500000</v>
      </c>
      <c r="G481" s="3483">
        <v>1500000</v>
      </c>
      <c r="H481" s="3483" t="s">
        <v>1879</v>
      </c>
      <c r="I481" s="3582" t="s">
        <v>482</v>
      </c>
      <c r="J481" s="3483">
        <f>G481</f>
        <v>1500000</v>
      </c>
      <c r="K481" s="3483">
        <f>F481-J481</f>
        <v>0</v>
      </c>
      <c r="L481" s="3527"/>
    </row>
    <row r="482" spans="1:12" ht="30" customHeight="1" x14ac:dyDescent="0.2">
      <c r="A482" s="3526">
        <v>258</v>
      </c>
      <c r="B482" s="3527" t="s">
        <v>849</v>
      </c>
      <c r="C482" s="3504" t="s">
        <v>262</v>
      </c>
      <c r="D482" s="3483">
        <v>12000000</v>
      </c>
      <c r="E482" s="3523">
        <v>0.05</v>
      </c>
      <c r="F482" s="3483">
        <f t="shared" si="37"/>
        <v>600000</v>
      </c>
      <c r="G482" s="7563">
        <v>1600000</v>
      </c>
      <c r="H482" s="7563" t="s">
        <v>3977</v>
      </c>
      <c r="I482" s="7772" t="s">
        <v>475</v>
      </c>
      <c r="J482" s="7563">
        <f>G482</f>
        <v>1600000</v>
      </c>
      <c r="K482" s="7563">
        <f>(F482+F483)-J482</f>
        <v>0</v>
      </c>
      <c r="L482" s="7703"/>
    </row>
    <row r="483" spans="1:12" ht="30" customHeight="1" x14ac:dyDescent="0.2">
      <c r="A483" s="3526">
        <v>259</v>
      </c>
      <c r="B483" s="3527" t="s">
        <v>156</v>
      </c>
      <c r="C483" s="3504" t="s">
        <v>262</v>
      </c>
      <c r="D483" s="3483">
        <v>20000000</v>
      </c>
      <c r="E483" s="3523">
        <v>0.05</v>
      </c>
      <c r="F483" s="3483">
        <f>D483*E483</f>
        <v>1000000</v>
      </c>
      <c r="G483" s="7564"/>
      <c r="H483" s="7564"/>
      <c r="I483" s="7773"/>
      <c r="J483" s="7564"/>
      <c r="K483" s="7564"/>
      <c r="L483" s="7705"/>
    </row>
    <row r="484" spans="1:12" ht="30" customHeight="1" x14ac:dyDescent="0.2">
      <c r="A484" s="7654">
        <v>261</v>
      </c>
      <c r="B484" s="7652" t="s">
        <v>117</v>
      </c>
      <c r="C484" s="3504" t="s">
        <v>1300</v>
      </c>
      <c r="D484" s="3483">
        <v>10500000</v>
      </c>
      <c r="E484" s="3523">
        <v>0.05</v>
      </c>
      <c r="F484" s="3483">
        <f t="shared" si="37"/>
        <v>525000</v>
      </c>
      <c r="G484" s="7563">
        <v>1575000</v>
      </c>
      <c r="H484" s="7563" t="s">
        <v>5340</v>
      </c>
      <c r="I484" s="7772" t="s">
        <v>414</v>
      </c>
      <c r="J484" s="7563">
        <f t="shared" ref="J484:J489" si="49">G484</f>
        <v>1575000</v>
      </c>
      <c r="K484" s="7563">
        <v>0</v>
      </c>
      <c r="L484" s="7674" t="s">
        <v>4905</v>
      </c>
    </row>
    <row r="485" spans="1:12" ht="30" customHeight="1" x14ac:dyDescent="0.2">
      <c r="A485" s="7656"/>
      <c r="B485" s="7665"/>
      <c r="C485" s="7723" t="s">
        <v>3323</v>
      </c>
      <c r="D485" s="3483">
        <v>10000000</v>
      </c>
      <c r="E485" s="3523">
        <v>7.0000000000000007E-2</v>
      </c>
      <c r="F485" s="3483">
        <f>D485*E485</f>
        <v>700000.00000000012</v>
      </c>
      <c r="G485" s="7586"/>
      <c r="H485" s="7586"/>
      <c r="I485" s="8185"/>
      <c r="J485" s="7586"/>
      <c r="K485" s="7586"/>
      <c r="L485" s="8186"/>
    </row>
    <row r="486" spans="1:12" ht="30" customHeight="1" x14ac:dyDescent="0.2">
      <c r="A486" s="7656"/>
      <c r="B486" s="7665"/>
      <c r="C486" s="7747"/>
      <c r="D486" s="3483">
        <v>5000000</v>
      </c>
      <c r="E486" s="3523">
        <v>7.0000000000000007E-2</v>
      </c>
      <c r="F486" s="3483">
        <f>D486*E486</f>
        <v>350000.00000000006</v>
      </c>
      <c r="G486" s="7586"/>
      <c r="H486" s="7586"/>
      <c r="I486" s="8185"/>
      <c r="J486" s="7586"/>
      <c r="K486" s="7586"/>
      <c r="L486" s="8186"/>
    </row>
    <row r="487" spans="1:12" ht="30" customHeight="1" x14ac:dyDescent="0.2">
      <c r="A487" s="7655"/>
      <c r="B487" s="3495"/>
      <c r="C487" s="7724"/>
      <c r="D487" s="3570">
        <v>25500000</v>
      </c>
      <c r="E487" s="896"/>
      <c r="F487" s="3570">
        <f>SUM(F484:F486)</f>
        <v>1575000</v>
      </c>
      <c r="G487" s="7564"/>
      <c r="H487" s="7564"/>
      <c r="I487" s="7773"/>
      <c r="J487" s="7564"/>
      <c r="K487" s="7564"/>
      <c r="L487" s="3546"/>
    </row>
    <row r="488" spans="1:12" ht="30" customHeight="1" x14ac:dyDescent="0.2">
      <c r="A488" s="3526">
        <v>263</v>
      </c>
      <c r="B488" s="19" t="s">
        <v>572</v>
      </c>
      <c r="C488" s="3529" t="s">
        <v>1300</v>
      </c>
      <c r="D488" s="3513">
        <v>105000000</v>
      </c>
      <c r="E488" s="3523">
        <v>5.8000000000000003E-2</v>
      </c>
      <c r="F488" s="3513">
        <v>6000000</v>
      </c>
      <c r="G488" s="3513">
        <v>6000000</v>
      </c>
      <c r="H488" s="3513" t="s">
        <v>5596</v>
      </c>
      <c r="I488" s="3513" t="s">
        <v>4141</v>
      </c>
      <c r="J488" s="3513">
        <f t="shared" si="49"/>
        <v>6000000</v>
      </c>
      <c r="K488" s="3513">
        <f>F488-J488</f>
        <v>0</v>
      </c>
      <c r="L488" s="3539"/>
    </row>
    <row r="489" spans="1:12" ht="30" customHeight="1" x14ac:dyDescent="0.2">
      <c r="A489" s="3487">
        <v>264</v>
      </c>
      <c r="B489" s="3491" t="s">
        <v>119</v>
      </c>
      <c r="C489" s="3504" t="s">
        <v>262</v>
      </c>
      <c r="D489" s="3483">
        <v>50000000</v>
      </c>
      <c r="E489" s="3489">
        <f>F489/D489</f>
        <v>0.06</v>
      </c>
      <c r="F489" s="3483">
        <v>3000000</v>
      </c>
      <c r="G489" s="3483">
        <v>3000000</v>
      </c>
      <c r="H489" s="3513" t="s">
        <v>3977</v>
      </c>
      <c r="I489" s="3513" t="s">
        <v>3563</v>
      </c>
      <c r="J489" s="3483">
        <f t="shared" si="49"/>
        <v>3000000</v>
      </c>
      <c r="K489" s="3483">
        <f>F489-J489</f>
        <v>0</v>
      </c>
      <c r="L489" s="3564"/>
    </row>
    <row r="490" spans="1:12" ht="30" customHeight="1" x14ac:dyDescent="0.2">
      <c r="A490" s="1028">
        <v>265</v>
      </c>
      <c r="B490" s="19" t="s">
        <v>121</v>
      </c>
      <c r="C490" s="3529" t="s">
        <v>262</v>
      </c>
      <c r="D490" s="3513">
        <v>1000000000</v>
      </c>
      <c r="E490" s="3523">
        <v>7.0000000000000007E-2</v>
      </c>
      <c r="F490" s="3513">
        <f>D490*E490</f>
        <v>70000000</v>
      </c>
      <c r="G490" s="3513">
        <v>20000000</v>
      </c>
      <c r="H490" s="3513" t="s">
        <v>5367</v>
      </c>
      <c r="I490" s="3513" t="s">
        <v>3290</v>
      </c>
      <c r="J490" s="3513">
        <f>G490</f>
        <v>20000000</v>
      </c>
      <c r="K490" s="3513">
        <f>F490-J490</f>
        <v>50000000</v>
      </c>
      <c r="L490" s="3539" t="s">
        <v>5561</v>
      </c>
    </row>
    <row r="491" spans="1:12" ht="30" customHeight="1" x14ac:dyDescent="0.2">
      <c r="A491" s="3526">
        <v>266</v>
      </c>
      <c r="B491" s="3491" t="s">
        <v>1918</v>
      </c>
      <c r="C491" s="3504" t="s">
        <v>371</v>
      </c>
      <c r="D491" s="3483">
        <v>80000000</v>
      </c>
      <c r="E491" s="3489">
        <v>4.4999999999999998E-2</v>
      </c>
      <c r="F491" s="3483">
        <f t="shared" ref="F491:F590" si="50">D491*E491</f>
        <v>3600000</v>
      </c>
      <c r="G491" s="3483">
        <v>3600000</v>
      </c>
      <c r="H491" s="3483" t="s">
        <v>5585</v>
      </c>
      <c r="I491" s="18" t="s">
        <v>4065</v>
      </c>
      <c r="J491" s="3483">
        <f>G491</f>
        <v>3600000</v>
      </c>
      <c r="K491" s="3483">
        <f>F491-J491</f>
        <v>0</v>
      </c>
      <c r="L491" s="3527"/>
    </row>
    <row r="492" spans="1:12" ht="30" customHeight="1" x14ac:dyDescent="0.2">
      <c r="A492" s="7654">
        <v>267</v>
      </c>
      <c r="B492" s="7652" t="s">
        <v>497</v>
      </c>
      <c r="C492" s="7723" t="s">
        <v>371</v>
      </c>
      <c r="D492" s="7563">
        <v>300000000</v>
      </c>
      <c r="E492" s="7659">
        <v>0.04</v>
      </c>
      <c r="F492" s="7563">
        <f>D492*E492</f>
        <v>12000000</v>
      </c>
      <c r="G492" s="7563">
        <v>12000000</v>
      </c>
      <c r="H492" s="7563" t="s">
        <v>1879</v>
      </c>
      <c r="I492" s="7563" t="s">
        <v>3579</v>
      </c>
      <c r="J492" s="7563">
        <f>G492</f>
        <v>12000000</v>
      </c>
      <c r="K492" s="7563">
        <f>F492-J492</f>
        <v>0</v>
      </c>
      <c r="L492" s="3539" t="s">
        <v>2891</v>
      </c>
    </row>
    <row r="493" spans="1:12" ht="30" customHeight="1" x14ac:dyDescent="0.2">
      <c r="A493" s="7655"/>
      <c r="B493" s="7653"/>
      <c r="C493" s="7724"/>
      <c r="D493" s="7564"/>
      <c r="E493" s="7660"/>
      <c r="F493" s="7564"/>
      <c r="G493" s="7564"/>
      <c r="H493" s="7564"/>
      <c r="I493" s="7564"/>
      <c r="J493" s="7564"/>
      <c r="K493" s="7564"/>
      <c r="L493" s="3539" t="s">
        <v>3380</v>
      </c>
    </row>
    <row r="494" spans="1:12" ht="30" customHeight="1" x14ac:dyDescent="0.2">
      <c r="A494" s="3526">
        <v>268</v>
      </c>
      <c r="B494" s="3527" t="s">
        <v>391</v>
      </c>
      <c r="C494" s="3504" t="s">
        <v>392</v>
      </c>
      <c r="D494" s="3483">
        <v>130000000</v>
      </c>
      <c r="E494" s="3523">
        <v>4.4999999999999998E-2</v>
      </c>
      <c r="F494" s="3483">
        <f t="shared" si="50"/>
        <v>5850000</v>
      </c>
      <c r="G494" s="3483">
        <v>5850000</v>
      </c>
      <c r="H494" s="3483" t="s">
        <v>5434</v>
      </c>
      <c r="I494" s="18" t="s">
        <v>3518</v>
      </c>
      <c r="J494" s="3483">
        <f>G494</f>
        <v>5850000</v>
      </c>
      <c r="K494" s="3483">
        <f>F494-J494</f>
        <v>0</v>
      </c>
      <c r="L494" s="3527"/>
    </row>
    <row r="495" spans="1:12" ht="30" customHeight="1" x14ac:dyDescent="0.2">
      <c r="A495" s="3486">
        <v>269</v>
      </c>
      <c r="B495" s="3530" t="s">
        <v>123</v>
      </c>
      <c r="C495" s="3529" t="s">
        <v>262</v>
      </c>
      <c r="D495" s="3483">
        <v>500000000</v>
      </c>
      <c r="E495" s="3523">
        <v>0.06</v>
      </c>
      <c r="F495" s="3483">
        <f t="shared" si="50"/>
        <v>30000000</v>
      </c>
      <c r="G495" s="3483">
        <v>30000000</v>
      </c>
      <c r="H495" s="3483" t="s">
        <v>1879</v>
      </c>
      <c r="I495" s="18" t="s">
        <v>3546</v>
      </c>
      <c r="J495" s="3483">
        <f>G495</f>
        <v>30000000</v>
      </c>
      <c r="K495" s="3483">
        <f>F495-J495</f>
        <v>0</v>
      </c>
      <c r="L495" s="3527"/>
    </row>
    <row r="496" spans="1:12" ht="30" customHeight="1" x14ac:dyDescent="0.2">
      <c r="A496" s="3526">
        <v>270</v>
      </c>
      <c r="B496" s="3527" t="s">
        <v>124</v>
      </c>
      <c r="C496" s="3504"/>
      <c r="D496" s="3483">
        <v>20000000</v>
      </c>
      <c r="E496" s="3523">
        <v>5.5E-2</v>
      </c>
      <c r="F496" s="3483">
        <f t="shared" si="50"/>
        <v>1100000</v>
      </c>
      <c r="G496" s="3483">
        <v>1100000</v>
      </c>
      <c r="H496" s="3483" t="s">
        <v>5596</v>
      </c>
      <c r="I496" s="3582" t="s">
        <v>492</v>
      </c>
      <c r="J496" s="3483">
        <f>G496</f>
        <v>1100000</v>
      </c>
      <c r="K496" s="3483">
        <f>F496-J496</f>
        <v>0</v>
      </c>
      <c r="L496" s="3561"/>
    </row>
    <row r="497" spans="1:15" ht="30" customHeight="1" x14ac:dyDescent="0.2">
      <c r="A497" s="7654">
        <v>271</v>
      </c>
      <c r="B497" s="7652" t="s">
        <v>125</v>
      </c>
      <c r="C497" s="3529" t="s">
        <v>359</v>
      </c>
      <c r="D497" s="3513">
        <v>40000000</v>
      </c>
      <c r="E497" s="3523">
        <v>5.5E-2</v>
      </c>
      <c r="F497" s="3513">
        <f t="shared" si="50"/>
        <v>2200000</v>
      </c>
      <c r="G497" s="3513"/>
      <c r="H497" s="3513"/>
      <c r="I497" s="18" t="s">
        <v>4459</v>
      </c>
      <c r="J497" s="3513">
        <f>G497</f>
        <v>0</v>
      </c>
      <c r="K497" s="3513">
        <f>F497-J497</f>
        <v>2200000</v>
      </c>
      <c r="L497" s="3527"/>
    </row>
    <row r="498" spans="1:15" ht="30" customHeight="1" x14ac:dyDescent="0.2">
      <c r="A498" s="7656"/>
      <c r="B498" s="7665"/>
      <c r="C498" s="7723" t="s">
        <v>1796</v>
      </c>
      <c r="D498" s="3483">
        <v>10000000</v>
      </c>
      <c r="E498" s="3489">
        <v>0.05</v>
      </c>
      <c r="F498" s="3483">
        <f t="shared" si="50"/>
        <v>500000</v>
      </c>
      <c r="G498" s="7563"/>
      <c r="H498" s="7563"/>
      <c r="I498" s="7563" t="s">
        <v>4459</v>
      </c>
      <c r="J498" s="7563">
        <f>G498</f>
        <v>0</v>
      </c>
      <c r="K498" s="7563">
        <f>(F498+F499)-J498</f>
        <v>1000000</v>
      </c>
      <c r="L498" s="8000" t="s">
        <v>4823</v>
      </c>
      <c r="M498" s="2058"/>
      <c r="N498" s="2058"/>
      <c r="O498" s="2058"/>
    </row>
    <row r="499" spans="1:15" ht="30" customHeight="1" x14ac:dyDescent="0.2">
      <c r="A499" s="7656"/>
      <c r="B499" s="7665"/>
      <c r="C499" s="7724"/>
      <c r="D499" s="3483">
        <v>10000000</v>
      </c>
      <c r="E499" s="3489">
        <v>0.05</v>
      </c>
      <c r="F499" s="3483">
        <f t="shared" si="50"/>
        <v>500000</v>
      </c>
      <c r="G499" s="7564"/>
      <c r="H499" s="7564"/>
      <c r="I499" s="7564"/>
      <c r="J499" s="7564"/>
      <c r="K499" s="7564"/>
      <c r="L499" s="8000"/>
      <c r="M499" s="248"/>
      <c r="N499" s="248"/>
      <c r="O499" s="248"/>
    </row>
    <row r="500" spans="1:15" ht="30" customHeight="1" x14ac:dyDescent="0.2">
      <c r="A500" s="7655"/>
      <c r="B500" s="7653"/>
      <c r="C500" s="3514" t="s">
        <v>402</v>
      </c>
      <c r="D500" s="3483">
        <v>30000000</v>
      </c>
      <c r="E500" s="3489">
        <v>0.05</v>
      </c>
      <c r="F500" s="3483">
        <f t="shared" si="50"/>
        <v>1500000</v>
      </c>
      <c r="G500" s="3483">
        <v>1500000</v>
      </c>
      <c r="H500" s="3483" t="s">
        <v>5345</v>
      </c>
      <c r="I500" s="3683" t="s">
        <v>4459</v>
      </c>
      <c r="J500" s="3483">
        <f>G500</f>
        <v>1500000</v>
      </c>
      <c r="K500" s="3482">
        <f>F500-J500</f>
        <v>0</v>
      </c>
      <c r="L500" s="3545" t="s">
        <v>4824</v>
      </c>
      <c r="M500" s="248"/>
      <c r="N500" s="248"/>
      <c r="O500" s="248"/>
    </row>
    <row r="501" spans="1:15" ht="30" customHeight="1" x14ac:dyDescent="0.2">
      <c r="A501" s="7654"/>
      <c r="B501" s="8356" t="s">
        <v>2524</v>
      </c>
      <c r="C501" s="7873" t="s">
        <v>1287</v>
      </c>
      <c r="D501" s="3568">
        <v>495000000</v>
      </c>
      <c r="E501" s="3558">
        <v>5.5E-2</v>
      </c>
      <c r="F501" s="3568">
        <f>D501*E501</f>
        <v>27225000</v>
      </c>
      <c r="G501" s="8040"/>
      <c r="H501" s="8040"/>
      <c r="I501" s="8040"/>
      <c r="J501" s="8040"/>
      <c r="K501" s="7482"/>
      <c r="L501" s="8360" t="s">
        <v>6057</v>
      </c>
    </row>
    <row r="502" spans="1:15" ht="30" customHeight="1" x14ac:dyDescent="0.2">
      <c r="A502" s="7656"/>
      <c r="B502" s="8356"/>
      <c r="C502" s="7873"/>
      <c r="D502" s="3568">
        <v>65000000</v>
      </c>
      <c r="E502" s="3558">
        <v>0.06</v>
      </c>
      <c r="F502" s="3568">
        <f>D502*E502</f>
        <v>3900000</v>
      </c>
      <c r="G502" s="8040"/>
      <c r="H502" s="8040"/>
      <c r="I502" s="8040"/>
      <c r="J502" s="8040"/>
      <c r="K502" s="7482"/>
      <c r="L502" s="8361"/>
    </row>
    <row r="503" spans="1:15" ht="30" customHeight="1" x14ac:dyDescent="0.2">
      <c r="A503" s="7656"/>
      <c r="B503" s="8356"/>
      <c r="C503" s="7873"/>
      <c r="D503" s="3568">
        <v>246000000</v>
      </c>
      <c r="E503" s="3558">
        <v>0.06</v>
      </c>
      <c r="F503" s="3568">
        <f>D503*E503</f>
        <v>14760000</v>
      </c>
      <c r="G503" s="8040"/>
      <c r="H503" s="8040"/>
      <c r="I503" s="8040"/>
      <c r="J503" s="8040"/>
      <c r="K503" s="7482"/>
      <c r="L503" s="8361"/>
    </row>
    <row r="504" spans="1:15" ht="30" customHeight="1" x14ac:dyDescent="0.2">
      <c r="A504" s="7656"/>
      <c r="B504" s="8356"/>
      <c r="C504" s="7873"/>
      <c r="D504" s="8004" t="s">
        <v>1787</v>
      </c>
      <c r="E504" s="8005"/>
      <c r="F504" s="3568">
        <v>1300000</v>
      </c>
      <c r="G504" s="8040"/>
      <c r="H504" s="8040"/>
      <c r="I504" s="8040"/>
      <c r="J504" s="8040"/>
      <c r="K504" s="7482"/>
      <c r="L504" s="8361"/>
    </row>
    <row r="505" spans="1:15" ht="30" customHeight="1" x14ac:dyDescent="0.2">
      <c r="A505" s="7656"/>
      <c r="B505" s="8356"/>
      <c r="C505" s="7873"/>
      <c r="D505" s="3930">
        <f>D501+D502+D503</f>
        <v>806000000</v>
      </c>
      <c r="E505" s="3930"/>
      <c r="F505" s="3930">
        <f>F501+F502+F503+F504</f>
        <v>47185000</v>
      </c>
      <c r="G505" s="3931">
        <v>30000000</v>
      </c>
      <c r="H505" s="3931" t="s">
        <v>5697</v>
      </c>
      <c r="I505" s="3931" t="s">
        <v>815</v>
      </c>
      <c r="J505" s="7563">
        <f>G505+G506</f>
        <v>48400000</v>
      </c>
      <c r="K505" s="7563">
        <f>F507-J505</f>
        <v>-15000</v>
      </c>
      <c r="L505" s="735" t="s">
        <v>6058</v>
      </c>
    </row>
    <row r="506" spans="1:15" ht="30" customHeight="1" x14ac:dyDescent="0.2">
      <c r="A506" s="7656"/>
      <c r="B506" s="8356"/>
      <c r="C506" s="7873"/>
      <c r="D506" s="7545" t="s">
        <v>5704</v>
      </c>
      <c r="E506" s="7957"/>
      <c r="F506" s="3930">
        <v>1200000</v>
      </c>
      <c r="G506" s="7563">
        <v>18400000</v>
      </c>
      <c r="H506" s="7563" t="s">
        <v>5735</v>
      </c>
      <c r="I506" s="7563" t="s">
        <v>815</v>
      </c>
      <c r="J506" s="7586"/>
      <c r="K506" s="7586"/>
      <c r="L506" s="735" t="s">
        <v>6060</v>
      </c>
    </row>
    <row r="507" spans="1:15" ht="30" customHeight="1" x14ac:dyDescent="0.2">
      <c r="A507" s="7656"/>
      <c r="B507" s="8356"/>
      <c r="C507" s="7873"/>
      <c r="D507" s="7545">
        <f>D505</f>
        <v>806000000</v>
      </c>
      <c r="E507" s="7957"/>
      <c r="F507" s="3930">
        <f>F505+F506</f>
        <v>48385000</v>
      </c>
      <c r="G507" s="7564"/>
      <c r="H507" s="7564"/>
      <c r="I507" s="7564"/>
      <c r="J507" s="7564"/>
      <c r="K507" s="7564"/>
      <c r="L507" s="710" t="s">
        <v>6064</v>
      </c>
    </row>
    <row r="508" spans="1:15" ht="30" customHeight="1" x14ac:dyDescent="0.2">
      <c r="A508" s="7879"/>
      <c r="B508" s="8362" t="s">
        <v>2524</v>
      </c>
      <c r="C508" s="7723" t="s">
        <v>1287</v>
      </c>
      <c r="D508" s="4185">
        <v>857000000</v>
      </c>
      <c r="E508" s="4195">
        <v>0.06</v>
      </c>
      <c r="F508" s="4188">
        <f>D508*E508</f>
        <v>51420000</v>
      </c>
      <c r="G508" s="7991" t="s">
        <v>6062</v>
      </c>
      <c r="H508" s="7992"/>
      <c r="I508" s="7992"/>
      <c r="J508" s="7993"/>
      <c r="K508" s="4188"/>
      <c r="L508" s="710"/>
    </row>
    <row r="509" spans="1:15" ht="30" customHeight="1" x14ac:dyDescent="0.2">
      <c r="A509" s="7879"/>
      <c r="B509" s="8363"/>
      <c r="C509" s="7747"/>
      <c r="D509" s="7470" t="s">
        <v>5704</v>
      </c>
      <c r="E509" s="7510"/>
      <c r="F509" s="4188">
        <v>2500000</v>
      </c>
      <c r="G509" s="7997"/>
      <c r="H509" s="7998"/>
      <c r="I509" s="7998"/>
      <c r="J509" s="7999"/>
      <c r="K509" s="4188"/>
      <c r="L509" s="710"/>
    </row>
    <row r="510" spans="1:15" ht="30" customHeight="1" x14ac:dyDescent="0.2">
      <c r="A510" s="7879"/>
      <c r="B510" s="8364"/>
      <c r="C510" s="7724"/>
      <c r="D510" s="7470">
        <v>857000000</v>
      </c>
      <c r="E510" s="7510"/>
      <c r="F510" s="4188">
        <f>F508+F509</f>
        <v>53920000</v>
      </c>
      <c r="G510" s="7732" t="s">
        <v>6061</v>
      </c>
      <c r="H510" s="7733"/>
      <c r="I510" s="7733"/>
      <c r="J510" s="7734"/>
      <c r="K510" s="4188"/>
      <c r="L510" s="4211" t="s">
        <v>6063</v>
      </c>
    </row>
    <row r="511" spans="1:15" ht="30" customHeight="1" x14ac:dyDescent="0.2">
      <c r="A511" s="3526">
        <v>273</v>
      </c>
      <c r="B511" s="3527" t="s">
        <v>127</v>
      </c>
      <c r="C511" s="3529" t="s">
        <v>1291</v>
      </c>
      <c r="D511" s="3483">
        <v>20000000</v>
      </c>
      <c r="E511" s="3523">
        <v>0.05</v>
      </c>
      <c r="F511" s="3483">
        <f t="shared" si="50"/>
        <v>1000000</v>
      </c>
      <c r="G511" s="3483">
        <v>1000000</v>
      </c>
      <c r="H511" s="3483" t="s">
        <v>5697</v>
      </c>
      <c r="I511" s="3582" t="s">
        <v>480</v>
      </c>
      <c r="J511" s="3483">
        <f>G511</f>
        <v>1000000</v>
      </c>
      <c r="K511" s="3483">
        <f>F511-J511</f>
        <v>0</v>
      </c>
      <c r="L511" s="3527"/>
    </row>
    <row r="512" spans="1:15" ht="30" customHeight="1" x14ac:dyDescent="0.2">
      <c r="A512" s="3486">
        <v>274</v>
      </c>
      <c r="B512" s="19" t="s">
        <v>128</v>
      </c>
      <c r="C512" s="378"/>
      <c r="D512" s="3513">
        <v>50000000</v>
      </c>
      <c r="E512" s="3523">
        <v>0.05</v>
      </c>
      <c r="F512" s="3483">
        <f>D512*E512</f>
        <v>2500000</v>
      </c>
      <c r="G512" s="7954" t="s">
        <v>5039</v>
      </c>
      <c r="H512" s="7955"/>
      <c r="I512" s="7955"/>
      <c r="J512" s="7956"/>
      <c r="K512" s="3483">
        <f>F512-J512</f>
        <v>2500000</v>
      </c>
      <c r="L512" s="162"/>
    </row>
    <row r="513" spans="1:12" ht="30" customHeight="1" x14ac:dyDescent="0.2">
      <c r="A513" s="3526">
        <v>275</v>
      </c>
      <c r="B513" s="3527" t="s">
        <v>129</v>
      </c>
      <c r="C513" s="3504" t="s">
        <v>1291</v>
      </c>
      <c r="D513" s="3483">
        <v>130000000</v>
      </c>
      <c r="E513" s="3523">
        <v>0.05</v>
      </c>
      <c r="F513" s="3483">
        <f t="shared" si="50"/>
        <v>6500000</v>
      </c>
      <c r="G513" s="3483">
        <v>6500000</v>
      </c>
      <c r="H513" s="3483" t="s">
        <v>5634</v>
      </c>
      <c r="I513" s="3582" t="s">
        <v>3175</v>
      </c>
      <c r="J513" s="3483">
        <f>G513</f>
        <v>6500000</v>
      </c>
      <c r="K513" s="3483">
        <f>F513-J513</f>
        <v>0</v>
      </c>
      <c r="L513" s="3527"/>
    </row>
    <row r="514" spans="1:12" ht="30" customHeight="1" x14ac:dyDescent="0.2">
      <c r="A514" s="3486">
        <v>277</v>
      </c>
      <c r="B514" s="3490" t="s">
        <v>131</v>
      </c>
      <c r="C514" s="3514" t="s">
        <v>2849</v>
      </c>
      <c r="D514" s="3482">
        <v>200000000</v>
      </c>
      <c r="E514" s="3488">
        <v>0.05</v>
      </c>
      <c r="F514" s="3482">
        <f t="shared" si="50"/>
        <v>10000000</v>
      </c>
      <c r="G514" s="3482">
        <v>10000000</v>
      </c>
      <c r="H514" s="3482" t="s">
        <v>5697</v>
      </c>
      <c r="I514" s="3581" t="s">
        <v>5698</v>
      </c>
      <c r="J514" s="3482">
        <f>G514</f>
        <v>10000000</v>
      </c>
      <c r="K514" s="3482">
        <f>F514-J514</f>
        <v>0</v>
      </c>
      <c r="L514" s="3490"/>
    </row>
    <row r="515" spans="1:12" s="1539" customFormat="1" ht="30" customHeight="1" x14ac:dyDescent="0.2">
      <c r="A515" s="3486">
        <v>278</v>
      </c>
      <c r="B515" s="19" t="s">
        <v>620</v>
      </c>
      <c r="C515" s="3529" t="s">
        <v>3007</v>
      </c>
      <c r="D515" s="3513">
        <v>30000000</v>
      </c>
      <c r="E515" s="3523">
        <v>4.4999999999999998E-2</v>
      </c>
      <c r="F515" s="3513">
        <f t="shared" si="50"/>
        <v>1350000</v>
      </c>
      <c r="G515" s="3513">
        <v>1350000</v>
      </c>
      <c r="H515" s="3513" t="s">
        <v>5735</v>
      </c>
      <c r="I515" s="3534" t="s">
        <v>2066</v>
      </c>
      <c r="J515" s="3513">
        <f>G515</f>
        <v>1350000</v>
      </c>
      <c r="K515" s="3513">
        <f>F515-J515</f>
        <v>0</v>
      </c>
      <c r="L515" s="3535"/>
    </row>
    <row r="516" spans="1:12" ht="30" customHeight="1" x14ac:dyDescent="0.2">
      <c r="A516" s="3526">
        <v>279</v>
      </c>
      <c r="B516" s="3527" t="s">
        <v>132</v>
      </c>
      <c r="C516" s="3504" t="s">
        <v>402</v>
      </c>
      <c r="D516" s="3483">
        <v>11000000</v>
      </c>
      <c r="E516" s="3523">
        <v>4.4999999999999998E-2</v>
      </c>
      <c r="F516" s="3483">
        <v>500000</v>
      </c>
      <c r="G516" s="3483">
        <v>500000</v>
      </c>
      <c r="H516" s="3483" t="s">
        <v>5585</v>
      </c>
      <c r="I516" s="3582" t="s">
        <v>5587</v>
      </c>
      <c r="J516" s="3483">
        <f t="shared" ref="J516:J530" si="51">G516</f>
        <v>500000</v>
      </c>
      <c r="K516" s="3483">
        <f t="shared" ref="K516:K530" si="52">F516-J516</f>
        <v>0</v>
      </c>
      <c r="L516" s="3821" t="s">
        <v>5588</v>
      </c>
    </row>
    <row r="517" spans="1:12" ht="30" customHeight="1" x14ac:dyDescent="0.2">
      <c r="A517" s="3526">
        <v>280</v>
      </c>
      <c r="B517" s="1949" t="s">
        <v>458</v>
      </c>
      <c r="C517" s="3504" t="s">
        <v>5213</v>
      </c>
      <c r="D517" s="3513">
        <v>20000000</v>
      </c>
      <c r="E517" s="3523">
        <v>0.05</v>
      </c>
      <c r="F517" s="3513">
        <f t="shared" si="50"/>
        <v>1000000</v>
      </c>
      <c r="G517" s="3513">
        <v>1000000</v>
      </c>
      <c r="H517" s="3513" t="s">
        <v>5839</v>
      </c>
      <c r="I517" s="3513" t="s">
        <v>3756</v>
      </c>
      <c r="J517" s="3513">
        <f t="shared" si="51"/>
        <v>1000000</v>
      </c>
      <c r="K517" s="3513">
        <f t="shared" si="52"/>
        <v>0</v>
      </c>
      <c r="L517" s="1024" t="s">
        <v>3097</v>
      </c>
    </row>
    <row r="518" spans="1:12" ht="30" customHeight="1" x14ac:dyDescent="0.2">
      <c r="A518" s="3487">
        <v>281</v>
      </c>
      <c r="B518" s="3530" t="s">
        <v>133</v>
      </c>
      <c r="C518" s="3504" t="s">
        <v>1290</v>
      </c>
      <c r="D518" s="3483">
        <v>40000000</v>
      </c>
      <c r="E518" s="3489">
        <v>0.05</v>
      </c>
      <c r="F518" s="3483">
        <f t="shared" si="50"/>
        <v>2000000</v>
      </c>
      <c r="G518" s="3483">
        <v>2000000</v>
      </c>
      <c r="H518" s="3483" t="s">
        <v>1972</v>
      </c>
      <c r="I518" s="3483" t="s">
        <v>635</v>
      </c>
      <c r="J518" s="3483">
        <f t="shared" si="51"/>
        <v>2000000</v>
      </c>
      <c r="K518" s="3483">
        <f t="shared" si="52"/>
        <v>0</v>
      </c>
      <c r="L518" s="3527"/>
    </row>
    <row r="519" spans="1:12" ht="30" customHeight="1" x14ac:dyDescent="0.2">
      <c r="A519" s="3526">
        <v>282</v>
      </c>
      <c r="B519" s="3527" t="s">
        <v>1024</v>
      </c>
      <c r="C519" s="3504" t="s">
        <v>371</v>
      </c>
      <c r="D519" s="3483">
        <v>20000000</v>
      </c>
      <c r="E519" s="3523">
        <v>0.04</v>
      </c>
      <c r="F519" s="3483">
        <f t="shared" si="50"/>
        <v>800000</v>
      </c>
      <c r="G519" s="3483">
        <v>800000</v>
      </c>
      <c r="H519" s="3483" t="s">
        <v>5585</v>
      </c>
      <c r="I519" s="3757" t="s">
        <v>2453</v>
      </c>
      <c r="J519" s="3483">
        <f t="shared" si="51"/>
        <v>800000</v>
      </c>
      <c r="K519" s="3483">
        <f t="shared" si="52"/>
        <v>0</v>
      </c>
      <c r="L519" s="3527"/>
    </row>
    <row r="520" spans="1:12" ht="30" customHeight="1" x14ac:dyDescent="0.2">
      <c r="A520" s="7879"/>
      <c r="B520" s="7652" t="s">
        <v>134</v>
      </c>
      <c r="C520" s="7723" t="s">
        <v>1294</v>
      </c>
      <c r="D520" s="3483">
        <v>50111000</v>
      </c>
      <c r="E520" s="3489">
        <v>0.05</v>
      </c>
      <c r="F520" s="3483">
        <f>D520*E520</f>
        <v>2505550</v>
      </c>
      <c r="G520" s="7563">
        <v>3890700</v>
      </c>
      <c r="H520" s="7563" t="s">
        <v>5735</v>
      </c>
      <c r="I520" s="7563" t="s">
        <v>5758</v>
      </c>
      <c r="J520" s="7563">
        <f>G520</f>
        <v>3890700</v>
      </c>
      <c r="K520" s="7563">
        <f>F526-J520</f>
        <v>0</v>
      </c>
      <c r="L520" s="763"/>
    </row>
    <row r="521" spans="1:12" ht="30" customHeight="1" x14ac:dyDescent="0.2">
      <c r="A521" s="7879"/>
      <c r="B521" s="7665"/>
      <c r="C521" s="7747"/>
      <c r="D521" s="3483">
        <v>3230000</v>
      </c>
      <c r="E521" s="3489">
        <v>0.05</v>
      </c>
      <c r="F521" s="3483">
        <f>D521*E521</f>
        <v>161500</v>
      </c>
      <c r="G521" s="7586"/>
      <c r="H521" s="7586"/>
      <c r="I521" s="7586"/>
      <c r="J521" s="7586"/>
      <c r="K521" s="7586"/>
      <c r="L521" s="763" t="s">
        <v>4497</v>
      </c>
    </row>
    <row r="522" spans="1:12" ht="30" customHeight="1" x14ac:dyDescent="0.2">
      <c r="A522" s="7879"/>
      <c r="B522" s="7665"/>
      <c r="C522" s="7747"/>
      <c r="D522" s="3570">
        <f>D520+D521</f>
        <v>53341000</v>
      </c>
      <c r="E522" s="3572">
        <v>0.05</v>
      </c>
      <c r="F522" s="3570">
        <f>D522*E522</f>
        <v>2667050</v>
      </c>
      <c r="G522" s="7586"/>
      <c r="H522" s="7586"/>
      <c r="I522" s="7586"/>
      <c r="J522" s="7586"/>
      <c r="K522" s="7586"/>
      <c r="L522" s="763"/>
    </row>
    <row r="523" spans="1:12" ht="30" customHeight="1" x14ac:dyDescent="0.2">
      <c r="A523" s="7879"/>
      <c r="B523" s="7665"/>
      <c r="C523" s="7747"/>
      <c r="D523" s="3483">
        <v>4473000</v>
      </c>
      <c r="E523" s="3489">
        <v>0.05</v>
      </c>
      <c r="F523" s="3483">
        <f>D523*E523</f>
        <v>223650</v>
      </c>
      <c r="G523" s="7586"/>
      <c r="H523" s="7586"/>
      <c r="I523" s="7586"/>
      <c r="J523" s="7586"/>
      <c r="K523" s="7586"/>
      <c r="L523" s="763" t="s">
        <v>5152</v>
      </c>
    </row>
    <row r="524" spans="1:12" ht="30" customHeight="1" x14ac:dyDescent="0.2">
      <c r="A524" s="7879"/>
      <c r="B524" s="7665"/>
      <c r="C524" s="7747"/>
      <c r="D524" s="3483">
        <v>10000000</v>
      </c>
      <c r="E524" s="3489">
        <v>0.05</v>
      </c>
      <c r="F524" s="3483">
        <f t="shared" ref="F524:F525" si="53">D524*E524</f>
        <v>500000</v>
      </c>
      <c r="G524" s="7586"/>
      <c r="H524" s="7586"/>
      <c r="I524" s="7586"/>
      <c r="J524" s="7586"/>
      <c r="K524" s="7586"/>
      <c r="L524" s="763" t="s">
        <v>5153</v>
      </c>
    </row>
    <row r="525" spans="1:12" ht="30" customHeight="1" x14ac:dyDescent="0.2">
      <c r="A525" s="7879"/>
      <c r="B525" s="7665"/>
      <c r="C525" s="7747"/>
      <c r="D525" s="3483">
        <v>10000000</v>
      </c>
      <c r="E525" s="3489">
        <v>0.05</v>
      </c>
      <c r="F525" s="3483">
        <f t="shared" si="53"/>
        <v>500000</v>
      </c>
      <c r="G525" s="7586"/>
      <c r="H525" s="7586"/>
      <c r="I525" s="7586"/>
      <c r="J525" s="7586"/>
      <c r="K525" s="7586"/>
      <c r="L525" s="763" t="s">
        <v>5240</v>
      </c>
    </row>
    <row r="526" spans="1:12" ht="30" customHeight="1" x14ac:dyDescent="0.2">
      <c r="A526" s="7879"/>
      <c r="B526" s="7665"/>
      <c r="C526" s="7747"/>
      <c r="D526" s="3570">
        <f>D522+D523+D524+D525</f>
        <v>77814000</v>
      </c>
      <c r="E526" s="3572">
        <v>0.05</v>
      </c>
      <c r="F526" s="3570">
        <f>D526*E526</f>
        <v>3890700</v>
      </c>
      <c r="G526" s="7564"/>
      <c r="H526" s="7564"/>
      <c r="I526" s="7564"/>
      <c r="J526" s="7564"/>
      <c r="K526" s="7564"/>
      <c r="L526" s="763" t="s">
        <v>5208</v>
      </c>
    </row>
    <row r="527" spans="1:12" ht="30" customHeight="1" x14ac:dyDescent="0.2">
      <c r="A527" s="7879"/>
      <c r="B527" s="7665"/>
      <c r="C527" s="7747"/>
      <c r="D527" s="4030">
        <v>2000000</v>
      </c>
      <c r="E527" s="4031">
        <v>0.05</v>
      </c>
      <c r="F527" s="4030">
        <f>D527*E527</f>
        <v>100000</v>
      </c>
      <c r="G527" s="7991" t="s">
        <v>5865</v>
      </c>
      <c r="H527" s="7992"/>
      <c r="I527" s="7992"/>
      <c r="J527" s="7993"/>
      <c r="K527" s="4029"/>
      <c r="L527" s="4042" t="s">
        <v>5864</v>
      </c>
    </row>
    <row r="528" spans="1:12" ht="30" customHeight="1" x14ac:dyDescent="0.2">
      <c r="A528" s="7879"/>
      <c r="B528" s="7665"/>
      <c r="C528" s="7747"/>
      <c r="D528" s="4030">
        <v>3341000</v>
      </c>
      <c r="E528" s="4031">
        <v>0.05</v>
      </c>
      <c r="F528" s="4030">
        <f>D528*E528</f>
        <v>167050</v>
      </c>
      <c r="G528" s="7994"/>
      <c r="H528" s="7995"/>
      <c r="I528" s="7995"/>
      <c r="J528" s="7996"/>
      <c r="K528" s="4029"/>
      <c r="L528" s="4042" t="s">
        <v>5867</v>
      </c>
    </row>
    <row r="529" spans="1:13" ht="30" customHeight="1" x14ac:dyDescent="0.2">
      <c r="A529" s="7879"/>
      <c r="B529" s="7653"/>
      <c r="C529" s="7724"/>
      <c r="D529" s="4039">
        <f>SUM(D526:D528)</f>
        <v>83155000</v>
      </c>
      <c r="E529" s="4040">
        <v>0.05</v>
      </c>
      <c r="F529" s="4039">
        <f>SUM(F526:F528)</f>
        <v>4157750</v>
      </c>
      <c r="G529" s="7997"/>
      <c r="H529" s="7998"/>
      <c r="I529" s="7998"/>
      <c r="J529" s="7999"/>
      <c r="K529" s="4029"/>
      <c r="L529" s="4042"/>
    </row>
    <row r="530" spans="1:13" ht="30" customHeight="1" x14ac:dyDescent="0.2">
      <c r="A530" s="3492"/>
      <c r="B530" s="3527" t="s">
        <v>4246</v>
      </c>
      <c r="C530" s="3503"/>
      <c r="D530" s="3483">
        <v>67000000</v>
      </c>
      <c r="E530" s="3489">
        <v>0.05</v>
      </c>
      <c r="F530" s="3483">
        <f>D530*E530</f>
        <v>3350000</v>
      </c>
      <c r="G530" s="3513">
        <v>3350000</v>
      </c>
      <c r="H530" s="3513" t="s">
        <v>5358</v>
      </c>
      <c r="I530" s="3513" t="s">
        <v>4865</v>
      </c>
      <c r="J530" s="3513">
        <f t="shared" si="51"/>
        <v>3350000</v>
      </c>
      <c r="K530" s="3481">
        <f t="shared" si="52"/>
        <v>0</v>
      </c>
      <c r="L530" s="763" t="s">
        <v>4247</v>
      </c>
    </row>
    <row r="531" spans="1:13" ht="30" customHeight="1" x14ac:dyDescent="0.2">
      <c r="A531" s="7654"/>
      <c r="B531" s="7652" t="s">
        <v>1158</v>
      </c>
      <c r="C531" s="7723" t="s">
        <v>371</v>
      </c>
      <c r="D531" s="3608">
        <v>100000000</v>
      </c>
      <c r="E531" s="3609">
        <v>4.4999999999999998E-2</v>
      </c>
      <c r="F531" s="3608">
        <f t="shared" si="50"/>
        <v>4500000</v>
      </c>
      <c r="G531" s="3513">
        <v>25000000</v>
      </c>
      <c r="H531" s="3513" t="s">
        <v>5340</v>
      </c>
      <c r="I531" s="3513" t="s">
        <v>2219</v>
      </c>
      <c r="J531" s="3513">
        <f>G531</f>
        <v>25000000</v>
      </c>
      <c r="K531" s="227"/>
      <c r="L531" s="763" t="s">
        <v>5342</v>
      </c>
      <c r="M531" t="s">
        <v>5056</v>
      </c>
    </row>
    <row r="532" spans="1:13" ht="30" customHeight="1" x14ac:dyDescent="0.2">
      <c r="A532" s="7656"/>
      <c r="B532" s="7665"/>
      <c r="C532" s="7747"/>
      <c r="D532" s="3551">
        <v>75000000</v>
      </c>
      <c r="E532" s="1929">
        <v>0.05</v>
      </c>
      <c r="F532" s="1542">
        <f t="shared" si="50"/>
        <v>3750000</v>
      </c>
      <c r="G532" s="7482">
        <v>10925000</v>
      </c>
      <c r="H532" s="7482" t="s">
        <v>5697</v>
      </c>
      <c r="I532" s="7482" t="s">
        <v>2219</v>
      </c>
      <c r="J532" s="7482">
        <f>G532</f>
        <v>10925000</v>
      </c>
      <c r="K532" s="7482"/>
      <c r="L532" s="763" t="s">
        <v>5343</v>
      </c>
    </row>
    <row r="533" spans="1:13" ht="30" customHeight="1" x14ac:dyDescent="0.2">
      <c r="A533" s="7656"/>
      <c r="B533" s="7665"/>
      <c r="C533" s="7747"/>
      <c r="D533" s="3551">
        <v>60000000</v>
      </c>
      <c r="E533" s="1929">
        <v>0.05</v>
      </c>
      <c r="F533" s="1542">
        <f t="shared" si="50"/>
        <v>3000000</v>
      </c>
      <c r="G533" s="7482"/>
      <c r="H533" s="7482"/>
      <c r="I533" s="7482"/>
      <c r="J533" s="7482"/>
      <c r="K533" s="7482"/>
      <c r="L533" s="8304" t="s">
        <v>5058</v>
      </c>
    </row>
    <row r="534" spans="1:13" ht="30" customHeight="1" x14ac:dyDescent="0.2">
      <c r="A534" s="7656"/>
      <c r="B534" s="7665"/>
      <c r="C534" s="7747"/>
      <c r="D534" s="3551">
        <v>30000000</v>
      </c>
      <c r="E534" s="1929">
        <v>0.05</v>
      </c>
      <c r="F534" s="1542">
        <f t="shared" si="50"/>
        <v>1500000</v>
      </c>
      <c r="G534" s="7482"/>
      <c r="H534" s="7482"/>
      <c r="I534" s="7482"/>
      <c r="J534" s="7482"/>
      <c r="K534" s="7482"/>
      <c r="L534" s="8305"/>
    </row>
    <row r="535" spans="1:13" ht="30" customHeight="1" x14ac:dyDescent="0.2">
      <c r="A535" s="7656"/>
      <c r="B535" s="7665"/>
      <c r="C535" s="7747"/>
      <c r="D535" s="3551">
        <v>40000000</v>
      </c>
      <c r="E535" s="1929">
        <v>0.05</v>
      </c>
      <c r="F535" s="1542">
        <f t="shared" si="50"/>
        <v>2000000</v>
      </c>
      <c r="G535" s="7482"/>
      <c r="H535" s="7482"/>
      <c r="I535" s="7482"/>
      <c r="J535" s="7482"/>
      <c r="K535" s="7482"/>
      <c r="L535" s="8305"/>
    </row>
    <row r="536" spans="1:13" ht="30" customHeight="1" x14ac:dyDescent="0.2">
      <c r="A536" s="7656"/>
      <c r="B536" s="7665"/>
      <c r="C536" s="7747"/>
      <c r="D536" s="3551">
        <f>SUM(D532:D535)</f>
        <v>205000000</v>
      </c>
      <c r="E536" s="1929">
        <v>0.05</v>
      </c>
      <c r="F536" s="1542">
        <f>D536*E536</f>
        <v>10250000</v>
      </c>
      <c r="G536" s="7482"/>
      <c r="H536" s="7482"/>
      <c r="I536" s="7482"/>
      <c r="J536" s="7482"/>
      <c r="K536" s="7482"/>
      <c r="L536" s="8306"/>
    </row>
    <row r="537" spans="1:13" ht="30" customHeight="1" x14ac:dyDescent="0.2">
      <c r="A537" s="3486">
        <v>286</v>
      </c>
      <c r="B537" s="3530" t="s">
        <v>1622</v>
      </c>
      <c r="C537" s="3529"/>
      <c r="D537" s="3513">
        <v>35000000</v>
      </c>
      <c r="E537" s="1027">
        <v>0.05</v>
      </c>
      <c r="F537" s="3513">
        <v>1700000</v>
      </c>
      <c r="G537" s="3513">
        <v>1700000</v>
      </c>
      <c r="H537" s="3513" t="s">
        <v>1649</v>
      </c>
      <c r="I537" s="18" t="s">
        <v>307</v>
      </c>
      <c r="J537" s="3513">
        <f>G537</f>
        <v>1700000</v>
      </c>
      <c r="K537" s="3513">
        <f>F537-J537</f>
        <v>0</v>
      </c>
      <c r="L537" s="3512"/>
    </row>
    <row r="538" spans="1:13" ht="30" customHeight="1" x14ac:dyDescent="0.2">
      <c r="A538" s="7654">
        <v>287</v>
      </c>
      <c r="B538" s="7652" t="s">
        <v>137</v>
      </c>
      <c r="C538" s="7723" t="s">
        <v>1294</v>
      </c>
      <c r="D538" s="3483">
        <v>15000000</v>
      </c>
      <c r="E538" s="3489">
        <v>0.05</v>
      </c>
      <c r="F538" s="3483">
        <f t="shared" si="50"/>
        <v>750000</v>
      </c>
      <c r="G538" s="7563">
        <v>3000000</v>
      </c>
      <c r="H538" s="7563" t="s">
        <v>5735</v>
      </c>
      <c r="I538" s="7561" t="s">
        <v>5121</v>
      </c>
      <c r="J538" s="7563">
        <f>G538+G539</f>
        <v>3000000</v>
      </c>
      <c r="K538" s="7563">
        <f>(F538+F539)-J538</f>
        <v>0</v>
      </c>
      <c r="L538" s="7657"/>
    </row>
    <row r="539" spans="1:13" ht="30" customHeight="1" x14ac:dyDescent="0.2">
      <c r="A539" s="7655"/>
      <c r="B539" s="7653"/>
      <c r="C539" s="7724"/>
      <c r="D539" s="3483">
        <v>45000000</v>
      </c>
      <c r="E539" s="3489">
        <v>0.05</v>
      </c>
      <c r="F539" s="3483">
        <f t="shared" si="50"/>
        <v>2250000</v>
      </c>
      <c r="G539" s="7564"/>
      <c r="H539" s="7564"/>
      <c r="I539" s="7562"/>
      <c r="J539" s="7564"/>
      <c r="K539" s="7564"/>
      <c r="L539" s="7658"/>
    </row>
    <row r="540" spans="1:13" ht="30" customHeight="1" x14ac:dyDescent="0.2">
      <c r="A540" s="3526">
        <v>288</v>
      </c>
      <c r="B540" s="3527" t="s">
        <v>138</v>
      </c>
      <c r="C540" s="3504" t="s">
        <v>1289</v>
      </c>
      <c r="D540" s="3483">
        <v>50000000</v>
      </c>
      <c r="E540" s="3523">
        <v>4.4999999999999998E-2</v>
      </c>
      <c r="F540" s="3483">
        <f t="shared" si="50"/>
        <v>2250000</v>
      </c>
      <c r="G540" s="3483">
        <v>2250000</v>
      </c>
      <c r="H540" s="3483" t="s">
        <v>5735</v>
      </c>
      <c r="I540" s="3582" t="s">
        <v>673</v>
      </c>
      <c r="J540" s="3483">
        <f t="shared" ref="J540:J552" si="54">G540</f>
        <v>2250000</v>
      </c>
      <c r="K540" s="3483">
        <f t="shared" ref="K540:K552" si="55">F540-J540</f>
        <v>0</v>
      </c>
      <c r="L540" s="3527"/>
    </row>
    <row r="541" spans="1:13" ht="30" customHeight="1" x14ac:dyDescent="0.2">
      <c r="A541" s="3526">
        <v>289</v>
      </c>
      <c r="B541" s="3527" t="s">
        <v>637</v>
      </c>
      <c r="C541" s="3504" t="s">
        <v>1299</v>
      </c>
      <c r="D541" s="3483">
        <v>25000000</v>
      </c>
      <c r="E541" s="3523">
        <v>0.06</v>
      </c>
      <c r="F541" s="3483">
        <f t="shared" si="50"/>
        <v>1500000</v>
      </c>
      <c r="G541" s="3483">
        <v>1500000</v>
      </c>
      <c r="H541" s="3483" t="s">
        <v>5735</v>
      </c>
      <c r="I541" s="18" t="s">
        <v>4554</v>
      </c>
      <c r="J541" s="3483">
        <f t="shared" si="54"/>
        <v>1500000</v>
      </c>
      <c r="K541" s="3483">
        <f t="shared" si="55"/>
        <v>0</v>
      </c>
      <c r="L541" s="3527"/>
    </row>
    <row r="542" spans="1:13" ht="30" customHeight="1" x14ac:dyDescent="0.2">
      <c r="A542" s="3486">
        <v>290</v>
      </c>
      <c r="B542" s="3530" t="s">
        <v>3848</v>
      </c>
      <c r="C542" s="3504" t="s">
        <v>1288</v>
      </c>
      <c r="D542" s="3483">
        <v>1150000000</v>
      </c>
      <c r="E542" s="3523">
        <v>7.0000000000000007E-2</v>
      </c>
      <c r="F542" s="3483">
        <f>D542*E542</f>
        <v>80500000.000000015</v>
      </c>
      <c r="G542" s="3513"/>
      <c r="H542" s="3513"/>
      <c r="I542" s="3513" t="s">
        <v>4095</v>
      </c>
      <c r="J542" s="3513">
        <f>G542</f>
        <v>0</v>
      </c>
      <c r="K542" s="3483">
        <f t="shared" si="55"/>
        <v>80500000.000000015</v>
      </c>
      <c r="L542" s="3535" t="s">
        <v>3859</v>
      </c>
    </row>
    <row r="543" spans="1:13" ht="30" customHeight="1" x14ac:dyDescent="0.2">
      <c r="A543" s="7654">
        <v>292</v>
      </c>
      <c r="B543" s="7652" t="s">
        <v>140</v>
      </c>
      <c r="C543" s="7723" t="s">
        <v>1299</v>
      </c>
      <c r="D543" s="3483">
        <v>100000000</v>
      </c>
      <c r="E543" s="3523">
        <v>0.05</v>
      </c>
      <c r="F543" s="3483">
        <f t="shared" si="50"/>
        <v>5000000</v>
      </c>
      <c r="G543" s="8285" t="s">
        <v>4957</v>
      </c>
      <c r="H543" s="8286"/>
      <c r="I543" s="8286"/>
      <c r="J543" s="8287"/>
      <c r="K543" s="3483">
        <f t="shared" si="55"/>
        <v>5000000</v>
      </c>
      <c r="L543" s="3527"/>
    </row>
    <row r="544" spans="1:13" ht="30" customHeight="1" x14ac:dyDescent="0.2">
      <c r="A544" s="7656"/>
      <c r="B544" s="7665"/>
      <c r="C544" s="7747"/>
      <c r="D544" s="3757">
        <v>5000000</v>
      </c>
      <c r="E544" s="3793">
        <v>0.05</v>
      </c>
      <c r="F544" s="3757">
        <f t="shared" si="50"/>
        <v>250000</v>
      </c>
      <c r="G544" s="8288"/>
      <c r="H544" s="8289"/>
      <c r="I544" s="8289"/>
      <c r="J544" s="8290"/>
      <c r="K544" s="3757">
        <f t="shared" si="55"/>
        <v>250000</v>
      </c>
      <c r="L544" s="3795"/>
    </row>
    <row r="545" spans="1:12" ht="30" customHeight="1" x14ac:dyDescent="0.2">
      <c r="A545" s="7656"/>
      <c r="B545" s="7665"/>
      <c r="C545" s="7747"/>
      <c r="D545" s="3757">
        <v>295000000</v>
      </c>
      <c r="E545" s="3793">
        <v>0.05</v>
      </c>
      <c r="F545" s="3757">
        <f t="shared" si="50"/>
        <v>14750000</v>
      </c>
      <c r="G545" s="7732" t="s">
        <v>5629</v>
      </c>
      <c r="H545" s="7733"/>
      <c r="I545" s="7733"/>
      <c r="J545" s="7734"/>
      <c r="K545" s="3757">
        <f t="shared" si="55"/>
        <v>14750000</v>
      </c>
      <c r="L545" s="3795"/>
    </row>
    <row r="546" spans="1:12" ht="30" customHeight="1" x14ac:dyDescent="0.2">
      <c r="A546" s="7655"/>
      <c r="B546" s="7653"/>
      <c r="C546" s="7724"/>
      <c r="D546" s="3806">
        <f>SUM(D543:D545)</f>
        <v>400000000</v>
      </c>
      <c r="E546" s="896">
        <v>7.0000000000000007E-2</v>
      </c>
      <c r="F546" s="3806">
        <f>D546*E546</f>
        <v>28000000.000000004</v>
      </c>
      <c r="G546" s="3757"/>
      <c r="H546" s="3757"/>
      <c r="I546" s="65"/>
      <c r="J546" s="3757"/>
      <c r="K546" s="3757">
        <f t="shared" si="55"/>
        <v>28000000.000000004</v>
      </c>
      <c r="L546" s="3788" t="s">
        <v>5533</v>
      </c>
    </row>
    <row r="547" spans="1:12" ht="30" customHeight="1" x14ac:dyDescent="0.2">
      <c r="A547" s="7654">
        <v>293</v>
      </c>
      <c r="B547" s="7652" t="s">
        <v>141</v>
      </c>
      <c r="C547" s="7723" t="s">
        <v>1299</v>
      </c>
      <c r="D547" s="3483">
        <v>75000000</v>
      </c>
      <c r="E547" s="3523">
        <v>0.04</v>
      </c>
      <c r="F547" s="3483">
        <f>D547*E547</f>
        <v>3000000</v>
      </c>
      <c r="G547" s="3483">
        <v>3000000</v>
      </c>
      <c r="H547" s="3483" t="s">
        <v>5735</v>
      </c>
      <c r="I547" s="18" t="s">
        <v>2540</v>
      </c>
      <c r="J547" s="3483">
        <f t="shared" si="54"/>
        <v>3000000</v>
      </c>
      <c r="K547" s="3483">
        <f t="shared" si="55"/>
        <v>0</v>
      </c>
      <c r="L547" s="4147" t="s">
        <v>5972</v>
      </c>
    </row>
    <row r="548" spans="1:12" ht="30" customHeight="1" x14ac:dyDescent="0.2">
      <c r="A548" s="7656"/>
      <c r="B548" s="7665"/>
      <c r="C548" s="7747"/>
      <c r="D548" s="7563">
        <v>25000000</v>
      </c>
      <c r="E548" s="7659">
        <v>0.05</v>
      </c>
      <c r="F548" s="7563">
        <f>D548*E548</f>
        <v>1250000</v>
      </c>
      <c r="G548" s="7732" t="s">
        <v>6098</v>
      </c>
      <c r="H548" s="7733"/>
      <c r="I548" s="7733"/>
      <c r="J548" s="7734"/>
      <c r="K548" s="4137"/>
      <c r="L548" s="7818" t="s">
        <v>5974</v>
      </c>
    </row>
    <row r="549" spans="1:12" ht="30" customHeight="1" x14ac:dyDescent="0.2">
      <c r="A549" s="7656"/>
      <c r="B549" s="7665"/>
      <c r="C549" s="7747"/>
      <c r="D549" s="7586"/>
      <c r="E549" s="7676"/>
      <c r="F549" s="7586"/>
      <c r="G549" s="7732" t="s">
        <v>6099</v>
      </c>
      <c r="H549" s="7733"/>
      <c r="I549" s="7733"/>
      <c r="J549" s="7734"/>
      <c r="K549" s="4245"/>
      <c r="L549" s="7855"/>
    </row>
    <row r="550" spans="1:12" ht="30" customHeight="1" x14ac:dyDescent="0.2">
      <c r="A550" s="7656"/>
      <c r="B550" s="7665"/>
      <c r="C550" s="7747"/>
      <c r="D550" s="7564"/>
      <c r="E550" s="7660"/>
      <c r="F550" s="7564"/>
      <c r="G550" s="7732" t="s">
        <v>6100</v>
      </c>
      <c r="H550" s="7733"/>
      <c r="I550" s="7733"/>
      <c r="J550" s="7734"/>
      <c r="K550" s="4245"/>
      <c r="L550" s="7819"/>
    </row>
    <row r="551" spans="1:12" ht="30" customHeight="1" x14ac:dyDescent="0.2">
      <c r="A551" s="7655"/>
      <c r="B551" s="7653"/>
      <c r="C551" s="7724"/>
      <c r="D551" s="4153">
        <v>100000000</v>
      </c>
      <c r="E551" s="896">
        <v>0.05</v>
      </c>
      <c r="F551" s="4153">
        <f>D551*E551</f>
        <v>5000000</v>
      </c>
      <c r="G551" s="7470"/>
      <c r="H551" s="7493"/>
      <c r="I551" s="7493"/>
      <c r="J551" s="7510"/>
      <c r="K551" s="4137"/>
      <c r="L551" s="4147" t="s">
        <v>5973</v>
      </c>
    </row>
    <row r="552" spans="1:12" ht="30" customHeight="1" x14ac:dyDescent="0.2">
      <c r="A552" s="3573">
        <v>295</v>
      </c>
      <c r="B552" s="3530" t="s">
        <v>142</v>
      </c>
      <c r="C552" s="3503" t="s">
        <v>1299</v>
      </c>
      <c r="D552" s="3483">
        <v>100000000</v>
      </c>
      <c r="E552" s="3523">
        <v>0.05</v>
      </c>
      <c r="F552" s="3483">
        <f t="shared" si="50"/>
        <v>5000000</v>
      </c>
      <c r="G552" s="3513">
        <v>5000000</v>
      </c>
      <c r="H552" s="3513" t="s">
        <v>5735</v>
      </c>
      <c r="I552" s="3513" t="s">
        <v>4084</v>
      </c>
      <c r="J552" s="3513">
        <f t="shared" si="54"/>
        <v>5000000</v>
      </c>
      <c r="K552" s="3513">
        <f t="shared" si="55"/>
        <v>0</v>
      </c>
      <c r="L552" s="3962" t="s">
        <v>5748</v>
      </c>
    </row>
    <row r="553" spans="1:12" ht="30" customHeight="1" x14ac:dyDescent="0.2">
      <c r="A553" s="7654"/>
      <c r="B553" s="7652" t="s">
        <v>4556</v>
      </c>
      <c r="C553" s="7723" t="s">
        <v>1299</v>
      </c>
      <c r="D553" s="3483">
        <v>10000000</v>
      </c>
      <c r="E553" s="3523">
        <v>0.05</v>
      </c>
      <c r="F553" s="3483">
        <f>D553*E553</f>
        <v>500000</v>
      </c>
      <c r="G553" s="7482">
        <v>1700000</v>
      </c>
      <c r="H553" s="7482" t="s">
        <v>5735</v>
      </c>
      <c r="I553" s="7482" t="s">
        <v>4558</v>
      </c>
      <c r="J553" s="7482">
        <f>G553</f>
        <v>1700000</v>
      </c>
      <c r="K553" s="7482">
        <f>(F553+F554+F555)-J553</f>
        <v>0</v>
      </c>
      <c r="L553" s="3962" t="s">
        <v>5747</v>
      </c>
    </row>
    <row r="554" spans="1:12" ht="30" customHeight="1" x14ac:dyDescent="0.2">
      <c r="A554" s="7656"/>
      <c r="B554" s="7665"/>
      <c r="C554" s="7747"/>
      <c r="D554" s="3509">
        <v>10000000</v>
      </c>
      <c r="E554" s="3489">
        <v>0.06</v>
      </c>
      <c r="F554" s="3510">
        <f>D554*E554</f>
        <v>600000</v>
      </c>
      <c r="G554" s="7482"/>
      <c r="H554" s="7482"/>
      <c r="I554" s="7482"/>
      <c r="J554" s="7482"/>
      <c r="K554" s="7482"/>
      <c r="L554" s="847" t="s">
        <v>4557</v>
      </c>
    </row>
    <row r="555" spans="1:12" ht="30" customHeight="1" x14ac:dyDescent="0.2">
      <c r="A555" s="7656"/>
      <c r="B555" s="7665"/>
      <c r="C555" s="7747"/>
      <c r="D555" s="3509">
        <v>10000000</v>
      </c>
      <c r="E555" s="3489">
        <v>0.06</v>
      </c>
      <c r="F555" s="3510">
        <f>D555*E555</f>
        <v>600000</v>
      </c>
      <c r="G555" s="7482"/>
      <c r="H555" s="7482"/>
      <c r="I555" s="7482"/>
      <c r="J555" s="7482"/>
      <c r="K555" s="7482"/>
      <c r="L555" s="3543" t="s">
        <v>4760</v>
      </c>
    </row>
    <row r="556" spans="1:12" ht="30" customHeight="1" x14ac:dyDescent="0.2">
      <c r="A556" s="7656"/>
      <c r="B556" s="7665"/>
      <c r="C556" s="7747"/>
      <c r="D556" s="3957">
        <v>15000000</v>
      </c>
      <c r="E556" s="3952">
        <v>0.06</v>
      </c>
      <c r="F556" s="3958">
        <f>D556*E556</f>
        <v>900000</v>
      </c>
      <c r="G556" s="7732" t="s">
        <v>5750</v>
      </c>
      <c r="H556" s="7733"/>
      <c r="I556" s="7733"/>
      <c r="J556" s="7734"/>
      <c r="K556" s="3951"/>
      <c r="L556" s="3961"/>
    </row>
    <row r="557" spans="1:12" ht="30" customHeight="1" x14ac:dyDescent="0.2">
      <c r="A557" s="7655"/>
      <c r="B557" s="7653"/>
      <c r="C557" s="7724"/>
      <c r="D557" s="4010">
        <f>SUM(D553:D556)</f>
        <v>45000000</v>
      </c>
      <c r="E557" s="3968">
        <v>0.06</v>
      </c>
      <c r="F557" s="3820">
        <f>D557*E557</f>
        <v>2700000</v>
      </c>
      <c r="G557" s="7732" t="s">
        <v>5749</v>
      </c>
      <c r="H557" s="7733"/>
      <c r="I557" s="7733"/>
      <c r="J557" s="7734"/>
      <c r="K557" s="3951"/>
      <c r="L557" s="3961"/>
    </row>
    <row r="558" spans="1:12" ht="30" customHeight="1" x14ac:dyDescent="0.2">
      <c r="A558" s="7654">
        <v>296</v>
      </c>
      <c r="B558" s="7652" t="s">
        <v>143</v>
      </c>
      <c r="C558" s="7723" t="s">
        <v>1306</v>
      </c>
      <c r="D558" s="3483">
        <v>35000000</v>
      </c>
      <c r="E558" s="3523">
        <v>0.04</v>
      </c>
      <c r="F558" s="3483">
        <f t="shared" si="50"/>
        <v>1400000</v>
      </c>
      <c r="G558" s="7563">
        <v>2291000</v>
      </c>
      <c r="H558" s="7563" t="s">
        <v>5849</v>
      </c>
      <c r="I558" s="7561" t="s">
        <v>1720</v>
      </c>
      <c r="J558" s="7563">
        <f>G558</f>
        <v>2291000</v>
      </c>
      <c r="K558" s="7563"/>
      <c r="L558" s="3527"/>
    </row>
    <row r="559" spans="1:12" ht="30" customHeight="1" x14ac:dyDescent="0.2">
      <c r="A559" s="7656"/>
      <c r="B559" s="7665"/>
      <c r="C559" s="7747"/>
      <c r="D559" s="3742">
        <v>25000000</v>
      </c>
      <c r="E559" s="3746">
        <v>0.06</v>
      </c>
      <c r="F559" s="3742">
        <f t="shared" si="50"/>
        <v>1500000</v>
      </c>
      <c r="G559" s="7586"/>
      <c r="H559" s="7586"/>
      <c r="I559" s="7672"/>
      <c r="J559" s="7586"/>
      <c r="K559" s="7586"/>
      <c r="L559" s="3996" t="s">
        <v>5847</v>
      </c>
    </row>
    <row r="560" spans="1:12" ht="30" customHeight="1" x14ac:dyDescent="0.2">
      <c r="A560" s="7655"/>
      <c r="B560" s="7653"/>
      <c r="C560" s="7724"/>
      <c r="D560" s="4002">
        <v>60000000</v>
      </c>
      <c r="E560" s="896">
        <v>0.05</v>
      </c>
      <c r="F560" s="4002">
        <f t="shared" si="50"/>
        <v>3000000</v>
      </c>
      <c r="G560" s="7564"/>
      <c r="H560" s="7564"/>
      <c r="I560" s="7562"/>
      <c r="J560" s="7564"/>
      <c r="K560" s="7564"/>
      <c r="L560" s="3992"/>
    </row>
    <row r="561" spans="1:12" ht="30" customHeight="1" x14ac:dyDescent="0.2">
      <c r="A561" s="7654">
        <v>298</v>
      </c>
      <c r="B561" s="7652" t="s">
        <v>145</v>
      </c>
      <c r="C561" s="7723" t="s">
        <v>1134</v>
      </c>
      <c r="D561" s="3483">
        <v>38000000</v>
      </c>
      <c r="E561" s="3523">
        <v>5.1999999999999998E-2</v>
      </c>
      <c r="F561" s="3483">
        <v>2000000</v>
      </c>
      <c r="G561" s="7563">
        <v>2000000</v>
      </c>
      <c r="H561" s="7563" t="s">
        <v>5849</v>
      </c>
      <c r="I561" s="7561" t="s">
        <v>4150</v>
      </c>
      <c r="J561" s="7563">
        <f>G561</f>
        <v>2000000</v>
      </c>
      <c r="K561" s="7563">
        <f>F561-J561</f>
        <v>0</v>
      </c>
      <c r="L561" s="3527"/>
    </row>
    <row r="562" spans="1:12" ht="30" customHeight="1" x14ac:dyDescent="0.2">
      <c r="A562" s="7655"/>
      <c r="B562" s="7653"/>
      <c r="C562" s="7724"/>
      <c r="D562" s="3570">
        <v>40000000</v>
      </c>
      <c r="E562" s="896">
        <v>0.05</v>
      </c>
      <c r="F562" s="3570">
        <f>D562*E562</f>
        <v>2000000</v>
      </c>
      <c r="G562" s="7564"/>
      <c r="H562" s="7564"/>
      <c r="I562" s="7562"/>
      <c r="J562" s="7564"/>
      <c r="K562" s="7564"/>
      <c r="L562" s="3527"/>
    </row>
    <row r="563" spans="1:12" ht="30" customHeight="1" x14ac:dyDescent="0.2">
      <c r="A563" s="7654">
        <v>300</v>
      </c>
      <c r="B563" s="7652" t="s">
        <v>147</v>
      </c>
      <c r="C563" s="7723" t="s">
        <v>890</v>
      </c>
      <c r="D563" s="7563">
        <v>178000000</v>
      </c>
      <c r="E563" s="7659">
        <v>5.8999999999999997E-2</v>
      </c>
      <c r="F563" s="7563">
        <v>10500000</v>
      </c>
      <c r="G563" s="3483">
        <v>2500000</v>
      </c>
      <c r="H563" s="3483" t="s">
        <v>5849</v>
      </c>
      <c r="I563" s="3582" t="s">
        <v>3469</v>
      </c>
      <c r="J563" s="7563">
        <f>G563+G564</f>
        <v>10500000</v>
      </c>
      <c r="K563" s="7563">
        <f>F563-J563</f>
        <v>0</v>
      </c>
      <c r="L563" s="3527"/>
    </row>
    <row r="564" spans="1:12" ht="30" customHeight="1" x14ac:dyDescent="0.2">
      <c r="A564" s="7655"/>
      <c r="B564" s="7653"/>
      <c r="C564" s="7724"/>
      <c r="D564" s="7564"/>
      <c r="E564" s="7660"/>
      <c r="F564" s="7564"/>
      <c r="G564" s="4013">
        <v>8000000</v>
      </c>
      <c r="H564" s="4013" t="s">
        <v>5849</v>
      </c>
      <c r="I564" s="4018" t="s">
        <v>3469</v>
      </c>
      <c r="J564" s="7564"/>
      <c r="K564" s="7564"/>
      <c r="L564" s="4015"/>
    </row>
    <row r="565" spans="1:12" ht="30" customHeight="1" x14ac:dyDescent="0.2">
      <c r="A565" s="3526">
        <v>301</v>
      </c>
      <c r="B565" s="3527" t="s">
        <v>2347</v>
      </c>
      <c r="C565" s="3504"/>
      <c r="D565" s="3483">
        <v>10000000</v>
      </c>
      <c r="E565" s="3489">
        <v>0.04</v>
      </c>
      <c r="F565" s="3483">
        <f>D565*E565</f>
        <v>400000</v>
      </c>
      <c r="G565" s="3483">
        <v>400000</v>
      </c>
      <c r="H565" s="3483" t="s">
        <v>2341</v>
      </c>
      <c r="I565" s="3517" t="s">
        <v>723</v>
      </c>
      <c r="J565" s="3483">
        <f>G565</f>
        <v>400000</v>
      </c>
      <c r="K565" s="3483">
        <f>F565-J565</f>
        <v>0</v>
      </c>
      <c r="L565" s="3561"/>
    </row>
    <row r="566" spans="1:12" ht="30" customHeight="1" x14ac:dyDescent="0.2">
      <c r="A566" s="7654">
        <v>302</v>
      </c>
      <c r="B566" s="7652" t="s">
        <v>149</v>
      </c>
      <c r="C566" s="7723" t="s">
        <v>1296</v>
      </c>
      <c r="D566" s="3483">
        <v>60000000</v>
      </c>
      <c r="E566" s="3523">
        <v>4.4999999999999998E-2</v>
      </c>
      <c r="F566" s="3483">
        <f t="shared" si="50"/>
        <v>2700000</v>
      </c>
      <c r="G566" s="7563">
        <v>5000000</v>
      </c>
      <c r="H566" s="7561" t="s">
        <v>5839</v>
      </c>
      <c r="I566" s="7561" t="s">
        <v>3179</v>
      </c>
      <c r="J566" s="7482">
        <f>G566</f>
        <v>5000000</v>
      </c>
      <c r="K566" s="7563">
        <f>F567-J566</f>
        <v>0</v>
      </c>
      <c r="L566" s="3543" t="s">
        <v>4825</v>
      </c>
    </row>
    <row r="567" spans="1:12" ht="30" customHeight="1" x14ac:dyDescent="0.2">
      <c r="A567" s="7655"/>
      <c r="B567" s="7653"/>
      <c r="C567" s="7724"/>
      <c r="D567" s="3570">
        <v>100000000</v>
      </c>
      <c r="E567" s="896">
        <v>0.05</v>
      </c>
      <c r="F567" s="3570">
        <f>D567*E567</f>
        <v>5000000</v>
      </c>
      <c r="G567" s="7564"/>
      <c r="H567" s="7562"/>
      <c r="I567" s="7562"/>
      <c r="J567" s="7482"/>
      <c r="K567" s="7564"/>
      <c r="L567" s="3543" t="s">
        <v>4593</v>
      </c>
    </row>
    <row r="568" spans="1:12" ht="30" customHeight="1" x14ac:dyDescent="0.2">
      <c r="A568" s="7654"/>
      <c r="B568" s="7652" t="s">
        <v>150</v>
      </c>
      <c r="C568" s="7723" t="s">
        <v>1796</v>
      </c>
      <c r="D568" s="7820">
        <v>2222000000</v>
      </c>
      <c r="E568" s="7826">
        <f>F568/D568</f>
        <v>8.1903690369036899E-2</v>
      </c>
      <c r="F568" s="7820">
        <v>181990000</v>
      </c>
      <c r="G568" s="3576">
        <v>50000000</v>
      </c>
      <c r="H568" s="3576" t="s">
        <v>5398</v>
      </c>
      <c r="I568" s="3576" t="s">
        <v>1084</v>
      </c>
      <c r="J568" s="7820">
        <f>G568+G569+G570</f>
        <v>50000000</v>
      </c>
      <c r="K568" s="7820">
        <f>F568-J568</f>
        <v>131990000</v>
      </c>
      <c r="L568" s="3540" t="s">
        <v>4905</v>
      </c>
    </row>
    <row r="569" spans="1:12" ht="30" customHeight="1" x14ac:dyDescent="0.2">
      <c r="A569" s="7656"/>
      <c r="B569" s="7665"/>
      <c r="C569" s="7747"/>
      <c r="D569" s="7821"/>
      <c r="E569" s="7827"/>
      <c r="F569" s="7821"/>
      <c r="G569" s="3576"/>
      <c r="H569" s="3576"/>
      <c r="I569" s="3576"/>
      <c r="J569" s="7821"/>
      <c r="K569" s="7821"/>
      <c r="L569" s="3540"/>
    </row>
    <row r="570" spans="1:12" ht="30" customHeight="1" x14ac:dyDescent="0.2">
      <c r="A570" s="7656"/>
      <c r="B570" s="7665"/>
      <c r="C570" s="7747"/>
      <c r="D570" s="7822"/>
      <c r="E570" s="7828"/>
      <c r="F570" s="7822"/>
      <c r="G570" s="3576"/>
      <c r="H570" s="3576"/>
      <c r="I570" s="3576"/>
      <c r="J570" s="7822"/>
      <c r="K570" s="7822"/>
      <c r="L570" s="3540"/>
    </row>
    <row r="571" spans="1:12" ht="30" customHeight="1" x14ac:dyDescent="0.2">
      <c r="A571" s="7656"/>
      <c r="B571" s="7665"/>
      <c r="C571" s="7747"/>
      <c r="D571" s="8095" t="s">
        <v>5205</v>
      </c>
      <c r="E571" s="8333"/>
      <c r="F571" s="8096"/>
      <c r="G571" s="3804"/>
      <c r="H571" s="3804"/>
      <c r="I571" s="3809"/>
      <c r="J571" s="8001">
        <f>G571+G573</f>
        <v>0</v>
      </c>
      <c r="K571" s="8001">
        <f>200000000-J571</f>
        <v>200000000</v>
      </c>
      <c r="L571" s="8330" t="s">
        <v>5206</v>
      </c>
    </row>
    <row r="572" spans="1:12" ht="30" customHeight="1" x14ac:dyDescent="0.2">
      <c r="A572" s="7656"/>
      <c r="B572" s="7665"/>
      <c r="C572" s="7747"/>
      <c r="D572" s="8097"/>
      <c r="E572" s="8334"/>
      <c r="F572" s="8098"/>
      <c r="G572" s="3804"/>
      <c r="H572" s="3804"/>
      <c r="I572" s="3809"/>
      <c r="J572" s="8041"/>
      <c r="K572" s="8041"/>
      <c r="L572" s="8331"/>
    </row>
    <row r="573" spans="1:12" ht="30" customHeight="1" x14ac:dyDescent="0.2">
      <c r="A573" s="7656"/>
      <c r="B573" s="7665"/>
      <c r="C573" s="7747"/>
      <c r="D573" s="3817">
        <f>D568-200000000</f>
        <v>2022000000</v>
      </c>
      <c r="E573" s="679">
        <v>8.3000000000000004E-2</v>
      </c>
      <c r="F573" s="3817">
        <v>167990000</v>
      </c>
      <c r="G573" s="3804"/>
      <c r="H573" s="3804"/>
      <c r="I573" s="3809"/>
      <c r="J573" s="8002"/>
      <c r="K573" s="8002"/>
      <c r="L573" s="8332"/>
    </row>
    <row r="574" spans="1:12" ht="30" customHeight="1" x14ac:dyDescent="0.2">
      <c r="A574" s="7656"/>
      <c r="B574" s="7665"/>
      <c r="C574" s="7747"/>
      <c r="D574" s="7470" t="s">
        <v>5522</v>
      </c>
      <c r="E574" s="7493"/>
      <c r="F574" s="7510"/>
      <c r="G574" s="7732" t="s">
        <v>5521</v>
      </c>
      <c r="H574" s="7733"/>
      <c r="I574" s="7733"/>
      <c r="J574" s="7734"/>
      <c r="K574" s="7"/>
      <c r="L574" s="3791" t="s">
        <v>5523</v>
      </c>
    </row>
    <row r="575" spans="1:12" ht="30" customHeight="1" x14ac:dyDescent="0.2">
      <c r="A575" s="7656"/>
      <c r="B575" s="7665"/>
      <c r="C575" s="7747"/>
      <c r="D575" s="3805">
        <f>D573+200000000</f>
        <v>2222000000</v>
      </c>
      <c r="E575" s="3807">
        <f>F575/D575</f>
        <v>8.3703870387038706E-2</v>
      </c>
      <c r="F575" s="3805">
        <v>185990000</v>
      </c>
      <c r="G575" s="7732" t="s">
        <v>5524</v>
      </c>
      <c r="H575" s="7733"/>
      <c r="I575" s="7733"/>
      <c r="J575" s="7734"/>
      <c r="K575" s="7"/>
      <c r="L575" s="3791"/>
    </row>
    <row r="576" spans="1:12" ht="30" customHeight="1" x14ac:dyDescent="0.2">
      <c r="A576" s="7656"/>
      <c r="B576" s="7665"/>
      <c r="C576" s="7747"/>
      <c r="D576" s="7470" t="s">
        <v>5764</v>
      </c>
      <c r="E576" s="7493"/>
      <c r="F576" s="7510"/>
      <c r="G576" s="4001"/>
      <c r="H576" s="4001"/>
      <c r="I576" s="4001"/>
      <c r="J576" s="4001"/>
      <c r="K576" s="7"/>
      <c r="L576" s="3994"/>
    </row>
    <row r="577" spans="1:12" ht="30" customHeight="1" x14ac:dyDescent="0.2">
      <c r="A577" s="7656"/>
      <c r="B577" s="7665"/>
      <c r="C577" s="7747"/>
      <c r="D577" s="8026">
        <f>D575-60000000</f>
        <v>2162000000</v>
      </c>
      <c r="E577" s="8028">
        <v>8.4000000000000005E-2</v>
      </c>
      <c r="F577" s="8026">
        <f>D577*E577</f>
        <v>181608000</v>
      </c>
      <c r="G577" s="7732" t="s">
        <v>5765</v>
      </c>
      <c r="H577" s="7733"/>
      <c r="I577" s="7733"/>
      <c r="J577" s="7734"/>
      <c r="K577" s="7"/>
      <c r="L577" s="3994"/>
    </row>
    <row r="578" spans="1:12" ht="30" customHeight="1" x14ac:dyDescent="0.2">
      <c r="A578" s="7655"/>
      <c r="B578" s="7653"/>
      <c r="C578" s="7747"/>
      <c r="D578" s="8027"/>
      <c r="E578" s="8029"/>
      <c r="F578" s="8027"/>
      <c r="G578" s="7470" t="s">
        <v>5959</v>
      </c>
      <c r="H578" s="7493"/>
      <c r="I578" s="7493"/>
      <c r="J578" s="7510"/>
      <c r="K578" s="7"/>
      <c r="L578" s="4127" t="s">
        <v>5960</v>
      </c>
    </row>
    <row r="579" spans="1:12" ht="30" customHeight="1" x14ac:dyDescent="0.2">
      <c r="A579" s="4192"/>
      <c r="B579" s="4209" t="s">
        <v>6045</v>
      </c>
      <c r="C579" s="7747"/>
      <c r="D579" s="4187">
        <v>10000000</v>
      </c>
      <c r="E579" s="4200"/>
      <c r="F579" s="4187"/>
      <c r="G579" s="7991" t="s">
        <v>6046</v>
      </c>
      <c r="H579" s="7992"/>
      <c r="I579" s="7992"/>
      <c r="J579" s="7993"/>
      <c r="K579" s="178"/>
      <c r="L579" s="4212" t="s">
        <v>6047</v>
      </c>
    </row>
    <row r="580" spans="1:12" ht="30" customHeight="1" x14ac:dyDescent="0.2">
      <c r="A580" s="4208"/>
      <c r="B580" s="4209" t="s">
        <v>6048</v>
      </c>
      <c r="C580" s="7747"/>
      <c r="D580" s="4185">
        <v>40000000</v>
      </c>
      <c r="E580" s="4206"/>
      <c r="F580" s="4185"/>
      <c r="G580" s="7732" t="s">
        <v>6050</v>
      </c>
      <c r="H580" s="7733"/>
      <c r="I580" s="7733"/>
      <c r="J580" s="7734"/>
      <c r="K580" s="233"/>
      <c r="L580" s="4212" t="s">
        <v>6049</v>
      </c>
    </row>
    <row r="581" spans="1:12" ht="30" customHeight="1" x14ac:dyDescent="0.2">
      <c r="A581" s="4190"/>
      <c r="B581" s="4201" t="s">
        <v>150</v>
      </c>
      <c r="C581" s="7724"/>
      <c r="D581" s="4197">
        <f>D577+D579+D580</f>
        <v>2212000000</v>
      </c>
      <c r="E581" s="4194"/>
      <c r="F581" s="4197">
        <v>186290000</v>
      </c>
      <c r="G581" s="7732" t="s">
        <v>6051</v>
      </c>
      <c r="H581" s="7733"/>
      <c r="I581" s="7733"/>
      <c r="J581" s="7734"/>
      <c r="K581" s="233"/>
      <c r="L581" s="4216" t="s">
        <v>6052</v>
      </c>
    </row>
    <row r="582" spans="1:12" ht="30" customHeight="1" x14ac:dyDescent="0.2">
      <c r="A582" s="7654">
        <v>305</v>
      </c>
      <c r="B582" s="7652" t="s">
        <v>152</v>
      </c>
      <c r="C582" s="7723" t="s">
        <v>1796</v>
      </c>
      <c r="D582" s="7563">
        <v>900000000</v>
      </c>
      <c r="E582" s="7659">
        <v>7.0000000000000007E-2</v>
      </c>
      <c r="F582" s="7563">
        <f>D582*E582</f>
        <v>63000000.000000007</v>
      </c>
      <c r="G582" s="3624">
        <v>38500000</v>
      </c>
      <c r="H582" s="3624" t="s">
        <v>5340</v>
      </c>
      <c r="I582" s="3625" t="s">
        <v>2394</v>
      </c>
      <c r="J582" s="8303">
        <f>G582+G583</f>
        <v>58500000</v>
      </c>
      <c r="K582" s="8303"/>
      <c r="L582" s="3626" t="s">
        <v>4905</v>
      </c>
    </row>
    <row r="583" spans="1:12" ht="30" customHeight="1" x14ac:dyDescent="0.2">
      <c r="A583" s="7656"/>
      <c r="B583" s="7665"/>
      <c r="C583" s="7747"/>
      <c r="D583" s="7586"/>
      <c r="E583" s="7676"/>
      <c r="F583" s="7586"/>
      <c r="G583" s="3624">
        <v>20000000</v>
      </c>
      <c r="H583" s="3624" t="s">
        <v>5358</v>
      </c>
      <c r="I583" s="3625" t="s">
        <v>2394</v>
      </c>
      <c r="J583" s="8303"/>
      <c r="K583" s="8303"/>
      <c r="L583" s="3626" t="s">
        <v>4905</v>
      </c>
    </row>
    <row r="584" spans="1:12" ht="30" customHeight="1" x14ac:dyDescent="0.2">
      <c r="A584" s="7656"/>
      <c r="B584" s="7665"/>
      <c r="C584" s="7747"/>
      <c r="D584" s="7586"/>
      <c r="E584" s="7676"/>
      <c r="F584" s="7586"/>
      <c r="G584" s="3483">
        <v>30000000</v>
      </c>
      <c r="H584" s="3483" t="s">
        <v>5962</v>
      </c>
      <c r="I584" s="3582" t="s">
        <v>2394</v>
      </c>
      <c r="J584" s="7563">
        <f>G584+G585+3000000</f>
        <v>66500000</v>
      </c>
      <c r="K584" s="7563">
        <f>(F582+3500000)-J584</f>
        <v>0</v>
      </c>
      <c r="L584" s="345"/>
    </row>
    <row r="585" spans="1:12" ht="30" customHeight="1" x14ac:dyDescent="0.2">
      <c r="A585" s="7656"/>
      <c r="B585" s="7665"/>
      <c r="C585" s="7747"/>
      <c r="D585" s="7564"/>
      <c r="E585" s="7660"/>
      <c r="F585" s="7564"/>
      <c r="G585" s="3483">
        <v>33500000</v>
      </c>
      <c r="H585" s="3483" t="s">
        <v>6023</v>
      </c>
      <c r="I585" s="3582" t="s">
        <v>2394</v>
      </c>
      <c r="J585" s="7586"/>
      <c r="K585" s="7586"/>
      <c r="L585" s="345"/>
    </row>
    <row r="586" spans="1:12" ht="30" customHeight="1" x14ac:dyDescent="0.2">
      <c r="A586" s="7655"/>
      <c r="B586" s="7653"/>
      <c r="C586" s="7724"/>
      <c r="D586" s="4045">
        <v>100000000</v>
      </c>
      <c r="E586" s="4048">
        <v>7.0000000000000007E-2</v>
      </c>
      <c r="F586" s="4045">
        <f>D586*E586</f>
        <v>7000000.0000000009</v>
      </c>
      <c r="G586" s="7732" t="s">
        <v>6027</v>
      </c>
      <c r="H586" s="7733"/>
      <c r="I586" s="7734"/>
      <c r="J586" s="7564"/>
      <c r="K586" s="7564"/>
      <c r="L586" s="4056" t="s">
        <v>5897</v>
      </c>
    </row>
    <row r="587" spans="1:12" ht="30" customHeight="1" x14ac:dyDescent="0.2">
      <c r="A587" s="7654">
        <v>307</v>
      </c>
      <c r="B587" s="7652" t="s">
        <v>154</v>
      </c>
      <c r="C587" s="7723" t="s">
        <v>1306</v>
      </c>
      <c r="D587" s="3483">
        <v>200000000</v>
      </c>
      <c r="E587" s="3523">
        <v>0.05</v>
      </c>
      <c r="F587" s="3483">
        <f t="shared" si="50"/>
        <v>10000000</v>
      </c>
      <c r="G587" s="7563">
        <v>11500000</v>
      </c>
      <c r="H587" s="7563" t="s">
        <v>5839</v>
      </c>
      <c r="I587" s="7561" t="s">
        <v>2409</v>
      </c>
      <c r="J587" s="7563">
        <f>G587</f>
        <v>11500000</v>
      </c>
      <c r="K587" s="7563"/>
      <c r="L587" s="3527"/>
    </row>
    <row r="588" spans="1:12" ht="30" customHeight="1" x14ac:dyDescent="0.2">
      <c r="A588" s="7656"/>
      <c r="B588" s="7665"/>
      <c r="C588" s="7747"/>
      <c r="D588" s="3975">
        <v>100000000</v>
      </c>
      <c r="E588" s="3991">
        <v>0.05</v>
      </c>
      <c r="F588" s="3975">
        <f>D588*E588</f>
        <v>5000000</v>
      </c>
      <c r="G588" s="7586"/>
      <c r="H588" s="7586"/>
      <c r="I588" s="7672"/>
      <c r="J588" s="7586"/>
      <c r="K588" s="7586"/>
      <c r="L588" s="4000" t="s">
        <v>5896</v>
      </c>
    </row>
    <row r="589" spans="1:12" ht="30" customHeight="1" x14ac:dyDescent="0.2">
      <c r="A589" s="7655"/>
      <c r="B589" s="7653"/>
      <c r="C589" s="7724"/>
      <c r="D589" s="3480">
        <v>300000000</v>
      </c>
      <c r="E589" s="435">
        <v>0.05</v>
      </c>
      <c r="F589" s="3499">
        <f>D589*E589</f>
        <v>15000000</v>
      </c>
      <c r="G589" s="7564"/>
      <c r="H589" s="7564"/>
      <c r="I589" s="7562"/>
      <c r="J589" s="7564"/>
      <c r="K589" s="7564"/>
      <c r="L589" s="3490"/>
    </row>
    <row r="590" spans="1:12" ht="30" customHeight="1" x14ac:dyDescent="0.2">
      <c r="A590" s="1028">
        <v>308</v>
      </c>
      <c r="B590" s="19" t="s">
        <v>155</v>
      </c>
      <c r="C590" s="3794" t="s">
        <v>1294</v>
      </c>
      <c r="D590" s="3513">
        <v>300000000</v>
      </c>
      <c r="E590" s="3523">
        <v>0.05</v>
      </c>
      <c r="F590" s="3513">
        <f t="shared" si="50"/>
        <v>15000000</v>
      </c>
      <c r="G590" s="3513">
        <v>15000000</v>
      </c>
      <c r="H590" s="3513" t="s">
        <v>5735</v>
      </c>
      <c r="I590" s="18" t="s">
        <v>1873</v>
      </c>
      <c r="J590" s="3513">
        <f>G590</f>
        <v>15000000</v>
      </c>
      <c r="K590" s="3513">
        <f>F590-J590</f>
        <v>0</v>
      </c>
      <c r="L590" s="7818"/>
    </row>
    <row r="591" spans="1:12" ht="30" customHeight="1" x14ac:dyDescent="0.2">
      <c r="A591" s="3761">
        <v>309</v>
      </c>
      <c r="B591" s="3764" t="s">
        <v>1874</v>
      </c>
      <c r="C591" s="3529" t="s">
        <v>372</v>
      </c>
      <c r="D591" s="3483">
        <v>200000000</v>
      </c>
      <c r="E591" s="3489">
        <v>0.05</v>
      </c>
      <c r="F591" s="3483">
        <f>D591*E591</f>
        <v>10000000</v>
      </c>
      <c r="G591" s="3513">
        <v>10000000</v>
      </c>
      <c r="H591" s="3513" t="s">
        <v>5367</v>
      </c>
      <c r="I591" s="18" t="s">
        <v>1873</v>
      </c>
      <c r="J591" s="3513">
        <f>G591</f>
        <v>10000000</v>
      </c>
      <c r="K591" s="3513">
        <f>F591-J591</f>
        <v>0</v>
      </c>
      <c r="L591" s="7819"/>
    </row>
    <row r="592" spans="1:12" ht="30" customHeight="1" x14ac:dyDescent="0.2">
      <c r="A592" s="3486">
        <v>310</v>
      </c>
      <c r="B592" s="3527" t="s">
        <v>157</v>
      </c>
      <c r="C592" s="3504" t="s">
        <v>392</v>
      </c>
      <c r="D592" s="3483">
        <v>100000000</v>
      </c>
      <c r="E592" s="3489">
        <v>0.05</v>
      </c>
      <c r="F592" s="3483">
        <f t="shared" ref="F592:F614" si="56">D592*E592</f>
        <v>5000000</v>
      </c>
      <c r="G592" s="7954" t="s">
        <v>6227</v>
      </c>
      <c r="H592" s="7955"/>
      <c r="I592" s="7955"/>
      <c r="J592" s="7956"/>
      <c r="K592" s="3483">
        <f t="shared" ref="K592:K600" si="57">F592-J592</f>
        <v>5000000</v>
      </c>
      <c r="L592" s="3561" t="s">
        <v>4754</v>
      </c>
    </row>
    <row r="593" spans="1:12" ht="30" customHeight="1" x14ac:dyDescent="0.2">
      <c r="A593" s="7654">
        <v>311</v>
      </c>
      <c r="B593" s="7652" t="s">
        <v>158</v>
      </c>
      <c r="C593" s="7723" t="s">
        <v>889</v>
      </c>
      <c r="D593" s="3483">
        <v>85000000</v>
      </c>
      <c r="E593" s="3523">
        <v>0.05</v>
      </c>
      <c r="F593" s="3483">
        <f t="shared" si="56"/>
        <v>4250000</v>
      </c>
      <c r="G593" s="7563">
        <v>9250000</v>
      </c>
      <c r="H593" s="7563" t="s">
        <v>5358</v>
      </c>
      <c r="I593" s="7762" t="s">
        <v>3970</v>
      </c>
      <c r="J593" s="7563">
        <f>G593</f>
        <v>9250000</v>
      </c>
      <c r="K593" s="7563">
        <f>(F593+F594)-J593</f>
        <v>0</v>
      </c>
      <c r="L593" s="3493"/>
    </row>
    <row r="594" spans="1:12" ht="30" customHeight="1" x14ac:dyDescent="0.2">
      <c r="A594" s="7655"/>
      <c r="B594" s="7653"/>
      <c r="C594" s="7724"/>
      <c r="D594" s="3483">
        <v>100000000</v>
      </c>
      <c r="E594" s="3523">
        <v>0.05</v>
      </c>
      <c r="F594" s="3483">
        <f t="shared" si="56"/>
        <v>5000000</v>
      </c>
      <c r="G594" s="7564"/>
      <c r="H594" s="7564"/>
      <c r="I594" s="7763"/>
      <c r="J594" s="7564"/>
      <c r="K594" s="7564"/>
      <c r="L594" s="3494"/>
    </row>
    <row r="595" spans="1:12" ht="30" customHeight="1" x14ac:dyDescent="0.2">
      <c r="A595" s="3486">
        <v>312</v>
      </c>
      <c r="B595" s="3527" t="s">
        <v>159</v>
      </c>
      <c r="C595" s="3504"/>
      <c r="D595" s="3501"/>
      <c r="E595" s="2519"/>
      <c r="F595" s="3501">
        <f t="shared" si="56"/>
        <v>0</v>
      </c>
      <c r="G595" s="3483">
        <v>1000000</v>
      </c>
      <c r="H595" s="3483" t="s">
        <v>2341</v>
      </c>
      <c r="I595" s="3582" t="s">
        <v>5916</v>
      </c>
      <c r="J595" s="3483">
        <f>G595</f>
        <v>1000000</v>
      </c>
      <c r="K595" s="3501">
        <f t="shared" si="57"/>
        <v>-1000000</v>
      </c>
      <c r="L595" s="3527"/>
    </row>
    <row r="596" spans="1:12" ht="30" customHeight="1" x14ac:dyDescent="0.2">
      <c r="A596" s="3316">
        <v>313</v>
      </c>
      <c r="B596" s="3704" t="s">
        <v>161</v>
      </c>
      <c r="C596" s="3703" t="s">
        <v>1652</v>
      </c>
      <c r="D596" s="3696">
        <v>152000000</v>
      </c>
      <c r="E596" s="3702">
        <v>0.05</v>
      </c>
      <c r="F596" s="3696">
        <f>D596*E596</f>
        <v>7600000</v>
      </c>
      <c r="G596" s="3513">
        <v>7600000</v>
      </c>
      <c r="H596" s="3513" t="s">
        <v>5345</v>
      </c>
      <c r="I596" s="3534" t="s">
        <v>3468</v>
      </c>
      <c r="J596" s="3513">
        <f>G596</f>
        <v>7600000</v>
      </c>
      <c r="K596" s="3513">
        <f t="shared" si="57"/>
        <v>0</v>
      </c>
      <c r="L596" s="3550"/>
    </row>
    <row r="597" spans="1:12" ht="30" customHeight="1" x14ac:dyDescent="0.2">
      <c r="A597" s="7654">
        <v>315</v>
      </c>
      <c r="B597" s="7652" t="s">
        <v>163</v>
      </c>
      <c r="C597" s="7723" t="s">
        <v>1176</v>
      </c>
      <c r="D597" s="3513">
        <v>400000000</v>
      </c>
      <c r="E597" s="3523">
        <v>6.3E-2</v>
      </c>
      <c r="F597" s="3513">
        <v>25000000</v>
      </c>
      <c r="G597" s="7563">
        <v>30000000</v>
      </c>
      <c r="H597" s="7563" t="s">
        <v>2019</v>
      </c>
      <c r="I597" s="7563">
        <v>30000000</v>
      </c>
      <c r="J597" s="7563">
        <f>G597</f>
        <v>30000000</v>
      </c>
      <c r="K597" s="7563">
        <f>(F597+F598)-J597</f>
        <v>0</v>
      </c>
      <c r="L597" s="3506"/>
    </row>
    <row r="598" spans="1:12" ht="30" customHeight="1" x14ac:dyDescent="0.2">
      <c r="A598" s="7655"/>
      <c r="B598" s="7653"/>
      <c r="C598" s="7724"/>
      <c r="D598" s="3483">
        <v>100000000</v>
      </c>
      <c r="E598" s="3489">
        <v>0.05</v>
      </c>
      <c r="F598" s="3483">
        <f>D598*E598</f>
        <v>5000000</v>
      </c>
      <c r="G598" s="7564"/>
      <c r="H598" s="7564"/>
      <c r="I598" s="7564"/>
      <c r="J598" s="7564"/>
      <c r="K598" s="7564"/>
      <c r="L598" s="3561" t="s">
        <v>5001</v>
      </c>
    </row>
    <row r="599" spans="1:12" ht="30" customHeight="1" x14ac:dyDescent="0.2">
      <c r="A599" s="3526">
        <v>316</v>
      </c>
      <c r="B599" s="3491" t="s">
        <v>164</v>
      </c>
      <c r="C599" s="3504"/>
      <c r="D599" s="3483">
        <v>35000000</v>
      </c>
      <c r="E599" s="3489">
        <v>0.04</v>
      </c>
      <c r="F599" s="3483">
        <f>D599*E599</f>
        <v>1400000</v>
      </c>
      <c r="G599" s="3483">
        <v>1400000</v>
      </c>
      <c r="H599" s="3483" t="s">
        <v>3977</v>
      </c>
      <c r="I599" s="3516" t="s">
        <v>288</v>
      </c>
      <c r="J599" s="3483">
        <f t="shared" ref="J599:J613" si="58">G599</f>
        <v>1400000</v>
      </c>
      <c r="K599" s="3483">
        <f t="shared" si="57"/>
        <v>0</v>
      </c>
      <c r="L599" s="3527"/>
    </row>
    <row r="600" spans="1:12" ht="30" customHeight="1" x14ac:dyDescent="0.2">
      <c r="A600" s="7654">
        <v>317</v>
      </c>
      <c r="B600" s="7652" t="s">
        <v>4529</v>
      </c>
      <c r="C600" s="7723" t="s">
        <v>359</v>
      </c>
      <c r="D600" s="3483">
        <v>100000000</v>
      </c>
      <c r="E600" s="3523">
        <v>0.05</v>
      </c>
      <c r="F600" s="3483">
        <f>D600*E600</f>
        <v>5000000</v>
      </c>
      <c r="G600" s="8105" t="s">
        <v>4996</v>
      </c>
      <c r="H600" s="8106"/>
      <c r="I600" s="8106"/>
      <c r="J600" s="8107"/>
      <c r="K600" s="3483">
        <f t="shared" si="57"/>
        <v>5000000</v>
      </c>
      <c r="L600" s="3561"/>
    </row>
    <row r="601" spans="1:12" ht="30" customHeight="1" x14ac:dyDescent="0.2">
      <c r="A601" s="7656"/>
      <c r="B601" s="7665"/>
      <c r="C601" s="7747"/>
      <c r="D601" s="3483">
        <v>100000000</v>
      </c>
      <c r="E601" s="3523">
        <v>0.05</v>
      </c>
      <c r="F601" s="3483">
        <f>D601*E601</f>
        <v>5000000</v>
      </c>
      <c r="G601" s="8111"/>
      <c r="H601" s="8112"/>
      <c r="I601" s="8112"/>
      <c r="J601" s="8113"/>
      <c r="K601" s="3483"/>
      <c r="L601" s="3561" t="s">
        <v>4916</v>
      </c>
    </row>
    <row r="602" spans="1:12" ht="30" customHeight="1" x14ac:dyDescent="0.2">
      <c r="A602" s="7656"/>
      <c r="B602" s="7665"/>
      <c r="C602" s="7747"/>
      <c r="D602" s="7563">
        <v>100000000</v>
      </c>
      <c r="E602" s="7659">
        <v>0.05</v>
      </c>
      <c r="F602" s="7563">
        <f>D602*E602</f>
        <v>5000000</v>
      </c>
      <c r="G602" s="7954" t="s">
        <v>4995</v>
      </c>
      <c r="H602" s="7955"/>
      <c r="I602" s="7955"/>
      <c r="J602" s="7956"/>
      <c r="K602" s="3483"/>
      <c r="L602" s="3561"/>
    </row>
    <row r="603" spans="1:12" ht="30" customHeight="1" x14ac:dyDescent="0.2">
      <c r="A603" s="7656"/>
      <c r="B603" s="7665"/>
      <c r="C603" s="7747"/>
      <c r="D603" s="7564"/>
      <c r="E603" s="7660"/>
      <c r="F603" s="7564"/>
      <c r="G603" s="7954" t="s">
        <v>4994</v>
      </c>
      <c r="H603" s="7955"/>
      <c r="I603" s="7955"/>
      <c r="J603" s="7956"/>
      <c r="K603" s="3483"/>
      <c r="L603" s="3561"/>
    </row>
    <row r="604" spans="1:12" ht="30" customHeight="1" x14ac:dyDescent="0.2">
      <c r="A604" s="7655"/>
      <c r="B604" s="7653"/>
      <c r="C604" s="7724"/>
      <c r="D604" s="3757">
        <f>SUM(D600:D603)</f>
        <v>300000000</v>
      </c>
      <c r="E604" s="3766">
        <v>0.05</v>
      </c>
      <c r="F604" s="3757">
        <f>D604*E604</f>
        <v>15000000</v>
      </c>
      <c r="G604" s="3757">
        <v>15000000</v>
      </c>
      <c r="H604" s="3792" t="s">
        <v>1879</v>
      </c>
      <c r="I604" s="3792" t="s">
        <v>2026</v>
      </c>
      <c r="J604" s="3757">
        <f>G604</f>
        <v>15000000</v>
      </c>
      <c r="K604" s="3756">
        <f>F604-G604</f>
        <v>0</v>
      </c>
      <c r="L604" s="3808"/>
    </row>
    <row r="605" spans="1:12" ht="30" customHeight="1" x14ac:dyDescent="0.2">
      <c r="A605" s="7654"/>
      <c r="B605" s="7652" t="s">
        <v>165</v>
      </c>
      <c r="C605" s="7723" t="s">
        <v>1287</v>
      </c>
      <c r="D605" s="3483">
        <v>210000000</v>
      </c>
      <c r="E605" s="3523">
        <v>0.06</v>
      </c>
      <c r="F605" s="3483">
        <f>D605*E605</f>
        <v>12600000</v>
      </c>
      <c r="G605" s="7563"/>
      <c r="H605" s="7561"/>
      <c r="I605" s="7561" t="s">
        <v>2996</v>
      </c>
      <c r="J605" s="8180">
        <f>G605</f>
        <v>0</v>
      </c>
      <c r="K605" s="7563">
        <f>(F605+F606+F607)-J605-100000</f>
        <v>39000000</v>
      </c>
      <c r="L605" s="3561" t="s">
        <v>2709</v>
      </c>
    </row>
    <row r="606" spans="1:12" ht="30" customHeight="1" x14ac:dyDescent="0.2">
      <c r="A606" s="7656"/>
      <c r="B606" s="7665"/>
      <c r="C606" s="7747"/>
      <c r="D606" s="3483">
        <v>200000000</v>
      </c>
      <c r="E606" s="3523">
        <v>0.06</v>
      </c>
      <c r="F606" s="3483">
        <f>D606*E606</f>
        <v>12000000</v>
      </c>
      <c r="G606" s="7586"/>
      <c r="H606" s="7672"/>
      <c r="I606" s="7672"/>
      <c r="J606" s="7672"/>
      <c r="K606" s="7586"/>
      <c r="L606" s="3561" t="s">
        <v>5090</v>
      </c>
    </row>
    <row r="607" spans="1:12" ht="30" customHeight="1" x14ac:dyDescent="0.2">
      <c r="A607" s="7655"/>
      <c r="B607" s="7653"/>
      <c r="C607" s="7724"/>
      <c r="D607" s="7470" t="s">
        <v>5163</v>
      </c>
      <c r="E607" s="7510"/>
      <c r="F607" s="3483">
        <v>14500000</v>
      </c>
      <c r="G607" s="7564"/>
      <c r="H607" s="7562"/>
      <c r="I607" s="7562"/>
      <c r="J607" s="7562"/>
      <c r="K607" s="7564"/>
      <c r="L607" s="3561" t="s">
        <v>5164</v>
      </c>
    </row>
    <row r="608" spans="1:12" ht="30" customHeight="1" x14ac:dyDescent="0.2">
      <c r="A608" s="7654">
        <v>318</v>
      </c>
      <c r="B608" s="7652" t="s">
        <v>167</v>
      </c>
      <c r="C608" s="7723"/>
      <c r="D608" s="3483">
        <v>80000000</v>
      </c>
      <c r="E608" s="3523">
        <v>0.05</v>
      </c>
      <c r="F608" s="3483">
        <f t="shared" si="56"/>
        <v>4000000</v>
      </c>
      <c r="G608" s="3483">
        <v>4000000</v>
      </c>
      <c r="H608" s="3483" t="s">
        <v>5367</v>
      </c>
      <c r="I608" s="18" t="s">
        <v>4452</v>
      </c>
      <c r="J608" s="3483">
        <f t="shared" si="58"/>
        <v>4000000</v>
      </c>
      <c r="K608" s="3483">
        <f>F608-J608</f>
        <v>0</v>
      </c>
      <c r="L608" s="3527"/>
    </row>
    <row r="609" spans="1:12" ht="30" customHeight="1" x14ac:dyDescent="0.2">
      <c r="A609" s="7655"/>
      <c r="B609" s="7653"/>
      <c r="C609" s="7724"/>
      <c r="D609" s="3483">
        <v>250000000</v>
      </c>
      <c r="E609" s="3523"/>
      <c r="F609" s="3483"/>
      <c r="G609" s="3482"/>
      <c r="H609" s="3482"/>
      <c r="I609" s="3515"/>
      <c r="J609" s="3482"/>
      <c r="K609" s="3482"/>
      <c r="L609" s="3561" t="s">
        <v>5207</v>
      </c>
    </row>
    <row r="610" spans="1:12" ht="30" customHeight="1" x14ac:dyDescent="0.2">
      <c r="A610" s="7654">
        <v>320</v>
      </c>
      <c r="B610" s="7652" t="s">
        <v>169</v>
      </c>
      <c r="C610" s="7723" t="s">
        <v>1300</v>
      </c>
      <c r="D610" s="3483">
        <v>135000000</v>
      </c>
      <c r="E610" s="3523">
        <v>0.06</v>
      </c>
      <c r="F610" s="3483">
        <v>8000000</v>
      </c>
      <c r="G610" s="7563">
        <v>9750000</v>
      </c>
      <c r="H610" s="7563" t="s">
        <v>5596</v>
      </c>
      <c r="I610" s="7561" t="s">
        <v>2078</v>
      </c>
      <c r="J610" s="7563">
        <f t="shared" si="58"/>
        <v>9750000</v>
      </c>
      <c r="K610" s="7563">
        <f>(F610+F611)-J610</f>
        <v>0</v>
      </c>
      <c r="L610" s="3561"/>
    </row>
    <row r="611" spans="1:12" ht="30" customHeight="1" x14ac:dyDescent="0.2">
      <c r="A611" s="7655"/>
      <c r="B611" s="7653"/>
      <c r="C611" s="7724"/>
      <c r="D611" s="3483">
        <v>35000000</v>
      </c>
      <c r="E611" s="3523">
        <v>0.05</v>
      </c>
      <c r="F611" s="3483">
        <f>D611*E611</f>
        <v>1750000</v>
      </c>
      <c r="G611" s="7564"/>
      <c r="H611" s="7564"/>
      <c r="I611" s="7562"/>
      <c r="J611" s="7564"/>
      <c r="K611" s="7564"/>
      <c r="L611" s="1024" t="s">
        <v>3458</v>
      </c>
    </row>
    <row r="612" spans="1:12" ht="30" customHeight="1" x14ac:dyDescent="0.2">
      <c r="A612" s="3486">
        <v>321</v>
      </c>
      <c r="B612" s="19" t="s">
        <v>171</v>
      </c>
      <c r="C612" s="3529" t="s">
        <v>3007</v>
      </c>
      <c r="D612" s="3513">
        <v>5000000</v>
      </c>
      <c r="E612" s="3523">
        <v>0.04</v>
      </c>
      <c r="F612" s="3513">
        <f t="shared" si="56"/>
        <v>200000</v>
      </c>
      <c r="G612" s="3513">
        <v>200000</v>
      </c>
      <c r="H612" s="3513" t="s">
        <v>2341</v>
      </c>
      <c r="I612" s="3534" t="s">
        <v>1097</v>
      </c>
      <c r="J612" s="3513">
        <f t="shared" si="58"/>
        <v>200000</v>
      </c>
      <c r="K612" s="3513">
        <f>F612-J612</f>
        <v>0</v>
      </c>
      <c r="L612" s="3561"/>
    </row>
    <row r="613" spans="1:12" ht="30" customHeight="1" x14ac:dyDescent="0.2">
      <c r="A613" s="3486">
        <v>322</v>
      </c>
      <c r="B613" s="19" t="s">
        <v>1378</v>
      </c>
      <c r="C613" s="3529" t="s">
        <v>1081</v>
      </c>
      <c r="D613" s="3513">
        <v>10000000</v>
      </c>
      <c r="E613" s="3523">
        <v>0.05</v>
      </c>
      <c r="F613" s="3513">
        <f t="shared" si="56"/>
        <v>500000</v>
      </c>
      <c r="G613" s="3513">
        <v>500000</v>
      </c>
      <c r="H613" s="3513" t="s">
        <v>5358</v>
      </c>
      <c r="I613" s="3533" t="s">
        <v>1376</v>
      </c>
      <c r="J613" s="3513">
        <f t="shared" si="58"/>
        <v>500000</v>
      </c>
      <c r="K613" s="3513">
        <f>F613-J613</f>
        <v>0</v>
      </c>
      <c r="L613" s="3561" t="s">
        <v>5341</v>
      </c>
    </row>
    <row r="614" spans="1:12" ht="30" customHeight="1" x14ac:dyDescent="0.2">
      <c r="A614" s="3526">
        <v>323</v>
      </c>
      <c r="B614" s="3491" t="s">
        <v>172</v>
      </c>
      <c r="C614" s="3504"/>
      <c r="D614" s="3483">
        <v>60000000</v>
      </c>
      <c r="E614" s="3489">
        <v>4.4999999999999998E-2</v>
      </c>
      <c r="F614" s="3483">
        <f t="shared" si="56"/>
        <v>2700000</v>
      </c>
      <c r="G614" s="3483"/>
      <c r="H614" s="3483"/>
      <c r="I614" s="3517"/>
      <c r="J614" s="3483">
        <f>G614</f>
        <v>0</v>
      </c>
      <c r="K614" s="3483">
        <f>F614-J614</f>
        <v>2700000</v>
      </c>
      <c r="L614" s="3527"/>
    </row>
    <row r="615" spans="1:12" ht="30" customHeight="1" x14ac:dyDescent="0.2">
      <c r="A615" s="3526">
        <v>324</v>
      </c>
      <c r="B615" s="3527" t="s">
        <v>173</v>
      </c>
      <c r="C615" s="3504" t="s">
        <v>889</v>
      </c>
      <c r="D615" s="3483">
        <v>20000000</v>
      </c>
      <c r="E615" s="3523">
        <v>0.05</v>
      </c>
      <c r="F615" s="3483">
        <f>D615*E615</f>
        <v>1000000</v>
      </c>
      <c r="G615" s="3513"/>
      <c r="H615" s="3513"/>
      <c r="I615" s="3534" t="s">
        <v>1740</v>
      </c>
      <c r="J615" s="3513">
        <f>G615</f>
        <v>0</v>
      </c>
      <c r="K615" s="3513"/>
      <c r="L615" s="3537" t="s">
        <v>5063</v>
      </c>
    </row>
    <row r="616" spans="1:12" ht="30" customHeight="1" x14ac:dyDescent="0.2">
      <c r="A616" s="7654">
        <v>325</v>
      </c>
      <c r="B616" s="7652" t="s">
        <v>270</v>
      </c>
      <c r="C616" s="7723" t="s">
        <v>262</v>
      </c>
      <c r="D616" s="3483">
        <v>300000000</v>
      </c>
      <c r="E616" s="3523">
        <v>0.1</v>
      </c>
      <c r="F616" s="3483">
        <v>30750000</v>
      </c>
      <c r="G616" s="3831"/>
      <c r="H616" s="3831"/>
      <c r="I616" s="3832"/>
      <c r="J616" s="3831"/>
      <c r="K616" s="3831"/>
      <c r="L616" s="7723"/>
    </row>
    <row r="617" spans="1:12" ht="30" customHeight="1" x14ac:dyDescent="0.2">
      <c r="A617" s="7656"/>
      <c r="B617" s="7665"/>
      <c r="C617" s="7747"/>
      <c r="D617" s="3483">
        <v>140000000</v>
      </c>
      <c r="E617" s="3523">
        <v>7.0000000000000007E-2</v>
      </c>
      <c r="F617" s="3483">
        <v>9800000</v>
      </c>
      <c r="G617" s="3831"/>
      <c r="H617" s="3831"/>
      <c r="I617" s="3832"/>
      <c r="J617" s="3831"/>
      <c r="K617" s="3831"/>
      <c r="L617" s="7747"/>
    </row>
    <row r="618" spans="1:12" ht="30" customHeight="1" x14ac:dyDescent="0.2">
      <c r="A618" s="7656"/>
      <c r="B618" s="7665"/>
      <c r="C618" s="7747"/>
      <c r="D618" s="3483">
        <v>70000000</v>
      </c>
      <c r="E618" s="3523">
        <v>0.06</v>
      </c>
      <c r="F618" s="3483">
        <f>D618*E618</f>
        <v>4200000</v>
      </c>
      <c r="G618" s="3831"/>
      <c r="H618" s="3831"/>
      <c r="I618" s="3832"/>
      <c r="J618" s="3831"/>
      <c r="K618" s="3831"/>
      <c r="L618" s="3537" t="s">
        <v>4506</v>
      </c>
    </row>
    <row r="619" spans="1:12" ht="30" customHeight="1" x14ac:dyDescent="0.2">
      <c r="A619" s="7656"/>
      <c r="B619" s="7665"/>
      <c r="C619" s="7747"/>
      <c r="D619" s="3483">
        <v>100000000</v>
      </c>
      <c r="E619" s="3523">
        <v>0.06</v>
      </c>
      <c r="F619" s="3483">
        <f>D619*E619</f>
        <v>6000000</v>
      </c>
      <c r="G619" s="3513"/>
      <c r="H619" s="3513"/>
      <c r="I619" s="3534"/>
      <c r="J619" s="3483"/>
      <c r="K619" s="3483"/>
      <c r="L619" s="3537" t="s">
        <v>5048</v>
      </c>
    </row>
    <row r="620" spans="1:12" ht="30" customHeight="1" x14ac:dyDescent="0.2">
      <c r="A620" s="7656"/>
      <c r="B620" s="7665"/>
      <c r="C620" s="7747"/>
      <c r="D620" s="3499">
        <f>SUM(D616:D619)</f>
        <v>610000000</v>
      </c>
      <c r="E620" s="435"/>
      <c r="F620" s="3499">
        <v>52000000</v>
      </c>
      <c r="G620" s="3513"/>
      <c r="H620" s="3513"/>
      <c r="I620" s="3534"/>
      <c r="J620" s="3483"/>
      <c r="K620" s="3483"/>
      <c r="L620" s="3537"/>
    </row>
    <row r="621" spans="1:12" ht="30" customHeight="1" x14ac:dyDescent="0.2">
      <c r="A621" s="7656"/>
      <c r="B621" s="7665"/>
      <c r="C621" s="7747"/>
      <c r="D621" s="3628">
        <v>238000000</v>
      </c>
      <c r="E621" s="3640"/>
      <c r="F621" s="3628"/>
      <c r="G621" s="3635"/>
      <c r="H621" s="3635"/>
      <c r="I621" s="3639"/>
      <c r="J621" s="3628"/>
      <c r="K621" s="3628"/>
      <c r="L621" s="3638"/>
    </row>
    <row r="622" spans="1:12" ht="30" customHeight="1" x14ac:dyDescent="0.2">
      <c r="A622" s="7656"/>
      <c r="B622" s="7665"/>
      <c r="C622" s="7747"/>
      <c r="D622" s="3628">
        <v>100000000</v>
      </c>
      <c r="E622" s="3640"/>
      <c r="F622" s="3628"/>
      <c r="G622" s="3635"/>
      <c r="H622" s="3635"/>
      <c r="I622" s="3639"/>
      <c r="J622" s="3628"/>
      <c r="K622" s="3628"/>
      <c r="L622" s="3638" t="s">
        <v>5371</v>
      </c>
    </row>
    <row r="623" spans="1:12" ht="30" customHeight="1" x14ac:dyDescent="0.2">
      <c r="A623" s="7656"/>
      <c r="B623" s="7665"/>
      <c r="C623" s="7747"/>
      <c r="D623" s="3483">
        <v>50000000</v>
      </c>
      <c r="E623" s="3523"/>
      <c r="F623" s="3483"/>
      <c r="G623" s="3513"/>
      <c r="H623" s="3513"/>
      <c r="I623" s="3534"/>
      <c r="J623" s="3483"/>
      <c r="K623" s="3483"/>
      <c r="L623" s="3638" t="s">
        <v>5372</v>
      </c>
    </row>
    <row r="624" spans="1:12" ht="30" customHeight="1" x14ac:dyDescent="0.2">
      <c r="A624" s="7656"/>
      <c r="B624" s="7665"/>
      <c r="C624" s="7747"/>
      <c r="D624" s="3631">
        <v>2000000</v>
      </c>
      <c r="E624" s="3640"/>
      <c r="F624" s="3628"/>
      <c r="G624" s="3635"/>
      <c r="H624" s="3635"/>
      <c r="I624" s="3639"/>
      <c r="J624" s="3628"/>
      <c r="K624" s="3628"/>
      <c r="L624" s="3638" t="s">
        <v>5373</v>
      </c>
    </row>
    <row r="625" spans="1:12" ht="30" customHeight="1" x14ac:dyDescent="0.2">
      <c r="A625" s="7656"/>
      <c r="B625" s="7665"/>
      <c r="C625" s="7747"/>
      <c r="D625" s="7470" t="s">
        <v>5306</v>
      </c>
      <c r="E625" s="7493"/>
      <c r="F625" s="7493"/>
      <c r="G625" s="7493"/>
      <c r="H625" s="7493"/>
      <c r="I625" s="7493"/>
      <c r="J625" s="7510"/>
      <c r="K625" s="3483"/>
      <c r="L625" s="3537"/>
    </row>
    <row r="626" spans="1:12" ht="30" customHeight="1" x14ac:dyDescent="0.2">
      <c r="A626" s="7656"/>
      <c r="B626" s="7665"/>
      <c r="C626" s="7747"/>
      <c r="D626" s="7570">
        <v>1000000000</v>
      </c>
      <c r="E626" s="8329">
        <v>6.0999999999999999E-2</v>
      </c>
      <c r="F626" s="7570">
        <v>61400000</v>
      </c>
      <c r="G626" s="3831">
        <v>50000000</v>
      </c>
      <c r="H626" s="3831" t="s">
        <v>1879</v>
      </c>
      <c r="I626" s="3831" t="s">
        <v>2927</v>
      </c>
      <c r="J626" s="7563">
        <f>G626+G627</f>
        <v>55400000</v>
      </c>
      <c r="K626" s="7563"/>
      <c r="L626" s="3833" t="s">
        <v>5606</v>
      </c>
    </row>
    <row r="627" spans="1:12" ht="30" customHeight="1" x14ac:dyDescent="0.2">
      <c r="A627" s="7655"/>
      <c r="B627" s="7653"/>
      <c r="C627" s="7724"/>
      <c r="D627" s="7570"/>
      <c r="E627" s="8329"/>
      <c r="F627" s="7570"/>
      <c r="G627" s="3830">
        <v>5400000</v>
      </c>
      <c r="H627" s="3513" t="s">
        <v>5697</v>
      </c>
      <c r="I627" s="3534" t="s">
        <v>2927</v>
      </c>
      <c r="J627" s="7564"/>
      <c r="K627" s="7564"/>
      <c r="L627" s="3537"/>
    </row>
    <row r="628" spans="1:12" ht="30" customHeight="1" x14ac:dyDescent="0.2">
      <c r="A628" s="3486">
        <v>326</v>
      </c>
      <c r="B628" s="19" t="s">
        <v>176</v>
      </c>
      <c r="C628" s="3529" t="s">
        <v>1300</v>
      </c>
      <c r="D628" s="3513">
        <v>500000000</v>
      </c>
      <c r="E628" s="3523">
        <v>0.05</v>
      </c>
      <c r="F628" s="3513">
        <f>D628*E628</f>
        <v>25000000</v>
      </c>
      <c r="G628" s="3779">
        <v>25000000</v>
      </c>
      <c r="H628" s="3779" t="s">
        <v>5596</v>
      </c>
      <c r="I628" s="3792" t="s">
        <v>5099</v>
      </c>
      <c r="J628" s="3779">
        <f>G628</f>
        <v>25000000</v>
      </c>
      <c r="K628" s="3513">
        <f>F628-J628</f>
        <v>0</v>
      </c>
      <c r="L628" s="3511"/>
    </row>
    <row r="629" spans="1:12" ht="30" customHeight="1" x14ac:dyDescent="0.2">
      <c r="A629" s="3526">
        <v>327</v>
      </c>
      <c r="B629" s="3491" t="s">
        <v>1232</v>
      </c>
      <c r="C629" s="3504"/>
      <c r="D629" s="3483">
        <v>60000000</v>
      </c>
      <c r="E629" s="3489">
        <v>0.05</v>
      </c>
      <c r="F629" s="3483">
        <f t="shared" ref="F629:F632" si="59">D629*E629</f>
        <v>3000000</v>
      </c>
      <c r="G629" s="3483"/>
      <c r="H629" s="3483"/>
      <c r="I629" s="3582" t="s">
        <v>1231</v>
      </c>
      <c r="J629" s="3483">
        <f>G629</f>
        <v>0</v>
      </c>
      <c r="K629" s="3483">
        <f t="shared" ref="K629:K633" si="60">F629-J629</f>
        <v>3000000</v>
      </c>
      <c r="L629" s="3561"/>
    </row>
    <row r="630" spans="1:12" ht="30" customHeight="1" x14ac:dyDescent="0.2">
      <c r="A630" s="7654">
        <v>328</v>
      </c>
      <c r="B630" s="7652" t="s">
        <v>2675</v>
      </c>
      <c r="C630" s="7723" t="s">
        <v>942</v>
      </c>
      <c r="D630" s="3513">
        <v>695000000</v>
      </c>
      <c r="E630" s="3523">
        <v>0.06</v>
      </c>
      <c r="F630" s="3513">
        <f>D630*E630</f>
        <v>41700000</v>
      </c>
      <c r="G630" s="3483">
        <v>41700000</v>
      </c>
      <c r="H630" s="3483" t="s">
        <v>5340</v>
      </c>
      <c r="I630" s="3582" t="s">
        <v>4815</v>
      </c>
      <c r="J630" s="3483">
        <f>G630</f>
        <v>41700000</v>
      </c>
      <c r="K630" s="3483">
        <f t="shared" si="60"/>
        <v>0</v>
      </c>
      <c r="L630" s="3561" t="s">
        <v>5433</v>
      </c>
    </row>
    <row r="631" spans="1:12" ht="30" customHeight="1" x14ac:dyDescent="0.2">
      <c r="A631" s="7655"/>
      <c r="B631" s="7653"/>
      <c r="C631" s="7724"/>
      <c r="D631" s="4097">
        <v>200000000</v>
      </c>
      <c r="E631" s="4100"/>
      <c r="F631" s="4097"/>
      <c r="G631" s="7732" t="s">
        <v>5915</v>
      </c>
      <c r="H631" s="7733"/>
      <c r="I631" s="7733"/>
      <c r="J631" s="7734"/>
      <c r="K631" s="4098"/>
      <c r="L631" s="4099"/>
    </row>
    <row r="632" spans="1:12" ht="30" customHeight="1" x14ac:dyDescent="0.2">
      <c r="A632" s="3486">
        <v>329</v>
      </c>
      <c r="B632" s="3530" t="s">
        <v>181</v>
      </c>
      <c r="C632" s="378"/>
      <c r="D632" s="3484"/>
      <c r="E632" s="2519"/>
      <c r="F632" s="3484">
        <f t="shared" si="59"/>
        <v>0</v>
      </c>
      <c r="G632" s="3513"/>
      <c r="H632" s="3513"/>
      <c r="I632" s="3534"/>
      <c r="J632" s="3513"/>
      <c r="K632" s="3484">
        <f t="shared" si="60"/>
        <v>0</v>
      </c>
      <c r="L632" s="3506"/>
    </row>
    <row r="633" spans="1:12" ht="30" customHeight="1" x14ac:dyDescent="0.2">
      <c r="A633" s="3573">
        <v>331</v>
      </c>
      <c r="B633" s="3527" t="s">
        <v>339</v>
      </c>
      <c r="C633" s="3529" t="s">
        <v>371</v>
      </c>
      <c r="D633" s="3513">
        <v>290000000</v>
      </c>
      <c r="E633" s="3523">
        <v>0.06</v>
      </c>
      <c r="F633" s="3513">
        <f t="shared" ref="F633:F636" si="61">D633*E633</f>
        <v>17400000</v>
      </c>
      <c r="G633" s="3513">
        <v>17400000</v>
      </c>
      <c r="H633" s="3513" t="s">
        <v>5585</v>
      </c>
      <c r="I633" s="3513" t="s">
        <v>1840</v>
      </c>
      <c r="J633" s="3513">
        <f>G633</f>
        <v>17400000</v>
      </c>
      <c r="K633" s="3513">
        <f t="shared" si="60"/>
        <v>0</v>
      </c>
      <c r="L633" s="3561"/>
    </row>
    <row r="634" spans="1:12" ht="30" customHeight="1" x14ac:dyDescent="0.2">
      <c r="A634" s="7654">
        <v>333</v>
      </c>
      <c r="B634" s="7652" t="s">
        <v>888</v>
      </c>
      <c r="C634" s="7723" t="s">
        <v>889</v>
      </c>
      <c r="D634" s="3483">
        <v>320000000</v>
      </c>
      <c r="E634" s="3523">
        <v>0.05</v>
      </c>
      <c r="F634" s="3483">
        <f t="shared" si="61"/>
        <v>16000000</v>
      </c>
      <c r="G634" s="7563">
        <v>21000000</v>
      </c>
      <c r="H634" s="7563" t="s">
        <v>5340</v>
      </c>
      <c r="I634" s="7561" t="s">
        <v>1323</v>
      </c>
      <c r="J634" s="7482">
        <f>G634</f>
        <v>21000000</v>
      </c>
      <c r="K634" s="7482">
        <f>(F634+F635)-J634</f>
        <v>0</v>
      </c>
      <c r="L634" s="7818"/>
    </row>
    <row r="635" spans="1:12" ht="30" customHeight="1" x14ac:dyDescent="0.2">
      <c r="A635" s="7655"/>
      <c r="B635" s="7653"/>
      <c r="C635" s="7724"/>
      <c r="D635" s="3483">
        <v>100000000</v>
      </c>
      <c r="E635" s="3523">
        <v>0.05</v>
      </c>
      <c r="F635" s="3483">
        <f t="shared" si="61"/>
        <v>5000000</v>
      </c>
      <c r="G635" s="7564"/>
      <c r="H635" s="7564"/>
      <c r="I635" s="7562"/>
      <c r="J635" s="7482"/>
      <c r="K635" s="7482"/>
      <c r="L635" s="7819"/>
    </row>
    <row r="636" spans="1:12" ht="30" customHeight="1" x14ac:dyDescent="0.2">
      <c r="A636" s="3486">
        <v>335</v>
      </c>
      <c r="B636" s="19" t="s">
        <v>1276</v>
      </c>
      <c r="C636" s="3529" t="s">
        <v>889</v>
      </c>
      <c r="D636" s="3483">
        <v>15000000</v>
      </c>
      <c r="E636" s="3523">
        <v>0.05</v>
      </c>
      <c r="F636" s="3483">
        <f t="shared" si="61"/>
        <v>750000</v>
      </c>
      <c r="G636" s="3483">
        <v>750000</v>
      </c>
      <c r="H636" s="3483" t="s">
        <v>1879</v>
      </c>
      <c r="I636" s="3582" t="s">
        <v>2747</v>
      </c>
      <c r="J636" s="3483">
        <f>G636</f>
        <v>750000</v>
      </c>
      <c r="K636" s="3483">
        <f>F636-J636</f>
        <v>0</v>
      </c>
      <c r="L636" s="3561"/>
    </row>
    <row r="637" spans="1:12" ht="30" customHeight="1" x14ac:dyDescent="0.2">
      <c r="A637" s="3526">
        <v>336</v>
      </c>
      <c r="B637" s="3491" t="s">
        <v>2576</v>
      </c>
      <c r="C637" s="3504" t="s">
        <v>889</v>
      </c>
      <c r="D637" s="3483">
        <v>210000000</v>
      </c>
      <c r="E637" s="3523">
        <v>0.05</v>
      </c>
      <c r="F637" s="3483">
        <f>D637*E637</f>
        <v>10500000</v>
      </c>
      <c r="G637" s="3483">
        <v>10500000</v>
      </c>
      <c r="H637" s="3483" t="s">
        <v>5358</v>
      </c>
      <c r="I637" s="3582" t="s">
        <v>3408</v>
      </c>
      <c r="J637" s="3483">
        <f>G637</f>
        <v>10500000</v>
      </c>
      <c r="K637" s="3483">
        <f>F637-J637</f>
        <v>0</v>
      </c>
      <c r="L637" s="3527"/>
    </row>
    <row r="638" spans="1:12" ht="30" customHeight="1" x14ac:dyDescent="0.2">
      <c r="A638" s="7654">
        <v>337</v>
      </c>
      <c r="B638" s="7652" t="s">
        <v>1304</v>
      </c>
      <c r="C638" s="7723" t="s">
        <v>889</v>
      </c>
      <c r="D638" s="3483">
        <v>80000000</v>
      </c>
      <c r="E638" s="3523">
        <v>7.0000000000000007E-2</v>
      </c>
      <c r="F638" s="3483">
        <f t="shared" ref="F638:F676" si="62">D638*E638</f>
        <v>5600000.0000000009</v>
      </c>
      <c r="G638" s="8105" t="s">
        <v>5348</v>
      </c>
      <c r="H638" s="8106"/>
      <c r="I638" s="8106"/>
      <c r="J638" s="8107"/>
      <c r="K638" s="7563"/>
      <c r="L638" s="3597"/>
    </row>
    <row r="639" spans="1:12" ht="30" customHeight="1" x14ac:dyDescent="0.2">
      <c r="A639" s="7656"/>
      <c r="B639" s="7665"/>
      <c r="C639" s="7747"/>
      <c r="D639" s="3483">
        <v>200000000</v>
      </c>
      <c r="E639" s="3523">
        <v>0.06</v>
      </c>
      <c r="F639" s="3483">
        <f t="shared" si="62"/>
        <v>12000000</v>
      </c>
      <c r="G639" s="8108"/>
      <c r="H639" s="8109"/>
      <c r="I639" s="8109"/>
      <c r="J639" s="8110"/>
      <c r="K639" s="7586"/>
      <c r="L639" s="3491"/>
    </row>
    <row r="640" spans="1:12" ht="30" customHeight="1" x14ac:dyDescent="0.2">
      <c r="A640" s="7656"/>
      <c r="B640" s="7665"/>
      <c r="C640" s="7747"/>
      <c r="D640" s="4030">
        <v>20000000</v>
      </c>
      <c r="E640" s="4034">
        <v>7.0000000000000007E-2</v>
      </c>
      <c r="F640" s="4030">
        <f t="shared" si="62"/>
        <v>1400000.0000000002</v>
      </c>
      <c r="G640" s="8111"/>
      <c r="H640" s="8112"/>
      <c r="I640" s="8112"/>
      <c r="J640" s="8113"/>
      <c r="K640" s="7564"/>
      <c r="L640" s="4032"/>
    </row>
    <row r="641" spans="1:12" ht="30" customHeight="1" x14ac:dyDescent="0.2">
      <c r="A641" s="7656"/>
      <c r="B641" s="7665"/>
      <c r="C641" s="7747"/>
      <c r="D641" s="4030">
        <v>80000000</v>
      </c>
      <c r="E641" s="4034">
        <v>7.0000000000000007E-2</v>
      </c>
      <c r="F641" s="4030">
        <f t="shared" si="62"/>
        <v>5600000.0000000009</v>
      </c>
      <c r="G641" s="7954" t="s">
        <v>5868</v>
      </c>
      <c r="H641" s="7955"/>
      <c r="I641" s="7955"/>
      <c r="J641" s="7956"/>
      <c r="K641" s="4030"/>
      <c r="L641" s="4032"/>
    </row>
    <row r="642" spans="1:12" ht="30" customHeight="1" x14ac:dyDescent="0.2">
      <c r="A642" s="7655"/>
      <c r="B642" s="7653"/>
      <c r="C642" s="7724"/>
      <c r="D642" s="3570">
        <v>380000000</v>
      </c>
      <c r="E642" s="896">
        <v>7.0000000000000007E-2</v>
      </c>
      <c r="F642" s="3570">
        <f t="shared" si="62"/>
        <v>26600000.000000004</v>
      </c>
      <c r="G642" s="1661"/>
      <c r="H642" s="1661"/>
      <c r="I642" s="1661"/>
      <c r="J642" s="3513"/>
      <c r="K642" s="3513"/>
      <c r="L642" s="3539" t="s">
        <v>5337</v>
      </c>
    </row>
    <row r="643" spans="1:12" ht="30" customHeight="1" x14ac:dyDescent="0.2">
      <c r="A643" s="7654"/>
      <c r="B643" s="7652" t="s">
        <v>1677</v>
      </c>
      <c r="C643" s="7723" t="s">
        <v>889</v>
      </c>
      <c r="D643" s="3251">
        <v>235500000</v>
      </c>
      <c r="E643" s="3523">
        <v>0.05</v>
      </c>
      <c r="F643" s="3483">
        <f t="shared" si="62"/>
        <v>11775000</v>
      </c>
      <c r="G643" s="3477"/>
      <c r="H643" s="3479"/>
      <c r="I643" s="3479"/>
      <c r="J643" s="3479"/>
      <c r="K643" s="1604"/>
      <c r="L643" s="3539" t="s">
        <v>5300</v>
      </c>
    </row>
    <row r="644" spans="1:12" ht="30" customHeight="1" x14ac:dyDescent="0.2">
      <c r="A644" s="7656"/>
      <c r="B644" s="7665"/>
      <c r="C644" s="7747"/>
      <c r="D644" s="3247">
        <v>300000000</v>
      </c>
      <c r="E644" s="3249">
        <v>7.0000000000000007E-2</v>
      </c>
      <c r="F644" s="3247">
        <f t="shared" si="62"/>
        <v>21000000.000000004</v>
      </c>
      <c r="G644" s="7732" t="s">
        <v>5290</v>
      </c>
      <c r="H644" s="7733"/>
      <c r="I644" s="7733"/>
      <c r="J644" s="7733"/>
      <c r="K644" s="7734"/>
      <c r="L644" s="3539"/>
    </row>
    <row r="645" spans="1:12" ht="30" customHeight="1" x14ac:dyDescent="0.2">
      <c r="A645" s="7656"/>
      <c r="B645" s="7665"/>
      <c r="C645" s="7747"/>
      <c r="D645" s="3247">
        <v>30000000</v>
      </c>
      <c r="E645" s="3249">
        <v>7.0000000000000007E-2</v>
      </c>
      <c r="F645" s="3247">
        <f t="shared" si="62"/>
        <v>2100000</v>
      </c>
      <c r="G645" s="7732" t="s">
        <v>5299</v>
      </c>
      <c r="H645" s="7733"/>
      <c r="I645" s="7733"/>
      <c r="J645" s="7733"/>
      <c r="K645" s="7734"/>
      <c r="L645" s="3539"/>
    </row>
    <row r="646" spans="1:12" ht="30" customHeight="1" x14ac:dyDescent="0.2">
      <c r="A646" s="7656"/>
      <c r="B646" s="7665"/>
      <c r="C646" s="7747"/>
      <c r="D646" s="3248">
        <v>20000000</v>
      </c>
      <c r="E646" s="3250">
        <v>7.0000000000000007E-2</v>
      </c>
      <c r="F646" s="3248">
        <f>D646*E646</f>
        <v>1400000.0000000002</v>
      </c>
      <c r="G646" s="7732" t="s">
        <v>5296</v>
      </c>
      <c r="H646" s="7733"/>
      <c r="I646" s="7733"/>
      <c r="J646" s="7733"/>
      <c r="K646" s="7734"/>
      <c r="L646" s="3539"/>
    </row>
    <row r="647" spans="1:12" ht="30" customHeight="1" x14ac:dyDescent="0.2">
      <c r="A647" s="7656"/>
      <c r="B647" s="7665"/>
      <c r="C647" s="7747"/>
      <c r="D647" s="3248">
        <v>12000000</v>
      </c>
      <c r="E647" s="3250">
        <v>7.0000000000000007E-2</v>
      </c>
      <c r="F647" s="3248">
        <f>D647*E647</f>
        <v>840000.00000000012</v>
      </c>
      <c r="G647" s="7732" t="s">
        <v>5291</v>
      </c>
      <c r="H647" s="7733"/>
      <c r="I647" s="7733"/>
      <c r="J647" s="7733"/>
      <c r="K647" s="7734"/>
      <c r="L647" s="3539"/>
    </row>
    <row r="648" spans="1:12" ht="30" customHeight="1" x14ac:dyDescent="0.2">
      <c r="A648" s="7656"/>
      <c r="B648" s="7665"/>
      <c r="C648" s="7747"/>
      <c r="D648" s="3752">
        <f>SUM(D644:D647)</f>
        <v>362000000</v>
      </c>
      <c r="E648" s="3772">
        <v>7.0000000000000007E-2</v>
      </c>
      <c r="F648" s="3752">
        <f>D648*E648</f>
        <v>25340000.000000004</v>
      </c>
      <c r="G648" s="7732" t="s">
        <v>5544</v>
      </c>
      <c r="H648" s="7733"/>
      <c r="I648" s="7733"/>
      <c r="J648" s="7733"/>
      <c r="K648" s="7734"/>
      <c r="L648" s="3539"/>
    </row>
    <row r="649" spans="1:12" ht="30" customHeight="1" x14ac:dyDescent="0.2">
      <c r="A649" s="7656"/>
      <c r="B649" s="7665"/>
      <c r="C649" s="7747"/>
      <c r="D649" s="8015">
        <f>D643+D648</f>
        <v>597500000</v>
      </c>
      <c r="E649" s="8016"/>
      <c r="F649" s="3248">
        <f>F643+F648</f>
        <v>37115000</v>
      </c>
      <c r="G649" s="3477"/>
      <c r="H649" s="3479"/>
      <c r="I649" s="3479"/>
      <c r="J649" s="3479"/>
      <c r="K649" s="1604"/>
      <c r="L649" s="3539"/>
    </row>
    <row r="650" spans="1:12" ht="30" customHeight="1" x14ac:dyDescent="0.2">
      <c r="A650" s="7656"/>
      <c r="B650" s="7665"/>
      <c r="C650" s="7747"/>
      <c r="D650" s="3576">
        <v>45000000</v>
      </c>
      <c r="E650" s="3541">
        <v>7.0000000000000007E-2</v>
      </c>
      <c r="F650" s="3576">
        <f>D650*E650</f>
        <v>3150000.0000000005</v>
      </c>
      <c r="G650" s="7732" t="s">
        <v>5292</v>
      </c>
      <c r="H650" s="7733"/>
      <c r="I650" s="7733"/>
      <c r="J650" s="7733"/>
      <c r="K650" s="7734"/>
      <c r="L650" s="3539"/>
    </row>
    <row r="651" spans="1:12" ht="30" customHeight="1" x14ac:dyDescent="0.2">
      <c r="A651" s="7656"/>
      <c r="B651" s="7665"/>
      <c r="C651" s="7747"/>
      <c r="D651" s="3576">
        <v>100000000</v>
      </c>
      <c r="E651" s="3541">
        <v>7.0000000000000007E-2</v>
      </c>
      <c r="F651" s="3576">
        <f>D651*E651</f>
        <v>7000000.0000000009</v>
      </c>
      <c r="G651" s="7732" t="s">
        <v>5293</v>
      </c>
      <c r="H651" s="7733"/>
      <c r="I651" s="7733"/>
      <c r="J651" s="7733"/>
      <c r="K651" s="7734"/>
      <c r="L651" s="3539"/>
    </row>
    <row r="652" spans="1:12" ht="30" customHeight="1" x14ac:dyDescent="0.2">
      <c r="A652" s="7656"/>
      <c r="B652" s="7665"/>
      <c r="C652" s="7747"/>
      <c r="D652" s="3576">
        <v>80000000</v>
      </c>
      <c r="E652" s="3541">
        <v>7.0000000000000007E-2</v>
      </c>
      <c r="F652" s="3576">
        <f t="shared" ref="F652:F653" si="63">D652*E652</f>
        <v>5600000.0000000009</v>
      </c>
      <c r="G652" s="7732" t="s">
        <v>5294</v>
      </c>
      <c r="H652" s="7733"/>
      <c r="I652" s="7733"/>
      <c r="J652" s="7733"/>
      <c r="K652" s="7734"/>
      <c r="L652" s="3539"/>
    </row>
    <row r="653" spans="1:12" ht="30" customHeight="1" x14ac:dyDescent="0.2">
      <c r="A653" s="7656"/>
      <c r="B653" s="7665"/>
      <c r="C653" s="7747"/>
      <c r="D653" s="3576">
        <v>55000000</v>
      </c>
      <c r="E653" s="3541">
        <v>7.0000000000000007E-2</v>
      </c>
      <c r="F653" s="3576">
        <f t="shared" si="63"/>
        <v>3850000.0000000005</v>
      </c>
      <c r="G653" s="7732" t="s">
        <v>5295</v>
      </c>
      <c r="H653" s="7733"/>
      <c r="I653" s="7733"/>
      <c r="J653" s="7733"/>
      <c r="K653" s="7734"/>
      <c r="L653" s="3539"/>
    </row>
    <row r="654" spans="1:12" ht="30" customHeight="1" x14ac:dyDescent="0.2">
      <c r="A654" s="7656"/>
      <c r="B654" s="7665"/>
      <c r="C654" s="7747"/>
      <c r="D654" s="7858">
        <f>D649+D650+D651+D652+D653</f>
        <v>877500000</v>
      </c>
      <c r="E654" s="7860"/>
      <c r="F654" s="3576">
        <f>F649+F650+F651+F652+F653</f>
        <v>56715000</v>
      </c>
      <c r="G654" s="7806" t="s">
        <v>3673</v>
      </c>
      <c r="H654" s="7807"/>
      <c r="I654" s="7807"/>
      <c r="J654" s="7807"/>
      <c r="K654" s="7808"/>
      <c r="L654" s="3539"/>
    </row>
    <row r="655" spans="1:12" ht="30" customHeight="1" x14ac:dyDescent="0.2">
      <c r="A655" s="7656"/>
      <c r="B655" s="7665"/>
      <c r="C655" s="7747"/>
      <c r="D655" s="3580">
        <v>150000000</v>
      </c>
      <c r="E655" s="3557">
        <v>7.0000000000000007E-2</v>
      </c>
      <c r="F655" s="3580">
        <f>D655*E655</f>
        <v>10500000.000000002</v>
      </c>
      <c r="G655" s="7732" t="s">
        <v>5298</v>
      </c>
      <c r="H655" s="7733"/>
      <c r="I655" s="7733"/>
      <c r="J655" s="7733"/>
      <c r="K655" s="7734"/>
      <c r="L655" s="3539"/>
    </row>
    <row r="656" spans="1:12" ht="30" customHeight="1" x14ac:dyDescent="0.2">
      <c r="A656" s="7656"/>
      <c r="B656" s="7665"/>
      <c r="C656" s="7747"/>
      <c r="D656" s="3580">
        <v>100000000</v>
      </c>
      <c r="E656" s="3557">
        <v>7.0000000000000007E-2</v>
      </c>
      <c r="F656" s="3580">
        <f>D656*E656</f>
        <v>7000000.0000000009</v>
      </c>
      <c r="G656" s="7732" t="s">
        <v>5297</v>
      </c>
      <c r="H656" s="7733"/>
      <c r="I656" s="7733"/>
      <c r="J656" s="7733"/>
      <c r="K656" s="7734"/>
      <c r="L656" s="3539"/>
    </row>
    <row r="657" spans="1:12" ht="30" customHeight="1" x14ac:dyDescent="0.2">
      <c r="A657" s="7656"/>
      <c r="B657" s="7665"/>
      <c r="C657" s="7747"/>
      <c r="D657" s="8004">
        <f>D654+D655+D656</f>
        <v>1127500000</v>
      </c>
      <c r="E657" s="8005"/>
      <c r="F657" s="3580">
        <f>F654+F655+F656</f>
        <v>74215000</v>
      </c>
      <c r="G657" s="8085" t="s">
        <v>3882</v>
      </c>
      <c r="H657" s="8086"/>
      <c r="I657" s="8086"/>
      <c r="J657" s="8086"/>
      <c r="K657" s="8087"/>
      <c r="L657" s="3539"/>
    </row>
    <row r="658" spans="1:12" ht="30" customHeight="1" x14ac:dyDescent="0.2">
      <c r="A658" s="7656"/>
      <c r="B658" s="7665"/>
      <c r="C658" s="7747"/>
      <c r="D658" s="3553">
        <v>70000000</v>
      </c>
      <c r="E658" s="3245">
        <v>7.0000000000000007E-2</v>
      </c>
      <c r="F658" s="3553">
        <f>D658*E658</f>
        <v>4900000.0000000009</v>
      </c>
      <c r="G658" s="7732" t="s">
        <v>5543</v>
      </c>
      <c r="H658" s="7733"/>
      <c r="I658" s="7733"/>
      <c r="J658" s="7733"/>
      <c r="K658" s="7734"/>
      <c r="L658" s="3539"/>
    </row>
    <row r="659" spans="1:12" ht="30" customHeight="1" x14ac:dyDescent="0.2">
      <c r="A659" s="7656"/>
      <c r="B659" s="7665"/>
      <c r="C659" s="7747"/>
      <c r="D659" s="7883">
        <f>D657+D658</f>
        <v>1197500000</v>
      </c>
      <c r="E659" s="7884"/>
      <c r="F659" s="3553">
        <f>F657+F658</f>
        <v>79115000</v>
      </c>
      <c r="G659" s="8255" t="s">
        <v>4366</v>
      </c>
      <c r="H659" s="8256"/>
      <c r="I659" s="8256"/>
      <c r="J659" s="8256"/>
      <c r="K659" s="8257"/>
      <c r="L659" s="3539"/>
    </row>
    <row r="660" spans="1:12" ht="30" customHeight="1" x14ac:dyDescent="0.2">
      <c r="A660" s="7656"/>
      <c r="B660" s="7665"/>
      <c r="C660" s="7747"/>
      <c r="D660" s="3239">
        <v>79115000</v>
      </c>
      <c r="E660" s="3246">
        <v>7.0000000000000007E-2</v>
      </c>
      <c r="F660" s="3239">
        <f>D660*E660</f>
        <v>5538050.0000000009</v>
      </c>
      <c r="G660" s="7732" t="s">
        <v>4974</v>
      </c>
      <c r="H660" s="7733"/>
      <c r="I660" s="7733"/>
      <c r="J660" s="7733"/>
      <c r="K660" s="7734"/>
      <c r="L660" s="3539"/>
    </row>
    <row r="661" spans="1:12" ht="30" customHeight="1" x14ac:dyDescent="0.2">
      <c r="A661" s="7656"/>
      <c r="B661" s="7665"/>
      <c r="C661" s="7747"/>
      <c r="D661" s="3239">
        <v>100000000</v>
      </c>
      <c r="E661" s="3246">
        <v>7.0000000000000007E-2</v>
      </c>
      <c r="F661" s="3239">
        <f>D661*E661</f>
        <v>7000000.0000000009</v>
      </c>
      <c r="G661" s="7732" t="s">
        <v>4973</v>
      </c>
      <c r="H661" s="7733"/>
      <c r="I661" s="7733"/>
      <c r="J661" s="7733"/>
      <c r="K661" s="7734"/>
      <c r="L661" s="3539"/>
    </row>
    <row r="662" spans="1:12" ht="30" customHeight="1" x14ac:dyDescent="0.2">
      <c r="A662" s="7656"/>
      <c r="B662" s="7665"/>
      <c r="C662" s="7747"/>
      <c r="D662" s="3239">
        <f>71051000-166000</f>
        <v>70885000</v>
      </c>
      <c r="E662" s="3246">
        <v>7.0000000000000007E-2</v>
      </c>
      <c r="F662" s="3239">
        <f>D662*E662</f>
        <v>4961950.0000000009</v>
      </c>
      <c r="G662" s="8099" t="s">
        <v>5165</v>
      </c>
      <c r="H662" s="8100"/>
      <c r="I662" s="8100"/>
      <c r="J662" s="8100"/>
      <c r="K662" s="8101"/>
      <c r="L662" s="3539"/>
    </row>
    <row r="663" spans="1:12" ht="30" customHeight="1" x14ac:dyDescent="0.2">
      <c r="A663" s="7656"/>
      <c r="B663" s="7665"/>
      <c r="C663" s="7747"/>
      <c r="D663" s="3239">
        <v>100000000</v>
      </c>
      <c r="E663" s="3240">
        <v>7.0000000000000007E-2</v>
      </c>
      <c r="F663" s="3239">
        <f>D663*E663</f>
        <v>7000000.0000000009</v>
      </c>
      <c r="G663" s="7732" t="s">
        <v>5018</v>
      </c>
      <c r="H663" s="7733"/>
      <c r="I663" s="7733"/>
      <c r="J663" s="7733"/>
      <c r="K663" s="7734"/>
      <c r="L663" s="3539"/>
    </row>
    <row r="664" spans="1:12" ht="30" customHeight="1" x14ac:dyDescent="0.2">
      <c r="A664" s="7656"/>
      <c r="B664" s="7665"/>
      <c r="C664" s="7747"/>
      <c r="D664" s="8350">
        <f>D659+D660+D661+D662+D663</f>
        <v>1547500000</v>
      </c>
      <c r="E664" s="8351"/>
      <c r="F664" s="8326">
        <f>F659+F660+F661+F662+F663</f>
        <v>103615000</v>
      </c>
      <c r="G664" s="8258" t="s">
        <v>4975</v>
      </c>
      <c r="H664" s="8259"/>
      <c r="I664" s="8259"/>
      <c r="J664" s="8259"/>
      <c r="K664" s="8260"/>
      <c r="L664" s="1540" t="s">
        <v>4976</v>
      </c>
    </row>
    <row r="665" spans="1:12" ht="30" customHeight="1" x14ac:dyDescent="0.2">
      <c r="A665" s="7656"/>
      <c r="B665" s="7665"/>
      <c r="C665" s="7747"/>
      <c r="D665" s="8352"/>
      <c r="E665" s="8353"/>
      <c r="F665" s="8327"/>
      <c r="G665" s="3915">
        <v>33615000</v>
      </c>
      <c r="H665" s="7482" t="s">
        <v>5367</v>
      </c>
      <c r="I665" s="7494" t="s">
        <v>1720</v>
      </c>
      <c r="J665" s="7482">
        <f>G665+G666</f>
        <v>33781000</v>
      </c>
      <c r="K665" s="7563">
        <f>F664-G665</f>
        <v>70000000</v>
      </c>
      <c r="L665" s="3824" t="s">
        <v>4906</v>
      </c>
    </row>
    <row r="666" spans="1:12" ht="30" customHeight="1" x14ac:dyDescent="0.2">
      <c r="A666" s="7656"/>
      <c r="B666" s="7665"/>
      <c r="C666" s="7747"/>
      <c r="D666" s="8354"/>
      <c r="E666" s="8355"/>
      <c r="F666" s="8328"/>
      <c r="G666" s="3915">
        <v>166000</v>
      </c>
      <c r="H666" s="7482"/>
      <c r="I666" s="7769"/>
      <c r="J666" s="7482"/>
      <c r="K666" s="7564"/>
      <c r="L666" s="3824"/>
    </row>
    <row r="667" spans="1:12" ht="30" customHeight="1" x14ac:dyDescent="0.2">
      <c r="A667" s="7656"/>
      <c r="B667" s="7665"/>
      <c r="C667" s="7747"/>
      <c r="D667" s="3826">
        <v>70000000</v>
      </c>
      <c r="E667" s="3814">
        <v>7.0000000000000007E-2</v>
      </c>
      <c r="F667" s="3826">
        <f t="shared" ref="F667:F674" si="64">D667*E667</f>
        <v>4900000.0000000009</v>
      </c>
      <c r="G667" s="7732" t="s">
        <v>5542</v>
      </c>
      <c r="H667" s="7733"/>
      <c r="I667" s="7733"/>
      <c r="J667" s="7733"/>
      <c r="K667" s="7734"/>
      <c r="L667" s="3824"/>
    </row>
    <row r="668" spans="1:12" ht="30" customHeight="1" x14ac:dyDescent="0.2">
      <c r="A668" s="7656"/>
      <c r="B668" s="7665"/>
      <c r="C668" s="7747"/>
      <c r="D668" s="3826">
        <v>34000000</v>
      </c>
      <c r="E668" s="3948">
        <v>7.0000000000000007E-2</v>
      </c>
      <c r="F668" s="3826">
        <f t="shared" si="64"/>
        <v>2380000</v>
      </c>
      <c r="G668" s="7732" t="s">
        <v>5669</v>
      </c>
      <c r="H668" s="7733"/>
      <c r="I668" s="7733"/>
      <c r="J668" s="7733"/>
      <c r="K668" s="7734"/>
      <c r="L668" s="3824"/>
    </row>
    <row r="669" spans="1:12" ht="30" customHeight="1" x14ac:dyDescent="0.2">
      <c r="A669" s="7656"/>
      <c r="B669" s="7665"/>
      <c r="C669" s="7747"/>
      <c r="D669" s="3826">
        <v>100000000</v>
      </c>
      <c r="E669" s="295">
        <v>7.0000000000000007E-2</v>
      </c>
      <c r="F669" s="3826">
        <f t="shared" si="64"/>
        <v>7000000.0000000009</v>
      </c>
      <c r="G669" s="7732" t="s">
        <v>5670</v>
      </c>
      <c r="H669" s="7733"/>
      <c r="I669" s="7733"/>
      <c r="J669" s="7733"/>
      <c r="K669" s="7734"/>
      <c r="L669" s="3824"/>
    </row>
    <row r="670" spans="1:12" ht="30" customHeight="1" x14ac:dyDescent="0.2">
      <c r="A670" s="7656"/>
      <c r="B670" s="7665"/>
      <c r="C670" s="7747"/>
      <c r="D670" s="3826">
        <v>66000000</v>
      </c>
      <c r="E670" s="295">
        <v>7.0000000000000007E-2</v>
      </c>
      <c r="F670" s="3826">
        <f t="shared" si="64"/>
        <v>4620000</v>
      </c>
      <c r="G670" s="7732" t="s">
        <v>5672</v>
      </c>
      <c r="H670" s="7733"/>
      <c r="I670" s="7733"/>
      <c r="J670" s="7733"/>
      <c r="K670" s="7734"/>
      <c r="L670" s="3824"/>
    </row>
    <row r="671" spans="1:12" ht="30" customHeight="1" x14ac:dyDescent="0.2">
      <c r="A671" s="7656"/>
      <c r="B671" s="7665"/>
      <c r="C671" s="7747"/>
      <c r="D671" s="3826">
        <v>100000000</v>
      </c>
      <c r="E671" s="295">
        <v>7.0000000000000007E-2</v>
      </c>
      <c r="F671" s="3826">
        <f t="shared" si="64"/>
        <v>7000000.0000000009</v>
      </c>
      <c r="G671" s="7732" t="s">
        <v>5671</v>
      </c>
      <c r="H671" s="7733"/>
      <c r="I671" s="7733"/>
      <c r="J671" s="7733"/>
      <c r="K671" s="7734"/>
      <c r="L671" s="3824"/>
    </row>
    <row r="672" spans="1:12" ht="30" customHeight="1" x14ac:dyDescent="0.2">
      <c r="A672" s="7656"/>
      <c r="B672" s="7665"/>
      <c r="C672" s="7747"/>
      <c r="D672" s="3826">
        <v>100000000</v>
      </c>
      <c r="E672" s="295">
        <v>7.0000000000000007E-2</v>
      </c>
      <c r="F672" s="3826">
        <f t="shared" si="64"/>
        <v>7000000.0000000009</v>
      </c>
      <c r="G672" s="7732" t="s">
        <v>5673</v>
      </c>
      <c r="H672" s="7733"/>
      <c r="I672" s="7733"/>
      <c r="J672" s="7733"/>
      <c r="K672" s="7734"/>
      <c r="L672" s="3824"/>
    </row>
    <row r="673" spans="1:17" ht="30" customHeight="1" x14ac:dyDescent="0.2">
      <c r="A673" s="7656"/>
      <c r="B673" s="7665"/>
      <c r="C673" s="7747"/>
      <c r="D673" s="3826">
        <v>100000000</v>
      </c>
      <c r="E673" s="295">
        <v>7.0000000000000007E-2</v>
      </c>
      <c r="F673" s="3826">
        <f t="shared" si="64"/>
        <v>7000000.0000000009</v>
      </c>
      <c r="G673" s="7732" t="s">
        <v>5673</v>
      </c>
      <c r="H673" s="7733"/>
      <c r="I673" s="7733"/>
      <c r="J673" s="7733"/>
      <c r="K673" s="7734"/>
      <c r="L673" s="3824"/>
    </row>
    <row r="674" spans="1:17" ht="30" customHeight="1" x14ac:dyDescent="0.2">
      <c r="A674" s="7656"/>
      <c r="B674" s="7665"/>
      <c r="C674" s="7747"/>
      <c r="D674" s="3826">
        <v>100000000</v>
      </c>
      <c r="E674" s="3949">
        <v>7.0000000000000007E-2</v>
      </c>
      <c r="F674" s="3826">
        <f t="shared" si="64"/>
        <v>7000000.0000000009</v>
      </c>
      <c r="G674" s="7732" t="s">
        <v>5674</v>
      </c>
      <c r="H674" s="7733"/>
      <c r="I674" s="7733"/>
      <c r="J674" s="7733"/>
      <c r="K674" s="7734"/>
      <c r="L674" s="3824"/>
    </row>
    <row r="675" spans="1:17" ht="30" customHeight="1" x14ac:dyDescent="0.2">
      <c r="A675" s="7655"/>
      <c r="B675" s="7653"/>
      <c r="C675" s="7724"/>
      <c r="D675" s="8248">
        <f>D664+D667+D668+D669+D670+D671+D672+D673+D674</f>
        <v>2217500000</v>
      </c>
      <c r="E675" s="8249"/>
      <c r="F675" s="3826">
        <f>F664+F667+F668+F669+F670+F671+F672+F673+F674</f>
        <v>150515000</v>
      </c>
      <c r="G675" s="7732"/>
      <c r="H675" s="7733"/>
      <c r="I675" s="7733"/>
      <c r="J675" s="7734"/>
      <c r="K675" s="233"/>
      <c r="L675" s="3825"/>
    </row>
    <row r="676" spans="1:17" ht="30" customHeight="1" x14ac:dyDescent="0.2">
      <c r="A676" s="3574">
        <v>339</v>
      </c>
      <c r="B676" s="3531" t="s">
        <v>170</v>
      </c>
      <c r="C676" s="3504" t="s">
        <v>1306</v>
      </c>
      <c r="D676" s="3513">
        <v>200000000</v>
      </c>
      <c r="E676" s="3523">
        <v>7.0000000000000007E-2</v>
      </c>
      <c r="F676" s="3513">
        <f t="shared" si="62"/>
        <v>14000000.000000002</v>
      </c>
      <c r="G676" s="233"/>
      <c r="H676" s="233"/>
      <c r="I676" s="1388"/>
      <c r="J676" s="233"/>
      <c r="K676" s="387"/>
      <c r="L676" s="3555"/>
      <c r="M676" s="386"/>
      <c r="N676" s="386"/>
      <c r="O676" s="386"/>
      <c r="P676" s="386"/>
      <c r="Q676" s="386"/>
    </row>
    <row r="677" spans="1:17" ht="30" customHeight="1" x14ac:dyDescent="0.2">
      <c r="A677" s="1028"/>
      <c r="B677" s="19" t="s">
        <v>67</v>
      </c>
      <c r="C677" s="378" t="s">
        <v>1138</v>
      </c>
      <c r="D677" s="3483">
        <v>111000000</v>
      </c>
      <c r="E677" s="3523">
        <v>0.05</v>
      </c>
      <c r="F677" s="3483">
        <v>6000000</v>
      </c>
      <c r="G677" s="3513">
        <v>6000000</v>
      </c>
      <c r="H677" s="3513" t="s">
        <v>5990</v>
      </c>
      <c r="I677" s="3513" t="s">
        <v>1720</v>
      </c>
      <c r="J677" s="3513">
        <f>G677</f>
        <v>6000000</v>
      </c>
      <c r="K677" s="3521">
        <f>F677-J677</f>
        <v>0</v>
      </c>
      <c r="L677" s="7732" t="s">
        <v>5554</v>
      </c>
      <c r="M677" s="7733"/>
      <c r="N677" s="7733"/>
      <c r="O677" s="7734"/>
      <c r="P677" s="386"/>
      <c r="Q677" s="386"/>
    </row>
    <row r="678" spans="1:17" ht="30" customHeight="1" x14ac:dyDescent="0.2">
      <c r="A678" s="3603">
        <v>341</v>
      </c>
      <c r="B678" s="3602" t="s">
        <v>1357</v>
      </c>
      <c r="C678" s="3601" t="s">
        <v>889</v>
      </c>
      <c r="D678" s="3596">
        <v>150000000</v>
      </c>
      <c r="E678" s="3600">
        <f>F678/D678</f>
        <v>4.6666666666666669E-2</v>
      </c>
      <c r="F678" s="3596">
        <v>7000000</v>
      </c>
      <c r="G678" s="3483">
        <v>7000000</v>
      </c>
      <c r="H678" s="3483" t="s">
        <v>5340</v>
      </c>
      <c r="I678" s="3509" t="s">
        <v>4842</v>
      </c>
      <c r="J678" s="3596">
        <f>G678</f>
        <v>7000000</v>
      </c>
      <c r="K678" s="3586">
        <f>F678-J678</f>
        <v>0</v>
      </c>
      <c r="L678" s="3555"/>
      <c r="M678" s="386"/>
      <c r="N678" s="386"/>
      <c r="O678" s="386"/>
      <c r="P678" s="386"/>
      <c r="Q678" s="386"/>
    </row>
    <row r="679" spans="1:17" ht="30" customHeight="1" x14ac:dyDescent="0.2">
      <c r="A679" s="3486">
        <v>342</v>
      </c>
      <c r="B679" s="3530" t="s">
        <v>71</v>
      </c>
      <c r="C679" s="4250" t="s">
        <v>2363</v>
      </c>
      <c r="D679" s="3483">
        <v>70000000</v>
      </c>
      <c r="E679" s="3523">
        <v>0.05</v>
      </c>
      <c r="F679" s="3483">
        <f>D679*E679</f>
        <v>3500000</v>
      </c>
      <c r="G679" s="3483">
        <v>3500000</v>
      </c>
      <c r="H679" s="3483" t="s">
        <v>5434</v>
      </c>
      <c r="I679" s="3509" t="s">
        <v>4108</v>
      </c>
      <c r="J679" s="3483">
        <f t="shared" ref="J679:J697" si="65">G679</f>
        <v>3500000</v>
      </c>
      <c r="K679" s="3521">
        <f>F679-J679</f>
        <v>0</v>
      </c>
      <c r="L679" s="3555"/>
      <c r="M679" s="386"/>
      <c r="N679" s="386"/>
      <c r="O679" s="386"/>
      <c r="P679" s="386"/>
      <c r="Q679" s="386"/>
    </row>
    <row r="680" spans="1:17" ht="30" customHeight="1" x14ac:dyDescent="0.2">
      <c r="A680" s="1028">
        <v>343</v>
      </c>
      <c r="B680" s="19" t="s">
        <v>1365</v>
      </c>
      <c r="C680" s="3529" t="s">
        <v>1796</v>
      </c>
      <c r="D680" s="3513">
        <v>8000000</v>
      </c>
      <c r="E680" s="3523">
        <v>0.04</v>
      </c>
      <c r="F680" s="3513">
        <f>D680*E680</f>
        <v>320000</v>
      </c>
      <c r="G680" s="3513">
        <v>320000</v>
      </c>
      <c r="H680" s="3513" t="s">
        <v>5990</v>
      </c>
      <c r="I680" s="3513" t="s">
        <v>1366</v>
      </c>
      <c r="J680" s="3513">
        <f t="shared" si="65"/>
        <v>320000</v>
      </c>
      <c r="K680" s="3478">
        <f>F680-J680</f>
        <v>0</v>
      </c>
      <c r="L680" s="3520"/>
      <c r="M680" s="386"/>
      <c r="N680" s="386"/>
      <c r="O680" s="386"/>
      <c r="P680" s="386"/>
      <c r="Q680" s="386"/>
    </row>
    <row r="681" spans="1:17" ht="30" customHeight="1" x14ac:dyDescent="0.2">
      <c r="A681" s="3487">
        <v>344</v>
      </c>
      <c r="B681" s="3491" t="s">
        <v>1373</v>
      </c>
      <c r="C681" s="3504"/>
      <c r="D681" s="3501"/>
      <c r="E681" s="3502"/>
      <c r="F681" s="3501"/>
      <c r="G681" s="3483">
        <v>6500000</v>
      </c>
      <c r="H681" s="3483" t="s">
        <v>5434</v>
      </c>
      <c r="I681" s="3509" t="s">
        <v>5436</v>
      </c>
      <c r="J681" s="3483">
        <f t="shared" si="65"/>
        <v>6500000</v>
      </c>
      <c r="K681" s="3522">
        <f>F681-J681</f>
        <v>-6500000</v>
      </c>
      <c r="L681" s="3555"/>
      <c r="M681" s="386"/>
      <c r="N681" s="386"/>
      <c r="O681" s="386"/>
      <c r="P681" s="386"/>
      <c r="Q681" s="386"/>
    </row>
    <row r="682" spans="1:17" ht="30" customHeight="1" x14ac:dyDescent="0.2">
      <c r="A682" s="3487">
        <v>345</v>
      </c>
      <c r="B682" s="3491" t="s">
        <v>2080</v>
      </c>
      <c r="C682" s="3504" t="s">
        <v>1299</v>
      </c>
      <c r="D682" s="3483">
        <v>60000000</v>
      </c>
      <c r="E682" s="3523">
        <v>7.0000000000000007E-2</v>
      </c>
      <c r="F682" s="3483">
        <f>D682*E682</f>
        <v>4200000</v>
      </c>
      <c r="G682" s="3483">
        <v>4200000</v>
      </c>
      <c r="H682" s="3483" t="s">
        <v>5735</v>
      </c>
      <c r="I682" s="3509" t="s">
        <v>4126</v>
      </c>
      <c r="J682" s="3483">
        <f t="shared" si="65"/>
        <v>4200000</v>
      </c>
      <c r="K682" s="3521">
        <f>G682-J682</f>
        <v>0</v>
      </c>
      <c r="L682" s="3555"/>
      <c r="M682" s="386"/>
      <c r="N682" s="386"/>
      <c r="O682" s="386"/>
      <c r="P682" s="386"/>
      <c r="Q682" s="386"/>
    </row>
    <row r="683" spans="1:17" ht="30" customHeight="1" x14ac:dyDescent="0.2">
      <c r="A683" s="3487">
        <v>346</v>
      </c>
      <c r="B683" s="3491" t="s">
        <v>1380</v>
      </c>
      <c r="C683" s="3504" t="s">
        <v>1172</v>
      </c>
      <c r="D683" s="3483">
        <v>5000000</v>
      </c>
      <c r="E683" s="3523">
        <v>0.05</v>
      </c>
      <c r="F683" s="3483">
        <f>D683*E683</f>
        <v>250000</v>
      </c>
      <c r="G683" s="3483">
        <v>250000</v>
      </c>
      <c r="H683" s="3483" t="s">
        <v>1879</v>
      </c>
      <c r="I683" s="3509" t="s">
        <v>1381</v>
      </c>
      <c r="J683" s="3483">
        <f t="shared" si="65"/>
        <v>250000</v>
      </c>
      <c r="K683" s="3521">
        <f t="shared" ref="K683:K692" si="66">F683-J683</f>
        <v>0</v>
      </c>
      <c r="L683" s="3555"/>
      <c r="M683" s="386"/>
      <c r="N683" s="386"/>
      <c r="O683" s="386"/>
      <c r="P683" s="386"/>
      <c r="Q683" s="386"/>
    </row>
    <row r="684" spans="1:17" ht="30" customHeight="1" x14ac:dyDescent="0.2">
      <c r="A684" s="7654">
        <v>347</v>
      </c>
      <c r="B684" s="7864" t="s">
        <v>178</v>
      </c>
      <c r="C684" s="7723" t="s">
        <v>1796</v>
      </c>
      <c r="D684" s="7563">
        <v>130000000</v>
      </c>
      <c r="E684" s="7659">
        <v>0.05</v>
      </c>
      <c r="F684" s="7563">
        <f>D684*E684</f>
        <v>6500000</v>
      </c>
      <c r="G684" s="3483">
        <v>6500000</v>
      </c>
      <c r="H684" s="3483" t="s">
        <v>5434</v>
      </c>
      <c r="I684" s="3509" t="s">
        <v>3951</v>
      </c>
      <c r="J684" s="3483">
        <f t="shared" si="65"/>
        <v>6500000</v>
      </c>
      <c r="K684" s="3521">
        <f t="shared" si="66"/>
        <v>0</v>
      </c>
      <c r="L684" s="3555" t="s">
        <v>4905</v>
      </c>
      <c r="M684" s="386"/>
      <c r="N684" s="386"/>
      <c r="O684" s="386"/>
      <c r="P684" s="386"/>
      <c r="Q684" s="386"/>
    </row>
    <row r="685" spans="1:17" ht="30" customHeight="1" x14ac:dyDescent="0.2">
      <c r="A685" s="7655"/>
      <c r="B685" s="7866"/>
      <c r="C685" s="7724"/>
      <c r="D685" s="7564"/>
      <c r="E685" s="7660"/>
      <c r="F685" s="7564"/>
      <c r="G685" s="4137">
        <v>6500000</v>
      </c>
      <c r="H685" s="4137" t="s">
        <v>5990</v>
      </c>
      <c r="I685" s="4141" t="s">
        <v>3951</v>
      </c>
      <c r="J685" s="4137">
        <f t="shared" si="65"/>
        <v>6500000</v>
      </c>
      <c r="K685" s="4146">
        <f>F684-J685</f>
        <v>0</v>
      </c>
      <c r="L685" s="4151" t="s">
        <v>4906</v>
      </c>
      <c r="M685" s="386"/>
      <c r="N685" s="386"/>
      <c r="O685" s="386"/>
      <c r="P685" s="386"/>
      <c r="Q685" s="386"/>
    </row>
    <row r="686" spans="1:17" ht="30" customHeight="1" x14ac:dyDescent="0.2">
      <c r="A686" s="3526">
        <v>348</v>
      </c>
      <c r="B686" s="19" t="s">
        <v>1408</v>
      </c>
      <c r="C686" s="3529" t="s">
        <v>1306</v>
      </c>
      <c r="D686" s="3513">
        <v>50000000</v>
      </c>
      <c r="E686" s="3523">
        <v>0.04</v>
      </c>
      <c r="F686" s="3513">
        <f>D686*E686</f>
        <v>2000000</v>
      </c>
      <c r="G686" s="3513">
        <v>2000000</v>
      </c>
      <c r="H686" s="3513" t="s">
        <v>5990</v>
      </c>
      <c r="I686" s="3509" t="s">
        <v>5992</v>
      </c>
      <c r="J686" s="3483">
        <f t="shared" si="65"/>
        <v>2000000</v>
      </c>
      <c r="K686" s="3521">
        <f t="shared" si="66"/>
        <v>0</v>
      </c>
      <c r="L686" s="3555"/>
      <c r="M686" s="386"/>
      <c r="N686" s="386"/>
      <c r="O686" s="386"/>
      <c r="P686" s="386"/>
      <c r="Q686" s="386"/>
    </row>
    <row r="687" spans="1:17" ht="30" customHeight="1" x14ac:dyDescent="0.2">
      <c r="A687" s="3487">
        <v>350</v>
      </c>
      <c r="B687" s="3491" t="s">
        <v>1554</v>
      </c>
      <c r="C687" s="3504"/>
      <c r="D687" s="3483">
        <v>110000000</v>
      </c>
      <c r="E687" s="7898" t="s">
        <v>1556</v>
      </c>
      <c r="F687" s="7899"/>
      <c r="G687" s="3483"/>
      <c r="H687" s="3483"/>
      <c r="I687" s="3509" t="s">
        <v>3469</v>
      </c>
      <c r="J687" s="3483">
        <f t="shared" si="65"/>
        <v>0</v>
      </c>
      <c r="K687" s="3522">
        <f t="shared" si="66"/>
        <v>0</v>
      </c>
      <c r="L687" s="3555"/>
      <c r="M687" s="386"/>
      <c r="N687" s="386"/>
      <c r="O687" s="386"/>
      <c r="P687" s="386"/>
      <c r="Q687" s="386"/>
    </row>
    <row r="688" spans="1:17" ht="30" customHeight="1" x14ac:dyDescent="0.2">
      <c r="A688" s="3526"/>
      <c r="B688" s="19" t="s">
        <v>1558</v>
      </c>
      <c r="C688" s="3529" t="s">
        <v>1172</v>
      </c>
      <c r="D688" s="3513">
        <v>680000000</v>
      </c>
      <c r="E688" s="3523">
        <v>7.0000000000000007E-2</v>
      </c>
      <c r="F688" s="3513">
        <f t="shared" ref="F688:F698" si="67">D688*E688</f>
        <v>47600000.000000007</v>
      </c>
      <c r="G688" s="3513">
        <v>47600000</v>
      </c>
      <c r="H688" s="3513" t="s">
        <v>5347</v>
      </c>
      <c r="I688" s="3513" t="s">
        <v>2460</v>
      </c>
      <c r="J688" s="3513">
        <f t="shared" si="65"/>
        <v>47600000</v>
      </c>
      <c r="K688" s="3521">
        <f t="shared" si="66"/>
        <v>0</v>
      </c>
      <c r="L688" s="3543"/>
      <c r="M688" s="386"/>
      <c r="N688" s="386"/>
      <c r="O688" s="386"/>
      <c r="P688" s="386"/>
      <c r="Q688" s="386"/>
    </row>
    <row r="689" spans="1:17" ht="30" customHeight="1" x14ac:dyDescent="0.2">
      <c r="A689" s="7654">
        <v>352</v>
      </c>
      <c r="B689" s="7652" t="s">
        <v>1561</v>
      </c>
      <c r="C689" s="7723" t="s">
        <v>1081</v>
      </c>
      <c r="D689" s="7563">
        <v>50000000</v>
      </c>
      <c r="E689" s="7659">
        <v>7.0000000000000007E-2</v>
      </c>
      <c r="F689" s="7563">
        <f t="shared" si="67"/>
        <v>3500000.0000000005</v>
      </c>
      <c r="G689" s="3483">
        <v>3500000</v>
      </c>
      <c r="H689" s="3483" t="s">
        <v>5340</v>
      </c>
      <c r="I689" s="3582" t="s">
        <v>3517</v>
      </c>
      <c r="J689" s="3483">
        <f t="shared" si="65"/>
        <v>3500000</v>
      </c>
      <c r="K689" s="3521">
        <f t="shared" si="66"/>
        <v>0</v>
      </c>
      <c r="L689" s="3555" t="s">
        <v>4905</v>
      </c>
      <c r="M689" s="386"/>
      <c r="N689" s="386"/>
      <c r="O689" s="386"/>
      <c r="P689" s="386"/>
      <c r="Q689" s="386"/>
    </row>
    <row r="690" spans="1:17" ht="30" customHeight="1" x14ac:dyDescent="0.2">
      <c r="A690" s="7655"/>
      <c r="B690" s="7653"/>
      <c r="C690" s="7724"/>
      <c r="D690" s="7564"/>
      <c r="E690" s="7660"/>
      <c r="F690" s="7564"/>
      <c r="G690" s="4166">
        <v>3500000</v>
      </c>
      <c r="H690" s="4166" t="s">
        <v>5995</v>
      </c>
      <c r="I690" s="4181" t="s">
        <v>3517</v>
      </c>
      <c r="J690" s="4166">
        <f t="shared" si="65"/>
        <v>3500000</v>
      </c>
      <c r="K690" s="4171">
        <f>F689-J690</f>
        <v>0</v>
      </c>
      <c r="L690" s="4176" t="s">
        <v>4906</v>
      </c>
      <c r="M690" s="386"/>
      <c r="N690" s="386"/>
      <c r="O690" s="386"/>
      <c r="P690" s="386"/>
      <c r="Q690" s="386"/>
    </row>
    <row r="691" spans="1:17" ht="30" customHeight="1" x14ac:dyDescent="0.2">
      <c r="A691" s="7879">
        <v>353</v>
      </c>
      <c r="B691" s="7717" t="s">
        <v>1565</v>
      </c>
      <c r="C691" s="3529" t="s">
        <v>1172</v>
      </c>
      <c r="D691" s="3483">
        <v>50000000</v>
      </c>
      <c r="E691" s="3523">
        <v>0.05</v>
      </c>
      <c r="F691" s="3483">
        <f t="shared" si="67"/>
        <v>2500000</v>
      </c>
      <c r="G691" s="3483">
        <v>2500000</v>
      </c>
      <c r="H691" s="3483" t="s">
        <v>1649</v>
      </c>
      <c r="I691" s="3509" t="s">
        <v>3718</v>
      </c>
      <c r="J691" s="3483">
        <f t="shared" si="65"/>
        <v>2500000</v>
      </c>
      <c r="K691" s="3521">
        <f t="shared" si="66"/>
        <v>0</v>
      </c>
      <c r="L691" s="3555"/>
      <c r="M691" s="386"/>
      <c r="N691" s="386"/>
      <c r="O691" s="386"/>
      <c r="P691" s="386"/>
      <c r="Q691" s="386"/>
    </row>
    <row r="692" spans="1:17" ht="30" customHeight="1" x14ac:dyDescent="0.2">
      <c r="A692" s="7879"/>
      <c r="B692" s="7717"/>
      <c r="C692" s="3529" t="s">
        <v>1299</v>
      </c>
      <c r="D692" s="3483">
        <v>20000000</v>
      </c>
      <c r="E692" s="3523">
        <v>0.05</v>
      </c>
      <c r="F692" s="3483">
        <f t="shared" si="67"/>
        <v>1000000</v>
      </c>
      <c r="G692" s="1455">
        <v>1000000</v>
      </c>
      <c r="H692" s="1455" t="s">
        <v>5735</v>
      </c>
      <c r="I692" s="1455" t="s">
        <v>3718</v>
      </c>
      <c r="J692" s="1455">
        <f t="shared" si="65"/>
        <v>1000000</v>
      </c>
      <c r="K692" s="3521">
        <f t="shared" si="66"/>
        <v>0</v>
      </c>
      <c r="L692" s="3555"/>
      <c r="M692" s="386"/>
      <c r="N692" s="386"/>
      <c r="O692" s="386"/>
      <c r="P692" s="386"/>
      <c r="Q692" s="386"/>
    </row>
    <row r="693" spans="1:17" ht="30" customHeight="1" x14ac:dyDescent="0.2">
      <c r="A693" s="7654">
        <v>355</v>
      </c>
      <c r="B693" s="7652" t="s">
        <v>1582</v>
      </c>
      <c r="C693" s="7723" t="s">
        <v>2644</v>
      </c>
      <c r="D693" s="3483">
        <v>115000000</v>
      </c>
      <c r="E693" s="3523">
        <v>0.05</v>
      </c>
      <c r="F693" s="3483">
        <f t="shared" si="67"/>
        <v>5750000</v>
      </c>
      <c r="G693" s="7563">
        <v>13250000</v>
      </c>
      <c r="H693" s="7563" t="s">
        <v>5358</v>
      </c>
      <c r="I693" s="7889" t="s">
        <v>3411</v>
      </c>
      <c r="J693" s="7563">
        <f t="shared" si="65"/>
        <v>13250000</v>
      </c>
      <c r="K693" s="7816">
        <f>F696-J693</f>
        <v>0</v>
      </c>
      <c r="L693" s="3555"/>
      <c r="M693" s="386"/>
      <c r="N693" s="386"/>
      <c r="O693" s="386"/>
      <c r="P693" s="386"/>
      <c r="Q693" s="386"/>
    </row>
    <row r="694" spans="1:17" ht="30" customHeight="1" x14ac:dyDescent="0.2">
      <c r="A694" s="7656"/>
      <c r="B694" s="7665"/>
      <c r="C694" s="7747"/>
      <c r="D694" s="3483">
        <v>100000000</v>
      </c>
      <c r="E694" s="3523">
        <v>0.05</v>
      </c>
      <c r="F694" s="3483">
        <f t="shared" si="67"/>
        <v>5000000</v>
      </c>
      <c r="G694" s="7586"/>
      <c r="H694" s="7586"/>
      <c r="I694" s="8036"/>
      <c r="J694" s="7586"/>
      <c r="K694" s="7882"/>
      <c r="L694" s="3542" t="s">
        <v>5236</v>
      </c>
      <c r="M694" s="386"/>
      <c r="N694" s="386"/>
      <c r="O694" s="386"/>
      <c r="P694" s="386"/>
      <c r="Q694" s="386"/>
    </row>
    <row r="695" spans="1:17" ht="30" customHeight="1" x14ac:dyDescent="0.2">
      <c r="A695" s="7656"/>
      <c r="B695" s="7665"/>
      <c r="C695" s="7747"/>
      <c r="D695" s="3483">
        <v>50000000</v>
      </c>
      <c r="E695" s="3523">
        <v>0.05</v>
      </c>
      <c r="F695" s="3483">
        <f t="shared" si="67"/>
        <v>2500000</v>
      </c>
      <c r="G695" s="7586"/>
      <c r="H695" s="7586"/>
      <c r="I695" s="8036"/>
      <c r="J695" s="7586"/>
      <c r="K695" s="7882"/>
      <c r="L695" s="3542" t="s">
        <v>5237</v>
      </c>
      <c r="M695" s="386"/>
      <c r="N695" s="386"/>
      <c r="O695" s="386"/>
      <c r="P695" s="386"/>
      <c r="Q695" s="386"/>
    </row>
    <row r="696" spans="1:17" ht="30" customHeight="1" x14ac:dyDescent="0.2">
      <c r="A696" s="7655"/>
      <c r="B696" s="7653"/>
      <c r="C696" s="7724"/>
      <c r="D696" s="3570">
        <f>SUM(D693:D695)</f>
        <v>265000000</v>
      </c>
      <c r="E696" s="896">
        <v>0.05</v>
      </c>
      <c r="F696" s="3570">
        <f>D696*E696</f>
        <v>13250000</v>
      </c>
      <c r="G696" s="7564"/>
      <c r="H696" s="7564"/>
      <c r="I696" s="7890"/>
      <c r="J696" s="7564"/>
      <c r="K696" s="7817"/>
      <c r="L696" s="3542"/>
      <c r="M696" s="386"/>
      <c r="N696" s="386"/>
      <c r="O696" s="386"/>
      <c r="P696" s="386"/>
      <c r="Q696" s="386"/>
    </row>
    <row r="697" spans="1:17" ht="30" customHeight="1" x14ac:dyDescent="0.2">
      <c r="A697" s="7654">
        <v>356</v>
      </c>
      <c r="B697" s="7652" t="s">
        <v>1590</v>
      </c>
      <c r="C697" s="7723"/>
      <c r="D697" s="3483">
        <v>60000000</v>
      </c>
      <c r="E697" s="3523">
        <v>0.04</v>
      </c>
      <c r="F697" s="3483">
        <f t="shared" si="67"/>
        <v>2400000</v>
      </c>
      <c r="G697" s="7563">
        <v>2800000</v>
      </c>
      <c r="H697" s="7563" t="s">
        <v>5434</v>
      </c>
      <c r="I697" s="7889" t="s">
        <v>3924</v>
      </c>
      <c r="J697" s="7563">
        <f t="shared" si="65"/>
        <v>2800000</v>
      </c>
      <c r="K697" s="7816">
        <f>(F697+F698)-J697</f>
        <v>0</v>
      </c>
      <c r="L697" s="7816"/>
      <c r="M697" s="386"/>
      <c r="N697" s="386"/>
      <c r="O697" s="386"/>
      <c r="P697" s="386"/>
      <c r="Q697" s="386"/>
    </row>
    <row r="698" spans="1:17" ht="30" customHeight="1" x14ac:dyDescent="0.2">
      <c r="A698" s="7655"/>
      <c r="B698" s="7653"/>
      <c r="C698" s="7724"/>
      <c r="D698" s="3483">
        <v>10000000</v>
      </c>
      <c r="E698" s="3523">
        <v>0.04</v>
      </c>
      <c r="F698" s="3483">
        <f t="shared" si="67"/>
        <v>400000</v>
      </c>
      <c r="G698" s="7564"/>
      <c r="H698" s="7564"/>
      <c r="I698" s="7890"/>
      <c r="J698" s="7564"/>
      <c r="K698" s="7817"/>
      <c r="L698" s="7817"/>
      <c r="M698" s="386"/>
      <c r="N698" s="386"/>
      <c r="O698" s="386"/>
      <c r="P698" s="386"/>
      <c r="Q698" s="386"/>
    </row>
    <row r="699" spans="1:17" ht="30" customHeight="1" x14ac:dyDescent="0.2">
      <c r="A699" s="3487">
        <v>357</v>
      </c>
      <c r="B699" s="3491" t="s">
        <v>1592</v>
      </c>
      <c r="C699" s="3504"/>
      <c r="D699" s="3483">
        <v>70000000</v>
      </c>
      <c r="E699" s="2519"/>
      <c r="F699" s="3501"/>
      <c r="G699" s="3483"/>
      <c r="H699" s="3483"/>
      <c r="I699" s="472"/>
      <c r="J699" s="3483"/>
      <c r="K699" s="3522"/>
      <c r="L699" s="3555"/>
      <c r="M699" s="386"/>
      <c r="N699" s="386"/>
      <c r="O699" s="386"/>
      <c r="P699" s="386"/>
      <c r="Q699" s="386"/>
    </row>
    <row r="700" spans="1:17" ht="30" customHeight="1" x14ac:dyDescent="0.2">
      <c r="A700" s="1028">
        <v>358</v>
      </c>
      <c r="B700" s="3527" t="s">
        <v>1597</v>
      </c>
      <c r="C700" s="3529"/>
      <c r="D700" s="3484"/>
      <c r="E700" s="2519"/>
      <c r="F700" s="3484"/>
      <c r="G700" s="3513"/>
      <c r="H700" s="3513"/>
      <c r="I700" s="2694" t="s">
        <v>1598</v>
      </c>
      <c r="J700" s="3513">
        <f>G700</f>
        <v>0</v>
      </c>
      <c r="K700" s="1030">
        <f>F700-J700</f>
        <v>0</v>
      </c>
      <c r="L700" s="3555" t="s">
        <v>4130</v>
      </c>
      <c r="M700" s="386"/>
      <c r="N700" s="386"/>
      <c r="O700" s="386"/>
      <c r="P700" s="386"/>
      <c r="Q700" s="386"/>
    </row>
    <row r="701" spans="1:17" ht="30" customHeight="1" x14ac:dyDescent="0.2">
      <c r="A701" s="4105">
        <v>359</v>
      </c>
      <c r="B701" s="4124" t="s">
        <v>1599</v>
      </c>
      <c r="C701" s="4125"/>
      <c r="D701" s="4104"/>
      <c r="E701" s="2519"/>
      <c r="F701" s="4104"/>
      <c r="G701" s="3483">
        <v>2000000</v>
      </c>
      <c r="H701" s="3483" t="s">
        <v>5922</v>
      </c>
      <c r="I701" s="472" t="s">
        <v>1600</v>
      </c>
      <c r="J701" s="4101">
        <f>G701</f>
        <v>2000000</v>
      </c>
      <c r="K701" s="1030">
        <f>F701-J701</f>
        <v>-2000000</v>
      </c>
      <c r="L701" s="4121"/>
      <c r="M701" s="386"/>
      <c r="N701" s="386"/>
      <c r="O701" s="386"/>
      <c r="P701" s="386"/>
      <c r="Q701" s="386"/>
    </row>
    <row r="702" spans="1:17" ht="30" customHeight="1" x14ac:dyDescent="0.2">
      <c r="A702" s="7879">
        <v>360</v>
      </c>
      <c r="B702" s="7717" t="s">
        <v>1614</v>
      </c>
      <c r="C702" s="7873" t="s">
        <v>889</v>
      </c>
      <c r="D702" s="3513">
        <v>290000000</v>
      </c>
      <c r="E702" s="3523">
        <v>0.05</v>
      </c>
      <c r="F702" s="3513">
        <f>D702*E702</f>
        <v>14500000</v>
      </c>
      <c r="G702" s="7563">
        <v>36100000</v>
      </c>
      <c r="H702" s="7889" t="s">
        <v>5345</v>
      </c>
      <c r="I702" s="7889" t="s">
        <v>1611</v>
      </c>
      <c r="J702" s="7563">
        <f>G702+G703</f>
        <v>36100000</v>
      </c>
      <c r="K702" s="7816">
        <f>F704-J702</f>
        <v>0</v>
      </c>
      <c r="L702" s="7888"/>
      <c r="M702" s="386"/>
      <c r="N702" s="386"/>
      <c r="O702" s="386"/>
      <c r="P702" s="386"/>
      <c r="Q702" s="386"/>
    </row>
    <row r="703" spans="1:17" ht="30" customHeight="1" x14ac:dyDescent="0.2">
      <c r="A703" s="7879"/>
      <c r="B703" s="7717"/>
      <c r="C703" s="7873"/>
      <c r="D703" s="3513">
        <v>210000000</v>
      </c>
      <c r="E703" s="3523">
        <v>0.06</v>
      </c>
      <c r="F703" s="3513">
        <f>D703*E703</f>
        <v>12600000</v>
      </c>
      <c r="G703" s="7586"/>
      <c r="H703" s="8036"/>
      <c r="I703" s="8036"/>
      <c r="J703" s="7586"/>
      <c r="K703" s="7882"/>
      <c r="L703" s="7811"/>
      <c r="M703" s="386"/>
      <c r="N703" s="386"/>
      <c r="O703" s="386"/>
      <c r="P703" s="386"/>
      <c r="Q703" s="386"/>
    </row>
    <row r="704" spans="1:17" ht="30" customHeight="1" x14ac:dyDescent="0.2">
      <c r="A704" s="7879"/>
      <c r="B704" s="7717"/>
      <c r="C704" s="7873"/>
      <c r="D704" s="3583">
        <v>150000000</v>
      </c>
      <c r="E704" s="896"/>
      <c r="F704" s="3583">
        <v>36100000</v>
      </c>
      <c r="G704" s="7564"/>
      <c r="H704" s="7890"/>
      <c r="I704" s="7890"/>
      <c r="J704" s="7564"/>
      <c r="K704" s="7817"/>
      <c r="L704" s="3543"/>
      <c r="M704" s="386"/>
      <c r="N704" s="386"/>
      <c r="O704" s="386"/>
      <c r="P704" s="386"/>
      <c r="Q704" s="386"/>
    </row>
    <row r="705" spans="1:17" ht="30" customHeight="1" x14ac:dyDescent="0.2">
      <c r="A705" s="7879">
        <v>361</v>
      </c>
      <c r="B705" s="7652" t="s">
        <v>1612</v>
      </c>
      <c r="C705" s="7723"/>
      <c r="D705" s="7563">
        <v>2815000000</v>
      </c>
      <c r="E705" s="7659"/>
      <c r="F705" s="7563">
        <v>97400000</v>
      </c>
      <c r="G705" s="3483">
        <v>18000000</v>
      </c>
      <c r="H705" s="7470" t="s">
        <v>5156</v>
      </c>
      <c r="I705" s="7510"/>
      <c r="J705" s="7482">
        <f>G705+G706+G707</f>
        <v>47400000</v>
      </c>
      <c r="K705" s="7499">
        <f>F705-J705</f>
        <v>50000000</v>
      </c>
      <c r="L705" s="3554" t="s">
        <v>4625</v>
      </c>
      <c r="M705" s="386"/>
      <c r="N705" s="386"/>
      <c r="O705" s="386"/>
      <c r="P705" s="386"/>
      <c r="Q705" s="386"/>
    </row>
    <row r="706" spans="1:17" ht="30" customHeight="1" x14ac:dyDescent="0.2">
      <c r="A706" s="7879"/>
      <c r="B706" s="7665"/>
      <c r="C706" s="7747"/>
      <c r="D706" s="7586"/>
      <c r="E706" s="7676"/>
      <c r="F706" s="7586"/>
      <c r="G706" s="3613">
        <v>19475000</v>
      </c>
      <c r="H706" s="8301" t="s">
        <v>5369</v>
      </c>
      <c r="I706" s="8302"/>
      <c r="J706" s="7482"/>
      <c r="K706" s="7499"/>
      <c r="L706" s="3800" t="s">
        <v>4626</v>
      </c>
      <c r="M706" s="386"/>
      <c r="N706" s="386"/>
      <c r="O706" s="386"/>
      <c r="P706" s="386"/>
      <c r="Q706" s="386"/>
    </row>
    <row r="707" spans="1:17" ht="30" customHeight="1" x14ac:dyDescent="0.2">
      <c r="A707" s="7879"/>
      <c r="B707" s="7665"/>
      <c r="C707" s="7747"/>
      <c r="D707" s="7586"/>
      <c r="E707" s="7676"/>
      <c r="F707" s="7586"/>
      <c r="G707" s="3779">
        <v>9925000</v>
      </c>
      <c r="H707" s="3779" t="s">
        <v>5367</v>
      </c>
      <c r="I707" s="3779" t="s">
        <v>5538</v>
      </c>
      <c r="J707" s="7482"/>
      <c r="K707" s="7499"/>
      <c r="L707" s="3554"/>
      <c r="M707" s="386"/>
      <c r="N707" s="386"/>
      <c r="O707" s="386"/>
      <c r="P707" s="386"/>
      <c r="Q707" s="386"/>
    </row>
    <row r="708" spans="1:17" ht="30" customHeight="1" x14ac:dyDescent="0.2">
      <c r="A708" s="7879"/>
      <c r="B708" s="7665"/>
      <c r="C708" s="7747"/>
      <c r="D708" s="7564"/>
      <c r="E708" s="7660"/>
      <c r="F708" s="7564"/>
      <c r="G708" s="7470" t="s">
        <v>5539</v>
      </c>
      <c r="H708" s="7493"/>
      <c r="I708" s="7510"/>
      <c r="J708" s="7482"/>
      <c r="K708" s="7499"/>
      <c r="L708" s="3554"/>
      <c r="M708" s="386"/>
      <c r="N708" s="386"/>
      <c r="O708" s="386"/>
      <c r="P708" s="386"/>
      <c r="Q708" s="386"/>
    </row>
    <row r="709" spans="1:17" ht="30" customHeight="1" x14ac:dyDescent="0.2">
      <c r="A709" s="3486"/>
      <c r="B709" s="3527" t="s">
        <v>4179</v>
      </c>
      <c r="C709" s="3529"/>
      <c r="D709" s="3513">
        <v>30000000</v>
      </c>
      <c r="E709" s="3523">
        <v>6.5000000000000002E-2</v>
      </c>
      <c r="F709" s="3513">
        <f>D709*E709</f>
        <v>1950000</v>
      </c>
      <c r="G709" s="3513">
        <v>2000000</v>
      </c>
      <c r="H709" s="3513" t="s">
        <v>1972</v>
      </c>
      <c r="I709" s="3513" t="s">
        <v>2369</v>
      </c>
      <c r="J709" s="3513">
        <f>G709</f>
        <v>2000000</v>
      </c>
      <c r="K709" s="3478">
        <f>F709-J709</f>
        <v>-50000</v>
      </c>
      <c r="L709" s="3555" t="s">
        <v>5729</v>
      </c>
      <c r="M709" s="3555"/>
      <c r="N709" s="3555"/>
      <c r="O709" s="3555"/>
      <c r="P709" s="386"/>
      <c r="Q709" s="386"/>
    </row>
    <row r="710" spans="1:17" ht="30" customHeight="1" x14ac:dyDescent="0.2">
      <c r="A710" s="3526">
        <v>362</v>
      </c>
      <c r="B710" s="19" t="s">
        <v>1619</v>
      </c>
      <c r="C710" s="3529" t="s">
        <v>1652</v>
      </c>
      <c r="D710" s="3483">
        <v>360000000</v>
      </c>
      <c r="E710" s="3523">
        <v>4.4999999999999998E-2</v>
      </c>
      <c r="F710" s="3483">
        <v>16500000</v>
      </c>
      <c r="G710" s="3483">
        <v>16500000</v>
      </c>
      <c r="H710" s="3483" t="s">
        <v>1649</v>
      </c>
      <c r="I710" s="472" t="s">
        <v>4776</v>
      </c>
      <c r="J710" s="3483">
        <f t="shared" ref="J710:J723" si="68">G710</f>
        <v>16500000</v>
      </c>
      <c r="K710" s="3521">
        <f t="shared" ref="K710:K723" si="69">F710-J710</f>
        <v>0</v>
      </c>
      <c r="L710" s="3555"/>
      <c r="M710" s="3555"/>
      <c r="N710" s="3555"/>
      <c r="O710" s="3555"/>
      <c r="P710" s="386"/>
      <c r="Q710" s="386"/>
    </row>
    <row r="711" spans="1:17" ht="30" customHeight="1" x14ac:dyDescent="0.2">
      <c r="A711" s="3487">
        <v>363</v>
      </c>
      <c r="B711" s="3491" t="s">
        <v>1641</v>
      </c>
      <c r="C711" s="3504"/>
      <c r="D711" s="3683">
        <v>33000000</v>
      </c>
      <c r="E711" s="3702">
        <v>0.05</v>
      </c>
      <c r="F711" s="3683">
        <f>D711*E711</f>
        <v>1650000</v>
      </c>
      <c r="G711" s="3683">
        <v>1650000</v>
      </c>
      <c r="H711" s="3683" t="s">
        <v>1649</v>
      </c>
      <c r="I711" s="472" t="s">
        <v>1621</v>
      </c>
      <c r="J711" s="3683">
        <f t="shared" si="68"/>
        <v>1650000</v>
      </c>
      <c r="K711" s="3698">
        <f t="shared" si="69"/>
        <v>0</v>
      </c>
      <c r="L711" s="3555"/>
      <c r="M711" s="386"/>
      <c r="N711" s="386"/>
      <c r="O711" s="386"/>
      <c r="P711" s="386"/>
      <c r="Q711" s="386"/>
    </row>
    <row r="712" spans="1:17" ht="30" customHeight="1" x14ac:dyDescent="0.2">
      <c r="A712" s="7654">
        <v>364</v>
      </c>
      <c r="B712" s="7652" t="s">
        <v>1637</v>
      </c>
      <c r="C712" s="7723"/>
      <c r="D712" s="3501"/>
      <c r="E712" s="2519"/>
      <c r="F712" s="3501"/>
      <c r="G712" s="3483"/>
      <c r="H712" s="3483"/>
      <c r="I712" s="472" t="s">
        <v>4039</v>
      </c>
      <c r="J712" s="3483">
        <f t="shared" si="68"/>
        <v>0</v>
      </c>
      <c r="K712" s="3522">
        <f t="shared" si="69"/>
        <v>0</v>
      </c>
      <c r="L712" s="3555"/>
      <c r="M712" s="386"/>
      <c r="N712" s="386"/>
      <c r="O712" s="386"/>
      <c r="P712" s="386"/>
      <c r="Q712" s="386"/>
    </row>
    <row r="713" spans="1:17" ht="30" customHeight="1" x14ac:dyDescent="0.2">
      <c r="A713" s="7655"/>
      <c r="B713" s="7653"/>
      <c r="C713" s="7724"/>
      <c r="D713" s="3501"/>
      <c r="E713" s="2519"/>
      <c r="F713" s="3501"/>
      <c r="G713" s="3483"/>
      <c r="H713" s="3483"/>
      <c r="I713" s="472"/>
      <c r="J713" s="3483"/>
      <c r="K713" s="3522"/>
      <c r="L713" s="3543" t="s">
        <v>4873</v>
      </c>
      <c r="M713" s="386"/>
      <c r="N713" s="386"/>
      <c r="O713" s="386"/>
      <c r="P713" s="386"/>
      <c r="Q713" s="386"/>
    </row>
    <row r="714" spans="1:17" ht="30" customHeight="1" x14ac:dyDescent="0.2">
      <c r="A714" s="3526">
        <v>365</v>
      </c>
      <c r="B714" s="3527" t="s">
        <v>1639</v>
      </c>
      <c r="C714" s="3529" t="s">
        <v>1718</v>
      </c>
      <c r="D714" s="3483">
        <v>250000000</v>
      </c>
      <c r="E714" s="3523">
        <v>0.05</v>
      </c>
      <c r="F714" s="3483">
        <f>D714*E714</f>
        <v>12500000</v>
      </c>
      <c r="G714" s="3513">
        <v>12500000</v>
      </c>
      <c r="H714" s="3513" t="s">
        <v>2019</v>
      </c>
      <c r="I714" s="3513" t="s">
        <v>2808</v>
      </c>
      <c r="J714" s="3513">
        <f t="shared" si="68"/>
        <v>12500000</v>
      </c>
      <c r="K714" s="3521">
        <f t="shared" si="69"/>
        <v>0</v>
      </c>
      <c r="L714" s="3543"/>
      <c r="M714" s="386"/>
      <c r="N714" s="386"/>
      <c r="O714" s="386"/>
      <c r="P714" s="386"/>
      <c r="Q714" s="386"/>
    </row>
    <row r="715" spans="1:17" ht="30" customHeight="1" x14ac:dyDescent="0.2">
      <c r="A715" s="7654">
        <v>366</v>
      </c>
      <c r="B715" s="7652" t="s">
        <v>4684</v>
      </c>
      <c r="C715" s="7723" t="s">
        <v>1107</v>
      </c>
      <c r="D715" s="4017">
        <v>70000000</v>
      </c>
      <c r="E715" s="896">
        <v>6.3E-2</v>
      </c>
      <c r="F715" s="4017">
        <v>4400000</v>
      </c>
      <c r="G715" s="7563">
        <v>11150000</v>
      </c>
      <c r="H715" s="7563" t="s">
        <v>5948</v>
      </c>
      <c r="I715" s="7889" t="s">
        <v>3773</v>
      </c>
      <c r="J715" s="7563">
        <f>G715</f>
        <v>11150000</v>
      </c>
      <c r="K715" s="7816">
        <f>(F715+F722)-J715</f>
        <v>0</v>
      </c>
      <c r="L715" s="3555"/>
      <c r="M715" s="386"/>
      <c r="N715" s="386"/>
      <c r="O715" s="386"/>
      <c r="P715" s="386"/>
      <c r="Q715" s="386"/>
    </row>
    <row r="716" spans="1:17" ht="30" customHeight="1" x14ac:dyDescent="0.2">
      <c r="A716" s="7656"/>
      <c r="B716" s="7665"/>
      <c r="C716" s="7747"/>
      <c r="D716" s="4013">
        <v>96900000</v>
      </c>
      <c r="E716" s="3489">
        <v>0.05</v>
      </c>
      <c r="F716" s="3483">
        <f>D716*E716</f>
        <v>4845000</v>
      </c>
      <c r="G716" s="7586"/>
      <c r="H716" s="7586"/>
      <c r="I716" s="8036"/>
      <c r="J716" s="7586"/>
      <c r="K716" s="7882"/>
      <c r="L716" s="2810" t="s">
        <v>4796</v>
      </c>
      <c r="M716" s="386"/>
      <c r="N716" s="386"/>
      <c r="O716" s="386"/>
      <c r="P716" s="386"/>
      <c r="Q716" s="386"/>
    </row>
    <row r="717" spans="1:17" ht="30" customHeight="1" x14ac:dyDescent="0.2">
      <c r="A717" s="7656"/>
      <c r="B717" s="7665"/>
      <c r="C717" s="7747"/>
      <c r="D717" s="4013">
        <v>7100000</v>
      </c>
      <c r="E717" s="4014">
        <v>0.05</v>
      </c>
      <c r="F717" s="4013">
        <f t="shared" ref="F717:F721" si="70">D717*E717</f>
        <v>355000</v>
      </c>
      <c r="G717" s="7586"/>
      <c r="H717" s="7586"/>
      <c r="I717" s="8036"/>
      <c r="J717" s="7586"/>
      <c r="K717" s="7882"/>
      <c r="L717" s="2810" t="s">
        <v>4685</v>
      </c>
      <c r="M717" s="386"/>
      <c r="N717" s="386"/>
      <c r="O717" s="386"/>
      <c r="P717" s="386"/>
      <c r="Q717" s="386"/>
    </row>
    <row r="718" spans="1:17" ht="30" customHeight="1" x14ac:dyDescent="0.2">
      <c r="A718" s="7656"/>
      <c r="B718" s="7665"/>
      <c r="C718" s="7747"/>
      <c r="D718" s="4013">
        <v>3000000</v>
      </c>
      <c r="E718" s="4014">
        <v>0.05</v>
      </c>
      <c r="F718" s="4013">
        <f t="shared" si="70"/>
        <v>150000</v>
      </c>
      <c r="G718" s="7586"/>
      <c r="H718" s="7586"/>
      <c r="I718" s="8036"/>
      <c r="J718" s="7586"/>
      <c r="K718" s="7882"/>
      <c r="L718" s="2810" t="s">
        <v>4686</v>
      </c>
      <c r="M718" s="386"/>
      <c r="N718" s="386"/>
      <c r="O718" s="386"/>
      <c r="P718" s="386"/>
      <c r="Q718" s="386"/>
    </row>
    <row r="719" spans="1:17" ht="30" customHeight="1" x14ac:dyDescent="0.2">
      <c r="A719" s="7656"/>
      <c r="B719" s="7665"/>
      <c r="C719" s="7747"/>
      <c r="D719" s="4013">
        <v>10000000</v>
      </c>
      <c r="E719" s="4014">
        <v>0.05</v>
      </c>
      <c r="F719" s="4013">
        <f t="shared" si="70"/>
        <v>500000</v>
      </c>
      <c r="G719" s="7586"/>
      <c r="H719" s="7586"/>
      <c r="I719" s="8036"/>
      <c r="J719" s="7586"/>
      <c r="K719" s="7882"/>
      <c r="L719" s="2810" t="s">
        <v>4688</v>
      </c>
      <c r="M719" s="386"/>
      <c r="N719" s="386"/>
      <c r="O719" s="386"/>
      <c r="P719" s="386"/>
      <c r="Q719" s="386"/>
    </row>
    <row r="720" spans="1:17" ht="30" customHeight="1" x14ac:dyDescent="0.2">
      <c r="A720" s="7656"/>
      <c r="B720" s="7665"/>
      <c r="C720" s="7747"/>
      <c r="D720" s="4013">
        <v>10000000</v>
      </c>
      <c r="E720" s="4014">
        <v>0.05</v>
      </c>
      <c r="F720" s="4013">
        <f t="shared" si="70"/>
        <v>500000</v>
      </c>
      <c r="G720" s="7586"/>
      <c r="H720" s="7586"/>
      <c r="I720" s="8036"/>
      <c r="J720" s="7586"/>
      <c r="K720" s="7882"/>
      <c r="L720" s="2810" t="s">
        <v>4687</v>
      </c>
      <c r="M720" s="386"/>
      <c r="N720" s="386"/>
      <c r="O720" s="386"/>
      <c r="P720" s="386"/>
      <c r="Q720" s="386"/>
    </row>
    <row r="721" spans="1:17" ht="30" customHeight="1" x14ac:dyDescent="0.2">
      <c r="A721" s="7656"/>
      <c r="B721" s="7665"/>
      <c r="C721" s="7747"/>
      <c r="D721" s="4013">
        <v>8000000</v>
      </c>
      <c r="E721" s="4014">
        <v>0.05</v>
      </c>
      <c r="F721" s="4013">
        <f t="shared" si="70"/>
        <v>400000</v>
      </c>
      <c r="G721" s="7586"/>
      <c r="H721" s="7586"/>
      <c r="I721" s="8036"/>
      <c r="J721" s="7586"/>
      <c r="K721" s="7882"/>
      <c r="L721" s="2810" t="s">
        <v>4689</v>
      </c>
      <c r="M721" s="386"/>
      <c r="N721" s="386"/>
      <c r="O721" s="386"/>
      <c r="P721" s="386"/>
      <c r="Q721" s="386"/>
    </row>
    <row r="722" spans="1:17" ht="30" customHeight="1" x14ac:dyDescent="0.2">
      <c r="A722" s="7655"/>
      <c r="B722" s="7653"/>
      <c r="C722" s="7724"/>
      <c r="D722" s="3570">
        <f>SUM(D716:D721)</f>
        <v>135000000</v>
      </c>
      <c r="E722" s="896">
        <v>0.05</v>
      </c>
      <c r="F722" s="4016">
        <f>D722*E722</f>
        <v>6750000</v>
      </c>
      <c r="G722" s="7564"/>
      <c r="H722" s="7564"/>
      <c r="I722" s="7890"/>
      <c r="J722" s="7564"/>
      <c r="K722" s="7817"/>
      <c r="L722" s="3555" t="s">
        <v>4690</v>
      </c>
      <c r="M722" s="386"/>
      <c r="N722" s="386"/>
      <c r="O722" s="386"/>
      <c r="P722" s="386"/>
      <c r="Q722" s="386"/>
    </row>
    <row r="723" spans="1:17" ht="30" customHeight="1" x14ac:dyDescent="0.2">
      <c r="A723" s="3487">
        <v>367</v>
      </c>
      <c r="B723" s="3491" t="s">
        <v>1666</v>
      </c>
      <c r="C723" s="3504" t="s">
        <v>1172</v>
      </c>
      <c r="D723" s="3483">
        <v>25000000</v>
      </c>
      <c r="E723" s="3523">
        <v>0.05</v>
      </c>
      <c r="F723" s="3483">
        <f>D723*E723</f>
        <v>1250000</v>
      </c>
      <c r="G723" s="3483">
        <v>1250000</v>
      </c>
      <c r="H723" s="3483" t="s">
        <v>1649</v>
      </c>
      <c r="I723" s="472" t="s">
        <v>5470</v>
      </c>
      <c r="J723" s="3483">
        <f t="shared" si="68"/>
        <v>1250000</v>
      </c>
      <c r="K723" s="3521">
        <f t="shared" si="69"/>
        <v>0</v>
      </c>
      <c r="L723" s="3555"/>
      <c r="M723" s="386"/>
      <c r="N723" s="386"/>
      <c r="O723" s="386"/>
      <c r="P723" s="386"/>
      <c r="Q723" s="386"/>
    </row>
    <row r="724" spans="1:17" ht="30" customHeight="1" x14ac:dyDescent="0.2">
      <c r="A724" s="3526">
        <v>368</v>
      </c>
      <c r="B724" s="19" t="s">
        <v>1793</v>
      </c>
      <c r="C724" s="3529" t="s">
        <v>392</v>
      </c>
      <c r="D724" s="3483">
        <v>818000000</v>
      </c>
      <c r="E724" s="3489">
        <v>7.0000000000000007E-2</v>
      </c>
      <c r="F724" s="3483">
        <f>D724*E724</f>
        <v>57260000.000000007</v>
      </c>
      <c r="G724" s="3513">
        <v>57260000</v>
      </c>
      <c r="H724" s="39" t="s">
        <v>5345</v>
      </c>
      <c r="I724" s="2694" t="s">
        <v>5483</v>
      </c>
      <c r="J724" s="3513">
        <f>G724</f>
        <v>57260000</v>
      </c>
      <c r="K724" s="3478">
        <f>F724-J724</f>
        <v>0</v>
      </c>
      <c r="L724" s="3542" t="s">
        <v>5511</v>
      </c>
      <c r="M724" s="386"/>
      <c r="N724" s="386"/>
      <c r="O724" s="386"/>
      <c r="P724" s="386"/>
      <c r="Q724" s="386"/>
    </row>
    <row r="725" spans="1:17" ht="30" customHeight="1" x14ac:dyDescent="0.2">
      <c r="A725" s="3797"/>
      <c r="B725" s="7652" t="s">
        <v>5590</v>
      </c>
      <c r="C725" s="7723"/>
      <c r="D725" s="3757">
        <v>215000000</v>
      </c>
      <c r="E725" s="3766">
        <v>7.0000000000000007E-2</v>
      </c>
      <c r="F725" s="3757">
        <f>D725*E725</f>
        <v>15050000.000000002</v>
      </c>
      <c r="G725" s="3755"/>
      <c r="H725" s="3777"/>
      <c r="I725" s="3799"/>
      <c r="J725" s="3755"/>
      <c r="K725" s="3787"/>
      <c r="L725" s="3785" t="s">
        <v>5556</v>
      </c>
      <c r="M725" s="386"/>
      <c r="N725" s="386"/>
      <c r="O725" s="386"/>
      <c r="P725" s="386"/>
      <c r="Q725" s="386"/>
    </row>
    <row r="726" spans="1:17" ht="30" customHeight="1" x14ac:dyDescent="0.2">
      <c r="A726" s="3797"/>
      <c r="B726" s="7653"/>
      <c r="C726" s="7724"/>
      <c r="D726" s="3757">
        <v>71000000</v>
      </c>
      <c r="E726" s="3766"/>
      <c r="F726" s="3757"/>
      <c r="G726" s="3755"/>
      <c r="H726" s="3777"/>
      <c r="I726" s="3799"/>
      <c r="J726" s="3755"/>
      <c r="K726" s="3787"/>
      <c r="L726" s="3785" t="s">
        <v>5591</v>
      </c>
      <c r="M726" s="386"/>
      <c r="N726" s="386"/>
      <c r="O726" s="386"/>
      <c r="P726" s="386"/>
      <c r="Q726" s="386"/>
    </row>
    <row r="727" spans="1:17" ht="30" customHeight="1" x14ac:dyDescent="0.2">
      <c r="A727" s="7879">
        <v>369</v>
      </c>
      <c r="B727" s="7717" t="s">
        <v>1676</v>
      </c>
      <c r="C727" s="7873" t="s">
        <v>1652</v>
      </c>
      <c r="D727" s="3483">
        <v>250000000</v>
      </c>
      <c r="E727" s="3489">
        <v>0.05</v>
      </c>
      <c r="F727" s="3483">
        <f t="shared" ref="F727:F737" si="71">D727*E727</f>
        <v>12500000</v>
      </c>
      <c r="G727" s="7563">
        <v>27800000</v>
      </c>
      <c r="H727" s="7563" t="s">
        <v>1649</v>
      </c>
      <c r="I727" s="7563" t="s">
        <v>4896</v>
      </c>
      <c r="J727" s="7563">
        <f>G727</f>
        <v>27800000</v>
      </c>
      <c r="K727" s="7563">
        <f>(F727+F728+F729+F730)-J727</f>
        <v>0</v>
      </c>
      <c r="L727" s="3542"/>
      <c r="M727" s="386"/>
      <c r="N727" s="386"/>
      <c r="O727" s="386"/>
      <c r="P727" s="386"/>
      <c r="Q727" s="386"/>
    </row>
    <row r="728" spans="1:17" ht="30" customHeight="1" x14ac:dyDescent="0.2">
      <c r="A728" s="7879"/>
      <c r="B728" s="7717"/>
      <c r="C728" s="7873"/>
      <c r="D728" s="3483">
        <v>150000000</v>
      </c>
      <c r="E728" s="3489">
        <v>0.06</v>
      </c>
      <c r="F728" s="3483">
        <f t="shared" si="71"/>
        <v>9000000</v>
      </c>
      <c r="G728" s="7586"/>
      <c r="H728" s="7586"/>
      <c r="I728" s="7586"/>
      <c r="J728" s="7586"/>
      <c r="K728" s="7586"/>
      <c r="L728" s="3554"/>
      <c r="M728" s="386"/>
      <c r="N728" s="386"/>
      <c r="O728" s="386"/>
      <c r="P728" s="386"/>
      <c r="Q728" s="386"/>
    </row>
    <row r="729" spans="1:17" ht="30" customHeight="1" x14ac:dyDescent="0.2">
      <c r="A729" s="7879"/>
      <c r="B729" s="7717"/>
      <c r="C729" s="7873"/>
      <c r="D729" s="3483">
        <v>50000000</v>
      </c>
      <c r="E729" s="3489">
        <v>0.06</v>
      </c>
      <c r="F729" s="3483">
        <f t="shared" si="71"/>
        <v>3000000</v>
      </c>
      <c r="G729" s="7586"/>
      <c r="H729" s="7586"/>
      <c r="I729" s="7586"/>
      <c r="J729" s="7586"/>
      <c r="K729" s="7586"/>
      <c r="L729" s="3554"/>
      <c r="M729" s="386"/>
      <c r="N729" s="386"/>
      <c r="O729" s="386"/>
      <c r="P729" s="386"/>
      <c r="Q729" s="386"/>
    </row>
    <row r="730" spans="1:17" ht="30" customHeight="1" x14ac:dyDescent="0.2">
      <c r="A730" s="7879"/>
      <c r="B730" s="7717"/>
      <c r="C730" s="7873"/>
      <c r="D730" s="3483">
        <v>55000000</v>
      </c>
      <c r="E730" s="3489">
        <v>0.06</v>
      </c>
      <c r="F730" s="3483">
        <f t="shared" si="71"/>
        <v>3300000</v>
      </c>
      <c r="G730" s="7564"/>
      <c r="H730" s="7564"/>
      <c r="I730" s="7564"/>
      <c r="J730" s="7564"/>
      <c r="K730" s="7564"/>
      <c r="L730" s="3543"/>
      <c r="M730" s="386"/>
      <c r="N730" s="386"/>
      <c r="O730" s="386"/>
      <c r="P730" s="386"/>
      <c r="Q730" s="386"/>
    </row>
    <row r="731" spans="1:17" ht="30" customHeight="1" x14ac:dyDescent="0.2">
      <c r="A731" s="7654"/>
      <c r="B731" s="7717" t="s">
        <v>5179</v>
      </c>
      <c r="C731" s="7723" t="s">
        <v>3390</v>
      </c>
      <c r="D731" s="3483">
        <v>177000000</v>
      </c>
      <c r="E731" s="3489">
        <v>7.0000000000000007E-2</v>
      </c>
      <c r="F731" s="3483">
        <f t="shared" si="71"/>
        <v>12390000.000000002</v>
      </c>
      <c r="G731" s="7563">
        <v>28000000</v>
      </c>
      <c r="H731" s="7846" t="s">
        <v>1012</v>
      </c>
      <c r="I731" s="7563" t="s">
        <v>5842</v>
      </c>
      <c r="J731" s="7563">
        <f>G731</f>
        <v>28000000</v>
      </c>
      <c r="K731" s="7563">
        <f>F733-J731</f>
        <v>0</v>
      </c>
      <c r="L731" s="3543" t="s">
        <v>5181</v>
      </c>
      <c r="M731" s="386"/>
      <c r="N731" s="386"/>
      <c r="O731" s="386"/>
      <c r="P731" s="386"/>
      <c r="Q731" s="386"/>
    </row>
    <row r="732" spans="1:17" ht="30" customHeight="1" x14ac:dyDescent="0.2">
      <c r="A732" s="7656"/>
      <c r="B732" s="7717"/>
      <c r="C732" s="7747"/>
      <c r="D732" s="3483">
        <v>223000000</v>
      </c>
      <c r="E732" s="3489">
        <v>7.0000000000000007E-2</v>
      </c>
      <c r="F732" s="3483">
        <f t="shared" si="71"/>
        <v>15610000.000000002</v>
      </c>
      <c r="G732" s="7586"/>
      <c r="H732" s="7847"/>
      <c r="I732" s="7586"/>
      <c r="J732" s="7586"/>
      <c r="K732" s="7586"/>
      <c r="L732" s="3543" t="s">
        <v>5180</v>
      </c>
      <c r="M732" s="386"/>
      <c r="N732" s="386"/>
      <c r="O732" s="386"/>
      <c r="P732" s="386"/>
      <c r="Q732" s="386"/>
    </row>
    <row r="733" spans="1:17" ht="30" customHeight="1" x14ac:dyDescent="0.2">
      <c r="A733" s="7655"/>
      <c r="B733" s="7717"/>
      <c r="C733" s="7724"/>
      <c r="D733" s="3570">
        <v>400000000</v>
      </c>
      <c r="E733" s="3572">
        <v>7.0000000000000007E-2</v>
      </c>
      <c r="F733" s="3570">
        <f t="shared" si="71"/>
        <v>28000000.000000004</v>
      </c>
      <c r="G733" s="7564"/>
      <c r="H733" s="7848"/>
      <c r="I733" s="7564"/>
      <c r="J733" s="7564"/>
      <c r="K733" s="7564"/>
      <c r="L733" s="3543"/>
      <c r="M733" s="386"/>
      <c r="N733" s="386"/>
      <c r="O733" s="386"/>
      <c r="P733" s="386"/>
      <c r="Q733" s="386"/>
    </row>
    <row r="734" spans="1:17" ht="30" customHeight="1" x14ac:dyDescent="0.2">
      <c r="A734" s="3526"/>
      <c r="B734" s="3495" t="s">
        <v>5182</v>
      </c>
      <c r="C734" s="3504" t="s">
        <v>3390</v>
      </c>
      <c r="D734" s="3483">
        <v>150000000</v>
      </c>
      <c r="E734" s="3489">
        <v>0.05</v>
      </c>
      <c r="F734" s="3483">
        <f t="shared" si="71"/>
        <v>7500000</v>
      </c>
      <c r="G734" s="3483">
        <v>7500000</v>
      </c>
      <c r="H734" s="3483" t="s">
        <v>5735</v>
      </c>
      <c r="I734" s="3509" t="s">
        <v>5761</v>
      </c>
      <c r="J734" s="3483">
        <f>G734</f>
        <v>7500000</v>
      </c>
      <c r="K734" s="3483">
        <f>F734-J734</f>
        <v>0</v>
      </c>
      <c r="L734" s="3543" t="s">
        <v>5635</v>
      </c>
      <c r="M734" s="386"/>
      <c r="N734" s="386"/>
      <c r="O734" s="386"/>
      <c r="P734" s="386"/>
      <c r="Q734" s="386"/>
    </row>
    <row r="735" spans="1:17" ht="30" customHeight="1" x14ac:dyDescent="0.2">
      <c r="A735" s="7654">
        <v>370</v>
      </c>
      <c r="B735" s="7652" t="s">
        <v>1696</v>
      </c>
      <c r="C735" s="7723" t="s">
        <v>3323</v>
      </c>
      <c r="D735" s="7563">
        <v>200000000</v>
      </c>
      <c r="E735" s="7659">
        <v>0.05</v>
      </c>
      <c r="F735" s="7563">
        <f t="shared" si="71"/>
        <v>10000000</v>
      </c>
      <c r="G735" s="3483"/>
      <c r="H735" s="3483"/>
      <c r="I735" s="472" t="s">
        <v>3400</v>
      </c>
      <c r="J735" s="3483">
        <f t="shared" ref="J735:J748" si="72">G735</f>
        <v>0</v>
      </c>
      <c r="K735" s="3521">
        <f>F735-J735</f>
        <v>10000000</v>
      </c>
      <c r="L735" s="3555" t="s">
        <v>4437</v>
      </c>
      <c r="M735" s="386"/>
      <c r="N735" s="386"/>
      <c r="O735" s="386"/>
      <c r="P735" s="386"/>
      <c r="Q735" s="386"/>
    </row>
    <row r="736" spans="1:17" ht="30" customHeight="1" x14ac:dyDescent="0.2">
      <c r="A736" s="7655"/>
      <c r="B736" s="7653"/>
      <c r="C736" s="7724"/>
      <c r="D736" s="7564"/>
      <c r="E736" s="7660"/>
      <c r="F736" s="7564"/>
      <c r="G736" s="3483"/>
      <c r="H736" s="3483"/>
      <c r="I736" s="472" t="s">
        <v>3400</v>
      </c>
      <c r="J736" s="3483">
        <f>G736</f>
        <v>0</v>
      </c>
      <c r="K736" s="3521">
        <f>F735-J736</f>
        <v>10000000</v>
      </c>
      <c r="L736" s="3555" t="s">
        <v>4905</v>
      </c>
      <c r="M736" s="386"/>
      <c r="N736" s="386"/>
      <c r="O736" s="386"/>
      <c r="P736" s="386"/>
      <c r="Q736" s="386"/>
    </row>
    <row r="737" spans="1:17" ht="30" customHeight="1" x14ac:dyDescent="0.2">
      <c r="A737" s="1028">
        <v>371</v>
      </c>
      <c r="B737" s="3527" t="s">
        <v>1698</v>
      </c>
      <c r="C737" s="3529" t="s">
        <v>942</v>
      </c>
      <c r="D737" s="3513">
        <v>50000000</v>
      </c>
      <c r="E737" s="3523">
        <v>0.04</v>
      </c>
      <c r="F737" s="3513">
        <f t="shared" si="71"/>
        <v>2000000</v>
      </c>
      <c r="G737" s="3513"/>
      <c r="H737" s="3513"/>
      <c r="I737" s="2694" t="s">
        <v>1720</v>
      </c>
      <c r="J737" s="3513">
        <f t="shared" si="72"/>
        <v>0</v>
      </c>
      <c r="K737" s="3478">
        <f>F737-J737</f>
        <v>2000000</v>
      </c>
      <c r="L737" s="3555"/>
      <c r="M737" s="386"/>
      <c r="N737" s="386"/>
      <c r="O737" s="386"/>
      <c r="P737" s="386"/>
      <c r="Q737" s="386"/>
    </row>
    <row r="738" spans="1:17" ht="30" customHeight="1" x14ac:dyDescent="0.2">
      <c r="A738" s="3487">
        <v>372</v>
      </c>
      <c r="B738" s="3491" t="s">
        <v>1706</v>
      </c>
      <c r="C738" s="3504"/>
      <c r="D738" s="3501"/>
      <c r="E738" s="2519"/>
      <c r="F738" s="3501"/>
      <c r="G738" s="3483"/>
      <c r="H738" s="3483"/>
      <c r="I738" s="472"/>
      <c r="J738" s="3483">
        <f t="shared" si="72"/>
        <v>0</v>
      </c>
      <c r="K738" s="3522"/>
      <c r="L738" s="3555"/>
      <c r="M738" s="386"/>
      <c r="N738" s="386"/>
      <c r="O738" s="386"/>
      <c r="P738" s="386"/>
      <c r="Q738" s="386"/>
    </row>
    <row r="739" spans="1:17" ht="30" customHeight="1" x14ac:dyDescent="0.2">
      <c r="A739" s="7654"/>
      <c r="B739" s="7652" t="s">
        <v>1725</v>
      </c>
      <c r="C739" s="7723" t="s">
        <v>1718</v>
      </c>
      <c r="D739" s="3513">
        <v>20000000</v>
      </c>
      <c r="E739" s="3523">
        <v>0.05</v>
      </c>
      <c r="F739" s="3513">
        <f>D739*E739</f>
        <v>1000000</v>
      </c>
      <c r="G739" s="7563">
        <v>1500000</v>
      </c>
      <c r="H739" s="7563" t="s">
        <v>3977</v>
      </c>
      <c r="I739" s="7563" t="s">
        <v>3486</v>
      </c>
      <c r="J739" s="7563">
        <f t="shared" si="72"/>
        <v>1500000</v>
      </c>
      <c r="K739" s="7816">
        <f>(F739+F740)-J739</f>
        <v>0</v>
      </c>
      <c r="L739" s="3555"/>
      <c r="M739" s="386"/>
      <c r="N739" s="386"/>
      <c r="O739" s="386"/>
      <c r="P739" s="386"/>
      <c r="Q739" s="386"/>
    </row>
    <row r="740" spans="1:17" ht="30" customHeight="1" x14ac:dyDescent="0.2">
      <c r="A740" s="7655"/>
      <c r="B740" s="7653"/>
      <c r="C740" s="7724"/>
      <c r="D740" s="3483">
        <v>10000000</v>
      </c>
      <c r="E740" s="3523">
        <v>0.05</v>
      </c>
      <c r="F740" s="3513">
        <f>D740*E740</f>
        <v>500000</v>
      </c>
      <c r="G740" s="7564"/>
      <c r="H740" s="7564"/>
      <c r="I740" s="7564"/>
      <c r="J740" s="7564"/>
      <c r="K740" s="7817"/>
      <c r="L740" s="3555" t="s">
        <v>4282</v>
      </c>
      <c r="M740" s="386"/>
      <c r="N740" s="386"/>
      <c r="O740" s="386"/>
      <c r="P740" s="386"/>
      <c r="Q740" s="386"/>
    </row>
    <row r="741" spans="1:17" ht="30" customHeight="1" x14ac:dyDescent="0.2">
      <c r="A741" s="3487">
        <v>374</v>
      </c>
      <c r="B741" s="3491" t="s">
        <v>1727</v>
      </c>
      <c r="C741" s="3504"/>
      <c r="D741" s="3501"/>
      <c r="E741" s="3502"/>
      <c r="F741" s="3501"/>
      <c r="G741" s="3483"/>
      <c r="H741" s="3483"/>
      <c r="I741" s="472"/>
      <c r="J741" s="3483">
        <f t="shared" si="72"/>
        <v>0</v>
      </c>
      <c r="K741" s="3522">
        <f t="shared" ref="K741:K749" si="73">F741-J741</f>
        <v>0</v>
      </c>
      <c r="L741" s="3555"/>
      <c r="M741" s="386"/>
      <c r="N741" s="386"/>
      <c r="O741" s="386"/>
      <c r="P741" s="386"/>
      <c r="Q741" s="386"/>
    </row>
    <row r="742" spans="1:17" ht="30" customHeight="1" x14ac:dyDescent="0.2">
      <c r="A742" s="7654">
        <v>375</v>
      </c>
      <c r="B742" s="7652" t="s">
        <v>6040</v>
      </c>
      <c r="C742" s="7723"/>
      <c r="D742" s="3513">
        <v>1000000000</v>
      </c>
      <c r="E742" s="3523">
        <v>7.0000000000000007E-2</v>
      </c>
      <c r="F742" s="3513">
        <f>D742*E742</f>
        <v>70000000</v>
      </c>
      <c r="G742" s="3513">
        <v>70000000</v>
      </c>
      <c r="H742" s="3513" t="s">
        <v>1527</v>
      </c>
      <c r="I742" s="3513" t="s">
        <v>4403</v>
      </c>
      <c r="J742" s="3513">
        <f>G742</f>
        <v>70000000</v>
      </c>
      <c r="K742" s="3478">
        <f>F742-J742</f>
        <v>0</v>
      </c>
      <c r="L742" s="3564"/>
      <c r="M742" s="386"/>
      <c r="N742" s="386"/>
      <c r="O742" s="386"/>
      <c r="P742" s="386"/>
      <c r="Q742" s="386"/>
    </row>
    <row r="743" spans="1:17" ht="30" customHeight="1" x14ac:dyDescent="0.2">
      <c r="A743" s="7656"/>
      <c r="B743" s="7665"/>
      <c r="C743" s="7747"/>
      <c r="D743" s="4188">
        <v>500000000</v>
      </c>
      <c r="E743" s="4206">
        <v>7.0000000000000007E-2</v>
      </c>
      <c r="F743" s="4188">
        <f>D743*E743</f>
        <v>35000000</v>
      </c>
      <c r="G743" s="7732" t="s">
        <v>6042</v>
      </c>
      <c r="H743" s="7733"/>
      <c r="I743" s="7733"/>
      <c r="J743" s="7734"/>
      <c r="K743" s="4205"/>
      <c r="L743" s="4219" t="s">
        <v>6044</v>
      </c>
      <c r="M743" s="386"/>
      <c r="N743" s="386"/>
      <c r="O743" s="386"/>
      <c r="P743" s="386"/>
      <c r="Q743" s="386"/>
    </row>
    <row r="744" spans="1:17" ht="30" customHeight="1" x14ac:dyDescent="0.2">
      <c r="A744" s="7656"/>
      <c r="B744" s="7665"/>
      <c r="C744" s="7747"/>
      <c r="D744" s="4188">
        <v>500000000</v>
      </c>
      <c r="E744" s="4206">
        <v>7.0000000000000007E-2</v>
      </c>
      <c r="F744" s="4188">
        <f>D744*E745</f>
        <v>35000000</v>
      </c>
      <c r="G744" s="7732" t="s">
        <v>6041</v>
      </c>
      <c r="H744" s="7733"/>
      <c r="I744" s="7733"/>
      <c r="J744" s="7734"/>
      <c r="K744" s="4205"/>
      <c r="L744" s="4219" t="s">
        <v>6043</v>
      </c>
      <c r="M744" s="386"/>
      <c r="N744" s="386"/>
      <c r="O744" s="386"/>
      <c r="P744" s="386"/>
      <c r="Q744" s="386"/>
    </row>
    <row r="745" spans="1:17" ht="30" customHeight="1" x14ac:dyDescent="0.2">
      <c r="A745" s="7655"/>
      <c r="B745" s="7653"/>
      <c r="C745" s="7724"/>
      <c r="D745" s="4198">
        <v>2000000000</v>
      </c>
      <c r="E745" s="4222">
        <v>7.0000000000000007E-2</v>
      </c>
      <c r="F745" s="4198">
        <f>D745*E745</f>
        <v>140000000</v>
      </c>
      <c r="G745" s="4188"/>
      <c r="H745" s="4188"/>
      <c r="I745" s="4203"/>
      <c r="J745" s="4188"/>
      <c r="K745" s="4205"/>
      <c r="L745" s="4219"/>
      <c r="M745" s="386"/>
      <c r="N745" s="386"/>
      <c r="O745" s="386"/>
      <c r="P745" s="386"/>
      <c r="Q745" s="386"/>
    </row>
    <row r="746" spans="1:17" ht="30" customHeight="1" x14ac:dyDescent="0.2">
      <c r="A746" s="3487">
        <v>376</v>
      </c>
      <c r="B746" s="3491" t="s">
        <v>3580</v>
      </c>
      <c r="C746" s="3504" t="s">
        <v>262</v>
      </c>
      <c r="D746" s="3483">
        <v>50000000</v>
      </c>
      <c r="E746" s="3523">
        <v>0.06</v>
      </c>
      <c r="F746" s="3483">
        <f>D746*E746</f>
        <v>3000000</v>
      </c>
      <c r="G746" s="3483">
        <v>3000000</v>
      </c>
      <c r="H746" s="3483" t="s">
        <v>5367</v>
      </c>
      <c r="I746" s="472" t="s">
        <v>4093</v>
      </c>
      <c r="J746" s="3483">
        <f t="shared" si="72"/>
        <v>3000000</v>
      </c>
      <c r="K746" s="3521">
        <f t="shared" si="73"/>
        <v>0</v>
      </c>
      <c r="L746" s="3555"/>
      <c r="M746" s="386"/>
      <c r="N746" s="386"/>
      <c r="O746" s="386"/>
      <c r="P746" s="386"/>
      <c r="Q746" s="386"/>
    </row>
    <row r="747" spans="1:17" ht="30" customHeight="1" x14ac:dyDescent="0.2">
      <c r="A747" s="3487">
        <v>377</v>
      </c>
      <c r="B747" s="3491" t="s">
        <v>1752</v>
      </c>
      <c r="C747" s="3504" t="s">
        <v>1652</v>
      </c>
      <c r="D747" s="3483">
        <v>153000000</v>
      </c>
      <c r="E747" s="3523">
        <v>7.0000000000000007E-2</v>
      </c>
      <c r="F747" s="3483">
        <f>D747*E747</f>
        <v>10710000.000000002</v>
      </c>
      <c r="G747" s="3483">
        <v>10710000</v>
      </c>
      <c r="H747" s="3483" t="s">
        <v>1649</v>
      </c>
      <c r="I747" s="472" t="s">
        <v>1952</v>
      </c>
      <c r="J747" s="3483">
        <f t="shared" si="72"/>
        <v>10710000</v>
      </c>
      <c r="K747" s="3521">
        <f t="shared" si="73"/>
        <v>0</v>
      </c>
      <c r="L747" s="3555"/>
      <c r="M747" s="386"/>
      <c r="N747" s="386"/>
      <c r="O747" s="386"/>
      <c r="P747" s="386"/>
      <c r="Q747" s="386"/>
    </row>
    <row r="748" spans="1:17" ht="30" customHeight="1" x14ac:dyDescent="0.2">
      <c r="A748" s="3487">
        <v>378</v>
      </c>
      <c r="B748" s="3491" t="s">
        <v>1790</v>
      </c>
      <c r="C748" s="3504" t="s">
        <v>889</v>
      </c>
      <c r="D748" s="3483">
        <v>300000000</v>
      </c>
      <c r="E748" s="3523">
        <v>5.0999999999999997E-2</v>
      </c>
      <c r="F748" s="3483">
        <v>15500000</v>
      </c>
      <c r="G748" s="3483">
        <v>15500000</v>
      </c>
      <c r="H748" s="3483" t="s">
        <v>1649</v>
      </c>
      <c r="I748" s="472" t="s">
        <v>3062</v>
      </c>
      <c r="J748" s="3483">
        <f t="shared" si="72"/>
        <v>15500000</v>
      </c>
      <c r="K748" s="3521">
        <f t="shared" si="73"/>
        <v>0</v>
      </c>
      <c r="L748" s="3555"/>
      <c r="M748" s="386"/>
      <c r="N748" s="386"/>
      <c r="O748" s="386"/>
      <c r="P748" s="386"/>
      <c r="Q748" s="386"/>
    </row>
    <row r="749" spans="1:17" ht="30" customHeight="1" x14ac:dyDescent="0.2">
      <c r="A749" s="7654">
        <v>379</v>
      </c>
      <c r="B749" s="7652" t="s">
        <v>1753</v>
      </c>
      <c r="C749" s="7723" t="s">
        <v>372</v>
      </c>
      <c r="D749" s="4595">
        <v>50000000</v>
      </c>
      <c r="E749" s="4612">
        <v>0.05</v>
      </c>
      <c r="F749" s="3722">
        <f>D749*E749</f>
        <v>2500000</v>
      </c>
      <c r="G749" s="8294" t="s">
        <v>5636</v>
      </c>
      <c r="H749" s="8295"/>
      <c r="I749" s="8295"/>
      <c r="J749" s="8296"/>
      <c r="K749" s="3717">
        <f t="shared" si="73"/>
        <v>2500000</v>
      </c>
      <c r="L749" s="3723"/>
      <c r="M749" s="386"/>
      <c r="N749" s="386"/>
      <c r="O749" s="386"/>
      <c r="P749" s="386"/>
      <c r="Q749" s="386"/>
    </row>
    <row r="750" spans="1:17" ht="30" customHeight="1" x14ac:dyDescent="0.2">
      <c r="A750" s="7656"/>
      <c r="B750" s="7665"/>
      <c r="C750" s="7747"/>
      <c r="D750" s="4595">
        <v>2500000</v>
      </c>
      <c r="E750" s="4612">
        <v>0.05</v>
      </c>
      <c r="F750" s="4595">
        <f t="shared" ref="F750:F751" si="74">D750*E750</f>
        <v>125000</v>
      </c>
      <c r="G750" s="8297"/>
      <c r="H750" s="8298"/>
      <c r="I750" s="8298"/>
      <c r="J750" s="8299"/>
      <c r="K750" s="4609"/>
      <c r="L750" s="4608"/>
      <c r="M750" s="386"/>
      <c r="N750" s="386"/>
      <c r="O750" s="386"/>
      <c r="P750" s="386"/>
      <c r="Q750" s="386"/>
    </row>
    <row r="751" spans="1:17" ht="30" customHeight="1" x14ac:dyDescent="0.2">
      <c r="A751" s="7656"/>
      <c r="B751" s="7653"/>
      <c r="C751" s="7724"/>
      <c r="D751" s="4595">
        <v>7500000</v>
      </c>
      <c r="E751" s="4612">
        <v>0.05</v>
      </c>
      <c r="F751" s="4595">
        <f t="shared" si="74"/>
        <v>375000</v>
      </c>
      <c r="G751" s="7732" t="s">
        <v>6366</v>
      </c>
      <c r="H751" s="7733"/>
      <c r="I751" s="7733"/>
      <c r="J751" s="7734"/>
      <c r="K751" s="4609"/>
      <c r="L751" s="4608"/>
      <c r="M751" s="386"/>
      <c r="N751" s="386"/>
      <c r="O751" s="386"/>
      <c r="P751" s="386"/>
      <c r="Q751" s="386"/>
    </row>
    <row r="752" spans="1:17" ht="30" customHeight="1" x14ac:dyDescent="0.2">
      <c r="A752" s="3487">
        <v>381</v>
      </c>
      <c r="B752" s="3491" t="s">
        <v>1797</v>
      </c>
      <c r="C752" s="3504" t="s">
        <v>889</v>
      </c>
      <c r="D752" s="3483">
        <v>50000000</v>
      </c>
      <c r="E752" s="3523">
        <v>0.05</v>
      </c>
      <c r="F752" s="3483">
        <f>D752*E752</f>
        <v>2500000</v>
      </c>
      <c r="G752" s="3483">
        <v>2500000</v>
      </c>
      <c r="H752" s="3483" t="s">
        <v>5340</v>
      </c>
      <c r="I752" s="472" t="s">
        <v>3516</v>
      </c>
      <c r="J752" s="3483">
        <f>G752</f>
        <v>2500000</v>
      </c>
      <c r="K752" s="3521">
        <f>F752-J752</f>
        <v>0</v>
      </c>
      <c r="L752" s="3555" t="s">
        <v>5484</v>
      </c>
      <c r="M752" s="386"/>
      <c r="N752" s="386"/>
      <c r="O752" s="386"/>
      <c r="P752" s="386"/>
      <c r="Q752" s="386"/>
    </row>
    <row r="753" spans="1:17" ht="30" customHeight="1" x14ac:dyDescent="0.2">
      <c r="A753" s="3487">
        <v>382</v>
      </c>
      <c r="B753" s="3491" t="s">
        <v>1812</v>
      </c>
      <c r="C753" s="3504" t="s">
        <v>262</v>
      </c>
      <c r="D753" s="3483">
        <v>150000000</v>
      </c>
      <c r="E753" s="3523"/>
      <c r="F753" s="3483"/>
      <c r="G753" s="3483"/>
      <c r="H753" s="3483"/>
      <c r="I753" s="472"/>
      <c r="J753" s="3483"/>
      <c r="K753" s="3521"/>
      <c r="L753" s="3555"/>
      <c r="M753" s="386"/>
      <c r="N753" s="386"/>
      <c r="O753" s="386"/>
      <c r="P753" s="386"/>
      <c r="Q753" s="386"/>
    </row>
    <row r="754" spans="1:17" ht="30" customHeight="1" x14ac:dyDescent="0.2">
      <c r="A754" s="3487">
        <v>383</v>
      </c>
      <c r="B754" s="3491" t="s">
        <v>1823</v>
      </c>
      <c r="C754" s="3504" t="s">
        <v>262</v>
      </c>
      <c r="D754" s="3483">
        <v>10000000</v>
      </c>
      <c r="E754" s="3523">
        <v>7.0000000000000007E-2</v>
      </c>
      <c r="F754" s="3483">
        <f t="shared" ref="F754:F766" si="75">D754*E754</f>
        <v>700000.00000000012</v>
      </c>
      <c r="G754" s="3483">
        <v>700000</v>
      </c>
      <c r="H754" s="3483" t="s">
        <v>5367</v>
      </c>
      <c r="I754" s="472" t="s">
        <v>2928</v>
      </c>
      <c r="J754" s="3483">
        <f>G754</f>
        <v>700000</v>
      </c>
      <c r="K754" s="3521">
        <f>F754-J754</f>
        <v>0</v>
      </c>
      <c r="L754" s="3555"/>
      <c r="M754" s="386"/>
      <c r="N754" s="386"/>
      <c r="O754" s="386"/>
      <c r="P754" s="386"/>
      <c r="Q754" s="386"/>
    </row>
    <row r="755" spans="1:17" ht="30" customHeight="1" x14ac:dyDescent="0.2">
      <c r="A755" s="624">
        <v>384</v>
      </c>
      <c r="B755" s="3491" t="s">
        <v>1861</v>
      </c>
      <c r="C755" s="3504" t="s">
        <v>262</v>
      </c>
      <c r="D755" s="3483">
        <v>150000000</v>
      </c>
      <c r="E755" s="3523">
        <v>7.0000000000000007E-2</v>
      </c>
      <c r="F755" s="3483">
        <f t="shared" si="75"/>
        <v>10500000.000000002</v>
      </c>
      <c r="G755" s="3483">
        <v>10500000</v>
      </c>
      <c r="H755" s="3483" t="s">
        <v>5367</v>
      </c>
      <c r="I755" s="472" t="s">
        <v>1960</v>
      </c>
      <c r="J755" s="3483">
        <f>G755</f>
        <v>10500000</v>
      </c>
      <c r="K755" s="3521">
        <f>F755-J755</f>
        <v>0</v>
      </c>
      <c r="L755" s="3555"/>
      <c r="M755" s="386"/>
      <c r="N755" s="386"/>
      <c r="O755" s="386"/>
      <c r="P755" s="386"/>
      <c r="Q755" s="386"/>
    </row>
    <row r="756" spans="1:17" ht="30" customHeight="1" x14ac:dyDescent="0.2">
      <c r="A756" s="3487">
        <v>385</v>
      </c>
      <c r="B756" s="3491" t="s">
        <v>1877</v>
      </c>
      <c r="C756" s="7723" t="s">
        <v>371</v>
      </c>
      <c r="D756" s="3483">
        <v>12000000</v>
      </c>
      <c r="E756" s="3523">
        <v>0.05</v>
      </c>
      <c r="F756" s="3871">
        <f>D756*E756</f>
        <v>600000</v>
      </c>
      <c r="G756" s="3950">
        <v>600000</v>
      </c>
      <c r="H756" s="3950" t="s">
        <v>5634</v>
      </c>
      <c r="I756" s="3950" t="s">
        <v>2855</v>
      </c>
      <c r="J756" s="3483">
        <f>G756</f>
        <v>600000</v>
      </c>
      <c r="K756" s="3521">
        <f>F756-J756</f>
        <v>0</v>
      </c>
      <c r="L756" s="3555" t="s">
        <v>1878</v>
      </c>
      <c r="M756" s="386"/>
      <c r="N756" s="386"/>
      <c r="O756" s="386"/>
      <c r="P756" s="386"/>
      <c r="Q756" s="386"/>
    </row>
    <row r="757" spans="1:17" ht="30" customHeight="1" x14ac:dyDescent="0.2">
      <c r="A757" s="7654"/>
      <c r="B757" s="3877" t="s">
        <v>5481</v>
      </c>
      <c r="C757" s="7747"/>
      <c r="D757" s="3871">
        <v>31000000</v>
      </c>
      <c r="E757" s="3891">
        <v>0.05</v>
      </c>
      <c r="F757" s="3870">
        <f>D757*E757</f>
        <v>1550000</v>
      </c>
      <c r="G757" s="7732" t="s">
        <v>5643</v>
      </c>
      <c r="H757" s="7733"/>
      <c r="I757" s="7733"/>
      <c r="J757" s="7734"/>
      <c r="K757" s="3872"/>
      <c r="L757" s="3697" t="s">
        <v>5509</v>
      </c>
      <c r="M757" s="386"/>
      <c r="N757" s="386"/>
      <c r="O757" s="386"/>
      <c r="P757" s="386"/>
      <c r="Q757" s="386"/>
    </row>
    <row r="758" spans="1:17" ht="30" customHeight="1" x14ac:dyDescent="0.2">
      <c r="A758" s="7655"/>
      <c r="B758" s="3877"/>
      <c r="C758" s="7724"/>
      <c r="D758" s="2653">
        <f>SUM(D756:D757)</f>
        <v>43000000</v>
      </c>
      <c r="E758" s="3884">
        <v>0.05</v>
      </c>
      <c r="F758" s="3870">
        <f>D758*E758</f>
        <v>2150000</v>
      </c>
      <c r="G758" s="7732" t="s">
        <v>5644</v>
      </c>
      <c r="H758" s="7733"/>
      <c r="I758" s="7733"/>
      <c r="J758" s="7734"/>
      <c r="K758" s="3892"/>
      <c r="L758" s="3886"/>
      <c r="M758" s="386"/>
      <c r="N758" s="386"/>
      <c r="O758" s="386"/>
      <c r="P758" s="386"/>
      <c r="Q758" s="386"/>
    </row>
    <row r="759" spans="1:17" ht="30" customHeight="1" x14ac:dyDescent="0.2">
      <c r="A759" s="7654">
        <v>386</v>
      </c>
      <c r="B759" s="7652" t="s">
        <v>3092</v>
      </c>
      <c r="C759" s="7723" t="s">
        <v>1306</v>
      </c>
      <c r="D759" s="3481">
        <v>100000000</v>
      </c>
      <c r="E759" s="3488">
        <v>7.0000000000000007E-2</v>
      </c>
      <c r="F759" s="3481">
        <f t="shared" si="75"/>
        <v>7000000.0000000009</v>
      </c>
      <c r="G759" s="3483">
        <v>10000000</v>
      </c>
      <c r="H759" s="3513" t="s">
        <v>5345</v>
      </c>
      <c r="I759" s="2694" t="s">
        <v>2653</v>
      </c>
      <c r="J759" s="3481">
        <f t="shared" ref="J759:J766" si="76">G759</f>
        <v>10000000</v>
      </c>
      <c r="K759" s="7816"/>
      <c r="L759" s="7811" t="s">
        <v>5438</v>
      </c>
      <c r="M759" s="386"/>
      <c r="N759" s="386"/>
      <c r="O759" s="386"/>
      <c r="P759" s="386"/>
      <c r="Q759" s="386"/>
    </row>
    <row r="760" spans="1:17" ht="30" customHeight="1" x14ac:dyDescent="0.2">
      <c r="A760" s="7656"/>
      <c r="B760" s="7665"/>
      <c r="C760" s="7747"/>
      <c r="D760" s="7494" t="s">
        <v>5442</v>
      </c>
      <c r="E760" s="7495"/>
      <c r="F760" s="7768"/>
      <c r="G760" s="3757">
        <v>10000000</v>
      </c>
      <c r="H760" s="3779" t="s">
        <v>5347</v>
      </c>
      <c r="I760" s="3819" t="s">
        <v>2653</v>
      </c>
      <c r="J760" s="3755">
        <f t="shared" si="76"/>
        <v>10000000</v>
      </c>
      <c r="K760" s="7882"/>
      <c r="L760" s="7897"/>
      <c r="M760" s="386"/>
      <c r="N760" s="386"/>
      <c r="O760" s="386"/>
      <c r="P760" s="386"/>
      <c r="Q760" s="386"/>
    </row>
    <row r="761" spans="1:17" ht="30" customHeight="1" x14ac:dyDescent="0.2">
      <c r="A761" s="7656"/>
      <c r="B761" s="7665"/>
      <c r="C761" s="7747"/>
      <c r="D761" s="7769"/>
      <c r="E761" s="7805"/>
      <c r="F761" s="7770"/>
      <c r="G761" s="3483">
        <v>7000000</v>
      </c>
      <c r="H761" s="3513" t="s">
        <v>5367</v>
      </c>
      <c r="I761" s="2694" t="s">
        <v>2653</v>
      </c>
      <c r="J761" s="3481">
        <f t="shared" si="76"/>
        <v>7000000</v>
      </c>
      <c r="K761" s="7817"/>
      <c r="L761" s="7812"/>
      <c r="M761" s="386"/>
      <c r="N761" s="386"/>
      <c r="O761" s="386"/>
      <c r="P761" s="386"/>
      <c r="Q761" s="386"/>
    </row>
    <row r="762" spans="1:17" ht="30" customHeight="1" x14ac:dyDescent="0.2">
      <c r="A762" s="7656"/>
      <c r="B762" s="7665"/>
      <c r="C762" s="7747"/>
      <c r="D762" s="7494" t="s">
        <v>5979</v>
      </c>
      <c r="E762" s="7495"/>
      <c r="F762" s="7768"/>
      <c r="G762" s="4137">
        <v>2000000</v>
      </c>
      <c r="H762" s="4136" t="s">
        <v>5962</v>
      </c>
      <c r="I762" s="4157" t="s">
        <v>2653</v>
      </c>
      <c r="J762" s="7563">
        <f>G762+G763</f>
        <v>12000000</v>
      </c>
      <c r="K762" s="7816"/>
      <c r="L762" s="4145"/>
      <c r="M762" s="386"/>
      <c r="N762" s="386"/>
      <c r="O762" s="386"/>
      <c r="P762" s="386"/>
      <c r="Q762" s="386"/>
    </row>
    <row r="763" spans="1:17" ht="30" customHeight="1" x14ac:dyDescent="0.2">
      <c r="A763" s="7655"/>
      <c r="B763" s="7653"/>
      <c r="C763" s="7724"/>
      <c r="D763" s="7769"/>
      <c r="E763" s="7805"/>
      <c r="F763" s="7770"/>
      <c r="G763" s="4137">
        <v>10000000</v>
      </c>
      <c r="H763" s="4136" t="s">
        <v>5990</v>
      </c>
      <c r="I763" s="4157" t="s">
        <v>2653</v>
      </c>
      <c r="J763" s="7564"/>
      <c r="K763" s="7817"/>
      <c r="L763" s="4145"/>
      <c r="M763" s="386"/>
      <c r="N763" s="386"/>
      <c r="O763" s="386"/>
      <c r="P763" s="386"/>
      <c r="Q763" s="386"/>
    </row>
    <row r="764" spans="1:17" ht="30" customHeight="1" x14ac:dyDescent="0.2">
      <c r="A764" s="7879">
        <v>387</v>
      </c>
      <c r="B764" s="7717" t="s">
        <v>1923</v>
      </c>
      <c r="C764" s="7873"/>
      <c r="D764" s="7482">
        <v>75000000</v>
      </c>
      <c r="E764" s="7870">
        <v>0.05</v>
      </c>
      <c r="F764" s="7482">
        <f t="shared" si="75"/>
        <v>3750000</v>
      </c>
      <c r="G764" s="4082">
        <v>3000000</v>
      </c>
      <c r="H764" s="4096" t="s">
        <v>5434</v>
      </c>
      <c r="I764" s="4096" t="s">
        <v>3246</v>
      </c>
      <c r="J764" s="4084">
        <f t="shared" si="76"/>
        <v>3000000</v>
      </c>
      <c r="K764" s="4083">
        <f>F764-J764</f>
        <v>750000</v>
      </c>
      <c r="L764" s="4093" t="s">
        <v>4905</v>
      </c>
      <c r="M764" s="386"/>
      <c r="N764" s="386"/>
      <c r="O764" s="386"/>
      <c r="P764" s="386"/>
      <c r="Q764" s="386"/>
    </row>
    <row r="765" spans="1:17" ht="30" customHeight="1" x14ac:dyDescent="0.2">
      <c r="A765" s="7879"/>
      <c r="B765" s="7717"/>
      <c r="C765" s="7873"/>
      <c r="D765" s="7482"/>
      <c r="E765" s="7870"/>
      <c r="F765" s="7482"/>
      <c r="G765" s="4082">
        <v>3750000</v>
      </c>
      <c r="H765" s="4096" t="s">
        <v>2341</v>
      </c>
      <c r="I765" s="4096" t="s">
        <v>1924</v>
      </c>
      <c r="J765" s="4084">
        <f t="shared" si="76"/>
        <v>3750000</v>
      </c>
      <c r="K765" s="4083">
        <f>F764-J765</f>
        <v>0</v>
      </c>
      <c r="L765" s="4093" t="s">
        <v>4906</v>
      </c>
      <c r="M765" s="386"/>
      <c r="N765" s="386"/>
      <c r="O765" s="386"/>
      <c r="P765" s="386"/>
      <c r="Q765" s="386"/>
    </row>
    <row r="766" spans="1:17" ht="30" customHeight="1" x14ac:dyDescent="0.2">
      <c r="A766" s="7879"/>
      <c r="B766" s="7717" t="s">
        <v>1953</v>
      </c>
      <c r="C766" s="7873" t="s">
        <v>3302</v>
      </c>
      <c r="D766" s="7482">
        <v>150000000</v>
      </c>
      <c r="E766" s="7870">
        <v>0.05</v>
      </c>
      <c r="F766" s="7482">
        <f t="shared" si="75"/>
        <v>7500000</v>
      </c>
      <c r="G766" s="7772">
        <v>7500000</v>
      </c>
      <c r="H766" s="7772" t="s">
        <v>5839</v>
      </c>
      <c r="I766" s="7772" t="s">
        <v>4581</v>
      </c>
      <c r="J766" s="7772">
        <f t="shared" si="76"/>
        <v>7500000</v>
      </c>
      <c r="K766" s="7816">
        <f>G766-J766</f>
        <v>0</v>
      </c>
      <c r="L766" s="3564" t="s">
        <v>3300</v>
      </c>
      <c r="M766" s="386"/>
      <c r="N766" s="386"/>
      <c r="O766" s="386"/>
      <c r="P766" s="386"/>
      <c r="Q766" s="386"/>
    </row>
    <row r="767" spans="1:17" ht="30" customHeight="1" x14ac:dyDescent="0.2">
      <c r="A767" s="7879"/>
      <c r="B767" s="7717"/>
      <c r="C767" s="7873"/>
      <c r="D767" s="7482"/>
      <c r="E767" s="7870"/>
      <c r="F767" s="7482"/>
      <c r="G767" s="7773"/>
      <c r="H767" s="7773"/>
      <c r="I767" s="7773"/>
      <c r="J767" s="7773"/>
      <c r="K767" s="7817"/>
      <c r="L767" s="3555" t="s">
        <v>3301</v>
      </c>
      <c r="M767" s="386"/>
      <c r="N767" s="386"/>
      <c r="O767" s="386"/>
      <c r="P767" s="386"/>
      <c r="Q767" s="386"/>
    </row>
    <row r="768" spans="1:17" ht="30" customHeight="1" x14ac:dyDescent="0.2">
      <c r="A768" s="3487">
        <v>390</v>
      </c>
      <c r="B768" s="3491" t="s">
        <v>1996</v>
      </c>
      <c r="C768" s="3504" t="s">
        <v>889</v>
      </c>
      <c r="D768" s="3483">
        <v>5000000</v>
      </c>
      <c r="E768" s="3489">
        <v>0.05</v>
      </c>
      <c r="F768" s="3483">
        <f>D768*E768</f>
        <v>250000</v>
      </c>
      <c r="G768" s="3483">
        <v>250000</v>
      </c>
      <c r="H768" s="3483" t="s">
        <v>5340</v>
      </c>
      <c r="I768" s="472" t="s">
        <v>2533</v>
      </c>
      <c r="J768" s="3483">
        <f>G768</f>
        <v>250000</v>
      </c>
      <c r="K768" s="3521">
        <f>F768-J768</f>
        <v>0</v>
      </c>
      <c r="L768" s="3555"/>
      <c r="M768" s="386"/>
      <c r="N768" s="386"/>
      <c r="O768" s="386"/>
      <c r="P768" s="386"/>
      <c r="Q768" s="386"/>
    </row>
    <row r="769" spans="1:17" ht="30" customHeight="1" x14ac:dyDescent="0.2">
      <c r="A769" s="7879">
        <v>391</v>
      </c>
      <c r="B769" s="7717" t="s">
        <v>2003</v>
      </c>
      <c r="C769" s="7873" t="s">
        <v>3390</v>
      </c>
      <c r="D769" s="7482">
        <v>1000000000</v>
      </c>
      <c r="E769" s="7870">
        <v>0.05</v>
      </c>
      <c r="F769" s="7482">
        <f>D769*E769</f>
        <v>50000000</v>
      </c>
      <c r="G769" s="7563"/>
      <c r="H769" s="7563"/>
      <c r="I769" s="7563" t="s">
        <v>3200</v>
      </c>
      <c r="J769" s="7563">
        <f>G769</f>
        <v>0</v>
      </c>
      <c r="K769" s="7816">
        <f>F769-J769</f>
        <v>50000000</v>
      </c>
      <c r="L769" s="7811"/>
      <c r="M769" s="386"/>
      <c r="N769" s="386"/>
      <c r="O769" s="386"/>
      <c r="P769" s="386"/>
      <c r="Q769" s="386"/>
    </row>
    <row r="770" spans="1:17" ht="30" customHeight="1" x14ac:dyDescent="0.2">
      <c r="A770" s="7879"/>
      <c r="B770" s="7717"/>
      <c r="C770" s="7873"/>
      <c r="D770" s="7482"/>
      <c r="E770" s="7870"/>
      <c r="F770" s="7482"/>
      <c r="G770" s="7564"/>
      <c r="H770" s="7564"/>
      <c r="I770" s="7564"/>
      <c r="J770" s="7564"/>
      <c r="K770" s="7817"/>
      <c r="L770" s="7812"/>
      <c r="M770" s="386"/>
      <c r="N770" s="386"/>
      <c r="O770" s="386"/>
      <c r="P770" s="386"/>
      <c r="Q770" s="386"/>
    </row>
    <row r="771" spans="1:17" ht="30" customHeight="1" x14ac:dyDescent="0.2">
      <c r="A771" s="3487">
        <v>392</v>
      </c>
      <c r="B771" s="3491" t="s">
        <v>2048</v>
      </c>
      <c r="C771" s="3504" t="s">
        <v>1294</v>
      </c>
      <c r="D771" s="3483">
        <v>50000000</v>
      </c>
      <c r="E771" s="3523">
        <v>0.05</v>
      </c>
      <c r="F771" s="3483">
        <f>D771*E771</f>
        <v>2500000</v>
      </c>
      <c r="G771" s="3483">
        <v>2500000</v>
      </c>
      <c r="H771" s="3483" t="s">
        <v>2341</v>
      </c>
      <c r="I771" s="472" t="s">
        <v>3047</v>
      </c>
      <c r="J771" s="3483">
        <f>G771</f>
        <v>2500000</v>
      </c>
      <c r="K771" s="3521">
        <f>F771-J771</f>
        <v>0</v>
      </c>
      <c r="L771" s="3555"/>
      <c r="M771" s="386"/>
      <c r="N771" s="386"/>
      <c r="O771" s="386"/>
      <c r="P771" s="386"/>
      <c r="Q771" s="386"/>
    </row>
    <row r="772" spans="1:17" ht="30" customHeight="1" x14ac:dyDescent="0.2">
      <c r="A772" s="3526"/>
      <c r="B772" s="19" t="s">
        <v>2040</v>
      </c>
      <c r="C772" s="3529"/>
      <c r="D772" s="3480">
        <v>70000000</v>
      </c>
      <c r="E772" s="3523">
        <v>0.05</v>
      </c>
      <c r="F772" s="3513">
        <f>D772*E772</f>
        <v>3500000</v>
      </c>
      <c r="G772" s="3513">
        <v>3500000</v>
      </c>
      <c r="H772" s="3513" t="s">
        <v>5596</v>
      </c>
      <c r="I772" s="3513" t="s">
        <v>3537</v>
      </c>
      <c r="J772" s="3513">
        <f>G772</f>
        <v>3500000</v>
      </c>
      <c r="K772" s="3478">
        <f>F772-J772</f>
        <v>0</v>
      </c>
      <c r="L772" s="3555"/>
      <c r="M772" s="386"/>
      <c r="N772" s="386"/>
      <c r="O772" s="386"/>
      <c r="P772" s="386"/>
      <c r="Q772" s="386"/>
    </row>
    <row r="773" spans="1:17" ht="30" customHeight="1" x14ac:dyDescent="0.2">
      <c r="A773" s="7656"/>
      <c r="B773" s="3559" t="s">
        <v>2052</v>
      </c>
      <c r="C773" s="8024" t="s">
        <v>1306</v>
      </c>
      <c r="D773" s="3568">
        <v>600000000</v>
      </c>
      <c r="E773" s="3558">
        <v>0.06</v>
      </c>
      <c r="F773" s="3568">
        <f>D773*E773</f>
        <v>36000000</v>
      </c>
      <c r="G773" s="7586"/>
      <c r="H773" s="7586"/>
      <c r="I773" s="8036"/>
      <c r="J773" s="7586"/>
      <c r="K773" s="3521"/>
      <c r="L773" s="3555"/>
      <c r="M773" s="386"/>
      <c r="N773" s="386"/>
      <c r="O773" s="386"/>
      <c r="P773" s="386"/>
      <c r="Q773" s="386"/>
    </row>
    <row r="774" spans="1:17" ht="30" customHeight="1" x14ac:dyDescent="0.2">
      <c r="A774" s="7656"/>
      <c r="B774" s="3559" t="s">
        <v>2049</v>
      </c>
      <c r="C774" s="8024"/>
      <c r="D774" s="3568">
        <v>310000000</v>
      </c>
      <c r="E774" s="679">
        <v>0.06</v>
      </c>
      <c r="F774" s="3568">
        <f t="shared" ref="F774:F778" si="77">D774*E774</f>
        <v>18600000</v>
      </c>
      <c r="G774" s="7586"/>
      <c r="H774" s="7586"/>
      <c r="I774" s="8036"/>
      <c r="J774" s="7586"/>
      <c r="K774" s="3521"/>
      <c r="L774" s="3555"/>
      <c r="M774" s="386"/>
      <c r="N774" s="386"/>
      <c r="O774" s="386"/>
      <c r="P774" s="386"/>
      <c r="Q774" s="386"/>
    </row>
    <row r="775" spans="1:17" ht="30" customHeight="1" x14ac:dyDescent="0.2">
      <c r="A775" s="7656"/>
      <c r="B775" s="3559" t="s">
        <v>2053</v>
      </c>
      <c r="C775" s="8024"/>
      <c r="D775" s="3568">
        <v>50000000</v>
      </c>
      <c r="E775" s="679">
        <v>0.06</v>
      </c>
      <c r="F775" s="3568">
        <f t="shared" si="77"/>
        <v>3000000</v>
      </c>
      <c r="G775" s="7586"/>
      <c r="H775" s="7586"/>
      <c r="I775" s="8036"/>
      <c r="J775" s="7586"/>
      <c r="K775" s="3521"/>
      <c r="L775" s="3555"/>
      <c r="M775" s="386"/>
      <c r="N775" s="386"/>
      <c r="O775" s="386"/>
      <c r="P775" s="386"/>
      <c r="Q775" s="386"/>
    </row>
    <row r="776" spans="1:17" ht="30" customHeight="1" x14ac:dyDescent="0.2">
      <c r="A776" s="7656"/>
      <c r="B776" s="3559" t="s">
        <v>2050</v>
      </c>
      <c r="C776" s="8024"/>
      <c r="D776" s="3568">
        <v>110000000</v>
      </c>
      <c r="E776" s="679">
        <v>0.06</v>
      </c>
      <c r="F776" s="3568">
        <f t="shared" si="77"/>
        <v>6600000</v>
      </c>
      <c r="G776" s="7586"/>
      <c r="H776" s="7586"/>
      <c r="I776" s="8036"/>
      <c r="J776" s="7586"/>
      <c r="K776" s="3521"/>
      <c r="L776" s="3555"/>
      <c r="M776" s="386"/>
      <c r="N776" s="386"/>
      <c r="O776" s="386"/>
      <c r="P776" s="386"/>
      <c r="Q776" s="386"/>
    </row>
    <row r="777" spans="1:17" ht="30" customHeight="1" x14ac:dyDescent="0.2">
      <c r="A777" s="7656"/>
      <c r="B777" s="3559" t="s">
        <v>2051</v>
      </c>
      <c r="C777" s="8025"/>
      <c r="D777" s="3568">
        <v>100000000</v>
      </c>
      <c r="E777" s="679">
        <v>0.06</v>
      </c>
      <c r="F777" s="3568">
        <f t="shared" si="77"/>
        <v>6000000</v>
      </c>
      <c r="G777" s="7564"/>
      <c r="H777" s="7564"/>
      <c r="I777" s="7890"/>
      <c r="J777" s="7564"/>
      <c r="K777" s="3521"/>
      <c r="L777" s="3555"/>
      <c r="M777" s="386"/>
      <c r="N777" s="386"/>
      <c r="O777" s="386"/>
      <c r="P777" s="386"/>
      <c r="Q777" s="386"/>
    </row>
    <row r="778" spans="1:17" ht="30" customHeight="1" x14ac:dyDescent="0.2">
      <c r="A778" s="7656"/>
      <c r="B778" s="3579" t="s">
        <v>4588</v>
      </c>
      <c r="C778" s="3566"/>
      <c r="D778" s="3567">
        <v>50000000</v>
      </c>
      <c r="E778" s="3557">
        <v>0.06</v>
      </c>
      <c r="F778" s="3567">
        <f t="shared" si="77"/>
        <v>3000000</v>
      </c>
      <c r="G778" s="7732" t="s">
        <v>4590</v>
      </c>
      <c r="H778" s="7733"/>
      <c r="I778" s="7733"/>
      <c r="J778" s="7734"/>
      <c r="K778" s="3524"/>
      <c r="L778" s="3542"/>
      <c r="M778" s="386"/>
      <c r="N778" s="386"/>
      <c r="O778" s="386"/>
      <c r="P778" s="386"/>
      <c r="Q778" s="386"/>
    </row>
    <row r="779" spans="1:17" ht="30" customHeight="1" x14ac:dyDescent="0.2">
      <c r="A779" s="7656"/>
      <c r="B779" s="8021" t="s">
        <v>3423</v>
      </c>
      <c r="C779" s="8023" t="s">
        <v>1306</v>
      </c>
      <c r="D779" s="8001">
        <f>SUM(D773:D778)</f>
        <v>1220000000</v>
      </c>
      <c r="E779" s="8083"/>
      <c r="F779" s="8001">
        <f>SUM(F773:F778)</f>
        <v>73200000</v>
      </c>
      <c r="G779" s="8193" t="s">
        <v>4589</v>
      </c>
      <c r="H779" s="8194"/>
      <c r="I779" s="8194"/>
      <c r="J779" s="8195"/>
      <c r="K779" s="7816">
        <f>F779-J779</f>
        <v>73200000</v>
      </c>
      <c r="L779" s="7816"/>
      <c r="M779" s="386"/>
      <c r="N779" s="386"/>
      <c r="O779" s="386"/>
      <c r="P779" s="386"/>
      <c r="Q779" s="386"/>
    </row>
    <row r="780" spans="1:17" ht="30" customHeight="1" x14ac:dyDescent="0.2">
      <c r="A780" s="7655"/>
      <c r="B780" s="8022"/>
      <c r="C780" s="8025"/>
      <c r="D780" s="8002"/>
      <c r="E780" s="8084"/>
      <c r="F780" s="8002"/>
      <c r="G780" s="8196"/>
      <c r="H780" s="8197"/>
      <c r="I780" s="8197"/>
      <c r="J780" s="8198"/>
      <c r="K780" s="7817"/>
      <c r="L780" s="7817"/>
      <c r="M780" s="386"/>
      <c r="N780" s="386"/>
      <c r="O780" s="386"/>
      <c r="P780" s="386"/>
      <c r="Q780" s="386"/>
    </row>
    <row r="781" spans="1:17" ht="30" customHeight="1" x14ac:dyDescent="0.2">
      <c r="A781" s="3526"/>
      <c r="B781" s="3527" t="s">
        <v>2069</v>
      </c>
      <c r="C781" s="3529" t="s">
        <v>3323</v>
      </c>
      <c r="D781" s="3513">
        <v>200000000</v>
      </c>
      <c r="E781" s="3523">
        <v>7.0000000000000007E-2</v>
      </c>
      <c r="F781" s="3513">
        <f t="shared" ref="F781:F787" si="78">D781*E781</f>
        <v>14000000.000000002</v>
      </c>
      <c r="G781" s="3483">
        <v>14000000</v>
      </c>
      <c r="H781" s="3483" t="s">
        <v>6023</v>
      </c>
      <c r="I781" s="472" t="s">
        <v>1076</v>
      </c>
      <c r="J781" s="3513">
        <f>G781</f>
        <v>14000000</v>
      </c>
      <c r="K781" s="3478">
        <f>F781-J781</f>
        <v>0</v>
      </c>
      <c r="L781" s="3520"/>
      <c r="M781" s="386"/>
      <c r="N781" s="386"/>
      <c r="O781" s="386"/>
      <c r="P781" s="386"/>
      <c r="Q781" s="386"/>
    </row>
    <row r="782" spans="1:17" ht="30" customHeight="1" x14ac:dyDescent="0.2">
      <c r="A782" s="3487"/>
      <c r="B782" s="3491" t="s">
        <v>2089</v>
      </c>
      <c r="C782" s="3504" t="s">
        <v>2278</v>
      </c>
      <c r="D782" s="3483">
        <v>13000000</v>
      </c>
      <c r="E782" s="3523">
        <v>0.05</v>
      </c>
      <c r="F782" s="3483">
        <f t="shared" si="78"/>
        <v>650000</v>
      </c>
      <c r="G782" s="3483">
        <v>650000</v>
      </c>
      <c r="H782" s="3483" t="s">
        <v>1972</v>
      </c>
      <c r="I782" s="472" t="s">
        <v>2984</v>
      </c>
      <c r="J782" s="3483">
        <f>G782</f>
        <v>650000</v>
      </c>
      <c r="K782" s="3521">
        <f>F782-J782</f>
        <v>0</v>
      </c>
      <c r="L782" s="3555"/>
      <c r="M782" s="386"/>
      <c r="N782" s="386"/>
      <c r="O782" s="386"/>
      <c r="P782" s="386"/>
      <c r="Q782" s="386"/>
    </row>
    <row r="783" spans="1:17" ht="30" customHeight="1" x14ac:dyDescent="0.2">
      <c r="A783" s="7654"/>
      <c r="B783" s="7652" t="s">
        <v>2128</v>
      </c>
      <c r="C783" s="7723" t="s">
        <v>1287</v>
      </c>
      <c r="D783" s="3483">
        <v>50000000</v>
      </c>
      <c r="E783" s="3523">
        <v>0.04</v>
      </c>
      <c r="F783" s="3483">
        <f t="shared" si="78"/>
        <v>2000000</v>
      </c>
      <c r="G783" s="7563">
        <v>8500000</v>
      </c>
      <c r="H783" s="7563" t="s">
        <v>5839</v>
      </c>
      <c r="I783" s="7889" t="s">
        <v>5845</v>
      </c>
      <c r="J783" s="7563">
        <f>G783</f>
        <v>8500000</v>
      </c>
      <c r="K783" s="7816"/>
      <c r="L783" s="3555"/>
      <c r="M783" s="386"/>
      <c r="N783" s="386"/>
      <c r="O783" s="386"/>
      <c r="P783" s="386"/>
      <c r="Q783" s="386"/>
    </row>
    <row r="784" spans="1:17" ht="30" customHeight="1" x14ac:dyDescent="0.2">
      <c r="A784" s="7655"/>
      <c r="B784" s="7653"/>
      <c r="C784" s="7724"/>
      <c r="D784" s="3974">
        <v>100000000</v>
      </c>
      <c r="E784" s="3979">
        <v>4.4999999999999998E-2</v>
      </c>
      <c r="F784" s="3974">
        <f t="shared" si="78"/>
        <v>4500000</v>
      </c>
      <c r="G784" s="7564"/>
      <c r="H784" s="7564"/>
      <c r="I784" s="7890"/>
      <c r="J784" s="7564"/>
      <c r="K784" s="7817"/>
      <c r="L784" s="3995" t="s">
        <v>5816</v>
      </c>
      <c r="M784" s="386"/>
      <c r="N784" s="386"/>
      <c r="O784" s="386"/>
      <c r="P784" s="386"/>
      <c r="Q784" s="386"/>
    </row>
    <row r="785" spans="1:17" ht="30" customHeight="1" x14ac:dyDescent="0.2">
      <c r="A785" s="7654"/>
      <c r="B785" s="7652" t="s">
        <v>2129</v>
      </c>
      <c r="C785" s="7723" t="s">
        <v>372</v>
      </c>
      <c r="D785" s="7563">
        <v>100000000</v>
      </c>
      <c r="E785" s="7659">
        <v>0.05</v>
      </c>
      <c r="F785" s="7563">
        <f t="shared" si="78"/>
        <v>5000000</v>
      </c>
      <c r="G785" s="3779">
        <v>500000</v>
      </c>
      <c r="H785" s="3779" t="s">
        <v>5367</v>
      </c>
      <c r="I785" s="3819" t="s">
        <v>3581</v>
      </c>
      <c r="J785" s="7563">
        <f>G785+G786</f>
        <v>5000000</v>
      </c>
      <c r="K785" s="7816">
        <f>F785-J785</f>
        <v>0</v>
      </c>
      <c r="L785" s="3520"/>
      <c r="M785" s="386"/>
      <c r="N785" s="386"/>
      <c r="O785" s="386"/>
      <c r="P785" s="386"/>
      <c r="Q785" s="386"/>
    </row>
    <row r="786" spans="1:17" ht="30" customHeight="1" x14ac:dyDescent="0.2">
      <c r="A786" s="7655"/>
      <c r="B786" s="7653"/>
      <c r="C786" s="7724"/>
      <c r="D786" s="7564"/>
      <c r="E786" s="7660"/>
      <c r="F786" s="7564"/>
      <c r="G786" s="3779">
        <v>4500000</v>
      </c>
      <c r="H786" s="3779" t="s">
        <v>5367</v>
      </c>
      <c r="I786" s="3819" t="s">
        <v>3581</v>
      </c>
      <c r="J786" s="7564"/>
      <c r="K786" s="7817"/>
      <c r="L786" s="3787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3526"/>
      <c r="B787" s="3527" t="s">
        <v>2208</v>
      </c>
      <c r="C787" s="3529" t="s">
        <v>1306</v>
      </c>
      <c r="D787" s="3513">
        <v>30000000</v>
      </c>
      <c r="E787" s="3523">
        <v>0.05</v>
      </c>
      <c r="F787" s="3513">
        <f t="shared" si="78"/>
        <v>1500000</v>
      </c>
      <c r="G787" s="3513">
        <v>1500000</v>
      </c>
      <c r="H787" s="3513" t="s">
        <v>5849</v>
      </c>
      <c r="I787" s="3513" t="s">
        <v>5850</v>
      </c>
      <c r="J787" s="3513">
        <f>G787</f>
        <v>1500000</v>
      </c>
      <c r="K787" s="3513">
        <f>F787-J787</f>
        <v>0</v>
      </c>
      <c r="L787" s="3555"/>
      <c r="M787" s="387"/>
      <c r="N787" s="387"/>
      <c r="O787" s="387"/>
      <c r="P787" s="387"/>
      <c r="Q787" s="387"/>
    </row>
    <row r="788" spans="1:17" ht="30" customHeight="1" x14ac:dyDescent="0.2">
      <c r="A788" s="3487"/>
      <c r="B788" s="3491" t="s">
        <v>2303</v>
      </c>
      <c r="C788" s="3504"/>
      <c r="D788" s="3483">
        <v>100000000</v>
      </c>
      <c r="E788" s="3523">
        <v>4.4999999999999998E-2</v>
      </c>
      <c r="F788" s="3483">
        <f>D788*E788</f>
        <v>4500000</v>
      </c>
      <c r="G788" s="3483">
        <v>9000000</v>
      </c>
      <c r="H788" s="3483" t="s">
        <v>5948</v>
      </c>
      <c r="I788" s="472" t="s">
        <v>5949</v>
      </c>
      <c r="J788" s="3483">
        <f t="shared" ref="J788:J793" si="79">G788</f>
        <v>9000000</v>
      </c>
      <c r="K788" s="3521">
        <f>F788-J788</f>
        <v>-4500000</v>
      </c>
      <c r="L788" s="3555" t="s">
        <v>5950</v>
      </c>
      <c r="M788" s="386"/>
      <c r="N788" s="386"/>
      <c r="O788" s="386"/>
      <c r="P788" s="386"/>
      <c r="Q788" s="386"/>
    </row>
    <row r="789" spans="1:17" ht="30" customHeight="1" x14ac:dyDescent="0.2">
      <c r="A789" s="3487"/>
      <c r="B789" s="3491" t="s">
        <v>5996</v>
      </c>
      <c r="C789" s="3504" t="s">
        <v>1306</v>
      </c>
      <c r="D789" s="3483">
        <v>25000000</v>
      </c>
      <c r="E789" s="3523">
        <v>0.04</v>
      </c>
      <c r="F789" s="3483">
        <f>D789*E789</f>
        <v>1000000</v>
      </c>
      <c r="G789" s="3483">
        <v>1000000</v>
      </c>
      <c r="H789" s="3483" t="s">
        <v>5995</v>
      </c>
      <c r="I789" s="472" t="s">
        <v>2346</v>
      </c>
      <c r="J789" s="3483">
        <f t="shared" si="79"/>
        <v>1000000</v>
      </c>
      <c r="K789" s="3521">
        <f>F789-J789</f>
        <v>0</v>
      </c>
      <c r="L789" s="3555"/>
      <c r="M789" s="386"/>
      <c r="N789" s="386"/>
      <c r="O789" s="386"/>
      <c r="P789" s="386"/>
      <c r="Q789" s="386"/>
    </row>
    <row r="790" spans="1:17" ht="30" customHeight="1" x14ac:dyDescent="0.2">
      <c r="A790" s="3487"/>
      <c r="B790" s="3491" t="s">
        <v>2385</v>
      </c>
      <c r="C790" s="3504"/>
      <c r="D790" s="3501"/>
      <c r="E790" s="2519"/>
      <c r="F790" s="3501"/>
      <c r="G790" s="3483"/>
      <c r="H790" s="3483"/>
      <c r="I790" s="472"/>
      <c r="J790" s="3483">
        <f t="shared" si="79"/>
        <v>0</v>
      </c>
      <c r="K790" s="3522">
        <f>F790-J790</f>
        <v>0</v>
      </c>
      <c r="L790" s="3555"/>
      <c r="M790" s="386"/>
      <c r="N790" s="386"/>
      <c r="O790" s="386"/>
      <c r="P790" s="386"/>
      <c r="Q790" s="386"/>
    </row>
    <row r="791" spans="1:17" ht="30" customHeight="1" x14ac:dyDescent="0.2">
      <c r="A791" s="7654"/>
      <c r="B791" s="7652" t="s">
        <v>2388</v>
      </c>
      <c r="C791" s="7723" t="s">
        <v>1172</v>
      </c>
      <c r="D791" s="7563">
        <v>110000000</v>
      </c>
      <c r="E791" s="7659">
        <v>0.05</v>
      </c>
      <c r="F791" s="7563">
        <f>D791*E791</f>
        <v>5500000</v>
      </c>
      <c r="G791" s="3513">
        <v>3500000</v>
      </c>
      <c r="H791" s="3513" t="s">
        <v>1649</v>
      </c>
      <c r="I791" s="2694" t="s">
        <v>5459</v>
      </c>
      <c r="J791" s="7563">
        <f>G791+G792</f>
        <v>5500000</v>
      </c>
      <c r="K791" s="7816">
        <v>0</v>
      </c>
      <c r="L791" s="3555"/>
      <c r="M791" s="386"/>
      <c r="N791" s="386"/>
      <c r="O791" s="386"/>
      <c r="P791" s="386"/>
      <c r="Q791" s="386"/>
    </row>
    <row r="792" spans="1:17" ht="30" customHeight="1" x14ac:dyDescent="0.2">
      <c r="A792" s="7655"/>
      <c r="B792" s="7653"/>
      <c r="C792" s="7724"/>
      <c r="D792" s="7564"/>
      <c r="E792" s="7660"/>
      <c r="F792" s="7564"/>
      <c r="G792" s="3681">
        <v>2000000</v>
      </c>
      <c r="H792" s="3681" t="s">
        <v>5347</v>
      </c>
      <c r="I792" s="3736" t="s">
        <v>5459</v>
      </c>
      <c r="J792" s="7564"/>
      <c r="K792" s="7817"/>
      <c r="L792" s="3697"/>
      <c r="M792" s="386"/>
      <c r="N792" s="386"/>
      <c r="O792" s="386"/>
      <c r="P792" s="386"/>
      <c r="Q792" s="386"/>
    </row>
    <row r="793" spans="1:17" ht="30" customHeight="1" x14ac:dyDescent="0.2">
      <c r="A793" s="7654"/>
      <c r="B793" s="7652" t="s">
        <v>2647</v>
      </c>
      <c r="C793" s="7873" t="s">
        <v>1652</v>
      </c>
      <c r="D793" s="3483">
        <v>100000000</v>
      </c>
      <c r="E793" s="3523">
        <v>0.05</v>
      </c>
      <c r="F793" s="3483">
        <f t="shared" ref="F793:F818" si="80">D793*E793</f>
        <v>5000000</v>
      </c>
      <c r="G793" s="7563">
        <v>16000000</v>
      </c>
      <c r="H793" s="7563" t="s">
        <v>1649</v>
      </c>
      <c r="I793" s="7563" t="s">
        <v>4505</v>
      </c>
      <c r="J793" s="7563">
        <f t="shared" si="79"/>
        <v>16000000</v>
      </c>
      <c r="K793" s="7816">
        <f>(F793+F794)-J793</f>
        <v>0</v>
      </c>
      <c r="L793" s="7811"/>
      <c r="M793" s="386"/>
      <c r="N793" s="386"/>
      <c r="O793" s="386"/>
      <c r="P793" s="386"/>
      <c r="Q793" s="386"/>
    </row>
    <row r="794" spans="1:17" ht="30" customHeight="1" x14ac:dyDescent="0.2">
      <c r="A794" s="7656"/>
      <c r="B794" s="7665"/>
      <c r="C794" s="7873"/>
      <c r="D794" s="3483">
        <v>220000000</v>
      </c>
      <c r="E794" s="3523">
        <v>0.05</v>
      </c>
      <c r="F794" s="3483">
        <f t="shared" si="80"/>
        <v>11000000</v>
      </c>
      <c r="G794" s="7564"/>
      <c r="H794" s="7564"/>
      <c r="I794" s="7564"/>
      <c r="J794" s="7564"/>
      <c r="K794" s="7817"/>
      <c r="L794" s="7812"/>
      <c r="M794" s="386"/>
      <c r="N794" s="386"/>
      <c r="O794" s="386"/>
      <c r="P794" s="386"/>
      <c r="Q794" s="386"/>
    </row>
    <row r="795" spans="1:17" ht="30" customHeight="1" x14ac:dyDescent="0.2">
      <c r="A795" s="7656"/>
      <c r="B795" s="7665"/>
      <c r="C795" s="7723" t="s">
        <v>3390</v>
      </c>
      <c r="D795" s="7563">
        <v>1000000000</v>
      </c>
      <c r="E795" s="7659">
        <v>6.5000000000000002E-2</v>
      </c>
      <c r="F795" s="7563">
        <f>D795*E795</f>
        <v>65000000</v>
      </c>
      <c r="G795" s="7563"/>
      <c r="H795" s="7563"/>
      <c r="I795" s="7563" t="s">
        <v>4505</v>
      </c>
      <c r="J795" s="7563">
        <f>G795+G796</f>
        <v>0</v>
      </c>
      <c r="K795" s="7816">
        <f>F795-J795</f>
        <v>65000000</v>
      </c>
      <c r="L795" s="3543"/>
      <c r="M795" s="386"/>
      <c r="N795" s="386"/>
      <c r="O795" s="386"/>
      <c r="P795" s="386"/>
      <c r="Q795" s="386"/>
    </row>
    <row r="796" spans="1:17" ht="30" customHeight="1" x14ac:dyDescent="0.2">
      <c r="A796" s="7656"/>
      <c r="B796" s="7665"/>
      <c r="C796" s="7724"/>
      <c r="D796" s="7564"/>
      <c r="E796" s="7660"/>
      <c r="F796" s="7564"/>
      <c r="G796" s="7564"/>
      <c r="H796" s="7564"/>
      <c r="I796" s="7564"/>
      <c r="J796" s="7564"/>
      <c r="K796" s="7817"/>
      <c r="L796" s="3555"/>
      <c r="M796" s="386"/>
      <c r="N796" s="386"/>
      <c r="O796" s="386"/>
      <c r="P796" s="386"/>
      <c r="Q796" s="386"/>
    </row>
    <row r="797" spans="1:17" ht="30" customHeight="1" x14ac:dyDescent="0.2">
      <c r="A797" s="7655"/>
      <c r="B797" s="7653"/>
      <c r="C797" s="8276" t="s">
        <v>6029</v>
      </c>
      <c r="D797" s="8277"/>
      <c r="E797" s="8277"/>
      <c r="F797" s="8278"/>
      <c r="G797" s="4187">
        <v>10000000</v>
      </c>
      <c r="H797" s="4187" t="s">
        <v>6023</v>
      </c>
      <c r="I797" s="4187" t="s">
        <v>6030</v>
      </c>
      <c r="J797" s="4187">
        <f>G797</f>
        <v>10000000</v>
      </c>
      <c r="K797" s="4207"/>
      <c r="L797" s="4217"/>
      <c r="M797" s="386"/>
      <c r="N797" s="386"/>
      <c r="O797" s="386"/>
      <c r="P797" s="386"/>
      <c r="Q797" s="386"/>
    </row>
    <row r="798" spans="1:17" ht="30" customHeight="1" x14ac:dyDescent="0.2">
      <c r="A798" s="7654"/>
      <c r="B798" s="7652" t="s">
        <v>5465</v>
      </c>
      <c r="C798" s="7723" t="s">
        <v>1299</v>
      </c>
      <c r="D798" s="3483">
        <v>20000000</v>
      </c>
      <c r="E798" s="3523">
        <v>0.05</v>
      </c>
      <c r="F798" s="3483">
        <f t="shared" si="80"/>
        <v>1000000</v>
      </c>
      <c r="G798" s="7563">
        <v>2200000</v>
      </c>
      <c r="H798" s="7563" t="s">
        <v>5735</v>
      </c>
      <c r="I798" s="7889" t="s">
        <v>4124</v>
      </c>
      <c r="J798" s="7563">
        <f>G798</f>
        <v>2200000</v>
      </c>
      <c r="K798" s="7816">
        <f>(F798+F799)-J798</f>
        <v>0</v>
      </c>
      <c r="L798" s="3555"/>
      <c r="M798" s="386"/>
      <c r="N798" s="386"/>
      <c r="O798" s="386"/>
      <c r="P798" s="386"/>
      <c r="Q798" s="386"/>
    </row>
    <row r="799" spans="1:17" ht="30" customHeight="1" x14ac:dyDescent="0.2">
      <c r="A799" s="7655"/>
      <c r="B799" s="7653"/>
      <c r="C799" s="7724"/>
      <c r="D799" s="3483">
        <v>20000000</v>
      </c>
      <c r="E799" s="3523">
        <v>0.06</v>
      </c>
      <c r="F799" s="3483">
        <f t="shared" si="80"/>
        <v>1200000</v>
      </c>
      <c r="G799" s="7564"/>
      <c r="H799" s="7564"/>
      <c r="I799" s="7890"/>
      <c r="J799" s="7564"/>
      <c r="K799" s="7817"/>
      <c r="L799" s="3424" t="s">
        <v>5256</v>
      </c>
      <c r="M799" s="386"/>
      <c r="N799" s="386"/>
      <c r="O799" s="386"/>
      <c r="P799" s="386"/>
      <c r="Q799" s="386"/>
    </row>
    <row r="800" spans="1:17" ht="30" customHeight="1" x14ac:dyDescent="0.2">
      <c r="A800" s="7654"/>
      <c r="B800" s="7652" t="s">
        <v>5464</v>
      </c>
      <c r="C800" s="7723" t="s">
        <v>402</v>
      </c>
      <c r="D800" s="3483">
        <v>30000000</v>
      </c>
      <c r="E800" s="3523">
        <v>0.06</v>
      </c>
      <c r="F800" s="3483">
        <f t="shared" si="80"/>
        <v>1800000</v>
      </c>
      <c r="G800" s="7482">
        <v>1960000</v>
      </c>
      <c r="H800" s="7482" t="s">
        <v>1649</v>
      </c>
      <c r="I800" s="8300" t="s">
        <v>5466</v>
      </c>
      <c r="J800" s="7482">
        <f>G800</f>
        <v>1960000</v>
      </c>
      <c r="K800" s="7499"/>
      <c r="L800" s="3424" t="s">
        <v>5257</v>
      </c>
      <c r="M800" s="386"/>
      <c r="N800" s="386"/>
      <c r="O800" s="386"/>
      <c r="P800" s="386"/>
      <c r="Q800" s="386"/>
    </row>
    <row r="801" spans="1:17" ht="30" customHeight="1" x14ac:dyDescent="0.2">
      <c r="A801" s="7655"/>
      <c r="B801" s="7653"/>
      <c r="C801" s="7724"/>
      <c r="D801" s="3483">
        <v>20000000</v>
      </c>
      <c r="E801" s="3523">
        <v>0.06</v>
      </c>
      <c r="F801" s="3483">
        <f t="shared" si="80"/>
        <v>1200000</v>
      </c>
      <c r="G801" s="7482"/>
      <c r="H801" s="7482"/>
      <c r="I801" s="8300"/>
      <c r="J801" s="7482"/>
      <c r="K801" s="7499"/>
      <c r="L801" s="3543" t="s">
        <v>5323</v>
      </c>
      <c r="M801" s="386"/>
      <c r="N801" s="386"/>
      <c r="O801" s="386"/>
      <c r="P801" s="386"/>
      <c r="Q801" s="386"/>
    </row>
    <row r="802" spans="1:17" ht="30" customHeight="1" x14ac:dyDescent="0.2">
      <c r="A802" s="7654"/>
      <c r="B802" s="7652" t="s">
        <v>234</v>
      </c>
      <c r="C802" s="7723" t="s">
        <v>1172</v>
      </c>
      <c r="D802" s="3483">
        <v>60000000</v>
      </c>
      <c r="E802" s="3523">
        <v>0.05</v>
      </c>
      <c r="F802" s="3483">
        <f>D802*E802</f>
        <v>3000000</v>
      </c>
      <c r="G802" s="7563">
        <v>3300000</v>
      </c>
      <c r="H802" s="7563" t="s">
        <v>1649</v>
      </c>
      <c r="I802" s="7563" t="s">
        <v>5467</v>
      </c>
      <c r="J802" s="7563">
        <f>G802</f>
        <v>3300000</v>
      </c>
      <c r="K802" s="7816"/>
      <c r="L802" s="3543" t="s">
        <v>4269</v>
      </c>
      <c r="M802" s="386"/>
      <c r="N802" s="386"/>
      <c r="O802" s="386"/>
      <c r="P802" s="386"/>
      <c r="Q802" s="386"/>
    </row>
    <row r="803" spans="1:17" ht="30" customHeight="1" x14ac:dyDescent="0.2">
      <c r="A803" s="7655"/>
      <c r="B803" s="7653"/>
      <c r="C803" s="7724"/>
      <c r="D803" s="3483">
        <v>30000000</v>
      </c>
      <c r="E803" s="3523">
        <v>0.06</v>
      </c>
      <c r="F803" s="3483">
        <f>D803*E803</f>
        <v>1800000</v>
      </c>
      <c r="G803" s="7564"/>
      <c r="H803" s="7564"/>
      <c r="I803" s="7564"/>
      <c r="J803" s="7564"/>
      <c r="K803" s="7817"/>
      <c r="L803" s="3543" t="s">
        <v>5324</v>
      </c>
      <c r="M803" s="386"/>
      <c r="N803" s="386"/>
      <c r="O803" s="386"/>
      <c r="P803" s="386"/>
      <c r="Q803" s="386"/>
    </row>
    <row r="804" spans="1:17" ht="30" customHeight="1" x14ac:dyDescent="0.2">
      <c r="A804" s="7654"/>
      <c r="B804" s="7652" t="s">
        <v>4946</v>
      </c>
      <c r="C804" s="7723" t="s">
        <v>1299</v>
      </c>
      <c r="D804" s="3483">
        <v>30000000</v>
      </c>
      <c r="E804" s="3523">
        <v>0.05</v>
      </c>
      <c r="F804" s="3483">
        <f>D804*E804</f>
        <v>1500000</v>
      </c>
      <c r="G804" s="7482">
        <v>2200000</v>
      </c>
      <c r="H804" s="7563" t="s">
        <v>5839</v>
      </c>
      <c r="I804" s="7563" t="s">
        <v>5204</v>
      </c>
      <c r="J804" s="7563">
        <f>G804</f>
        <v>2200000</v>
      </c>
      <c r="K804" s="7563">
        <f>(F804+F805)-J804</f>
        <v>0</v>
      </c>
      <c r="L804" s="3543" t="s">
        <v>5149</v>
      </c>
      <c r="M804" s="386"/>
      <c r="N804" s="386"/>
      <c r="O804" s="386"/>
      <c r="P804" s="386"/>
      <c r="Q804" s="386"/>
    </row>
    <row r="805" spans="1:17" ht="30" customHeight="1" x14ac:dyDescent="0.2">
      <c r="A805" s="7655"/>
      <c r="B805" s="7653"/>
      <c r="C805" s="7724"/>
      <c r="D805" s="3483">
        <v>10000000</v>
      </c>
      <c r="E805" s="3523">
        <v>7.0000000000000007E-2</v>
      </c>
      <c r="F805" s="3483">
        <f>D805*E805</f>
        <v>700000.00000000012</v>
      </c>
      <c r="G805" s="7482"/>
      <c r="H805" s="7564"/>
      <c r="I805" s="7564"/>
      <c r="J805" s="7564"/>
      <c r="K805" s="7564"/>
      <c r="L805" s="3543" t="s">
        <v>5150</v>
      </c>
      <c r="M805" s="386"/>
      <c r="N805" s="386"/>
      <c r="O805" s="386"/>
      <c r="P805" s="386"/>
      <c r="Q805" s="386"/>
    </row>
    <row r="806" spans="1:17" ht="30" customHeight="1" x14ac:dyDescent="0.2">
      <c r="A806" s="7654"/>
      <c r="B806" s="7652" t="s">
        <v>2471</v>
      </c>
      <c r="C806" s="7723" t="s">
        <v>889</v>
      </c>
      <c r="D806" s="3483">
        <v>57120000</v>
      </c>
      <c r="E806" s="3523">
        <v>0.06</v>
      </c>
      <c r="F806" s="3483">
        <f t="shared" si="80"/>
        <v>3427200</v>
      </c>
      <c r="G806" s="7563">
        <v>6607200</v>
      </c>
      <c r="H806" s="7563" t="s">
        <v>1649</v>
      </c>
      <c r="I806" s="7563" t="s">
        <v>4041</v>
      </c>
      <c r="J806" s="7563">
        <f>G806</f>
        <v>6607200</v>
      </c>
      <c r="K806" s="7563">
        <f>F813-J806</f>
        <v>0</v>
      </c>
      <c r="L806" s="3555"/>
      <c r="M806" s="386"/>
      <c r="N806" s="386"/>
      <c r="O806" s="386"/>
      <c r="P806" s="386"/>
      <c r="Q806" s="386"/>
    </row>
    <row r="807" spans="1:17" ht="30" customHeight="1" x14ac:dyDescent="0.2">
      <c r="A807" s="7656"/>
      <c r="B807" s="7665"/>
      <c r="C807" s="7747"/>
      <c r="D807" s="3483">
        <v>10000000</v>
      </c>
      <c r="E807" s="3523">
        <v>0.06</v>
      </c>
      <c r="F807" s="3683">
        <f t="shared" si="80"/>
        <v>600000</v>
      </c>
      <c r="G807" s="7586"/>
      <c r="H807" s="7586"/>
      <c r="I807" s="7586"/>
      <c r="J807" s="7586"/>
      <c r="K807" s="7586"/>
      <c r="L807" s="3542" t="s">
        <v>4983</v>
      </c>
      <c r="M807" s="386"/>
      <c r="N807" s="386"/>
      <c r="O807" s="386"/>
      <c r="P807" s="386"/>
      <c r="Q807" s="386"/>
    </row>
    <row r="808" spans="1:17" ht="30" customHeight="1" x14ac:dyDescent="0.2">
      <c r="A808" s="7656"/>
      <c r="B808" s="7665"/>
      <c r="C808" s="7747"/>
      <c r="D808" s="3483">
        <v>6000000</v>
      </c>
      <c r="E808" s="3523">
        <v>0.06</v>
      </c>
      <c r="F808" s="3683">
        <f t="shared" si="80"/>
        <v>360000</v>
      </c>
      <c r="G808" s="7586"/>
      <c r="H808" s="7586"/>
      <c r="I808" s="7586"/>
      <c r="J808" s="7586"/>
      <c r="K808" s="7586"/>
      <c r="L808" s="3542" t="s">
        <v>4984</v>
      </c>
      <c r="M808" s="386"/>
      <c r="N808" s="386"/>
      <c r="O808" s="386"/>
      <c r="P808" s="386"/>
      <c r="Q808" s="386"/>
    </row>
    <row r="809" spans="1:17" ht="30" customHeight="1" x14ac:dyDescent="0.2">
      <c r="A809" s="7656"/>
      <c r="B809" s="7665"/>
      <c r="C809" s="7747"/>
      <c r="D809" s="3483">
        <v>10000000</v>
      </c>
      <c r="E809" s="3523">
        <v>0.06</v>
      </c>
      <c r="F809" s="3683">
        <f t="shared" si="80"/>
        <v>600000</v>
      </c>
      <c r="G809" s="7586"/>
      <c r="H809" s="7586"/>
      <c r="I809" s="7586"/>
      <c r="J809" s="7586"/>
      <c r="K809" s="7586"/>
      <c r="L809" s="3542" t="s">
        <v>4985</v>
      </c>
      <c r="M809" s="386"/>
      <c r="N809" s="386"/>
      <c r="O809" s="386"/>
      <c r="P809" s="386"/>
      <c r="Q809" s="386"/>
    </row>
    <row r="810" spans="1:17" ht="30" customHeight="1" x14ac:dyDescent="0.2">
      <c r="A810" s="7656"/>
      <c r="B810" s="7665"/>
      <c r="C810" s="7747"/>
      <c r="D810" s="3483">
        <v>9000000</v>
      </c>
      <c r="E810" s="3523">
        <v>0.06</v>
      </c>
      <c r="F810" s="3683">
        <f t="shared" si="80"/>
        <v>540000</v>
      </c>
      <c r="G810" s="7586"/>
      <c r="H810" s="7586"/>
      <c r="I810" s="7586"/>
      <c r="J810" s="7586"/>
      <c r="K810" s="7586"/>
      <c r="L810" s="3542" t="s">
        <v>4986</v>
      </c>
      <c r="M810" s="386"/>
      <c r="N810" s="386"/>
      <c r="O810" s="386"/>
      <c r="P810" s="386"/>
      <c r="Q810" s="386"/>
    </row>
    <row r="811" spans="1:17" ht="30" customHeight="1" x14ac:dyDescent="0.2">
      <c r="A811" s="7656"/>
      <c r="B811" s="7665"/>
      <c r="C811" s="7747"/>
      <c r="D811" s="3483">
        <v>10000000</v>
      </c>
      <c r="E811" s="3523">
        <v>0.06</v>
      </c>
      <c r="F811" s="3683">
        <f t="shared" si="80"/>
        <v>600000</v>
      </c>
      <c r="G811" s="7586"/>
      <c r="H811" s="7586"/>
      <c r="I811" s="7586"/>
      <c r="J811" s="7586"/>
      <c r="K811" s="7586"/>
      <c r="L811" s="3542" t="s">
        <v>4988</v>
      </c>
      <c r="M811" s="386"/>
      <c r="N811" s="386"/>
      <c r="O811" s="386"/>
      <c r="P811" s="386"/>
      <c r="Q811" s="386"/>
    </row>
    <row r="812" spans="1:17" ht="30" customHeight="1" x14ac:dyDescent="0.2">
      <c r="A812" s="7656"/>
      <c r="B812" s="7665"/>
      <c r="C812" s="7747"/>
      <c r="D812" s="3483">
        <v>8000000</v>
      </c>
      <c r="E812" s="3523">
        <v>0.06</v>
      </c>
      <c r="F812" s="3683">
        <f t="shared" si="80"/>
        <v>480000</v>
      </c>
      <c r="G812" s="7586"/>
      <c r="H812" s="7586"/>
      <c r="I812" s="7586"/>
      <c r="J812" s="7586"/>
      <c r="K812" s="7586"/>
      <c r="L812" s="3542" t="s">
        <v>4987</v>
      </c>
      <c r="M812" s="386"/>
      <c r="N812" s="386"/>
      <c r="O812" s="386"/>
      <c r="P812" s="386"/>
      <c r="Q812" s="386"/>
    </row>
    <row r="813" spans="1:17" ht="30" customHeight="1" x14ac:dyDescent="0.2">
      <c r="A813" s="7656"/>
      <c r="B813" s="7665"/>
      <c r="C813" s="7747"/>
      <c r="D813" s="3709">
        <f>SUM(D806:D812)</f>
        <v>110120000</v>
      </c>
      <c r="E813" s="896">
        <v>0.06</v>
      </c>
      <c r="F813" s="3709">
        <f>SUM(F806:F812)</f>
        <v>6607200</v>
      </c>
      <c r="G813" s="7564"/>
      <c r="H813" s="7564"/>
      <c r="I813" s="7564"/>
      <c r="J813" s="7564"/>
      <c r="K813" s="7564"/>
      <c r="L813" s="3542" t="s">
        <v>5206</v>
      </c>
      <c r="M813" s="386"/>
      <c r="N813" s="386"/>
      <c r="O813" s="386"/>
      <c r="P813" s="386"/>
      <c r="Q813" s="386"/>
    </row>
    <row r="814" spans="1:17" ht="30" customHeight="1" x14ac:dyDescent="0.2">
      <c r="A814" s="7655"/>
      <c r="B814" s="7653"/>
      <c r="C814" s="7724"/>
      <c r="D814" s="4045">
        <v>40000000</v>
      </c>
      <c r="E814" s="4055"/>
      <c r="F814" s="4045"/>
      <c r="G814" s="4044"/>
      <c r="H814" s="4045"/>
      <c r="I814" s="4045"/>
      <c r="J814" s="4045"/>
      <c r="K814" s="4045"/>
      <c r="L814" s="4054" t="s">
        <v>5884</v>
      </c>
      <c r="M814" s="386"/>
      <c r="N814" s="386"/>
      <c r="O814" s="386"/>
      <c r="P814" s="386"/>
      <c r="Q814" s="386"/>
    </row>
    <row r="815" spans="1:17" ht="30" customHeight="1" x14ac:dyDescent="0.2">
      <c r="A815" s="7654"/>
      <c r="B815" s="7652" t="s">
        <v>2517</v>
      </c>
      <c r="C815" s="7723" t="s">
        <v>1080</v>
      </c>
      <c r="D815" s="3483">
        <v>134700000</v>
      </c>
      <c r="E815" s="3523">
        <v>0.05</v>
      </c>
      <c r="F815" s="3483">
        <f t="shared" si="80"/>
        <v>6735000</v>
      </c>
      <c r="G815" s="7563">
        <v>10000000</v>
      </c>
      <c r="H815" s="7482" t="s">
        <v>1527</v>
      </c>
      <c r="I815" s="7482" t="s">
        <v>5423</v>
      </c>
      <c r="J815" s="7482">
        <f>G815+G818</f>
        <v>12500000</v>
      </c>
      <c r="K815" s="7482">
        <f>F819-J815</f>
        <v>0</v>
      </c>
      <c r="L815" s="7811" t="s">
        <v>4736</v>
      </c>
      <c r="M815" s="386"/>
      <c r="N815" s="386"/>
      <c r="O815" s="386"/>
      <c r="P815" s="386"/>
      <c r="Q815" s="386"/>
    </row>
    <row r="816" spans="1:17" ht="30" customHeight="1" x14ac:dyDescent="0.2">
      <c r="A816" s="7656"/>
      <c r="B816" s="7665"/>
      <c r="C816" s="7747"/>
      <c r="D816" s="3483">
        <v>6735000</v>
      </c>
      <c r="E816" s="3523">
        <v>0.05</v>
      </c>
      <c r="F816" s="3483">
        <f t="shared" si="80"/>
        <v>336750</v>
      </c>
      <c r="G816" s="7586"/>
      <c r="H816" s="7482"/>
      <c r="I816" s="7482"/>
      <c r="J816" s="7482"/>
      <c r="K816" s="7482"/>
      <c r="L816" s="7812"/>
      <c r="M816" s="386"/>
      <c r="N816" s="386"/>
      <c r="O816" s="386"/>
      <c r="P816" s="386"/>
      <c r="Q816" s="386"/>
    </row>
    <row r="817" spans="1:17" ht="30" customHeight="1" x14ac:dyDescent="0.2">
      <c r="A817" s="7656"/>
      <c r="B817" s="7665"/>
      <c r="C817" s="7747"/>
      <c r="D817" s="3483">
        <v>100000000</v>
      </c>
      <c r="E817" s="3523">
        <v>0.05</v>
      </c>
      <c r="F817" s="3483">
        <f t="shared" si="80"/>
        <v>5000000</v>
      </c>
      <c r="G817" s="7564"/>
      <c r="H817" s="7482"/>
      <c r="I817" s="7482"/>
      <c r="J817" s="7482"/>
      <c r="K817" s="7482"/>
      <c r="L817" s="3542" t="s">
        <v>4830</v>
      </c>
      <c r="M817" s="386"/>
      <c r="N817" s="386"/>
      <c r="O817" s="386"/>
      <c r="P817" s="386"/>
      <c r="Q817" s="386"/>
    </row>
    <row r="818" spans="1:17" ht="30" customHeight="1" x14ac:dyDescent="0.2">
      <c r="A818" s="7656"/>
      <c r="B818" s="7665"/>
      <c r="C818" s="7747"/>
      <c r="D818" s="3483">
        <v>8565000</v>
      </c>
      <c r="E818" s="3523">
        <v>0.05</v>
      </c>
      <c r="F818" s="3483">
        <f t="shared" si="80"/>
        <v>428250</v>
      </c>
      <c r="G818" s="7563">
        <v>2500000</v>
      </c>
      <c r="H818" s="7482" t="s">
        <v>1527</v>
      </c>
      <c r="I818" s="7482" t="s">
        <v>5423</v>
      </c>
      <c r="J818" s="7482"/>
      <c r="K818" s="7482"/>
      <c r="L818" s="3542" t="s">
        <v>4794</v>
      </c>
      <c r="M818" s="386"/>
      <c r="N818" s="386"/>
      <c r="O818" s="386"/>
      <c r="P818" s="386"/>
      <c r="Q818" s="386"/>
    </row>
    <row r="819" spans="1:17" ht="30" customHeight="1" x14ac:dyDescent="0.2">
      <c r="A819" s="7656"/>
      <c r="B819" s="7665"/>
      <c r="C819" s="7747"/>
      <c r="D819" s="3583">
        <f>SUM(D815:D818)</f>
        <v>250000000</v>
      </c>
      <c r="E819" s="896">
        <v>0.05</v>
      </c>
      <c r="F819" s="3583">
        <f>D819*E819</f>
        <v>12500000</v>
      </c>
      <c r="G819" s="7564"/>
      <c r="H819" s="7482"/>
      <c r="I819" s="7482"/>
      <c r="J819" s="7482"/>
      <c r="K819" s="7482"/>
      <c r="L819" s="3542" t="s">
        <v>6779</v>
      </c>
      <c r="M819" s="386"/>
      <c r="N819" s="386"/>
      <c r="O819" s="386"/>
      <c r="P819" s="386"/>
      <c r="Q819" s="386"/>
    </row>
    <row r="820" spans="1:17" ht="30" customHeight="1" x14ac:dyDescent="0.2">
      <c r="A820" s="7656"/>
      <c r="B820" s="7665"/>
      <c r="C820" s="7747"/>
      <c r="D820" s="5108">
        <v>250000000</v>
      </c>
      <c r="E820" s="5116">
        <v>0.05</v>
      </c>
      <c r="F820" s="5108">
        <f>D820*E820</f>
        <v>12500000</v>
      </c>
      <c r="G820" s="7732" t="s">
        <v>6780</v>
      </c>
      <c r="H820" s="7733"/>
      <c r="I820" s="7733"/>
      <c r="J820" s="7734"/>
      <c r="K820" s="5109"/>
      <c r="L820" s="5119"/>
      <c r="M820" s="386"/>
      <c r="N820" s="386"/>
      <c r="O820" s="386"/>
      <c r="P820" s="386"/>
      <c r="Q820" s="386"/>
    </row>
    <row r="821" spans="1:17" ht="30" customHeight="1" x14ac:dyDescent="0.2">
      <c r="A821" s="7656"/>
      <c r="B821" s="7665"/>
      <c r="C821" s="7747"/>
      <c r="D821" s="5109">
        <v>12500000</v>
      </c>
      <c r="E821" s="5112">
        <v>0.05</v>
      </c>
      <c r="F821" s="5109">
        <f>D821*E821</f>
        <v>625000</v>
      </c>
      <c r="G821" s="7732" t="s">
        <v>6781</v>
      </c>
      <c r="H821" s="7733"/>
      <c r="I821" s="7733"/>
      <c r="J821" s="7734"/>
      <c r="K821" s="5109"/>
      <c r="L821" s="5119"/>
      <c r="M821" s="386"/>
      <c r="N821" s="386"/>
      <c r="O821" s="386"/>
      <c r="P821" s="386"/>
      <c r="Q821" s="386"/>
    </row>
    <row r="822" spans="1:17" ht="30" customHeight="1" x14ac:dyDescent="0.2">
      <c r="A822" s="7655"/>
      <c r="B822" s="7653"/>
      <c r="C822" s="7724"/>
      <c r="D822" s="5121">
        <f>D820+D821</f>
        <v>262500000</v>
      </c>
      <c r="E822" s="5123">
        <v>0.05</v>
      </c>
      <c r="F822" s="5121">
        <f>D822*E822</f>
        <v>13125000</v>
      </c>
      <c r="G822" s="7732" t="s">
        <v>6782</v>
      </c>
      <c r="H822" s="7733"/>
      <c r="I822" s="7733"/>
      <c r="J822" s="7734"/>
      <c r="K822" s="5109"/>
      <c r="L822" s="5119"/>
      <c r="M822" s="386"/>
      <c r="N822" s="386"/>
      <c r="O822" s="386"/>
      <c r="P822" s="386"/>
      <c r="Q822" s="386"/>
    </row>
    <row r="823" spans="1:17" ht="30" customHeight="1" x14ac:dyDescent="0.2">
      <c r="A823" s="7654"/>
      <c r="B823" s="7652" t="s">
        <v>2633</v>
      </c>
      <c r="C823" s="7723" t="s">
        <v>1172</v>
      </c>
      <c r="D823" s="7563">
        <v>60000000</v>
      </c>
      <c r="E823" s="7659">
        <v>0.05</v>
      </c>
      <c r="F823" s="7563">
        <f>D823*E823</f>
        <v>3000000</v>
      </c>
      <c r="G823" s="7563">
        <v>3000000</v>
      </c>
      <c r="H823" s="7563" t="s">
        <v>3977</v>
      </c>
      <c r="I823" s="7563" t="s">
        <v>5516</v>
      </c>
      <c r="J823" s="7563">
        <f>G823</f>
        <v>3000000</v>
      </c>
      <c r="K823" s="7563">
        <f>F823-J823</f>
        <v>0</v>
      </c>
      <c r="L823" s="1114" t="s">
        <v>5201</v>
      </c>
      <c r="M823" s="386"/>
      <c r="N823" s="386"/>
      <c r="O823" s="386"/>
      <c r="P823" s="386"/>
      <c r="Q823" s="386"/>
    </row>
    <row r="824" spans="1:17" ht="30" customHeight="1" x14ac:dyDescent="0.2">
      <c r="A824" s="7655"/>
      <c r="B824" s="7653"/>
      <c r="C824" s="7724"/>
      <c r="D824" s="7564"/>
      <c r="E824" s="7660"/>
      <c r="F824" s="7564"/>
      <c r="G824" s="7564"/>
      <c r="H824" s="7564"/>
      <c r="I824" s="7564"/>
      <c r="J824" s="7564"/>
      <c r="K824" s="7564"/>
      <c r="L824" s="3543" t="s">
        <v>5301</v>
      </c>
      <c r="M824" s="386"/>
      <c r="N824" s="386"/>
      <c r="O824" s="386"/>
      <c r="P824" s="386"/>
      <c r="Q824" s="386"/>
    </row>
    <row r="825" spans="1:17" ht="30" customHeight="1" x14ac:dyDescent="0.2">
      <c r="A825" s="7654"/>
      <c r="B825" s="7652" t="s">
        <v>4903</v>
      </c>
      <c r="C825" s="7723" t="s">
        <v>3390</v>
      </c>
      <c r="D825" s="7563">
        <v>30000000</v>
      </c>
      <c r="E825" s="7659">
        <v>0.05</v>
      </c>
      <c r="F825" s="7563">
        <f>D825*E825</f>
        <v>1500000</v>
      </c>
      <c r="G825" s="7563">
        <v>1500000</v>
      </c>
      <c r="H825" s="7563" t="s">
        <v>5849</v>
      </c>
      <c r="I825" s="7563" t="s">
        <v>5516</v>
      </c>
      <c r="J825" s="7563">
        <f>G825</f>
        <v>1500000</v>
      </c>
      <c r="K825" s="7563">
        <f>F825-J825</f>
        <v>0</v>
      </c>
      <c r="L825" s="3554" t="s">
        <v>5302</v>
      </c>
      <c r="M825" s="386"/>
      <c r="N825" s="386"/>
      <c r="O825" s="386"/>
      <c r="P825" s="386"/>
      <c r="Q825" s="386"/>
    </row>
    <row r="826" spans="1:17" ht="30" customHeight="1" x14ac:dyDescent="0.2">
      <c r="A826" s="7655"/>
      <c r="B826" s="7653"/>
      <c r="C826" s="7724"/>
      <c r="D826" s="7564"/>
      <c r="E826" s="7660"/>
      <c r="F826" s="7564"/>
      <c r="G826" s="7564"/>
      <c r="H826" s="7564"/>
      <c r="I826" s="7564"/>
      <c r="J826" s="7564"/>
      <c r="K826" s="7564"/>
      <c r="L826" s="3543" t="s">
        <v>5303</v>
      </c>
      <c r="M826" s="386"/>
      <c r="N826" s="386"/>
      <c r="O826" s="386"/>
      <c r="P826" s="386"/>
      <c r="Q826" s="386"/>
    </row>
    <row r="827" spans="1:17" ht="30" customHeight="1" x14ac:dyDescent="0.2">
      <c r="A827" s="7654"/>
      <c r="B827" s="7652" t="s">
        <v>2551</v>
      </c>
      <c r="C827" s="7723"/>
      <c r="D827" s="3483">
        <v>10000000</v>
      </c>
      <c r="E827" s="3523"/>
      <c r="F827" s="3483"/>
      <c r="G827" s="3483"/>
      <c r="H827" s="3483"/>
      <c r="I827" s="472"/>
      <c r="J827" s="3483"/>
      <c r="K827" s="3521"/>
      <c r="L827" s="3555"/>
      <c r="M827" s="386"/>
      <c r="N827" s="386"/>
      <c r="O827" s="386"/>
      <c r="P827" s="386"/>
      <c r="Q827" s="386"/>
    </row>
    <row r="828" spans="1:17" ht="30" customHeight="1" x14ac:dyDescent="0.2">
      <c r="A828" s="7655"/>
      <c r="B828" s="7653"/>
      <c r="C828" s="7724"/>
      <c r="D828" s="3483">
        <v>5000000</v>
      </c>
      <c r="E828" s="3523"/>
      <c r="F828" s="3483"/>
      <c r="G828" s="3483"/>
      <c r="H828" s="3483"/>
      <c r="I828" s="472"/>
      <c r="J828" s="3483"/>
      <c r="K828" s="3521"/>
      <c r="L828" s="3542"/>
      <c r="M828" s="386"/>
      <c r="N828" s="386"/>
      <c r="O828" s="386"/>
      <c r="P828" s="386"/>
      <c r="Q828" s="386"/>
    </row>
    <row r="829" spans="1:17" ht="30" customHeight="1" x14ac:dyDescent="0.2">
      <c r="A829" s="3492"/>
      <c r="B829" s="3491" t="s">
        <v>2573</v>
      </c>
      <c r="C829" s="3504" t="s">
        <v>1172</v>
      </c>
      <c r="D829" s="3483">
        <v>60000000</v>
      </c>
      <c r="E829" s="3489">
        <v>5.5E-2</v>
      </c>
      <c r="F829" s="3483">
        <f t="shared" ref="F829" si="81">D829*E829</f>
        <v>3300000</v>
      </c>
      <c r="G829" s="3483">
        <v>3300000</v>
      </c>
      <c r="H829" s="7563" t="s">
        <v>3977</v>
      </c>
      <c r="I829" s="7889" t="s">
        <v>3103</v>
      </c>
      <c r="J829" s="7563">
        <f>G829+G830+G831</f>
        <v>16450000</v>
      </c>
      <c r="K829" s="7816">
        <v>0</v>
      </c>
      <c r="L829" s="3785" t="s">
        <v>3522</v>
      </c>
      <c r="M829" s="386"/>
      <c r="N829" s="386"/>
      <c r="O829" s="386"/>
      <c r="P829" s="386"/>
      <c r="Q829" s="386"/>
    </row>
    <row r="830" spans="1:17" ht="30" customHeight="1" x14ac:dyDescent="0.2">
      <c r="A830" s="7654"/>
      <c r="B830" s="7652" t="s">
        <v>2714</v>
      </c>
      <c r="C830" s="7723" t="s">
        <v>262</v>
      </c>
      <c r="D830" s="7563">
        <v>186000000</v>
      </c>
      <c r="E830" s="7659">
        <v>5.5E-2</v>
      </c>
      <c r="F830" s="7563">
        <f>D830*E830</f>
        <v>10230000</v>
      </c>
      <c r="G830" s="3779">
        <v>500000</v>
      </c>
      <c r="H830" s="7586"/>
      <c r="I830" s="8036"/>
      <c r="J830" s="7586"/>
      <c r="K830" s="7882"/>
      <c r="L830" s="3800" t="s">
        <v>5518</v>
      </c>
      <c r="M830" s="386"/>
      <c r="N830" s="386"/>
      <c r="O830" s="386"/>
      <c r="P830" s="386"/>
      <c r="Q830" s="386"/>
    </row>
    <row r="831" spans="1:17" ht="30" customHeight="1" x14ac:dyDescent="0.2">
      <c r="A831" s="7656"/>
      <c r="B831" s="7665"/>
      <c r="C831" s="7747"/>
      <c r="D831" s="7586"/>
      <c r="E831" s="7676"/>
      <c r="F831" s="7586"/>
      <c r="G831" s="7564">
        <v>12650000</v>
      </c>
      <c r="H831" s="7586"/>
      <c r="I831" s="8036"/>
      <c r="J831" s="7586"/>
      <c r="K831" s="7882"/>
      <c r="L831" s="3800"/>
      <c r="M831" s="386"/>
      <c r="N831" s="386"/>
      <c r="O831" s="386"/>
      <c r="P831" s="386"/>
      <c r="Q831" s="386"/>
    </row>
    <row r="832" spans="1:17" ht="30" customHeight="1" x14ac:dyDescent="0.2">
      <c r="A832" s="7656"/>
      <c r="B832" s="7665"/>
      <c r="C832" s="7747"/>
      <c r="D832" s="7564"/>
      <c r="E832" s="7660"/>
      <c r="F832" s="7564"/>
      <c r="G832" s="7482"/>
      <c r="H832" s="7586"/>
      <c r="I832" s="8036"/>
      <c r="J832" s="7586"/>
      <c r="K832" s="7882"/>
      <c r="L832" s="3800"/>
      <c r="M832" s="386"/>
      <c r="N832" s="386"/>
      <c r="O832" s="386"/>
      <c r="P832" s="386"/>
      <c r="Q832" s="386"/>
    </row>
    <row r="833" spans="1:17" ht="30" customHeight="1" x14ac:dyDescent="0.2">
      <c r="A833" s="7656"/>
      <c r="B833" s="7665"/>
      <c r="C833" s="7747"/>
      <c r="D833" s="3483">
        <v>10000000</v>
      </c>
      <c r="E833" s="3489">
        <v>5.5E-2</v>
      </c>
      <c r="F833" s="3483">
        <f t="shared" ref="F833:F839" si="82">D833*E833</f>
        <v>550000</v>
      </c>
      <c r="G833" s="7482"/>
      <c r="H833" s="7586"/>
      <c r="I833" s="8036"/>
      <c r="J833" s="7586"/>
      <c r="K833" s="7882"/>
      <c r="L833" s="3800"/>
      <c r="M833" s="386"/>
      <c r="N833" s="386"/>
      <c r="O833" s="386"/>
      <c r="P833" s="386"/>
      <c r="Q833" s="386"/>
    </row>
    <row r="834" spans="1:17" ht="30" customHeight="1" x14ac:dyDescent="0.2">
      <c r="A834" s="7656"/>
      <c r="B834" s="7665"/>
      <c r="C834" s="7747"/>
      <c r="D834" s="3483">
        <v>4000000</v>
      </c>
      <c r="E834" s="3489">
        <v>5.5E-2</v>
      </c>
      <c r="F834" s="3483">
        <f t="shared" si="82"/>
        <v>220000</v>
      </c>
      <c r="G834" s="7482"/>
      <c r="H834" s="7586"/>
      <c r="I834" s="8036"/>
      <c r="J834" s="7586"/>
      <c r="K834" s="7882"/>
      <c r="L834" s="3800"/>
      <c r="M834" s="386"/>
      <c r="N834" s="386"/>
      <c r="O834" s="386"/>
      <c r="P834" s="386"/>
      <c r="Q834" s="386"/>
    </row>
    <row r="835" spans="1:17" ht="30" customHeight="1" x14ac:dyDescent="0.2">
      <c r="A835" s="7656"/>
      <c r="B835" s="7665"/>
      <c r="C835" s="7747"/>
      <c r="D835" s="3570">
        <v>200000000</v>
      </c>
      <c r="E835" s="3572">
        <v>5.5E-2</v>
      </c>
      <c r="F835" s="3570">
        <f t="shared" si="82"/>
        <v>11000000</v>
      </c>
      <c r="G835" s="7482"/>
      <c r="H835" s="7586"/>
      <c r="I835" s="8036"/>
      <c r="J835" s="7586"/>
      <c r="K835" s="7882"/>
      <c r="L835" s="3800"/>
      <c r="M835" s="386"/>
      <c r="N835" s="386"/>
      <c r="O835" s="386"/>
      <c r="P835" s="386"/>
      <c r="Q835" s="386"/>
    </row>
    <row r="836" spans="1:17" ht="30" customHeight="1" x14ac:dyDescent="0.2">
      <c r="A836" s="7656"/>
      <c r="B836" s="7665"/>
      <c r="C836" s="7747"/>
      <c r="D836" s="3483">
        <v>19000000</v>
      </c>
      <c r="E836" s="3489">
        <v>5.5E-2</v>
      </c>
      <c r="F836" s="3483">
        <f t="shared" si="82"/>
        <v>1045000</v>
      </c>
      <c r="G836" s="7482"/>
      <c r="H836" s="7586"/>
      <c r="I836" s="8036"/>
      <c r="J836" s="7586"/>
      <c r="K836" s="7882"/>
      <c r="L836" s="3800"/>
      <c r="M836" s="386"/>
      <c r="N836" s="386"/>
      <c r="O836" s="386"/>
      <c r="P836" s="386"/>
      <c r="Q836" s="386"/>
    </row>
    <row r="837" spans="1:17" ht="30" customHeight="1" x14ac:dyDescent="0.2">
      <c r="A837" s="7656"/>
      <c r="B837" s="7665"/>
      <c r="C837" s="7747"/>
      <c r="D837" s="3483">
        <v>9000000</v>
      </c>
      <c r="E837" s="3489">
        <v>5.5E-2</v>
      </c>
      <c r="F837" s="3483">
        <f t="shared" si="82"/>
        <v>495000</v>
      </c>
      <c r="G837" s="7482"/>
      <c r="H837" s="7586"/>
      <c r="I837" s="8036"/>
      <c r="J837" s="7586"/>
      <c r="K837" s="7882"/>
      <c r="L837" s="3800"/>
      <c r="M837" s="386"/>
      <c r="N837" s="386"/>
      <c r="O837" s="386"/>
      <c r="P837" s="386"/>
      <c r="Q837" s="386"/>
    </row>
    <row r="838" spans="1:17" ht="30" customHeight="1" x14ac:dyDescent="0.2">
      <c r="A838" s="7656"/>
      <c r="B838" s="7665"/>
      <c r="C838" s="7747"/>
      <c r="D838" s="3483">
        <v>2000000</v>
      </c>
      <c r="E838" s="3489">
        <v>5.5E-2</v>
      </c>
      <c r="F838" s="3483">
        <f t="shared" si="82"/>
        <v>110000</v>
      </c>
      <c r="G838" s="7482"/>
      <c r="H838" s="7586"/>
      <c r="I838" s="8036"/>
      <c r="J838" s="7586"/>
      <c r="K838" s="7882"/>
      <c r="L838" s="3800"/>
      <c r="M838" s="386"/>
      <c r="N838" s="386"/>
      <c r="O838" s="386"/>
      <c r="P838" s="386"/>
      <c r="Q838" s="386"/>
    </row>
    <row r="839" spans="1:17" ht="30" customHeight="1" x14ac:dyDescent="0.2">
      <c r="A839" s="7656"/>
      <c r="B839" s="7665"/>
      <c r="C839" s="7747"/>
      <c r="D839" s="8246">
        <f>D835+D836+D837+D838</f>
        <v>230000000</v>
      </c>
      <c r="E839" s="8244">
        <v>5.5E-2</v>
      </c>
      <c r="F839" s="8246">
        <f t="shared" si="82"/>
        <v>12650000</v>
      </c>
      <c r="G839" s="7482"/>
      <c r="H839" s="7586"/>
      <c r="I839" s="8036"/>
      <c r="J839" s="7586"/>
      <c r="K839" s="7882"/>
      <c r="L839" s="3800"/>
      <c r="M839" s="386"/>
      <c r="N839" s="386"/>
      <c r="O839" s="386"/>
      <c r="P839" s="386"/>
      <c r="Q839" s="386"/>
    </row>
    <row r="840" spans="1:17" ht="30" customHeight="1" x14ac:dyDescent="0.2">
      <c r="A840" s="7655"/>
      <c r="B840" s="7653"/>
      <c r="C840" s="7724"/>
      <c r="D840" s="8247"/>
      <c r="E840" s="8245"/>
      <c r="F840" s="8247"/>
      <c r="G840" s="7482"/>
      <c r="H840" s="7564"/>
      <c r="I840" s="7890"/>
      <c r="J840" s="7564"/>
      <c r="K840" s="7817"/>
      <c r="L840" s="3786"/>
      <c r="M840" s="386"/>
      <c r="N840" s="386"/>
      <c r="O840" s="386"/>
      <c r="P840" s="386"/>
      <c r="Q840" s="386"/>
    </row>
    <row r="841" spans="1:17" ht="30" customHeight="1" x14ac:dyDescent="0.2">
      <c r="A841" s="3487"/>
      <c r="B841" s="3491" t="s">
        <v>2609</v>
      </c>
      <c r="C841" s="3504"/>
      <c r="D841" s="3501"/>
      <c r="E841" s="2519"/>
      <c r="F841" s="3501"/>
      <c r="G841" s="3483">
        <v>1500000</v>
      </c>
      <c r="H841" s="3483" t="s">
        <v>1879</v>
      </c>
      <c r="I841" s="472" t="s">
        <v>5572</v>
      </c>
      <c r="J841" s="3483">
        <f>G841</f>
        <v>1500000</v>
      </c>
      <c r="K841" s="3522">
        <f>F841-J841</f>
        <v>-1500000</v>
      </c>
      <c r="L841" s="3555"/>
      <c r="M841" s="386"/>
      <c r="N841" s="386"/>
      <c r="O841" s="386"/>
      <c r="P841" s="386"/>
      <c r="Q841" s="386"/>
    </row>
    <row r="842" spans="1:17" ht="30" customHeight="1" x14ac:dyDescent="0.2">
      <c r="A842" s="7654"/>
      <c r="B842" s="7652" t="s">
        <v>3818</v>
      </c>
      <c r="C842" s="7723" t="s">
        <v>5649</v>
      </c>
      <c r="D842" s="3553">
        <v>4215000000</v>
      </c>
      <c r="E842" s="3242">
        <v>0.05</v>
      </c>
      <c r="F842" s="3553">
        <f>D842*E842</f>
        <v>210750000</v>
      </c>
      <c r="G842" s="7991" t="s">
        <v>5146</v>
      </c>
      <c r="H842" s="7992"/>
      <c r="I842" s="7992"/>
      <c r="J842" s="7993"/>
      <c r="K842" s="8238">
        <f>SUM(F842:F844)</f>
        <v>577850000</v>
      </c>
      <c r="L842" s="3542"/>
      <c r="M842" s="386"/>
      <c r="N842" s="386"/>
      <c r="O842" s="386"/>
      <c r="P842" s="386"/>
      <c r="Q842" s="386"/>
    </row>
    <row r="843" spans="1:17" ht="30" customHeight="1" x14ac:dyDescent="0.2">
      <c r="A843" s="7656"/>
      <c r="B843" s="7665"/>
      <c r="C843" s="7747"/>
      <c r="D843" s="3553">
        <v>2000000000</v>
      </c>
      <c r="E843" s="3242">
        <v>7.0000000000000007E-2</v>
      </c>
      <c r="F843" s="3553">
        <f t="shared" ref="F843:F847" si="83">D843*E843</f>
        <v>140000000</v>
      </c>
      <c r="G843" s="7994"/>
      <c r="H843" s="7995"/>
      <c r="I843" s="7995"/>
      <c r="J843" s="7996"/>
      <c r="K843" s="8239"/>
      <c r="L843" s="898"/>
      <c r="M843" s="386"/>
      <c r="N843" s="386"/>
      <c r="O843" s="386"/>
      <c r="P843" s="386"/>
      <c r="Q843" s="386"/>
    </row>
    <row r="844" spans="1:17" ht="30" customHeight="1" x14ac:dyDescent="0.2">
      <c r="A844" s="7656"/>
      <c r="B844" s="7665"/>
      <c r="C844" s="7747"/>
      <c r="D844" s="3553">
        <v>3785000000</v>
      </c>
      <c r="E844" s="3242">
        <v>0.06</v>
      </c>
      <c r="F844" s="3553">
        <f t="shared" si="83"/>
        <v>227100000</v>
      </c>
      <c r="G844" s="7997"/>
      <c r="H844" s="7998"/>
      <c r="I844" s="7998"/>
      <c r="J844" s="7999"/>
      <c r="K844" s="8240"/>
      <c r="L844" s="3543"/>
      <c r="M844" s="386"/>
      <c r="N844" s="386"/>
      <c r="O844" s="386"/>
      <c r="P844" s="386"/>
      <c r="Q844" s="386"/>
    </row>
    <row r="845" spans="1:17" ht="30" customHeight="1" x14ac:dyDescent="0.2">
      <c r="A845" s="7656"/>
      <c r="B845" s="7665"/>
      <c r="C845" s="7747"/>
      <c r="D845" s="3237">
        <v>2915000000</v>
      </c>
      <c r="E845" s="3243">
        <v>0.08</v>
      </c>
      <c r="F845" s="3237">
        <f t="shared" si="83"/>
        <v>233200000</v>
      </c>
      <c r="G845" s="7991" t="s">
        <v>5147</v>
      </c>
      <c r="H845" s="7992"/>
      <c r="I845" s="7992"/>
      <c r="J845" s="7993"/>
      <c r="K845" s="8261">
        <f>F845+F846+F847</f>
        <v>362400000</v>
      </c>
      <c r="L845" s="3543"/>
      <c r="M845" s="386"/>
      <c r="N845" s="386"/>
      <c r="O845" s="386"/>
      <c r="P845" s="386"/>
      <c r="Q845" s="386"/>
    </row>
    <row r="846" spans="1:17" ht="30" customHeight="1" x14ac:dyDescent="0.2">
      <c r="A846" s="7656"/>
      <c r="B846" s="7665"/>
      <c r="C846" s="7747"/>
      <c r="D846" s="3237">
        <v>690000000</v>
      </c>
      <c r="E846" s="3243">
        <v>0.08</v>
      </c>
      <c r="F846" s="3237">
        <f t="shared" si="83"/>
        <v>55200000</v>
      </c>
      <c r="G846" s="7994"/>
      <c r="H846" s="7995"/>
      <c r="I846" s="7995"/>
      <c r="J846" s="7996"/>
      <c r="K846" s="8262"/>
      <c r="L846" s="3543"/>
      <c r="M846" s="386"/>
      <c r="N846" s="386"/>
      <c r="O846" s="386"/>
      <c r="P846" s="386"/>
      <c r="Q846" s="386"/>
    </row>
    <row r="847" spans="1:17" ht="30" customHeight="1" x14ac:dyDescent="0.2">
      <c r="A847" s="7656"/>
      <c r="B847" s="7665"/>
      <c r="C847" s="7747"/>
      <c r="D847" s="3238">
        <v>925000000</v>
      </c>
      <c r="E847" s="3243">
        <v>0.08</v>
      </c>
      <c r="F847" s="3238">
        <f t="shared" si="83"/>
        <v>74000000</v>
      </c>
      <c r="G847" s="7997"/>
      <c r="H847" s="7998"/>
      <c r="I847" s="7998"/>
      <c r="J847" s="7999"/>
      <c r="K847" s="8263"/>
      <c r="L847" s="3521"/>
      <c r="M847" s="386"/>
      <c r="N847" s="386"/>
      <c r="O847" s="386"/>
      <c r="P847" s="386"/>
      <c r="Q847" s="386"/>
    </row>
    <row r="848" spans="1:17" ht="30" customHeight="1" x14ac:dyDescent="0.2">
      <c r="A848" s="7656"/>
      <c r="B848" s="7665"/>
      <c r="C848" s="7747"/>
      <c r="D848" s="8004">
        <f>SUM(D842:D847)</f>
        <v>14530000000</v>
      </c>
      <c r="E848" s="8005"/>
      <c r="F848" s="3568">
        <f>SUM(F842:F847)</f>
        <v>940250000</v>
      </c>
      <c r="G848" s="7991" t="s">
        <v>5140</v>
      </c>
      <c r="H848" s="7992"/>
      <c r="I848" s="7992"/>
      <c r="J848" s="7993"/>
      <c r="K848" s="7816"/>
      <c r="L848" s="3521"/>
      <c r="M848" s="386"/>
      <c r="N848" s="386"/>
      <c r="O848" s="386"/>
      <c r="P848" s="386"/>
      <c r="Q848" s="386"/>
    </row>
    <row r="849" spans="1:17" ht="30" customHeight="1" x14ac:dyDescent="0.2">
      <c r="A849" s="7656"/>
      <c r="B849" s="7665"/>
      <c r="C849" s="7747"/>
      <c r="D849" s="8004" t="s">
        <v>5141</v>
      </c>
      <c r="E849" s="8005"/>
      <c r="F849" s="3307">
        <v>1600000</v>
      </c>
      <c r="G849" s="7994"/>
      <c r="H849" s="7995"/>
      <c r="I849" s="7995"/>
      <c r="J849" s="7996"/>
      <c r="K849" s="7882"/>
      <c r="L849" s="3521"/>
      <c r="M849" s="386"/>
      <c r="N849" s="386"/>
      <c r="O849" s="386"/>
      <c r="P849" s="386"/>
      <c r="Q849" s="386"/>
    </row>
    <row r="850" spans="1:17" ht="30" customHeight="1" x14ac:dyDescent="0.2">
      <c r="A850" s="7656"/>
      <c r="B850" s="7665"/>
      <c r="C850" s="7747"/>
      <c r="D850" s="8004" t="s">
        <v>5142</v>
      </c>
      <c r="E850" s="8005"/>
      <c r="F850" s="3307">
        <v>1300000</v>
      </c>
      <c r="G850" s="7994"/>
      <c r="H850" s="7995"/>
      <c r="I850" s="7995"/>
      <c r="J850" s="7996"/>
      <c r="K850" s="7882"/>
      <c r="L850" s="3521"/>
      <c r="M850" s="386"/>
      <c r="N850" s="386"/>
      <c r="O850" s="386"/>
      <c r="P850" s="386"/>
      <c r="Q850" s="386"/>
    </row>
    <row r="851" spans="1:17" ht="30" customHeight="1" x14ac:dyDescent="0.2">
      <c r="A851" s="7656"/>
      <c r="B851" s="7665"/>
      <c r="C851" s="7747"/>
      <c r="D851" s="8004" t="s">
        <v>5143</v>
      </c>
      <c r="E851" s="8005"/>
      <c r="F851" s="3568">
        <f>SUM(F848:F850)</f>
        <v>943150000</v>
      </c>
      <c r="G851" s="7994"/>
      <c r="H851" s="7995"/>
      <c r="I851" s="7995"/>
      <c r="J851" s="7996"/>
      <c r="K851" s="7882"/>
      <c r="L851" s="3521"/>
      <c r="M851" s="386"/>
      <c r="N851" s="386"/>
      <c r="O851" s="386"/>
      <c r="P851" s="386"/>
      <c r="Q851" s="386"/>
    </row>
    <row r="852" spans="1:17" ht="30" customHeight="1" x14ac:dyDescent="0.2">
      <c r="A852" s="7656"/>
      <c r="B852" s="7665"/>
      <c r="C852" s="7747"/>
      <c r="D852" s="8004" t="s">
        <v>5167</v>
      </c>
      <c r="E852" s="8005"/>
      <c r="F852" s="3568">
        <v>6850000</v>
      </c>
      <c r="G852" s="7994"/>
      <c r="H852" s="7995"/>
      <c r="I852" s="7995"/>
      <c r="J852" s="7996"/>
      <c r="K852" s="7882"/>
      <c r="L852" s="3543" t="s">
        <v>5169</v>
      </c>
      <c r="M852" s="386"/>
      <c r="N852" s="386"/>
      <c r="O852" s="386"/>
      <c r="P852" s="386"/>
      <c r="Q852" s="386"/>
    </row>
    <row r="853" spans="1:17" ht="30" customHeight="1" x14ac:dyDescent="0.2">
      <c r="A853" s="7656"/>
      <c r="B853" s="7665"/>
      <c r="C853" s="7747"/>
      <c r="D853" s="8004" t="s">
        <v>5168</v>
      </c>
      <c r="E853" s="8005"/>
      <c r="F853" s="3568">
        <f>F851+F852</f>
        <v>950000000</v>
      </c>
      <c r="G853" s="7997"/>
      <c r="H853" s="7998"/>
      <c r="I853" s="7998"/>
      <c r="J853" s="7999"/>
      <c r="K853" s="7817"/>
      <c r="L853" s="3521"/>
      <c r="M853" s="386"/>
      <c r="N853" s="386"/>
      <c r="O853" s="386"/>
      <c r="P853" s="386"/>
      <c r="Q853" s="386"/>
    </row>
    <row r="854" spans="1:17" ht="30" customHeight="1" x14ac:dyDescent="0.2">
      <c r="A854" s="7656"/>
      <c r="B854" s="7665"/>
      <c r="C854" s="7747"/>
      <c r="D854" s="744">
        <v>850000000</v>
      </c>
      <c r="E854" s="3241">
        <v>0.08</v>
      </c>
      <c r="F854" s="744">
        <f>D854*E854</f>
        <v>68000000</v>
      </c>
      <c r="G854" s="7470" t="s">
        <v>5172</v>
      </c>
      <c r="H854" s="7493"/>
      <c r="I854" s="7493"/>
      <c r="J854" s="7510"/>
      <c r="K854" s="3521"/>
      <c r="L854" s="3543" t="s">
        <v>5145</v>
      </c>
      <c r="M854" s="386"/>
      <c r="N854" s="386"/>
      <c r="O854" s="386"/>
      <c r="P854" s="386"/>
      <c r="Q854" s="386"/>
    </row>
    <row r="855" spans="1:17" ht="30" customHeight="1" x14ac:dyDescent="0.2">
      <c r="A855" s="7656"/>
      <c r="B855" s="7665"/>
      <c r="C855" s="7747"/>
      <c r="D855" s="8212">
        <f>D848+D854</f>
        <v>15380000000</v>
      </c>
      <c r="E855" s="8213"/>
      <c r="F855" s="3244">
        <f>F848+F854</f>
        <v>1008250000</v>
      </c>
      <c r="G855" s="3876">
        <v>100000000</v>
      </c>
      <c r="H855" s="3876" t="s">
        <v>5340</v>
      </c>
      <c r="I855" s="3876" t="s">
        <v>2686</v>
      </c>
      <c r="J855" s="3876">
        <f>G855</f>
        <v>100000000</v>
      </c>
      <c r="K855" s="7816">
        <f>1010250000-140000000-100000000</f>
        <v>770250000</v>
      </c>
      <c r="L855" s="7811" t="s">
        <v>5650</v>
      </c>
      <c r="M855" s="386"/>
      <c r="N855" s="386"/>
      <c r="O855" s="386"/>
      <c r="P855" s="386"/>
      <c r="Q855" s="386"/>
    </row>
    <row r="856" spans="1:17" ht="30" customHeight="1" x14ac:dyDescent="0.2">
      <c r="A856" s="7656"/>
      <c r="B856" s="7665"/>
      <c r="C856" s="7747"/>
      <c r="D856" s="3244">
        <v>50000000</v>
      </c>
      <c r="E856" s="3241">
        <v>0.08</v>
      </c>
      <c r="F856" s="3244">
        <f>D856*E856</f>
        <v>4000000</v>
      </c>
      <c r="G856" s="3871">
        <v>100000000</v>
      </c>
      <c r="H856" s="3871" t="s">
        <v>5358</v>
      </c>
      <c r="I856" s="3871" t="s">
        <v>2686</v>
      </c>
      <c r="J856" s="3871">
        <f>G856</f>
        <v>100000000</v>
      </c>
      <c r="K856" s="7817"/>
      <c r="L856" s="7812"/>
      <c r="M856" s="386"/>
      <c r="N856" s="386"/>
      <c r="O856" s="386"/>
      <c r="P856" s="386"/>
      <c r="Q856" s="386"/>
    </row>
    <row r="857" spans="1:17" ht="30" customHeight="1" x14ac:dyDescent="0.2">
      <c r="A857" s="7656"/>
      <c r="B857" s="7665"/>
      <c r="C857" s="7747"/>
      <c r="D857" s="8212">
        <f>D855+D856</f>
        <v>15430000000</v>
      </c>
      <c r="E857" s="8213"/>
      <c r="F857" s="3244">
        <f>F855+F856</f>
        <v>1012250000</v>
      </c>
      <c r="G857" s="7494" t="s">
        <v>5648</v>
      </c>
      <c r="H857" s="7495"/>
      <c r="I857" s="7495"/>
      <c r="J857" s="7768"/>
      <c r="K857" s="3521"/>
      <c r="L857" s="3521"/>
      <c r="M857" s="386"/>
      <c r="N857" s="386"/>
      <c r="O857" s="386"/>
      <c r="P857" s="386"/>
      <c r="Q857" s="386"/>
    </row>
    <row r="858" spans="1:17" ht="30" customHeight="1" x14ac:dyDescent="0.2">
      <c r="A858" s="7656"/>
      <c r="B858" s="7665"/>
      <c r="C858" s="7747"/>
      <c r="D858" s="3914">
        <v>820000000</v>
      </c>
      <c r="E858" s="3913">
        <v>0.08</v>
      </c>
      <c r="F858" s="3914">
        <f>D858*E858</f>
        <v>65600000</v>
      </c>
      <c r="G858" s="7732" t="s">
        <v>5646</v>
      </c>
      <c r="H858" s="7733"/>
      <c r="I858" s="7733"/>
      <c r="J858" s="7734"/>
      <c r="K858" s="7816"/>
      <c r="L858" s="387" t="s">
        <v>5645</v>
      </c>
      <c r="M858" s="386"/>
      <c r="N858" s="386"/>
      <c r="O858" s="386"/>
      <c r="P858" s="386"/>
      <c r="Q858" s="386"/>
    </row>
    <row r="859" spans="1:17" ht="30" customHeight="1" x14ac:dyDescent="0.2">
      <c r="A859" s="7656"/>
      <c r="B859" s="7665"/>
      <c r="C859" s="7747"/>
      <c r="D859" s="8335">
        <f>D857+D858</f>
        <v>16250000000</v>
      </c>
      <c r="E859" s="8336"/>
      <c r="F859" s="8339">
        <f>F857+F858</f>
        <v>1077850000</v>
      </c>
      <c r="G859" s="7732" t="s">
        <v>5647</v>
      </c>
      <c r="H859" s="7733"/>
      <c r="I859" s="7733"/>
      <c r="J859" s="7734"/>
      <c r="K859" s="7882"/>
      <c r="L859" s="387"/>
      <c r="M859" s="386"/>
      <c r="N859" s="386"/>
      <c r="O859" s="386"/>
      <c r="P859" s="386"/>
      <c r="Q859" s="386"/>
    </row>
    <row r="860" spans="1:17" ht="30" customHeight="1" x14ac:dyDescent="0.2">
      <c r="A860" s="7656"/>
      <c r="B860" s="7665"/>
      <c r="C860" s="7747"/>
      <c r="D860" s="8337"/>
      <c r="E860" s="8338"/>
      <c r="F860" s="8340"/>
      <c r="G860" s="7732" t="s">
        <v>5651</v>
      </c>
      <c r="H860" s="7733"/>
      <c r="I860" s="7733"/>
      <c r="J860" s="7734"/>
      <c r="K860" s="7817"/>
      <c r="L860" s="3893" t="s">
        <v>4906</v>
      </c>
      <c r="M860" s="386"/>
      <c r="N860" s="386"/>
      <c r="O860" s="386"/>
      <c r="P860" s="386"/>
      <c r="Q860" s="386"/>
    </row>
    <row r="861" spans="1:17" ht="30" customHeight="1" x14ac:dyDescent="0.2">
      <c r="A861" s="7655"/>
      <c r="B861" s="7653"/>
      <c r="C861" s="7724"/>
      <c r="D861" s="3871"/>
      <c r="E861" s="3891"/>
      <c r="F861" s="3875"/>
      <c r="G861" s="3880"/>
      <c r="H861" s="3881"/>
      <c r="I861" s="3881"/>
      <c r="J861" s="3882"/>
      <c r="K861" s="3888"/>
      <c r="L861" s="3887"/>
      <c r="M861" s="386"/>
      <c r="N861" s="386"/>
      <c r="O861" s="386"/>
      <c r="P861" s="386"/>
      <c r="Q861" s="386"/>
    </row>
    <row r="862" spans="1:17" ht="30" customHeight="1" x14ac:dyDescent="0.2">
      <c r="A862" s="3526"/>
      <c r="B862" s="3527" t="s">
        <v>2622</v>
      </c>
      <c r="C862" s="3529"/>
      <c r="D862" s="3513">
        <v>160000000</v>
      </c>
      <c r="E862" s="3523">
        <v>0.05</v>
      </c>
      <c r="F862" s="3513">
        <f t="shared" ref="F862:F872" si="84">D862*E862</f>
        <v>8000000</v>
      </c>
      <c r="G862" s="3513">
        <v>8000000</v>
      </c>
      <c r="H862" s="3513" t="s">
        <v>3977</v>
      </c>
      <c r="I862" s="2694" t="s">
        <v>4364</v>
      </c>
      <c r="J862" s="3513">
        <f>G862</f>
        <v>8000000</v>
      </c>
      <c r="K862" s="3478">
        <f>F862-J862</f>
        <v>0</v>
      </c>
      <c r="L862" s="3555"/>
      <c r="M862" s="386"/>
      <c r="N862" s="386"/>
      <c r="O862" s="386"/>
      <c r="P862" s="386"/>
      <c r="Q862" s="386"/>
    </row>
    <row r="863" spans="1:17" ht="30" customHeight="1" x14ac:dyDescent="0.2">
      <c r="A863" s="3526"/>
      <c r="B863" s="3527" t="s">
        <v>2639</v>
      </c>
      <c r="C863" s="3504" t="s">
        <v>1172</v>
      </c>
      <c r="D863" s="3483">
        <v>80000000</v>
      </c>
      <c r="E863" s="3523">
        <v>0.05</v>
      </c>
      <c r="F863" s="3483">
        <f t="shared" si="84"/>
        <v>4000000</v>
      </c>
      <c r="G863" s="3483">
        <v>4000000</v>
      </c>
      <c r="H863" s="3483" t="s">
        <v>2019</v>
      </c>
      <c r="I863" s="472" t="s">
        <v>4020</v>
      </c>
      <c r="J863" s="3483">
        <f t="shared" ref="J863:J886" si="85">G863</f>
        <v>4000000</v>
      </c>
      <c r="K863" s="3521">
        <f t="shared" ref="K863:K887" si="86">F863-J863</f>
        <v>0</v>
      </c>
      <c r="L863" s="3555"/>
      <c r="M863" s="386"/>
      <c r="N863" s="386"/>
      <c r="O863" s="386"/>
      <c r="P863" s="386"/>
      <c r="Q863" s="386"/>
    </row>
    <row r="864" spans="1:17" ht="30" customHeight="1" x14ac:dyDescent="0.2">
      <c r="A864" s="3526"/>
      <c r="B864" s="3527" t="s">
        <v>4021</v>
      </c>
      <c r="C864" s="3504" t="s">
        <v>1172</v>
      </c>
      <c r="D864" s="3483">
        <v>100000000</v>
      </c>
      <c r="E864" s="3523">
        <v>0.05</v>
      </c>
      <c r="F864" s="3483">
        <f t="shared" si="84"/>
        <v>5000000</v>
      </c>
      <c r="G864" s="3483">
        <v>5000000</v>
      </c>
      <c r="H864" s="3483" t="s">
        <v>2019</v>
      </c>
      <c r="I864" s="472" t="s">
        <v>4063</v>
      </c>
      <c r="J864" s="3483">
        <f>G864</f>
        <v>5000000</v>
      </c>
      <c r="K864" s="3521">
        <f>F864-J864</f>
        <v>0</v>
      </c>
      <c r="L864" s="3555"/>
      <c r="M864" s="386"/>
      <c r="N864" s="386"/>
      <c r="O864" s="386"/>
      <c r="P864" s="386"/>
      <c r="Q864" s="386"/>
    </row>
    <row r="865" spans="1:17" ht="30" customHeight="1" x14ac:dyDescent="0.2">
      <c r="A865" s="7654"/>
      <c r="B865" s="7652" t="s">
        <v>3997</v>
      </c>
      <c r="C865" s="7723" t="s">
        <v>1652</v>
      </c>
      <c r="D865" s="7563">
        <v>25000000</v>
      </c>
      <c r="E865" s="7659">
        <v>0.04</v>
      </c>
      <c r="F865" s="7563">
        <f t="shared" si="84"/>
        <v>1000000</v>
      </c>
      <c r="G865" s="3513">
        <v>100000</v>
      </c>
      <c r="H865" s="3513" t="s">
        <v>1649</v>
      </c>
      <c r="I865" s="2694" t="s">
        <v>2651</v>
      </c>
      <c r="J865" s="7563">
        <f>G865+G866</f>
        <v>1000000</v>
      </c>
      <c r="K865" s="7816">
        <f t="shared" si="86"/>
        <v>0</v>
      </c>
      <c r="L865" s="3555"/>
      <c r="M865" s="386"/>
      <c r="N865" s="386"/>
      <c r="O865" s="386"/>
      <c r="P865" s="386"/>
      <c r="Q865" s="386"/>
    </row>
    <row r="866" spans="1:17" ht="30" customHeight="1" x14ac:dyDescent="0.2">
      <c r="A866" s="7655"/>
      <c r="B866" s="7653"/>
      <c r="C866" s="7724"/>
      <c r="D866" s="7564"/>
      <c r="E866" s="7660"/>
      <c r="F866" s="7564"/>
      <c r="G866" s="3696">
        <v>900000</v>
      </c>
      <c r="H866" s="3696">
        <v>900000</v>
      </c>
      <c r="I866" s="2694" t="s">
        <v>2019</v>
      </c>
      <c r="J866" s="7564"/>
      <c r="K866" s="7817"/>
      <c r="L866" s="3705"/>
      <c r="M866" s="386"/>
      <c r="N866" s="386"/>
      <c r="O866" s="386"/>
      <c r="P866" s="386"/>
      <c r="Q866" s="386"/>
    </row>
    <row r="867" spans="1:17" ht="30" customHeight="1" x14ac:dyDescent="0.2">
      <c r="A867" s="7654"/>
      <c r="B867" s="7661" t="s">
        <v>2692</v>
      </c>
      <c r="C867" s="7723" t="s">
        <v>371</v>
      </c>
      <c r="D867" s="3513">
        <v>200000000</v>
      </c>
      <c r="E867" s="3523">
        <v>7.0000000000000007E-2</v>
      </c>
      <c r="F867" s="3580">
        <f t="shared" si="84"/>
        <v>14000000.000000002</v>
      </c>
      <c r="G867" s="8092"/>
      <c r="H867" s="8093"/>
      <c r="I867" s="8093"/>
      <c r="J867" s="8094"/>
      <c r="K867" s="387"/>
      <c r="L867" s="3555"/>
      <c r="M867" s="386"/>
      <c r="N867" s="386"/>
      <c r="O867" s="386"/>
      <c r="P867" s="386"/>
      <c r="Q867" s="386"/>
    </row>
    <row r="868" spans="1:17" ht="30" customHeight="1" x14ac:dyDescent="0.2">
      <c r="A868" s="7656"/>
      <c r="B868" s="7662"/>
      <c r="C868" s="7747"/>
      <c r="D868" s="3481">
        <v>14000000</v>
      </c>
      <c r="E868" s="3523">
        <v>7.0000000000000007E-2</v>
      </c>
      <c r="F868" s="3580">
        <f t="shared" si="84"/>
        <v>980000.00000000012</v>
      </c>
      <c r="G868" s="8092" t="s">
        <v>4284</v>
      </c>
      <c r="H868" s="8093"/>
      <c r="I868" s="8093"/>
      <c r="J868" s="8094"/>
      <c r="K868" s="387"/>
      <c r="L868" s="3542"/>
      <c r="M868" s="386"/>
      <c r="N868" s="386"/>
      <c r="O868" s="386"/>
      <c r="P868" s="386"/>
      <c r="Q868" s="386"/>
    </row>
    <row r="869" spans="1:17" ht="30" customHeight="1" x14ac:dyDescent="0.2">
      <c r="A869" s="7656"/>
      <c r="B869" s="7662"/>
      <c r="C869" s="7747"/>
      <c r="D869" s="3481">
        <v>100000000</v>
      </c>
      <c r="E869" s="3523">
        <v>7.0000000000000007E-2</v>
      </c>
      <c r="F869" s="3513">
        <f t="shared" si="84"/>
        <v>7000000.0000000009</v>
      </c>
      <c r="G869" s="8092" t="s">
        <v>4713</v>
      </c>
      <c r="H869" s="8093"/>
      <c r="I869" s="8093"/>
      <c r="J869" s="8094"/>
      <c r="K869" s="387"/>
      <c r="L869" s="2726" t="s">
        <v>4715</v>
      </c>
      <c r="M869" s="386"/>
      <c r="N869" s="386"/>
      <c r="O869" s="386"/>
      <c r="P869" s="386"/>
      <c r="Q869" s="386"/>
    </row>
    <row r="870" spans="1:17" ht="30" customHeight="1" x14ac:dyDescent="0.2">
      <c r="A870" s="7656"/>
      <c r="B870" s="7662"/>
      <c r="C870" s="7747"/>
      <c r="D870" s="3481">
        <v>145000000</v>
      </c>
      <c r="E870" s="3523">
        <v>7.0000000000000007E-2</v>
      </c>
      <c r="F870" s="3513">
        <f t="shared" si="84"/>
        <v>10150000.000000002</v>
      </c>
      <c r="G870" s="8092" t="s">
        <v>4798</v>
      </c>
      <c r="H870" s="8093"/>
      <c r="I870" s="8093"/>
      <c r="J870" s="8094"/>
      <c r="K870" s="387"/>
      <c r="L870" s="2726" t="s">
        <v>4997</v>
      </c>
      <c r="M870" s="386"/>
      <c r="N870" s="386"/>
      <c r="O870" s="386"/>
      <c r="P870" s="386"/>
      <c r="Q870" s="386"/>
    </row>
    <row r="871" spans="1:17" ht="30" customHeight="1" x14ac:dyDescent="0.2">
      <c r="A871" s="7656"/>
      <c r="B871" s="7662"/>
      <c r="C871" s="7747"/>
      <c r="D871" s="3481">
        <v>6000000</v>
      </c>
      <c r="E871" s="3523">
        <v>7.0000000000000007E-2</v>
      </c>
      <c r="F871" s="3513">
        <f t="shared" si="84"/>
        <v>420000.00000000006</v>
      </c>
      <c r="G871" s="8092" t="s">
        <v>4717</v>
      </c>
      <c r="H871" s="8093"/>
      <c r="I871" s="8093"/>
      <c r="J871" s="8094"/>
      <c r="K871" s="387"/>
      <c r="L871" s="2726" t="s">
        <v>4718</v>
      </c>
      <c r="M871" s="386"/>
      <c r="N871" s="386"/>
      <c r="O871" s="386"/>
      <c r="P871" s="386"/>
      <c r="Q871" s="386"/>
    </row>
    <row r="872" spans="1:17" ht="30" customHeight="1" x14ac:dyDescent="0.2">
      <c r="A872" s="7656"/>
      <c r="B872" s="7662"/>
      <c r="C872" s="7747"/>
      <c r="D872" s="3481">
        <v>35000000</v>
      </c>
      <c r="E872" s="3523">
        <v>7.0000000000000007E-2</v>
      </c>
      <c r="F872" s="3513">
        <f t="shared" si="84"/>
        <v>2450000.0000000005</v>
      </c>
      <c r="G872" s="8092" t="s">
        <v>4799</v>
      </c>
      <c r="H872" s="8093"/>
      <c r="I872" s="8093"/>
      <c r="J872" s="8094"/>
      <c r="K872" s="387"/>
      <c r="L872" s="2726" t="s">
        <v>4998</v>
      </c>
      <c r="M872" s="386"/>
      <c r="N872" s="386"/>
      <c r="O872" s="386"/>
      <c r="P872" s="386"/>
      <c r="Q872" s="386"/>
    </row>
    <row r="873" spans="1:17" ht="30" customHeight="1" x14ac:dyDescent="0.2">
      <c r="A873" s="7656"/>
      <c r="B873" s="7662"/>
      <c r="C873" s="7747"/>
      <c r="D873" s="7563">
        <v>500000000</v>
      </c>
      <c r="E873" s="7659">
        <v>7.0000000000000007E-2</v>
      </c>
      <c r="F873" s="8001">
        <f>F867+F868+4900000+5750000+294000+1550000</f>
        <v>27474000</v>
      </c>
      <c r="G873" s="8204" t="s">
        <v>4714</v>
      </c>
      <c r="H873" s="8205"/>
      <c r="I873" s="8205"/>
      <c r="J873" s="8206"/>
      <c r="K873" s="7499">
        <f>F873-J874</f>
        <v>27474000</v>
      </c>
      <c r="L873" s="7811" t="s">
        <v>4905</v>
      </c>
      <c r="M873" s="386"/>
      <c r="N873" s="386"/>
      <c r="O873" s="386"/>
      <c r="P873" s="386"/>
      <c r="Q873" s="386"/>
    </row>
    <row r="874" spans="1:17" ht="30" customHeight="1" x14ac:dyDescent="0.2">
      <c r="A874" s="7656"/>
      <c r="B874" s="7662"/>
      <c r="C874" s="7747"/>
      <c r="D874" s="7564"/>
      <c r="E874" s="7660"/>
      <c r="F874" s="8002"/>
      <c r="G874" s="3200"/>
      <c r="H874" s="3200"/>
      <c r="I874" s="3200" t="s">
        <v>5093</v>
      </c>
      <c r="J874" s="3200">
        <f>G874</f>
        <v>0</v>
      </c>
      <c r="K874" s="7499"/>
      <c r="L874" s="7812"/>
      <c r="M874" s="386"/>
      <c r="N874" s="386"/>
      <c r="O874" s="386"/>
      <c r="P874" s="386"/>
      <c r="Q874" s="386"/>
    </row>
    <row r="875" spans="1:17" ht="30" customHeight="1" x14ac:dyDescent="0.2">
      <c r="A875" s="7656"/>
      <c r="B875" s="7662"/>
      <c r="C875" s="7747"/>
      <c r="D875" s="3569">
        <v>500000000</v>
      </c>
      <c r="E875" s="3571">
        <v>7.0000000000000007E-2</v>
      </c>
      <c r="F875" s="3569">
        <f t="shared" ref="F875:F881" si="87">D875*E875</f>
        <v>35000000</v>
      </c>
      <c r="G875" s="8190" t="s">
        <v>4716</v>
      </c>
      <c r="H875" s="8191"/>
      <c r="I875" s="8191"/>
      <c r="J875" s="8192"/>
      <c r="K875" s="387"/>
      <c r="L875" s="3945" t="s">
        <v>5713</v>
      </c>
      <c r="M875" s="386"/>
      <c r="N875" s="386"/>
      <c r="O875" s="386"/>
      <c r="P875" s="386"/>
      <c r="Q875" s="386"/>
    </row>
    <row r="876" spans="1:17" ht="30" customHeight="1" x14ac:dyDescent="0.2">
      <c r="A876" s="3740"/>
      <c r="B876" s="3" t="s">
        <v>5714</v>
      </c>
      <c r="C876" s="3739" t="s">
        <v>371</v>
      </c>
      <c r="D876" s="1455">
        <v>40000000</v>
      </c>
      <c r="E876" s="1929">
        <v>7.0000000000000007E-2</v>
      </c>
      <c r="F876" s="1455">
        <f t="shared" si="87"/>
        <v>2800000.0000000005</v>
      </c>
      <c r="G876" s="3751"/>
      <c r="H876" s="3751"/>
      <c r="I876" s="3751"/>
      <c r="J876" s="3751"/>
      <c r="K876" s="898"/>
      <c r="L876" s="3942" t="s">
        <v>5502</v>
      </c>
      <c r="M876" s="386"/>
      <c r="N876" s="386"/>
      <c r="O876" s="386"/>
      <c r="P876" s="386"/>
      <c r="Q876" s="386"/>
    </row>
    <row r="877" spans="1:17" ht="30" customHeight="1" x14ac:dyDescent="0.2">
      <c r="A877" s="3933"/>
      <c r="B877" s="3932" t="s">
        <v>5727</v>
      </c>
      <c r="C877" s="3936" t="s">
        <v>3007</v>
      </c>
      <c r="D877" s="1455">
        <v>130000000</v>
      </c>
      <c r="E877" s="1929">
        <v>0.05</v>
      </c>
      <c r="F877" s="1455">
        <f t="shared" si="87"/>
        <v>6500000</v>
      </c>
      <c r="G877" s="3972"/>
      <c r="H877" s="3972"/>
      <c r="I877" s="3972"/>
      <c r="J877" s="3972"/>
      <c r="K877" s="898"/>
      <c r="L877" s="3970" t="s">
        <v>5726</v>
      </c>
      <c r="M877" s="386"/>
      <c r="N877" s="386"/>
      <c r="O877" s="386"/>
      <c r="P877" s="386"/>
      <c r="Q877" s="386"/>
    </row>
    <row r="878" spans="1:17" ht="30" customHeight="1" x14ac:dyDescent="0.2">
      <c r="A878" s="7654"/>
      <c r="B878" s="7661" t="s">
        <v>4699</v>
      </c>
      <c r="C878" s="7723" t="s">
        <v>371</v>
      </c>
      <c r="D878" s="3513">
        <v>183930000</v>
      </c>
      <c r="E878" s="3523">
        <v>7.0000000000000007E-2</v>
      </c>
      <c r="F878" s="3513">
        <f t="shared" si="87"/>
        <v>12875100.000000002</v>
      </c>
      <c r="G878" s="3513"/>
      <c r="H878" s="638"/>
      <c r="I878" s="638" t="s">
        <v>5087</v>
      </c>
      <c r="J878" s="638">
        <f>G878</f>
        <v>0</v>
      </c>
      <c r="K878" s="3521"/>
      <c r="L878" s="7811" t="s">
        <v>4700</v>
      </c>
      <c r="M878" s="386"/>
      <c r="N878" s="386"/>
      <c r="O878" s="386"/>
      <c r="P878" s="386"/>
      <c r="Q878" s="386"/>
    </row>
    <row r="879" spans="1:17" ht="30" customHeight="1" x14ac:dyDescent="0.2">
      <c r="A879" s="7656"/>
      <c r="B879" s="7662"/>
      <c r="C879" s="7747"/>
      <c r="D879" s="3513">
        <v>183000000</v>
      </c>
      <c r="E879" s="3523">
        <v>7.0000000000000007E-2</v>
      </c>
      <c r="F879" s="3513">
        <f t="shared" si="87"/>
        <v>12810000.000000002</v>
      </c>
      <c r="G879" s="7563">
        <v>28000000</v>
      </c>
      <c r="H879" s="8300" t="s">
        <v>5585</v>
      </c>
      <c r="I879" s="8300" t="s">
        <v>5586</v>
      </c>
      <c r="J879" s="7563">
        <f>G879</f>
        <v>28000000</v>
      </c>
      <c r="K879" s="7499">
        <f>F881-J879</f>
        <v>0</v>
      </c>
      <c r="L879" s="7812"/>
      <c r="M879" s="386"/>
      <c r="N879" s="386"/>
      <c r="O879" s="386"/>
      <c r="P879" s="386"/>
      <c r="Q879" s="386"/>
    </row>
    <row r="880" spans="1:17" ht="30" customHeight="1" x14ac:dyDescent="0.2">
      <c r="A880" s="7656"/>
      <c r="B880" s="7662"/>
      <c r="C880" s="7747"/>
      <c r="D880" s="3513">
        <v>33070000</v>
      </c>
      <c r="E880" s="3523">
        <v>7.0000000000000007E-2</v>
      </c>
      <c r="F880" s="3513">
        <f t="shared" si="87"/>
        <v>2314900</v>
      </c>
      <c r="G880" s="7586"/>
      <c r="H880" s="8300"/>
      <c r="I880" s="8300"/>
      <c r="J880" s="7586"/>
      <c r="K880" s="7499"/>
      <c r="L880" s="3585" t="s">
        <v>4961</v>
      </c>
      <c r="M880" s="386"/>
      <c r="N880" s="386"/>
      <c r="O880" s="386"/>
      <c r="P880" s="386"/>
      <c r="Q880" s="386"/>
    </row>
    <row r="881" spans="1:17" ht="30" customHeight="1" x14ac:dyDescent="0.2">
      <c r="A881" s="7655"/>
      <c r="B881" s="7663"/>
      <c r="C881" s="7724"/>
      <c r="D881" s="3480">
        <v>400000000</v>
      </c>
      <c r="E881" s="435">
        <v>7.0000000000000007E-2</v>
      </c>
      <c r="F881" s="3480">
        <f t="shared" si="87"/>
        <v>28000000.000000004</v>
      </c>
      <c r="G881" s="7564"/>
      <c r="H881" s="8300"/>
      <c r="I881" s="8300"/>
      <c r="J881" s="7564"/>
      <c r="K881" s="7499"/>
      <c r="L881" s="3786" t="s">
        <v>5088</v>
      </c>
      <c r="M881" s="386"/>
      <c r="N881" s="386"/>
      <c r="O881" s="386"/>
      <c r="P881" s="386"/>
      <c r="Q881" s="386"/>
    </row>
    <row r="882" spans="1:17" ht="30" customHeight="1" x14ac:dyDescent="0.2">
      <c r="A882" s="3526"/>
      <c r="B882" s="3527" t="s">
        <v>2702</v>
      </c>
      <c r="C882" s="3504" t="s">
        <v>262</v>
      </c>
      <c r="D882" s="3483">
        <v>30000000</v>
      </c>
      <c r="E882" s="3523">
        <v>0.05</v>
      </c>
      <c r="F882" s="3483">
        <f t="shared" ref="F882:F887" si="88">D882*E882</f>
        <v>1500000</v>
      </c>
      <c r="G882" s="3513">
        <v>1500000</v>
      </c>
      <c r="H882" s="3513" t="s">
        <v>3977</v>
      </c>
      <c r="I882" s="3513" t="s">
        <v>3536</v>
      </c>
      <c r="J882" s="3513">
        <f t="shared" si="85"/>
        <v>1500000</v>
      </c>
      <c r="K882" s="3521">
        <f t="shared" si="86"/>
        <v>0</v>
      </c>
      <c r="L882" s="3555"/>
      <c r="M882" s="386"/>
      <c r="N882" s="386"/>
      <c r="O882" s="386"/>
      <c r="P882" s="386"/>
      <c r="Q882" s="386"/>
    </row>
    <row r="883" spans="1:17" ht="30" customHeight="1" x14ac:dyDescent="0.2">
      <c r="A883" s="3526"/>
      <c r="B883" s="3527" t="s">
        <v>2727</v>
      </c>
      <c r="C883" s="3504" t="s">
        <v>392</v>
      </c>
      <c r="D883" s="3483">
        <v>140000000</v>
      </c>
      <c r="E883" s="3523">
        <v>7.0000000000000007E-2</v>
      </c>
      <c r="F883" s="3483">
        <f t="shared" si="88"/>
        <v>9800000.0000000019</v>
      </c>
      <c r="G883" s="3513">
        <v>9800000</v>
      </c>
      <c r="H883" s="3513" t="s">
        <v>1649</v>
      </c>
      <c r="I883" s="3513" t="s">
        <v>5471</v>
      </c>
      <c r="J883" s="3513">
        <f t="shared" si="85"/>
        <v>9800000</v>
      </c>
      <c r="K883" s="3521">
        <f t="shared" si="86"/>
        <v>0</v>
      </c>
      <c r="L883" s="3555"/>
      <c r="M883" s="386"/>
      <c r="N883" s="386"/>
      <c r="O883" s="386"/>
      <c r="P883" s="386"/>
      <c r="Q883" s="386"/>
    </row>
    <row r="884" spans="1:17" ht="30" customHeight="1" x14ac:dyDescent="0.2">
      <c r="A884" s="3526"/>
      <c r="B884" s="3527" t="s">
        <v>2735</v>
      </c>
      <c r="C884" s="3504" t="s">
        <v>889</v>
      </c>
      <c r="D884" s="3483">
        <v>85000000</v>
      </c>
      <c r="E884" s="3523">
        <v>0.05</v>
      </c>
      <c r="F884" s="3483">
        <f t="shared" si="88"/>
        <v>4250000</v>
      </c>
      <c r="G884" s="3513">
        <v>4250000</v>
      </c>
      <c r="H884" s="3513" t="s">
        <v>5434</v>
      </c>
      <c r="I884" s="2694" t="s">
        <v>3529</v>
      </c>
      <c r="J884" s="3513">
        <f t="shared" si="85"/>
        <v>4250000</v>
      </c>
      <c r="K884" s="3521">
        <f t="shared" si="86"/>
        <v>0</v>
      </c>
      <c r="L884" s="3555"/>
      <c r="M884" s="386"/>
      <c r="N884" s="386"/>
      <c r="O884" s="386"/>
      <c r="P884" s="386"/>
      <c r="Q884" s="386"/>
    </row>
    <row r="885" spans="1:17" ht="30" customHeight="1" x14ac:dyDescent="0.2">
      <c r="A885" s="3526"/>
      <c r="B885" s="3527" t="s">
        <v>3534</v>
      </c>
      <c r="C885" s="3504" t="s">
        <v>372</v>
      </c>
      <c r="D885" s="3483">
        <v>50000000</v>
      </c>
      <c r="E885" s="3523">
        <v>0.05</v>
      </c>
      <c r="F885" s="3483">
        <f t="shared" si="88"/>
        <v>2500000</v>
      </c>
      <c r="G885" s="3513">
        <v>2500000</v>
      </c>
      <c r="H885" s="3513" t="s">
        <v>3977</v>
      </c>
      <c r="I885" s="3513" t="s">
        <v>4091</v>
      </c>
      <c r="J885" s="3513">
        <f t="shared" si="85"/>
        <v>2500000</v>
      </c>
      <c r="K885" s="3521">
        <f t="shared" si="86"/>
        <v>0</v>
      </c>
      <c r="L885" s="3555"/>
      <c r="M885" s="386"/>
      <c r="N885" s="386"/>
      <c r="O885" s="386"/>
      <c r="P885" s="386"/>
      <c r="Q885" s="386"/>
    </row>
    <row r="886" spans="1:17" ht="30" customHeight="1" x14ac:dyDescent="0.2">
      <c r="A886" s="3526"/>
      <c r="B886" s="3527" t="s">
        <v>2738</v>
      </c>
      <c r="C886" s="3504" t="s">
        <v>372</v>
      </c>
      <c r="D886" s="3483">
        <v>25000000</v>
      </c>
      <c r="E886" s="3523">
        <v>0.05</v>
      </c>
      <c r="F886" s="3483">
        <f t="shared" si="88"/>
        <v>1250000</v>
      </c>
      <c r="G886" s="3513">
        <v>1250000</v>
      </c>
      <c r="H886" s="3513" t="s">
        <v>5367</v>
      </c>
      <c r="I886" s="3513" t="s">
        <v>4017</v>
      </c>
      <c r="J886" s="3513">
        <f t="shared" si="85"/>
        <v>1250000</v>
      </c>
      <c r="K886" s="3521">
        <f t="shared" si="86"/>
        <v>0</v>
      </c>
      <c r="L886" s="3555"/>
      <c r="M886" s="386"/>
      <c r="N886" s="386"/>
      <c r="O886" s="386"/>
      <c r="P886" s="386"/>
      <c r="Q886" s="386"/>
    </row>
    <row r="887" spans="1:17" ht="30" customHeight="1" x14ac:dyDescent="0.2">
      <c r="A887" s="7654"/>
      <c r="B887" s="7652" t="s">
        <v>2767</v>
      </c>
      <c r="C887" s="7723"/>
      <c r="D887" s="3513">
        <v>300000000</v>
      </c>
      <c r="E887" s="3523">
        <v>5.5E-2</v>
      </c>
      <c r="F887" s="3513">
        <f t="shared" si="88"/>
        <v>16500000</v>
      </c>
      <c r="G887" s="3513"/>
      <c r="H887" s="3513"/>
      <c r="I887" s="3513" t="s">
        <v>3477</v>
      </c>
      <c r="J887" s="3513">
        <f>G887+G888</f>
        <v>0</v>
      </c>
      <c r="K887" s="3478">
        <f t="shared" si="86"/>
        <v>16500000</v>
      </c>
      <c r="L887" s="847"/>
      <c r="M887" s="386"/>
      <c r="N887" s="386"/>
      <c r="O887" s="386"/>
      <c r="P887" s="386"/>
      <c r="Q887" s="386"/>
    </row>
    <row r="888" spans="1:17" ht="30" customHeight="1" x14ac:dyDescent="0.2">
      <c r="A888" s="7656"/>
      <c r="B888" s="7665"/>
      <c r="C888" s="7747"/>
      <c r="D888" s="3483">
        <v>50000000</v>
      </c>
      <c r="E888" s="3489"/>
      <c r="F888" s="3483"/>
      <c r="G888" s="3483"/>
      <c r="H888" s="3483"/>
      <c r="I888" s="3483"/>
      <c r="J888" s="3483"/>
      <c r="K888" s="3521"/>
      <c r="L888" s="3585" t="s">
        <v>5190</v>
      </c>
      <c r="M888" s="386"/>
      <c r="N888" s="386"/>
      <c r="O888" s="386"/>
      <c r="P888" s="386"/>
      <c r="Q888" s="386"/>
    </row>
    <row r="889" spans="1:17" ht="30" customHeight="1" x14ac:dyDescent="0.2">
      <c r="A889" s="7656"/>
      <c r="B889" s="7665"/>
      <c r="C889" s="7747"/>
      <c r="D889" s="3483">
        <v>100000000</v>
      </c>
      <c r="E889" s="3489"/>
      <c r="F889" s="3483"/>
      <c r="G889" s="3483"/>
      <c r="H889" s="3483"/>
      <c r="I889" s="3483"/>
      <c r="J889" s="3483"/>
      <c r="K889" s="3521"/>
      <c r="L889" s="3585" t="s">
        <v>5191</v>
      </c>
      <c r="M889" s="386"/>
      <c r="N889" s="386"/>
      <c r="O889" s="386"/>
      <c r="P889" s="386"/>
      <c r="Q889" s="386"/>
    </row>
    <row r="890" spans="1:17" ht="30" customHeight="1" x14ac:dyDescent="0.2">
      <c r="A890" s="7656"/>
      <c r="B890" s="7665"/>
      <c r="C890" s="7747"/>
      <c r="D890" s="3483">
        <v>200000000</v>
      </c>
      <c r="E890" s="3489"/>
      <c r="F890" s="3483"/>
      <c r="G890" s="3483"/>
      <c r="H890" s="3483"/>
      <c r="I890" s="3483"/>
      <c r="J890" s="3483"/>
      <c r="K890" s="3521"/>
      <c r="L890" s="3585" t="s">
        <v>5192</v>
      </c>
      <c r="M890" s="386"/>
      <c r="N890" s="386"/>
      <c r="O890" s="386"/>
      <c r="P890" s="386"/>
      <c r="Q890" s="386"/>
    </row>
    <row r="891" spans="1:17" ht="30" customHeight="1" x14ac:dyDescent="0.2">
      <c r="A891" s="7655"/>
      <c r="B891" s="7653"/>
      <c r="C891" s="7724"/>
      <c r="D891" s="3570">
        <f>SUM(D887:D890)</f>
        <v>650000000</v>
      </c>
      <c r="E891" s="3572">
        <v>5.5E-2</v>
      </c>
      <c r="F891" s="3570">
        <v>36000000</v>
      </c>
      <c r="G891" s="3483"/>
      <c r="H891" s="3483"/>
      <c r="I891" s="3483"/>
      <c r="J891" s="3483"/>
      <c r="K891" s="3521"/>
      <c r="L891" s="3585" t="s">
        <v>5193</v>
      </c>
      <c r="M891" s="386"/>
      <c r="N891" s="386"/>
      <c r="O891" s="386"/>
      <c r="P891" s="386"/>
      <c r="Q891" s="386"/>
    </row>
    <row r="892" spans="1:17" ht="30" customHeight="1" x14ac:dyDescent="0.2">
      <c r="A892" s="3526"/>
      <c r="B892" s="3527" t="s">
        <v>2799</v>
      </c>
      <c r="C892" s="3504"/>
      <c r="D892" s="3483">
        <v>85000000</v>
      </c>
      <c r="E892" s="3523"/>
      <c r="F892" s="3483"/>
      <c r="G892" s="3513"/>
      <c r="H892" s="3513"/>
      <c r="I892" s="3513"/>
      <c r="J892" s="3513"/>
      <c r="K892" s="3521"/>
      <c r="L892" s="3555" t="s">
        <v>2800</v>
      </c>
      <c r="M892" s="386"/>
      <c r="N892" s="386"/>
      <c r="O892" s="386"/>
      <c r="P892" s="386"/>
      <c r="Q892" s="386"/>
    </row>
    <row r="893" spans="1:17" ht="30" customHeight="1" x14ac:dyDescent="0.2">
      <c r="A893" s="3526"/>
      <c r="B893" s="3527" t="s">
        <v>2802</v>
      </c>
      <c r="C893" s="3504" t="s">
        <v>359</v>
      </c>
      <c r="D893" s="3483">
        <v>20000000</v>
      </c>
      <c r="E893" s="3523">
        <v>0.05</v>
      </c>
      <c r="F893" s="3483">
        <f t="shared" ref="F893:F902" si="89">D893*E893</f>
        <v>1000000</v>
      </c>
      <c r="G893" s="3513">
        <v>1000000</v>
      </c>
      <c r="H893" s="3513" t="s">
        <v>1879</v>
      </c>
      <c r="I893" s="3513" t="s">
        <v>3556</v>
      </c>
      <c r="J893" s="3513">
        <f>G893</f>
        <v>1000000</v>
      </c>
      <c r="K893" s="3521">
        <f>F893-J893</f>
        <v>0</v>
      </c>
      <c r="L893" s="3555"/>
      <c r="M893" s="386"/>
      <c r="N893" s="386"/>
      <c r="O893" s="386"/>
      <c r="P893" s="386"/>
      <c r="Q893" s="386"/>
    </row>
    <row r="894" spans="1:17" ht="30" customHeight="1" x14ac:dyDescent="0.2">
      <c r="A894" s="7654"/>
      <c r="B894" s="7652" t="s">
        <v>2904</v>
      </c>
      <c r="C894" s="7723" t="s">
        <v>1081</v>
      </c>
      <c r="D894" s="7563">
        <v>40000000</v>
      </c>
      <c r="E894" s="7659">
        <v>0.04</v>
      </c>
      <c r="F894" s="7563">
        <f t="shared" si="89"/>
        <v>1600000</v>
      </c>
      <c r="G894" s="3513"/>
      <c r="H894" s="3513"/>
      <c r="I894" s="3513" t="s">
        <v>4314</v>
      </c>
      <c r="J894" s="3513">
        <f>G894</f>
        <v>0</v>
      </c>
      <c r="K894" s="3521">
        <f>F894-J894</f>
        <v>1600000</v>
      </c>
      <c r="L894" s="3555" t="s">
        <v>4437</v>
      </c>
      <c r="M894" s="386"/>
      <c r="N894" s="386"/>
      <c r="O894" s="386"/>
      <c r="P894" s="386"/>
      <c r="Q894" s="386"/>
    </row>
    <row r="895" spans="1:17" ht="30" customHeight="1" x14ac:dyDescent="0.2">
      <c r="A895" s="7655"/>
      <c r="B895" s="7653"/>
      <c r="C895" s="7724"/>
      <c r="D895" s="7564"/>
      <c r="E895" s="7660"/>
      <c r="F895" s="7564"/>
      <c r="G895" s="3513"/>
      <c r="H895" s="3513"/>
      <c r="I895" s="3513" t="s">
        <v>4314</v>
      </c>
      <c r="J895" s="3513">
        <f>G895</f>
        <v>0</v>
      </c>
      <c r="K895" s="3521">
        <f>F894-J895</f>
        <v>1600000</v>
      </c>
      <c r="L895" s="3555" t="s">
        <v>4905</v>
      </c>
      <c r="M895" s="386"/>
      <c r="N895" s="386"/>
      <c r="O895" s="386"/>
      <c r="P895" s="386"/>
      <c r="Q895" s="386"/>
    </row>
    <row r="896" spans="1:17" ht="30" customHeight="1" x14ac:dyDescent="0.2">
      <c r="A896" s="7654"/>
      <c r="B896" s="7652" t="s">
        <v>2834</v>
      </c>
      <c r="C896" s="7723" t="s">
        <v>2849</v>
      </c>
      <c r="D896" s="3483">
        <v>20000000</v>
      </c>
      <c r="E896" s="3489">
        <v>0.05</v>
      </c>
      <c r="F896" s="3483">
        <f t="shared" si="89"/>
        <v>1000000</v>
      </c>
      <c r="G896" s="7563">
        <v>2000000</v>
      </c>
      <c r="H896" s="7563" t="s">
        <v>5596</v>
      </c>
      <c r="I896" s="7563" t="s">
        <v>4472</v>
      </c>
      <c r="J896" s="7563">
        <f>G896</f>
        <v>2000000</v>
      </c>
      <c r="K896" s="7816">
        <f>G896-J896</f>
        <v>0</v>
      </c>
      <c r="L896" s="3555"/>
      <c r="M896" s="386"/>
      <c r="N896" s="386"/>
      <c r="O896" s="386"/>
      <c r="P896" s="386"/>
      <c r="Q896" s="386"/>
    </row>
    <row r="897" spans="1:17" ht="30" customHeight="1" x14ac:dyDescent="0.2">
      <c r="A897" s="7655"/>
      <c r="B897" s="7653"/>
      <c r="C897" s="7724"/>
      <c r="D897" s="3483">
        <v>20000000</v>
      </c>
      <c r="E897" s="3489">
        <v>0.05</v>
      </c>
      <c r="F897" s="3483">
        <f t="shared" si="89"/>
        <v>1000000</v>
      </c>
      <c r="G897" s="7564"/>
      <c r="H897" s="7564"/>
      <c r="I897" s="7564"/>
      <c r="J897" s="7564"/>
      <c r="K897" s="7817"/>
      <c r="L897" s="3555" t="s">
        <v>5068</v>
      </c>
      <c r="M897" s="386"/>
      <c r="N897" s="386"/>
      <c r="O897" s="386"/>
      <c r="P897" s="386"/>
      <c r="Q897" s="386"/>
    </row>
    <row r="898" spans="1:17" ht="30" customHeight="1" x14ac:dyDescent="0.2">
      <c r="A898" s="7654"/>
      <c r="B898" s="7652" t="s">
        <v>2899</v>
      </c>
      <c r="C898" s="7723" t="s">
        <v>1718</v>
      </c>
      <c r="D898" s="3483">
        <v>400000000</v>
      </c>
      <c r="E898" s="3523">
        <v>7.0000000000000007E-2</v>
      </c>
      <c r="F898" s="3483">
        <f t="shared" si="89"/>
        <v>28000000.000000004</v>
      </c>
      <c r="G898" s="3483">
        <v>28000000</v>
      </c>
      <c r="H898" s="3483" t="s">
        <v>2019</v>
      </c>
      <c r="I898" s="3509" t="s">
        <v>2868</v>
      </c>
      <c r="J898" s="3483">
        <f t="shared" ref="J898:J912" si="90">G898</f>
        <v>28000000</v>
      </c>
      <c r="K898" s="3521">
        <f>F898-J898</f>
        <v>0</v>
      </c>
      <c r="L898" s="3554" t="s">
        <v>4694</v>
      </c>
      <c r="M898" s="386"/>
      <c r="N898" s="386"/>
      <c r="O898" s="386"/>
      <c r="P898" s="386"/>
      <c r="Q898" s="386"/>
    </row>
    <row r="899" spans="1:17" ht="30" customHeight="1" x14ac:dyDescent="0.2">
      <c r="A899" s="7656"/>
      <c r="B899" s="7665"/>
      <c r="C899" s="7724"/>
      <c r="D899" s="7563">
        <v>200000000</v>
      </c>
      <c r="E899" s="7659">
        <v>7.0000000000000007E-2</v>
      </c>
      <c r="F899" s="7563">
        <f t="shared" si="89"/>
        <v>14000000.000000002</v>
      </c>
      <c r="G899" s="7494" t="s">
        <v>5944</v>
      </c>
      <c r="H899" s="7495"/>
      <c r="I899" s="7495"/>
      <c r="J899" s="7768"/>
      <c r="K899" s="7816"/>
      <c r="L899" s="4131" t="s">
        <v>5943</v>
      </c>
      <c r="M899" s="386"/>
      <c r="N899" s="386"/>
      <c r="O899" s="386"/>
      <c r="P899" s="386"/>
      <c r="Q899" s="386"/>
    </row>
    <row r="900" spans="1:17" ht="30" customHeight="1" x14ac:dyDescent="0.2">
      <c r="A900" s="7655"/>
      <c r="B900" s="7653"/>
      <c r="C900" s="4120"/>
      <c r="D900" s="7564"/>
      <c r="E900" s="7660"/>
      <c r="F900" s="7564"/>
      <c r="G900" s="7769"/>
      <c r="H900" s="7805"/>
      <c r="I900" s="7805"/>
      <c r="J900" s="7770"/>
      <c r="K900" s="7817"/>
      <c r="L900" s="4131"/>
      <c r="M900" s="386"/>
      <c r="N900" s="386"/>
      <c r="O900" s="386"/>
      <c r="P900" s="386"/>
      <c r="Q900" s="386"/>
    </row>
    <row r="901" spans="1:17" ht="30" customHeight="1" x14ac:dyDescent="0.2">
      <c r="A901" s="3487"/>
      <c r="B901" s="3491" t="s">
        <v>4692</v>
      </c>
      <c r="C901" s="3504" t="s">
        <v>2278</v>
      </c>
      <c r="D901" s="3483">
        <v>100000000</v>
      </c>
      <c r="E901" s="3523">
        <v>7.0000000000000007E-2</v>
      </c>
      <c r="F901" s="3483">
        <f t="shared" si="89"/>
        <v>7000000.0000000009</v>
      </c>
      <c r="G901" s="7470" t="s">
        <v>5945</v>
      </c>
      <c r="H901" s="7493"/>
      <c r="I901" s="7493"/>
      <c r="J901" s="7510"/>
      <c r="K901" s="3521"/>
      <c r="L901" s="3554" t="s">
        <v>4693</v>
      </c>
      <c r="M901" s="386"/>
      <c r="N901" s="386"/>
      <c r="O901" s="386"/>
      <c r="P901" s="386"/>
      <c r="Q901" s="386"/>
    </row>
    <row r="902" spans="1:17" ht="30" customHeight="1" x14ac:dyDescent="0.2">
      <c r="A902" s="3526"/>
      <c r="B902" s="3491" t="s">
        <v>2206</v>
      </c>
      <c r="C902" s="3504" t="s">
        <v>1306</v>
      </c>
      <c r="D902" s="3483">
        <v>150000000</v>
      </c>
      <c r="E902" s="3523">
        <v>0.05</v>
      </c>
      <c r="F902" s="3483">
        <f t="shared" si="89"/>
        <v>7500000</v>
      </c>
      <c r="G902" s="3483">
        <v>7500000</v>
      </c>
      <c r="H902" s="3483" t="s">
        <v>5839</v>
      </c>
      <c r="I902" s="3509" t="s">
        <v>4539</v>
      </c>
      <c r="J902" s="3483">
        <f t="shared" si="90"/>
        <v>7500000</v>
      </c>
      <c r="K902" s="3521">
        <f>F902-J902</f>
        <v>0</v>
      </c>
      <c r="L902" s="3543"/>
      <c r="M902" s="386"/>
      <c r="N902" s="386"/>
      <c r="O902" s="386"/>
      <c r="P902" s="386"/>
      <c r="Q902" s="386"/>
    </row>
    <row r="903" spans="1:17" ht="30" customHeight="1" x14ac:dyDescent="0.2">
      <c r="A903" s="3526"/>
      <c r="B903" s="19" t="s">
        <v>180</v>
      </c>
      <c r="C903" s="3504" t="s">
        <v>2849</v>
      </c>
      <c r="D903" s="3483">
        <v>126000000</v>
      </c>
      <c r="E903" s="3523">
        <f>F903/D903</f>
        <v>0.05</v>
      </c>
      <c r="F903" s="3483">
        <v>6300000</v>
      </c>
      <c r="G903" s="3513">
        <v>6300000</v>
      </c>
      <c r="H903" s="3513" t="s">
        <v>5358</v>
      </c>
      <c r="I903" s="3513" t="s">
        <v>4880</v>
      </c>
      <c r="J903" s="3513">
        <f t="shared" si="90"/>
        <v>6300000</v>
      </c>
      <c r="K903" s="3521">
        <f t="shared" ref="K903:K910" si="91">F903-J903</f>
        <v>0</v>
      </c>
      <c r="L903" s="3555"/>
      <c r="M903" s="386"/>
      <c r="N903" s="386"/>
      <c r="O903" s="386"/>
      <c r="P903" s="386"/>
      <c r="Q903" s="386"/>
    </row>
    <row r="904" spans="1:17" ht="30" customHeight="1" x14ac:dyDescent="0.2">
      <c r="A904" s="3526"/>
      <c r="B904" s="19" t="s">
        <v>4695</v>
      </c>
      <c r="C904" s="3504" t="s">
        <v>989</v>
      </c>
      <c r="D904" s="3483">
        <v>50000000</v>
      </c>
      <c r="E904" s="3523">
        <v>0.05</v>
      </c>
      <c r="F904" s="3483">
        <f t="shared" ref="F904:F910" si="92">D904*E904</f>
        <v>2500000</v>
      </c>
      <c r="G904" s="3483">
        <v>2500000</v>
      </c>
      <c r="H904" s="3483" t="s">
        <v>2341</v>
      </c>
      <c r="I904" s="3509" t="s">
        <v>4764</v>
      </c>
      <c r="J904" s="3483">
        <f t="shared" si="90"/>
        <v>2500000</v>
      </c>
      <c r="K904" s="3521">
        <f>F904-J904</f>
        <v>0</v>
      </c>
      <c r="L904" s="2700"/>
      <c r="M904" s="386"/>
      <c r="N904" s="386"/>
      <c r="O904" s="386"/>
      <c r="P904" s="386"/>
      <c r="Q904" s="386"/>
    </row>
    <row r="905" spans="1:17" ht="30" customHeight="1" x14ac:dyDescent="0.2">
      <c r="A905" s="7654"/>
      <c r="B905" s="7652" t="s">
        <v>2873</v>
      </c>
      <c r="C905" s="7723" t="s">
        <v>1172</v>
      </c>
      <c r="D905" s="3483">
        <v>40000000</v>
      </c>
      <c r="E905" s="3523">
        <v>0.05</v>
      </c>
      <c r="F905" s="3483">
        <f t="shared" si="92"/>
        <v>2000000</v>
      </c>
      <c r="G905" s="7563">
        <v>3500000</v>
      </c>
      <c r="H905" s="7563" t="s">
        <v>1649</v>
      </c>
      <c r="I905" s="7563" t="s">
        <v>4078</v>
      </c>
      <c r="J905" s="7563">
        <f t="shared" si="90"/>
        <v>3500000</v>
      </c>
      <c r="K905" s="7816"/>
      <c r="L905" s="3555"/>
      <c r="M905" s="386"/>
      <c r="N905" s="386"/>
      <c r="O905" s="386"/>
      <c r="P905" s="386"/>
      <c r="Q905" s="386"/>
    </row>
    <row r="906" spans="1:17" ht="30" customHeight="1" x14ac:dyDescent="0.2">
      <c r="A906" s="7655"/>
      <c r="B906" s="7653"/>
      <c r="C906" s="7724"/>
      <c r="D906" s="3683">
        <v>60000000</v>
      </c>
      <c r="E906" s="3702">
        <v>0.05</v>
      </c>
      <c r="F906" s="3683">
        <f t="shared" si="92"/>
        <v>3000000</v>
      </c>
      <c r="G906" s="7564"/>
      <c r="H906" s="7564"/>
      <c r="I906" s="7564"/>
      <c r="J906" s="7564"/>
      <c r="K906" s="7817"/>
      <c r="L906" s="3705" t="s">
        <v>5475</v>
      </c>
      <c r="M906" s="386"/>
      <c r="N906" s="386"/>
      <c r="O906" s="386"/>
      <c r="P906" s="386"/>
      <c r="Q906" s="386"/>
    </row>
    <row r="907" spans="1:17" ht="30" customHeight="1" x14ac:dyDescent="0.2">
      <c r="A907" s="3526"/>
      <c r="B907" s="3527" t="s">
        <v>2878</v>
      </c>
      <c r="C907" s="3504" t="s">
        <v>1718</v>
      </c>
      <c r="D907" s="3483">
        <v>25000000</v>
      </c>
      <c r="E907" s="3523">
        <v>0.04</v>
      </c>
      <c r="F907" s="3483">
        <f t="shared" si="92"/>
        <v>1000000</v>
      </c>
      <c r="G907" s="3483">
        <v>1000000</v>
      </c>
      <c r="H907" s="3483" t="s">
        <v>3977</v>
      </c>
      <c r="I907" s="3509" t="s">
        <v>4062</v>
      </c>
      <c r="J907" s="3483">
        <f t="shared" si="90"/>
        <v>1000000</v>
      </c>
      <c r="K907" s="3521">
        <f t="shared" si="91"/>
        <v>0</v>
      </c>
      <c r="L907" s="3555"/>
      <c r="M907" s="386"/>
      <c r="N907" s="386"/>
      <c r="O907" s="386"/>
      <c r="P907" s="386"/>
      <c r="Q907" s="386"/>
    </row>
    <row r="908" spans="1:17" ht="30" customHeight="1" x14ac:dyDescent="0.2">
      <c r="A908" s="3526"/>
      <c r="B908" s="3527" t="s">
        <v>2932</v>
      </c>
      <c r="C908" s="3504" t="s">
        <v>1172</v>
      </c>
      <c r="D908" s="3483">
        <v>50000000</v>
      </c>
      <c r="E908" s="3523">
        <v>0.05</v>
      </c>
      <c r="F908" s="3483">
        <f t="shared" si="92"/>
        <v>2500000</v>
      </c>
      <c r="G908" s="3483">
        <v>2500000</v>
      </c>
      <c r="H908" s="3483" t="s">
        <v>2019</v>
      </c>
      <c r="I908" s="3509" t="s">
        <v>4092</v>
      </c>
      <c r="J908" s="3483">
        <f t="shared" si="90"/>
        <v>2500000</v>
      </c>
      <c r="K908" s="3521">
        <f t="shared" si="91"/>
        <v>0</v>
      </c>
      <c r="L908" s="3555"/>
      <c r="M908" s="386"/>
      <c r="N908" s="386"/>
      <c r="O908" s="386"/>
      <c r="P908" s="386"/>
      <c r="Q908" s="386"/>
    </row>
    <row r="909" spans="1:17" ht="30" customHeight="1" x14ac:dyDescent="0.2">
      <c r="A909" s="3486"/>
      <c r="B909" s="19" t="s">
        <v>2938</v>
      </c>
      <c r="C909" s="3529" t="s">
        <v>1138</v>
      </c>
      <c r="D909" s="3513">
        <v>10000000</v>
      </c>
      <c r="E909" s="3523">
        <v>0.05</v>
      </c>
      <c r="F909" s="3513">
        <f t="shared" si="92"/>
        <v>500000</v>
      </c>
      <c r="G909" s="3513">
        <v>500000</v>
      </c>
      <c r="H909" s="3513" t="s">
        <v>1649</v>
      </c>
      <c r="I909" s="3513" t="s">
        <v>2939</v>
      </c>
      <c r="J909" s="3513">
        <f t="shared" si="90"/>
        <v>500000</v>
      </c>
      <c r="K909" s="3521">
        <f t="shared" si="91"/>
        <v>0</v>
      </c>
      <c r="L909" s="3555" t="s">
        <v>4905</v>
      </c>
      <c r="M909" s="386"/>
      <c r="N909" s="386"/>
      <c r="O909" s="386"/>
      <c r="P909" s="386"/>
      <c r="Q909" s="386"/>
    </row>
    <row r="910" spans="1:17" ht="30" customHeight="1" x14ac:dyDescent="0.2">
      <c r="A910" s="7654"/>
      <c r="B910" s="7652" t="s">
        <v>5360</v>
      </c>
      <c r="C910" s="7723" t="s">
        <v>2278</v>
      </c>
      <c r="D910" s="7563">
        <v>50000000</v>
      </c>
      <c r="E910" s="7659">
        <v>0.05</v>
      </c>
      <c r="F910" s="7563">
        <f t="shared" si="92"/>
        <v>2500000</v>
      </c>
      <c r="G910" s="7563">
        <v>2500000</v>
      </c>
      <c r="H910" s="7563" t="s">
        <v>5839</v>
      </c>
      <c r="I910" s="7563" t="s">
        <v>5846</v>
      </c>
      <c r="J910" s="7563">
        <f t="shared" si="90"/>
        <v>2500000</v>
      </c>
      <c r="K910" s="7816">
        <f t="shared" si="91"/>
        <v>0</v>
      </c>
      <c r="L910" s="3555" t="s">
        <v>6097</v>
      </c>
      <c r="M910" s="386"/>
      <c r="N910" s="386"/>
      <c r="O910" s="386"/>
      <c r="P910" s="386"/>
      <c r="Q910" s="386"/>
    </row>
    <row r="911" spans="1:17" ht="30" customHeight="1" x14ac:dyDescent="0.2">
      <c r="A911" s="7655"/>
      <c r="B911" s="7653"/>
      <c r="C911" s="7724"/>
      <c r="D911" s="7564"/>
      <c r="E911" s="7660"/>
      <c r="F911" s="7564"/>
      <c r="G911" s="7564"/>
      <c r="H911" s="7564"/>
      <c r="I911" s="7564"/>
      <c r="J911" s="7564"/>
      <c r="K911" s="7817"/>
      <c r="L911" s="3925" t="s">
        <v>5683</v>
      </c>
      <c r="M911" s="386"/>
      <c r="N911" s="386"/>
      <c r="O911" s="386"/>
      <c r="P911" s="386"/>
      <c r="Q911" s="386"/>
    </row>
    <row r="912" spans="1:17" ht="30" customHeight="1" x14ac:dyDescent="0.2">
      <c r="A912" s="7654"/>
      <c r="B912" s="8291" t="s">
        <v>3037</v>
      </c>
      <c r="C912" s="8341" t="s">
        <v>1306</v>
      </c>
      <c r="D912" s="4103">
        <v>30000000</v>
      </c>
      <c r="E912" s="4123">
        <v>0.05</v>
      </c>
      <c r="F912" s="4103">
        <f t="shared" ref="F912:F929" si="93">D912*E912</f>
        <v>1500000</v>
      </c>
      <c r="G912" s="7846">
        <v>3000000</v>
      </c>
      <c r="H912" s="7563" t="s">
        <v>5849</v>
      </c>
      <c r="I912" s="7563" t="s">
        <v>3719</v>
      </c>
      <c r="J912" s="7563">
        <f t="shared" si="90"/>
        <v>3000000</v>
      </c>
      <c r="K912" s="7816">
        <f>(F912+F913+F914)-J912</f>
        <v>0</v>
      </c>
      <c r="L912" s="3555"/>
      <c r="M912" s="386"/>
      <c r="N912" s="386"/>
      <c r="O912" s="386"/>
      <c r="P912" s="386"/>
      <c r="Q912" s="386"/>
    </row>
    <row r="913" spans="1:17" ht="30" customHeight="1" x14ac:dyDescent="0.2">
      <c r="A913" s="7656"/>
      <c r="B913" s="8292"/>
      <c r="C913" s="8342"/>
      <c r="D913" s="4103">
        <v>15000000</v>
      </c>
      <c r="E913" s="4123">
        <v>0.05</v>
      </c>
      <c r="F913" s="4103">
        <f t="shared" si="93"/>
        <v>750000</v>
      </c>
      <c r="G913" s="7847"/>
      <c r="H913" s="7586"/>
      <c r="I913" s="7586"/>
      <c r="J913" s="7586"/>
      <c r="K913" s="7882"/>
      <c r="L913" s="3555"/>
      <c r="M913" s="386"/>
      <c r="N913" s="386"/>
      <c r="O913" s="386"/>
      <c r="P913" s="386"/>
      <c r="Q913" s="386"/>
    </row>
    <row r="914" spans="1:17" ht="30" customHeight="1" x14ac:dyDescent="0.2">
      <c r="A914" s="7656"/>
      <c r="B914" s="8292"/>
      <c r="C914" s="8342"/>
      <c r="D914" s="4103">
        <v>15000000</v>
      </c>
      <c r="E914" s="4123">
        <v>0.05</v>
      </c>
      <c r="F914" s="4103">
        <f t="shared" si="93"/>
        <v>750000</v>
      </c>
      <c r="G914" s="7848"/>
      <c r="H914" s="7564"/>
      <c r="I914" s="7564"/>
      <c r="J914" s="7564"/>
      <c r="K914" s="7817"/>
      <c r="L914" s="3555"/>
      <c r="M914" s="386"/>
      <c r="N914" s="386"/>
      <c r="O914" s="386"/>
      <c r="P914" s="386"/>
      <c r="Q914" s="386"/>
    </row>
    <row r="915" spans="1:17" ht="30" customHeight="1" x14ac:dyDescent="0.2">
      <c r="A915" s="7656"/>
      <c r="B915" s="8292"/>
      <c r="C915" s="8342"/>
      <c r="D915" s="7563">
        <v>35000000</v>
      </c>
      <c r="E915" s="7659">
        <v>0.05</v>
      </c>
      <c r="F915" s="7563">
        <f t="shared" si="93"/>
        <v>1750000</v>
      </c>
      <c r="G915" s="7732" t="s">
        <v>6089</v>
      </c>
      <c r="H915" s="7733"/>
      <c r="I915" s="7733"/>
      <c r="J915" s="7734"/>
      <c r="K915" s="4122"/>
      <c r="L915" s="4251" t="s">
        <v>5929</v>
      </c>
      <c r="M915" s="386"/>
      <c r="N915" s="386"/>
      <c r="O915" s="386"/>
      <c r="P915" s="386"/>
      <c r="Q915" s="386"/>
    </row>
    <row r="916" spans="1:17" ht="30" customHeight="1" x14ac:dyDescent="0.2">
      <c r="A916" s="7656"/>
      <c r="B916" s="8292"/>
      <c r="C916" s="8342"/>
      <c r="D916" s="7586"/>
      <c r="E916" s="7676"/>
      <c r="F916" s="7586"/>
      <c r="G916" s="7732" t="s">
        <v>6090</v>
      </c>
      <c r="H916" s="7733"/>
      <c r="I916" s="7733"/>
      <c r="J916" s="7734"/>
      <c r="K916" s="4252"/>
      <c r="L916" s="4251"/>
      <c r="M916" s="386"/>
      <c r="N916" s="386"/>
      <c r="O916" s="386"/>
      <c r="P916" s="386"/>
      <c r="Q916" s="386"/>
    </row>
    <row r="917" spans="1:17" ht="30" customHeight="1" x14ac:dyDescent="0.2">
      <c r="A917" s="7656"/>
      <c r="B917" s="8292"/>
      <c r="C917" s="8342"/>
      <c r="D917" s="7586"/>
      <c r="E917" s="7676"/>
      <c r="F917" s="7586"/>
      <c r="G917" s="7732" t="s">
        <v>6091</v>
      </c>
      <c r="H917" s="7733"/>
      <c r="I917" s="7733"/>
      <c r="J917" s="7734"/>
      <c r="K917" s="4252"/>
      <c r="L917" s="4251"/>
      <c r="M917" s="386"/>
      <c r="N917" s="386"/>
      <c r="O917" s="386"/>
      <c r="P917" s="386"/>
      <c r="Q917" s="386"/>
    </row>
    <row r="918" spans="1:17" ht="30" customHeight="1" x14ac:dyDescent="0.2">
      <c r="A918" s="7655"/>
      <c r="B918" s="8293"/>
      <c r="C918" s="8343"/>
      <c r="D918" s="7564"/>
      <c r="E918" s="7660"/>
      <c r="F918" s="7564"/>
      <c r="G918" s="7732" t="s">
        <v>6092</v>
      </c>
      <c r="H918" s="7733"/>
      <c r="I918" s="7733"/>
      <c r="J918" s="7734"/>
      <c r="K918" s="4252"/>
      <c r="L918" s="4251"/>
      <c r="M918" s="386"/>
      <c r="N918" s="386"/>
      <c r="O918" s="386"/>
      <c r="P918" s="386"/>
      <c r="Q918" s="386"/>
    </row>
    <row r="919" spans="1:17" ht="30" customHeight="1" x14ac:dyDescent="0.2">
      <c r="A919" s="7654"/>
      <c r="B919" s="8347" t="s">
        <v>6093</v>
      </c>
      <c r="C919" s="8344"/>
      <c r="D919" s="7677">
        <v>60000000</v>
      </c>
      <c r="E919" s="7691">
        <v>0.05</v>
      </c>
      <c r="F919" s="7677">
        <f>D919*E919</f>
        <v>3000000</v>
      </c>
      <c r="G919" s="7850"/>
      <c r="H919" s="7851"/>
      <c r="I919" s="7851"/>
      <c r="J919" s="7852"/>
      <c r="K919" s="4252"/>
      <c r="L919" s="4251"/>
      <c r="M919" s="386"/>
      <c r="N919" s="386"/>
      <c r="O919" s="386"/>
      <c r="P919" s="386"/>
      <c r="Q919" s="386"/>
    </row>
    <row r="920" spans="1:17" ht="30" customHeight="1" x14ac:dyDescent="0.2">
      <c r="A920" s="7656"/>
      <c r="B920" s="8348"/>
      <c r="C920" s="8345"/>
      <c r="D920" s="7690"/>
      <c r="E920" s="7692"/>
      <c r="F920" s="7690"/>
      <c r="G920" s="7850"/>
      <c r="H920" s="7851"/>
      <c r="I920" s="7851"/>
      <c r="J920" s="7852"/>
      <c r="K920" s="4252"/>
      <c r="L920" s="4251"/>
      <c r="M920" s="386"/>
      <c r="N920" s="386"/>
      <c r="O920" s="386"/>
      <c r="P920" s="386"/>
      <c r="Q920" s="386"/>
    </row>
    <row r="921" spans="1:17" ht="30" customHeight="1" x14ac:dyDescent="0.2">
      <c r="A921" s="7656"/>
      <c r="B921" s="8348"/>
      <c r="C921" s="8345"/>
      <c r="D921" s="7690"/>
      <c r="E921" s="7692"/>
      <c r="F921" s="7690"/>
      <c r="G921" s="7850"/>
      <c r="H921" s="7851"/>
      <c r="I921" s="7851"/>
      <c r="J921" s="7852"/>
      <c r="K921" s="4252"/>
      <c r="L921" s="4251"/>
      <c r="M921" s="386"/>
      <c r="N921" s="386"/>
      <c r="O921" s="386"/>
      <c r="P921" s="386"/>
      <c r="Q921" s="386"/>
    </row>
    <row r="922" spans="1:17" ht="30" customHeight="1" x14ac:dyDescent="0.2">
      <c r="A922" s="7656"/>
      <c r="B922" s="8348"/>
      <c r="C922" s="8345"/>
      <c r="D922" s="7690"/>
      <c r="E922" s="7692"/>
      <c r="F922" s="7690"/>
      <c r="G922" s="7850"/>
      <c r="H922" s="7851"/>
      <c r="I922" s="7851"/>
      <c r="J922" s="7852"/>
      <c r="K922" s="4252"/>
      <c r="L922" s="4251"/>
      <c r="M922" s="386"/>
      <c r="N922" s="386"/>
      <c r="O922" s="386"/>
      <c r="P922" s="386"/>
      <c r="Q922" s="386"/>
    </row>
    <row r="923" spans="1:17" ht="30" customHeight="1" x14ac:dyDescent="0.2">
      <c r="A923" s="7656"/>
      <c r="B923" s="8348"/>
      <c r="C923" s="8345"/>
      <c r="D923" s="7690"/>
      <c r="E923" s="7692"/>
      <c r="F923" s="7690"/>
      <c r="G923" s="7732" t="s">
        <v>6094</v>
      </c>
      <c r="H923" s="7733"/>
      <c r="I923" s="7733"/>
      <c r="J923" s="7734"/>
      <c r="K923" s="4252"/>
      <c r="L923" s="4251"/>
      <c r="M923" s="386"/>
      <c r="N923" s="386"/>
      <c r="O923" s="386"/>
      <c r="P923" s="386"/>
      <c r="Q923" s="386"/>
    </row>
    <row r="924" spans="1:17" ht="30" customHeight="1" x14ac:dyDescent="0.2">
      <c r="A924" s="7655"/>
      <c r="B924" s="8349"/>
      <c r="C924" s="8346"/>
      <c r="D924" s="7678"/>
      <c r="E924" s="7693"/>
      <c r="F924" s="7678"/>
      <c r="G924" s="7732" t="s">
        <v>6095</v>
      </c>
      <c r="H924" s="7733"/>
      <c r="I924" s="7733"/>
      <c r="J924" s="7734"/>
      <c r="K924" s="4252"/>
      <c r="L924" s="4251"/>
      <c r="M924" s="386"/>
      <c r="N924" s="386"/>
      <c r="O924" s="386"/>
      <c r="P924" s="386"/>
      <c r="Q924" s="386"/>
    </row>
    <row r="925" spans="1:17" ht="30" customHeight="1" x14ac:dyDescent="0.2">
      <c r="A925" s="7654"/>
      <c r="B925" s="7652" t="s">
        <v>3040</v>
      </c>
      <c r="C925" s="7723" t="s">
        <v>1172</v>
      </c>
      <c r="D925" s="3683">
        <v>1000000000</v>
      </c>
      <c r="E925" s="3702">
        <v>7.0000000000000007E-2</v>
      </c>
      <c r="F925" s="3683">
        <f>D925*E925</f>
        <v>70000000</v>
      </c>
      <c r="G925" s="3483">
        <v>20000000</v>
      </c>
      <c r="H925" s="3696" t="s">
        <v>1649</v>
      </c>
      <c r="I925" s="3696" t="s">
        <v>5476</v>
      </c>
      <c r="J925" s="3696">
        <f>G925</f>
        <v>20000000</v>
      </c>
      <c r="K925" s="3679">
        <f>F925-J925</f>
        <v>50000000</v>
      </c>
      <c r="L925" s="3542"/>
      <c r="M925" s="386"/>
      <c r="N925" s="386"/>
      <c r="O925" s="386"/>
      <c r="P925" s="386"/>
      <c r="Q925" s="386"/>
    </row>
    <row r="926" spans="1:17" ht="30" customHeight="1" x14ac:dyDescent="0.2">
      <c r="A926" s="7656"/>
      <c r="B926" s="7665"/>
      <c r="C926" s="7747"/>
      <c r="D926" s="3696">
        <v>50000000</v>
      </c>
      <c r="E926" s="3696">
        <v>7.0000000000000007E-2</v>
      </c>
      <c r="F926" s="3696">
        <f>D926*E926</f>
        <v>3500000.0000000005</v>
      </c>
      <c r="G926" s="7732" t="s">
        <v>5477</v>
      </c>
      <c r="H926" s="7733"/>
      <c r="I926" s="7733"/>
      <c r="J926" s="7734"/>
      <c r="K926" s="3679"/>
      <c r="L926" s="3554"/>
      <c r="M926" s="386"/>
      <c r="N926" s="386"/>
      <c r="O926" s="386"/>
      <c r="P926" s="386"/>
      <c r="Q926" s="386"/>
    </row>
    <row r="927" spans="1:17" ht="30" customHeight="1" x14ac:dyDescent="0.2">
      <c r="A927" s="7655"/>
      <c r="B927" s="7653"/>
      <c r="C927" s="7724"/>
      <c r="D927" s="3709">
        <v>1050000000</v>
      </c>
      <c r="E927" s="896">
        <v>7.0000000000000007E-2</v>
      </c>
      <c r="F927" s="3709">
        <f>D927*E927</f>
        <v>73500000</v>
      </c>
      <c r="G927" s="3483"/>
      <c r="H927" s="3483"/>
      <c r="I927" s="3509"/>
      <c r="J927" s="3483"/>
      <c r="K927" s="3521"/>
      <c r="L927" s="3543"/>
      <c r="M927" s="386"/>
      <c r="N927" s="386"/>
      <c r="O927" s="386"/>
      <c r="P927" s="386"/>
      <c r="Q927" s="386"/>
    </row>
    <row r="928" spans="1:17" ht="30" customHeight="1" x14ac:dyDescent="0.2">
      <c r="A928" s="3526"/>
      <c r="B928" s="3527" t="s">
        <v>3071</v>
      </c>
      <c r="C928" s="3504" t="s">
        <v>889</v>
      </c>
      <c r="D928" s="3483">
        <v>100000000</v>
      </c>
      <c r="E928" s="3523">
        <v>0.05</v>
      </c>
      <c r="F928" s="3483">
        <f t="shared" si="93"/>
        <v>5000000</v>
      </c>
      <c r="G928" s="3483">
        <v>5000000</v>
      </c>
      <c r="H928" s="3483" t="s">
        <v>5358</v>
      </c>
      <c r="I928" s="3509" t="s">
        <v>3966</v>
      </c>
      <c r="J928" s="3483">
        <f>G928</f>
        <v>5000000</v>
      </c>
      <c r="K928" s="3521">
        <f>F928-J928</f>
        <v>0</v>
      </c>
      <c r="L928" s="3555"/>
      <c r="M928" s="3555"/>
      <c r="N928" s="3555"/>
      <c r="O928" s="3555"/>
      <c r="P928" s="3555"/>
      <c r="Q928" s="386"/>
    </row>
    <row r="929" spans="1:17" ht="30" customHeight="1" x14ac:dyDescent="0.2">
      <c r="A929" s="3526"/>
      <c r="B929" s="3527" t="s">
        <v>3764</v>
      </c>
      <c r="C929" s="3529"/>
      <c r="D929" s="3513">
        <v>30000000</v>
      </c>
      <c r="E929" s="3523">
        <v>7.0000000000000007E-2</v>
      </c>
      <c r="F929" s="3513">
        <f t="shared" si="93"/>
        <v>2100000</v>
      </c>
      <c r="G929" s="3513">
        <v>2100000</v>
      </c>
      <c r="H929" s="3513" t="s">
        <v>2341</v>
      </c>
      <c r="I929" s="3513" t="s">
        <v>4141</v>
      </c>
      <c r="J929" s="3513">
        <f>G929</f>
        <v>2100000</v>
      </c>
      <c r="K929" s="3478">
        <f>F929-J929</f>
        <v>0</v>
      </c>
      <c r="L929" s="3542"/>
      <c r="M929" s="386"/>
      <c r="N929" s="386"/>
      <c r="O929" s="386"/>
      <c r="P929" s="386"/>
      <c r="Q929" s="386"/>
    </row>
    <row r="930" spans="1:17" ht="30" customHeight="1" x14ac:dyDescent="0.2">
      <c r="A930" s="7654"/>
      <c r="B930" s="7652" t="s">
        <v>3954</v>
      </c>
      <c r="C930" s="7723"/>
      <c r="D930" s="7563">
        <v>300000000</v>
      </c>
      <c r="E930" s="7659">
        <v>0.05</v>
      </c>
      <c r="F930" s="7563">
        <f>D930*E930</f>
        <v>15000000</v>
      </c>
      <c r="G930" s="7563">
        <v>15000000</v>
      </c>
      <c r="H930" s="7563" t="s">
        <v>2341</v>
      </c>
      <c r="I930" s="7563" t="s">
        <v>4147</v>
      </c>
      <c r="J930" s="7563">
        <f>G930+G931+G932</f>
        <v>15000000</v>
      </c>
      <c r="K930" s="7816">
        <f>F930-J930</f>
        <v>0</v>
      </c>
      <c r="L930" s="3554"/>
      <c r="M930" s="386"/>
      <c r="N930" s="386"/>
      <c r="O930" s="386"/>
      <c r="P930" s="386"/>
      <c r="Q930" s="386"/>
    </row>
    <row r="931" spans="1:17" ht="30" customHeight="1" x14ac:dyDescent="0.2">
      <c r="A931" s="7656"/>
      <c r="B931" s="7665"/>
      <c r="C931" s="7747"/>
      <c r="D931" s="7586"/>
      <c r="E931" s="7676"/>
      <c r="F931" s="7586"/>
      <c r="G931" s="7586"/>
      <c r="H931" s="7586"/>
      <c r="I931" s="7586"/>
      <c r="J931" s="7586"/>
      <c r="K931" s="7882"/>
      <c r="L931" s="3543"/>
      <c r="M931" s="386"/>
      <c r="N931" s="386"/>
      <c r="O931" s="386"/>
      <c r="P931" s="386"/>
      <c r="Q931" s="386"/>
    </row>
    <row r="932" spans="1:17" ht="30" customHeight="1" x14ac:dyDescent="0.2">
      <c r="A932" s="7656"/>
      <c r="B932" s="7665"/>
      <c r="C932" s="7747"/>
      <c r="D932" s="7564"/>
      <c r="E932" s="7660"/>
      <c r="F932" s="7564"/>
      <c r="G932" s="7564"/>
      <c r="H932" s="7564"/>
      <c r="I932" s="7564"/>
      <c r="J932" s="7564"/>
      <c r="K932" s="7817"/>
      <c r="L932" s="3543" t="s">
        <v>4763</v>
      </c>
      <c r="M932" s="386"/>
      <c r="N932" s="386"/>
      <c r="O932" s="386"/>
      <c r="P932" s="386"/>
      <c r="Q932" s="386"/>
    </row>
    <row r="933" spans="1:17" ht="30" customHeight="1" x14ac:dyDescent="0.2">
      <c r="A933" s="7655"/>
      <c r="B933" s="7653"/>
      <c r="C933" s="7724"/>
      <c r="D933" s="3483">
        <v>60000000</v>
      </c>
      <c r="E933" s="3489">
        <v>0.05</v>
      </c>
      <c r="F933" s="3483">
        <f>D933*E933</f>
        <v>3000000</v>
      </c>
      <c r="G933" s="7732" t="s">
        <v>6081</v>
      </c>
      <c r="H933" s="7733"/>
      <c r="I933" s="7733"/>
      <c r="J933" s="7734"/>
      <c r="K933" s="3521"/>
      <c r="L933" s="3543" t="s">
        <v>5265</v>
      </c>
      <c r="M933" s="386"/>
      <c r="N933" s="386"/>
      <c r="O933" s="386"/>
      <c r="P933" s="386"/>
      <c r="Q933" s="386"/>
    </row>
    <row r="934" spans="1:17" ht="30" customHeight="1" x14ac:dyDescent="0.2">
      <c r="A934" s="1028"/>
      <c r="B934" s="19" t="s">
        <v>3159</v>
      </c>
      <c r="C934" s="3993" t="s">
        <v>989</v>
      </c>
      <c r="D934" s="3483">
        <v>50000000</v>
      </c>
      <c r="E934" s="3489">
        <v>0.05</v>
      </c>
      <c r="F934" s="3483">
        <f>D934*E934</f>
        <v>2500000</v>
      </c>
      <c r="G934" s="3513">
        <v>2500000</v>
      </c>
      <c r="H934" s="3513" t="s">
        <v>5853</v>
      </c>
      <c r="I934" s="3513" t="s">
        <v>5854</v>
      </c>
      <c r="J934" s="3513">
        <f>G934</f>
        <v>2500000</v>
      </c>
      <c r="K934" s="3521">
        <f>F934-J934</f>
        <v>0</v>
      </c>
      <c r="L934" s="3543"/>
      <c r="M934" s="386"/>
      <c r="N934" s="386"/>
      <c r="O934" s="386"/>
      <c r="P934" s="386"/>
      <c r="Q934" s="386"/>
    </row>
    <row r="935" spans="1:17" ht="30" customHeight="1" x14ac:dyDescent="0.2">
      <c r="A935" s="7654"/>
      <c r="B935" s="7661" t="s">
        <v>3164</v>
      </c>
      <c r="C935" s="7723" t="s">
        <v>3323</v>
      </c>
      <c r="D935" s="7482">
        <v>400000000</v>
      </c>
      <c r="E935" s="7870">
        <v>0.04</v>
      </c>
      <c r="F935" s="7482">
        <f>D935*E935</f>
        <v>16000000</v>
      </c>
      <c r="G935" s="3513"/>
      <c r="H935" s="3513"/>
      <c r="I935" s="3513" t="s">
        <v>4844</v>
      </c>
      <c r="J935" s="3513">
        <f>G935</f>
        <v>0</v>
      </c>
      <c r="K935" s="3521">
        <f>F935-J935</f>
        <v>16000000</v>
      </c>
      <c r="L935" s="3555" t="s">
        <v>4437</v>
      </c>
      <c r="M935" s="386"/>
      <c r="N935" s="386"/>
      <c r="O935" s="386"/>
      <c r="P935" s="386"/>
      <c r="Q935" s="386"/>
    </row>
    <row r="936" spans="1:17" ht="30" customHeight="1" x14ac:dyDescent="0.2">
      <c r="A936" s="7655"/>
      <c r="B936" s="7663"/>
      <c r="C936" s="7724"/>
      <c r="D936" s="7482"/>
      <c r="E936" s="7870"/>
      <c r="F936" s="7482"/>
      <c r="G936" s="3513"/>
      <c r="H936" s="3513"/>
      <c r="I936" s="3513" t="s">
        <v>4844</v>
      </c>
      <c r="J936" s="3481">
        <f>G936</f>
        <v>0</v>
      </c>
      <c r="K936" s="3524">
        <f>F935-J936</f>
        <v>16000000</v>
      </c>
      <c r="L936" s="3555" t="s">
        <v>4905</v>
      </c>
      <c r="M936" s="386"/>
      <c r="N936" s="386"/>
      <c r="O936" s="386"/>
      <c r="P936" s="386"/>
      <c r="Q936" s="386"/>
    </row>
    <row r="937" spans="1:17" ht="30" customHeight="1" x14ac:dyDescent="0.2">
      <c r="A937" s="7654"/>
      <c r="B937" s="7661" t="s">
        <v>825</v>
      </c>
      <c r="C937" s="7703"/>
      <c r="D937" s="7962" t="s">
        <v>4935</v>
      </c>
      <c r="E937" s="7963"/>
      <c r="F937" s="7964"/>
      <c r="G937" s="3513"/>
      <c r="H937" s="3513"/>
      <c r="I937" s="3513" t="s">
        <v>855</v>
      </c>
      <c r="J937" s="7563">
        <f>G937+G938</f>
        <v>0</v>
      </c>
      <c r="K937" s="7816">
        <f>100000000-J937</f>
        <v>100000000</v>
      </c>
      <c r="L937" s="3555"/>
      <c r="M937" s="386"/>
      <c r="N937" s="386"/>
      <c r="O937" s="386"/>
      <c r="P937" s="386"/>
      <c r="Q937" s="386"/>
    </row>
    <row r="938" spans="1:17" ht="30" customHeight="1" x14ac:dyDescent="0.2">
      <c r="A938" s="7656"/>
      <c r="B938" s="7662"/>
      <c r="C938" s="7704"/>
      <c r="D938" s="7968"/>
      <c r="E938" s="7969"/>
      <c r="F938" s="7970"/>
      <c r="G938" s="3483"/>
      <c r="H938" s="3483"/>
      <c r="I938" s="3483" t="s">
        <v>855</v>
      </c>
      <c r="J938" s="7564"/>
      <c r="K938" s="7817"/>
      <c r="L938" s="3555" t="s">
        <v>4628</v>
      </c>
      <c r="M938" s="386"/>
      <c r="N938" s="386"/>
      <c r="O938" s="386"/>
      <c r="P938" s="386"/>
      <c r="Q938" s="386"/>
    </row>
    <row r="939" spans="1:17" ht="30" customHeight="1" x14ac:dyDescent="0.2">
      <c r="A939" s="7655"/>
      <c r="B939" s="7663"/>
      <c r="C939" s="7705"/>
      <c r="D939" s="3529"/>
      <c r="E939" s="3529"/>
      <c r="F939" s="3529"/>
      <c r="G939" s="3483"/>
      <c r="H939" s="3483"/>
      <c r="I939" s="3483"/>
      <c r="J939" s="3483"/>
      <c r="K939" s="3521"/>
      <c r="L939" s="3555"/>
      <c r="M939" s="386"/>
      <c r="N939" s="386"/>
      <c r="O939" s="386"/>
      <c r="P939" s="386"/>
      <c r="Q939" s="386"/>
    </row>
    <row r="940" spans="1:17" ht="30" customHeight="1" x14ac:dyDescent="0.2">
      <c r="A940" s="399"/>
      <c r="B940" s="3485" t="s">
        <v>3215</v>
      </c>
      <c r="C940" s="3504" t="s">
        <v>3216</v>
      </c>
      <c r="D940" s="3483">
        <v>120000000</v>
      </c>
      <c r="E940" s="3489">
        <v>0.04</v>
      </c>
      <c r="F940" s="3483">
        <f>D940*E940</f>
        <v>4800000</v>
      </c>
      <c r="G940" s="3483">
        <v>4800000</v>
      </c>
      <c r="H940" s="4925" t="s">
        <v>5839</v>
      </c>
      <c r="I940" s="3483" t="s">
        <v>1946</v>
      </c>
      <c r="J940" s="3483">
        <f t="shared" ref="J940:J955" si="94">G940</f>
        <v>4800000</v>
      </c>
      <c r="K940" s="3521">
        <f t="shared" ref="K940:K950" si="95">F940-J940</f>
        <v>0</v>
      </c>
      <c r="L940" s="3555"/>
      <c r="M940" s="386"/>
      <c r="N940" s="386"/>
      <c r="O940" s="386"/>
      <c r="P940" s="386"/>
      <c r="Q940" s="386"/>
    </row>
    <row r="941" spans="1:17" ht="30" customHeight="1" x14ac:dyDescent="0.2">
      <c r="A941" s="146"/>
      <c r="B941" s="3485" t="s">
        <v>3218</v>
      </c>
      <c r="C941" s="3504" t="s">
        <v>3219</v>
      </c>
      <c r="D941" s="3483">
        <v>100000000</v>
      </c>
      <c r="E941" s="3523">
        <v>0.05</v>
      </c>
      <c r="F941" s="3483">
        <f>D941*E941</f>
        <v>5000000</v>
      </c>
      <c r="G941" s="3513">
        <v>5000000</v>
      </c>
      <c r="H941" s="3513" t="s">
        <v>5340</v>
      </c>
      <c r="I941" s="3513" t="s">
        <v>3520</v>
      </c>
      <c r="J941" s="3513">
        <f t="shared" si="94"/>
        <v>5000000</v>
      </c>
      <c r="K941" s="3521">
        <f t="shared" si="95"/>
        <v>0</v>
      </c>
      <c r="L941" s="3555" t="s">
        <v>4905</v>
      </c>
      <c r="M941" s="386"/>
      <c r="N941" s="386"/>
      <c r="O941" s="386"/>
      <c r="P941" s="386"/>
      <c r="Q941" s="386"/>
    </row>
    <row r="942" spans="1:17" ht="30" customHeight="1" x14ac:dyDescent="0.2">
      <c r="A942" s="146"/>
      <c r="B942" s="3485" t="s">
        <v>3221</v>
      </c>
      <c r="C942" s="3504" t="s">
        <v>1796</v>
      </c>
      <c r="D942" s="3483">
        <v>50000000</v>
      </c>
      <c r="E942" s="3523">
        <v>0.05</v>
      </c>
      <c r="F942" s="3483">
        <f>D942*E942</f>
        <v>2500000</v>
      </c>
      <c r="G942" s="3513">
        <v>2500000</v>
      </c>
      <c r="H942" s="3513" t="s">
        <v>5990</v>
      </c>
      <c r="I942" s="3513" t="s">
        <v>4262</v>
      </c>
      <c r="J942" s="3513">
        <f t="shared" si="94"/>
        <v>2500000</v>
      </c>
      <c r="K942" s="3521">
        <f t="shared" si="95"/>
        <v>0</v>
      </c>
      <c r="L942" s="3555"/>
      <c r="M942" s="386"/>
      <c r="N942" s="386"/>
      <c r="O942" s="386"/>
      <c r="P942" s="386"/>
      <c r="Q942" s="386"/>
    </row>
    <row r="943" spans="1:17" ht="30" customHeight="1" x14ac:dyDescent="0.2">
      <c r="A943" s="146"/>
      <c r="B943" s="3505" t="s">
        <v>3224</v>
      </c>
      <c r="C943" s="3544"/>
      <c r="D943" s="3544"/>
      <c r="E943" s="2519"/>
      <c r="F943" s="3501"/>
      <c r="G943" s="3484"/>
      <c r="H943" s="3484"/>
      <c r="I943" s="3484" t="s">
        <v>3226</v>
      </c>
      <c r="J943" s="3484">
        <f t="shared" si="94"/>
        <v>0</v>
      </c>
      <c r="K943" s="3522">
        <f t="shared" si="95"/>
        <v>0</v>
      </c>
      <c r="L943" s="2177" t="s">
        <v>4831</v>
      </c>
      <c r="M943" s="386"/>
      <c r="N943" s="386"/>
      <c r="O943" s="386"/>
      <c r="P943" s="386"/>
      <c r="Q943" s="386"/>
    </row>
    <row r="944" spans="1:17" ht="30" customHeight="1" x14ac:dyDescent="0.2">
      <c r="A944" s="146"/>
      <c r="B944" s="3485" t="s">
        <v>3257</v>
      </c>
      <c r="C944" s="3504" t="s">
        <v>402</v>
      </c>
      <c r="D944" s="3483">
        <v>40000000</v>
      </c>
      <c r="E944" s="3523">
        <v>0.05</v>
      </c>
      <c r="F944" s="3483">
        <f>D944*E944</f>
        <v>2000000</v>
      </c>
      <c r="G944" s="3513">
        <v>2000000</v>
      </c>
      <c r="H944" s="3513" t="s">
        <v>5367</v>
      </c>
      <c r="I944" s="3513" t="s">
        <v>5536</v>
      </c>
      <c r="J944" s="3513">
        <f t="shared" si="94"/>
        <v>2000000</v>
      </c>
      <c r="K944" s="2352">
        <f t="shared" si="95"/>
        <v>0</v>
      </c>
      <c r="L944" s="3555"/>
      <c r="M944" s="386"/>
      <c r="N944" s="386"/>
      <c r="O944" s="386"/>
      <c r="P944" s="386"/>
      <c r="Q944" s="386"/>
    </row>
    <row r="945" spans="1:17" ht="30" customHeight="1" x14ac:dyDescent="0.2">
      <c r="A945" s="7654"/>
      <c r="B945" s="7661" t="s">
        <v>3293</v>
      </c>
      <c r="C945" s="7723" t="s">
        <v>1796</v>
      </c>
      <c r="D945" s="7563">
        <v>15000000</v>
      </c>
      <c r="E945" s="7659">
        <v>0.05</v>
      </c>
      <c r="F945" s="7563">
        <f>D945*E945</f>
        <v>750000</v>
      </c>
      <c r="G945" s="3513">
        <v>750000</v>
      </c>
      <c r="H945" s="3513" t="s">
        <v>1527</v>
      </c>
      <c r="I945" s="3513" t="s">
        <v>5416</v>
      </c>
      <c r="J945" s="3513">
        <f t="shared" si="94"/>
        <v>750000</v>
      </c>
      <c r="K945" s="3521">
        <f t="shared" si="95"/>
        <v>0</v>
      </c>
      <c r="L945" s="3555" t="s">
        <v>5993</v>
      </c>
      <c r="M945" s="386"/>
      <c r="N945" s="386"/>
      <c r="O945" s="386"/>
      <c r="P945" s="386"/>
      <c r="Q945" s="386"/>
    </row>
    <row r="946" spans="1:17" ht="30" customHeight="1" x14ac:dyDescent="0.2">
      <c r="A946" s="7655"/>
      <c r="B946" s="7663"/>
      <c r="C946" s="7724"/>
      <c r="D946" s="7564"/>
      <c r="E946" s="7660"/>
      <c r="F946" s="7564"/>
      <c r="G946" s="4136">
        <v>750000</v>
      </c>
      <c r="H946" s="4136" t="s">
        <v>5990</v>
      </c>
      <c r="I946" s="4136" t="s">
        <v>5416</v>
      </c>
      <c r="J946" s="4136">
        <f t="shared" si="94"/>
        <v>750000</v>
      </c>
      <c r="K946" s="4146">
        <f>F945-J946</f>
        <v>0</v>
      </c>
      <c r="L946" s="4151" t="s">
        <v>4906</v>
      </c>
      <c r="M946" s="386"/>
      <c r="N946" s="386"/>
      <c r="O946" s="386"/>
      <c r="P946" s="386"/>
      <c r="Q946" s="386"/>
    </row>
    <row r="947" spans="1:17" ht="30" customHeight="1" x14ac:dyDescent="0.2">
      <c r="A947" s="7654"/>
      <c r="B947" s="7661" t="s">
        <v>3296</v>
      </c>
      <c r="C947" s="7723" t="s">
        <v>942</v>
      </c>
      <c r="D947" s="7563">
        <v>150000000</v>
      </c>
      <c r="E947" s="7659">
        <v>0.05</v>
      </c>
      <c r="F947" s="7563">
        <f>D947*E947</f>
        <v>7500000</v>
      </c>
      <c r="G947" s="3513"/>
      <c r="H947" s="3513"/>
      <c r="I947" s="3513" t="s">
        <v>4263</v>
      </c>
      <c r="J947" s="3513">
        <f t="shared" si="94"/>
        <v>0</v>
      </c>
      <c r="K947" s="3521">
        <f t="shared" si="95"/>
        <v>7500000</v>
      </c>
      <c r="L947" s="3555" t="s">
        <v>4437</v>
      </c>
      <c r="M947" s="386"/>
      <c r="N947" s="386"/>
      <c r="O947" s="386"/>
      <c r="P947" s="386"/>
      <c r="Q947" s="386"/>
    </row>
    <row r="948" spans="1:17" ht="30" customHeight="1" x14ac:dyDescent="0.2">
      <c r="A948" s="7655"/>
      <c r="B948" s="7663"/>
      <c r="C948" s="7724"/>
      <c r="D948" s="7564"/>
      <c r="E948" s="7660"/>
      <c r="F948" s="7564"/>
      <c r="G948" s="3513"/>
      <c r="H948" s="3513"/>
      <c r="I948" s="3513" t="s">
        <v>4263</v>
      </c>
      <c r="J948" s="3513">
        <f t="shared" si="94"/>
        <v>0</v>
      </c>
      <c r="K948" s="3521">
        <f>F947-J948</f>
        <v>7500000</v>
      </c>
      <c r="L948" s="3555" t="s">
        <v>4905</v>
      </c>
      <c r="M948" s="386"/>
      <c r="N948" s="386"/>
      <c r="O948" s="386"/>
      <c r="P948" s="386"/>
      <c r="Q948" s="386"/>
    </row>
    <row r="949" spans="1:17" ht="30" customHeight="1" x14ac:dyDescent="0.2">
      <c r="A949" s="3526"/>
      <c r="B949" s="3" t="s">
        <v>3308</v>
      </c>
      <c r="C949" s="3504" t="s">
        <v>3323</v>
      </c>
      <c r="D949" s="3483">
        <v>20000000</v>
      </c>
      <c r="E949" s="3523">
        <v>0.05</v>
      </c>
      <c r="F949" s="3483">
        <f>D949*E949</f>
        <v>1000000</v>
      </c>
      <c r="G949" s="3513">
        <v>1000000</v>
      </c>
      <c r="H949" s="3513" t="s">
        <v>5434</v>
      </c>
      <c r="I949" s="3513" t="s">
        <v>3901</v>
      </c>
      <c r="J949" s="3513">
        <f t="shared" si="94"/>
        <v>1000000</v>
      </c>
      <c r="K949" s="3521">
        <f t="shared" si="95"/>
        <v>0</v>
      </c>
      <c r="L949" s="3555"/>
      <c r="M949" s="386"/>
      <c r="N949" s="386"/>
      <c r="O949" s="386"/>
      <c r="P949" s="386"/>
      <c r="Q949" s="386"/>
    </row>
    <row r="950" spans="1:17" ht="30" customHeight="1" x14ac:dyDescent="0.2">
      <c r="A950" s="3526"/>
      <c r="B950" s="3" t="s">
        <v>4305</v>
      </c>
      <c r="C950" s="3504" t="s">
        <v>889</v>
      </c>
      <c r="D950" s="3483">
        <v>200000000</v>
      </c>
      <c r="E950" s="3523">
        <v>0.05</v>
      </c>
      <c r="F950" s="3483">
        <f>D950*E950</f>
        <v>10000000</v>
      </c>
      <c r="G950" s="3513">
        <v>10000000</v>
      </c>
      <c r="H950" s="3513" t="s">
        <v>5358</v>
      </c>
      <c r="I950" s="3513" t="s">
        <v>4306</v>
      </c>
      <c r="J950" s="3513">
        <f t="shared" si="94"/>
        <v>10000000</v>
      </c>
      <c r="K950" s="3521">
        <f t="shared" si="95"/>
        <v>0</v>
      </c>
      <c r="L950" s="3555"/>
      <c r="M950" s="386"/>
      <c r="N950" s="386"/>
      <c r="O950" s="386"/>
      <c r="P950" s="386"/>
      <c r="Q950" s="386"/>
    </row>
    <row r="951" spans="1:17" ht="30" customHeight="1" x14ac:dyDescent="0.2">
      <c r="A951" s="3526"/>
      <c r="B951" s="3" t="s">
        <v>3332</v>
      </c>
      <c r="C951" s="3485"/>
      <c r="D951" s="3544"/>
      <c r="E951" s="2519"/>
      <c r="F951" s="3501"/>
      <c r="G951" s="3513"/>
      <c r="H951" s="3513"/>
      <c r="I951" s="3513"/>
      <c r="J951" s="3513">
        <f t="shared" si="94"/>
        <v>0</v>
      </c>
      <c r="K951" s="3522"/>
      <c r="L951" s="3555"/>
      <c r="M951" s="386"/>
      <c r="N951" s="386"/>
      <c r="O951" s="386"/>
      <c r="P951" s="386"/>
      <c r="Q951" s="386"/>
    </row>
    <row r="952" spans="1:17" ht="30" customHeight="1" x14ac:dyDescent="0.2">
      <c r="A952" s="7654"/>
      <c r="B952" s="7661" t="s">
        <v>3395</v>
      </c>
      <c r="C952" s="3504" t="s">
        <v>889</v>
      </c>
      <c r="D952" s="3483">
        <v>1000000000</v>
      </c>
      <c r="E952" s="3523">
        <v>6.5000000000000002E-2</v>
      </c>
      <c r="F952" s="3483">
        <f>D952*E952</f>
        <v>65000000</v>
      </c>
      <c r="G952" s="7494" t="s">
        <v>6132</v>
      </c>
      <c r="H952" s="7495"/>
      <c r="I952" s="7495"/>
      <c r="J952" s="7768"/>
      <c r="K952" s="3521">
        <v>0</v>
      </c>
      <c r="L952" s="2700" t="s">
        <v>6134</v>
      </c>
      <c r="M952" s="386"/>
      <c r="N952" s="386"/>
      <c r="O952" s="386"/>
      <c r="P952" s="386"/>
      <c r="Q952" s="386"/>
    </row>
    <row r="953" spans="1:17" ht="30" customHeight="1" x14ac:dyDescent="0.2">
      <c r="A953" s="7656"/>
      <c r="B953" s="7662"/>
      <c r="C953" s="7723" t="s">
        <v>1298</v>
      </c>
      <c r="D953" s="7563">
        <v>500000000</v>
      </c>
      <c r="E953" s="7659">
        <v>6.5000000000000002E-2</v>
      </c>
      <c r="F953" s="7563">
        <f>D953*E953</f>
        <v>32500000</v>
      </c>
      <c r="G953" s="7877"/>
      <c r="H953" s="7524"/>
      <c r="I953" s="7524"/>
      <c r="J953" s="7878"/>
      <c r="K953" s="3521">
        <v>0</v>
      </c>
      <c r="L953" s="2177" t="s">
        <v>5503</v>
      </c>
      <c r="M953" s="386"/>
      <c r="N953" s="386"/>
      <c r="O953" s="386"/>
      <c r="P953" s="386"/>
      <c r="Q953" s="386"/>
    </row>
    <row r="954" spans="1:17" ht="30" customHeight="1" x14ac:dyDescent="0.2">
      <c r="A954" s="7655"/>
      <c r="B954" s="7663"/>
      <c r="C954" s="7724"/>
      <c r="D954" s="7564"/>
      <c r="E954" s="7660"/>
      <c r="F954" s="7564"/>
      <c r="G954" s="7769"/>
      <c r="H954" s="7805"/>
      <c r="I954" s="7805"/>
      <c r="J954" s="7770"/>
      <c r="K954" s="3738"/>
      <c r="L954" s="2700"/>
      <c r="M954" s="386"/>
      <c r="N954" s="386"/>
      <c r="O954" s="386"/>
      <c r="P954" s="386"/>
      <c r="Q954" s="386"/>
    </row>
    <row r="955" spans="1:17" ht="30" customHeight="1" x14ac:dyDescent="0.2">
      <c r="A955" s="7654"/>
      <c r="B955" s="7661" t="s">
        <v>3514</v>
      </c>
      <c r="C955" s="7723" t="s">
        <v>1652</v>
      </c>
      <c r="D955" s="3507">
        <v>120000000</v>
      </c>
      <c r="E955" s="2348">
        <v>0.05</v>
      </c>
      <c r="F955" s="3507">
        <f>D955*E955</f>
        <v>6000000</v>
      </c>
      <c r="G955" s="3507">
        <v>6000000</v>
      </c>
      <c r="H955" s="3507" t="s">
        <v>5398</v>
      </c>
      <c r="I955" s="3508" t="s">
        <v>678</v>
      </c>
      <c r="J955" s="3507">
        <f t="shared" si="94"/>
        <v>6000000</v>
      </c>
      <c r="K955" s="2349">
        <f>F955-J955</f>
        <v>0</v>
      </c>
      <c r="L955" s="3555"/>
      <c r="M955" s="386"/>
      <c r="N955" s="386"/>
      <c r="O955" s="386"/>
      <c r="P955" s="386"/>
      <c r="Q955" s="386"/>
    </row>
    <row r="956" spans="1:17" ht="30" customHeight="1" x14ac:dyDescent="0.2">
      <c r="A956" s="7655"/>
      <c r="B956" s="7663"/>
      <c r="C956" s="7724"/>
      <c r="D956" s="3928">
        <v>30000000</v>
      </c>
      <c r="E956" s="2348">
        <v>0.05</v>
      </c>
      <c r="F956" s="3928">
        <f>D956*E956</f>
        <v>1500000</v>
      </c>
      <c r="G956" s="3902"/>
      <c r="H956" s="3902"/>
      <c r="I956" s="3903"/>
      <c r="J956" s="3902"/>
      <c r="K956" s="2349"/>
      <c r="L956" s="3906" t="s">
        <v>5663</v>
      </c>
      <c r="M956" s="386"/>
      <c r="N956" s="386"/>
      <c r="O956" s="386"/>
      <c r="P956" s="386"/>
      <c r="Q956" s="386"/>
    </row>
    <row r="957" spans="1:17" ht="30" customHeight="1" x14ac:dyDescent="0.2">
      <c r="A957" s="7654"/>
      <c r="B957" s="7661" t="s">
        <v>3424</v>
      </c>
      <c r="C957" s="7723"/>
      <c r="D957" s="7494" t="s">
        <v>4937</v>
      </c>
      <c r="E957" s="7495"/>
      <c r="F957" s="7768"/>
      <c r="G957" s="3513"/>
      <c r="H957" s="3513"/>
      <c r="I957" s="3513" t="s">
        <v>4938</v>
      </c>
      <c r="J957" s="7482">
        <f>G957+G958+G959+G960</f>
        <v>0</v>
      </c>
      <c r="K957" s="7499">
        <f>203000000-J957</f>
        <v>203000000</v>
      </c>
      <c r="L957" s="3542"/>
      <c r="M957" s="386"/>
      <c r="N957" s="386"/>
      <c r="O957" s="386"/>
      <c r="P957" s="386"/>
      <c r="Q957" s="386"/>
    </row>
    <row r="958" spans="1:17" ht="30" customHeight="1" x14ac:dyDescent="0.2">
      <c r="A958" s="7656"/>
      <c r="B958" s="7662"/>
      <c r="C958" s="7747"/>
      <c r="D958" s="7877"/>
      <c r="E958" s="7524"/>
      <c r="F958" s="7878"/>
      <c r="G958" s="3513"/>
      <c r="H958" s="3513"/>
      <c r="I958" s="3513" t="s">
        <v>4938</v>
      </c>
      <c r="J958" s="7482"/>
      <c r="K958" s="7499"/>
      <c r="L958" s="3542"/>
      <c r="M958" s="386"/>
      <c r="N958" s="386"/>
      <c r="O958" s="386"/>
      <c r="P958" s="386"/>
      <c r="Q958" s="386"/>
    </row>
    <row r="959" spans="1:17" ht="30" customHeight="1" x14ac:dyDescent="0.2">
      <c r="A959" s="7656"/>
      <c r="B959" s="7662"/>
      <c r="C959" s="7747"/>
      <c r="D959" s="7877"/>
      <c r="E959" s="7524"/>
      <c r="F959" s="7878"/>
      <c r="G959" s="3513"/>
      <c r="H959" s="3513"/>
      <c r="I959" s="3513" t="s">
        <v>4938</v>
      </c>
      <c r="J959" s="7482"/>
      <c r="K959" s="7499"/>
      <c r="L959" s="3542"/>
      <c r="M959" s="386"/>
      <c r="N959" s="386"/>
      <c r="O959" s="386"/>
      <c r="P959" s="386"/>
      <c r="Q959" s="386"/>
    </row>
    <row r="960" spans="1:17" ht="30" customHeight="1" x14ac:dyDescent="0.2">
      <c r="A960" s="7656"/>
      <c r="B960" s="7662"/>
      <c r="C960" s="7747"/>
      <c r="D960" s="7877"/>
      <c r="E960" s="7524"/>
      <c r="F960" s="7878"/>
      <c r="G960" s="3513"/>
      <c r="H960" s="7563"/>
      <c r="I960" s="7563" t="s">
        <v>4938</v>
      </c>
      <c r="J960" s="7482"/>
      <c r="K960" s="7499"/>
      <c r="L960" s="3542"/>
      <c r="M960" s="386"/>
      <c r="N960" s="386"/>
      <c r="O960" s="386"/>
      <c r="P960" s="386"/>
      <c r="Q960" s="386"/>
    </row>
    <row r="961" spans="1:17" ht="30" customHeight="1" x14ac:dyDescent="0.2">
      <c r="A961" s="7655"/>
      <c r="B961" s="7663"/>
      <c r="C961" s="7724"/>
      <c r="D961" s="7769"/>
      <c r="E961" s="7805"/>
      <c r="F961" s="7770"/>
      <c r="G961" s="3513"/>
      <c r="H961" s="7564"/>
      <c r="I961" s="7564"/>
      <c r="J961" s="7"/>
      <c r="K961" s="898"/>
      <c r="L961" s="3542" t="s">
        <v>5044</v>
      </c>
      <c r="M961" s="386"/>
      <c r="N961" s="386"/>
      <c r="O961" s="386"/>
      <c r="P961" s="386"/>
      <c r="Q961" s="386"/>
    </row>
    <row r="962" spans="1:17" s="1539" customFormat="1" ht="30" customHeight="1" x14ac:dyDescent="0.2">
      <c r="A962" s="7654"/>
      <c r="B962" s="7661" t="s">
        <v>3455</v>
      </c>
      <c r="C962" s="7723" t="s">
        <v>3483</v>
      </c>
      <c r="D962" s="3513">
        <v>25000000</v>
      </c>
      <c r="E962" s="3523">
        <v>0.05</v>
      </c>
      <c r="F962" s="3513">
        <f t="shared" ref="F962:F974" si="96">D962*E962</f>
        <v>1250000</v>
      </c>
      <c r="G962" s="7991" t="s">
        <v>4980</v>
      </c>
      <c r="H962" s="7992"/>
      <c r="I962" s="7992"/>
      <c r="J962" s="7993"/>
      <c r="K962" s="3478"/>
      <c r="L962" s="3555" t="s">
        <v>3456</v>
      </c>
      <c r="M962" s="387"/>
      <c r="N962" s="387"/>
      <c r="O962" s="387"/>
      <c r="P962" s="387"/>
      <c r="Q962" s="387"/>
    </row>
    <row r="963" spans="1:17" s="184" customFormat="1" ht="30" customHeight="1" x14ac:dyDescent="0.2">
      <c r="A963" s="7656"/>
      <c r="B963" s="7662"/>
      <c r="C963" s="7747"/>
      <c r="D963" s="3513">
        <v>1250000</v>
      </c>
      <c r="E963" s="3523">
        <v>0.05</v>
      </c>
      <c r="F963" s="3513">
        <f t="shared" si="96"/>
        <v>62500</v>
      </c>
      <c r="G963" s="7563">
        <v>3000000</v>
      </c>
      <c r="H963" s="7563" t="s">
        <v>5367</v>
      </c>
      <c r="I963" s="7563" t="s">
        <v>5564</v>
      </c>
      <c r="J963" s="7563">
        <f>G963</f>
        <v>3000000</v>
      </c>
      <c r="K963" s="7816">
        <f>F966-J963</f>
        <v>0</v>
      </c>
      <c r="L963" s="3555"/>
      <c r="M963" s="386"/>
      <c r="N963" s="386"/>
      <c r="O963" s="386"/>
      <c r="P963" s="386"/>
      <c r="Q963" s="386"/>
    </row>
    <row r="964" spans="1:17" s="184" customFormat="1" ht="30" customHeight="1" x14ac:dyDescent="0.2">
      <c r="A964" s="7656"/>
      <c r="B964" s="7662"/>
      <c r="C964" s="7747"/>
      <c r="D964" s="3513">
        <v>3750000</v>
      </c>
      <c r="E964" s="3523">
        <v>0.05</v>
      </c>
      <c r="F964" s="3513">
        <f t="shared" si="96"/>
        <v>187500</v>
      </c>
      <c r="G964" s="7586"/>
      <c r="H964" s="7586"/>
      <c r="I964" s="7586"/>
      <c r="J964" s="7586"/>
      <c r="K964" s="7882"/>
      <c r="L964" s="3555" t="s">
        <v>4981</v>
      </c>
      <c r="M964" s="386"/>
      <c r="N964" s="386"/>
      <c r="O964" s="386"/>
      <c r="P964" s="386"/>
      <c r="Q964" s="386"/>
    </row>
    <row r="965" spans="1:17" s="184" customFormat="1" ht="30" customHeight="1" x14ac:dyDescent="0.2">
      <c r="A965" s="7656"/>
      <c r="B965" s="7662"/>
      <c r="C965" s="7747"/>
      <c r="D965" s="3513">
        <v>30000000</v>
      </c>
      <c r="E965" s="3523">
        <v>0.05</v>
      </c>
      <c r="F965" s="3513">
        <f t="shared" si="96"/>
        <v>1500000</v>
      </c>
      <c r="G965" s="7586"/>
      <c r="H965" s="7586"/>
      <c r="I965" s="7586"/>
      <c r="J965" s="7586"/>
      <c r="K965" s="7882"/>
      <c r="L965" s="3555" t="s">
        <v>4982</v>
      </c>
      <c r="M965" s="386"/>
      <c r="N965" s="386"/>
      <c r="O965" s="386"/>
      <c r="P965" s="386"/>
      <c r="Q965" s="386"/>
    </row>
    <row r="966" spans="1:17" s="184" customFormat="1" ht="30" customHeight="1" x14ac:dyDescent="0.2">
      <c r="A966" s="7655"/>
      <c r="B966" s="7663"/>
      <c r="C966" s="7724"/>
      <c r="D966" s="3770">
        <f>SUM(D962:D965)</f>
        <v>60000000</v>
      </c>
      <c r="E966" s="3772">
        <v>0.05</v>
      </c>
      <c r="F966" s="3770">
        <f>D966*E966</f>
        <v>3000000</v>
      </c>
      <c r="G966" s="7564"/>
      <c r="H966" s="7564"/>
      <c r="I966" s="7564"/>
      <c r="J966" s="7564"/>
      <c r="K966" s="7817"/>
      <c r="L966" s="3798"/>
      <c r="M966" s="386"/>
      <c r="N966" s="386"/>
      <c r="O966" s="386"/>
      <c r="P966" s="386"/>
      <c r="Q966" s="386"/>
    </row>
    <row r="967" spans="1:17" s="184" customFormat="1" ht="30" customHeight="1" x14ac:dyDescent="0.2">
      <c r="A967" s="7654"/>
      <c r="B967" s="7661" t="s">
        <v>3459</v>
      </c>
      <c r="C967" s="7723" t="s">
        <v>262</v>
      </c>
      <c r="D967" s="7563">
        <v>2050000000</v>
      </c>
      <c r="E967" s="7659">
        <v>0.08</v>
      </c>
      <c r="F967" s="7563">
        <f>D967*E967</f>
        <v>164000000</v>
      </c>
      <c r="G967" s="3513">
        <v>50000000</v>
      </c>
      <c r="H967" s="3513" t="s">
        <v>5340</v>
      </c>
      <c r="I967" s="3513" t="s">
        <v>1401</v>
      </c>
      <c r="J967" s="3513">
        <f>G967</f>
        <v>50000000</v>
      </c>
      <c r="K967" s="3478"/>
      <c r="L967" s="3604" t="s">
        <v>5091</v>
      </c>
      <c r="M967" s="386"/>
      <c r="N967" s="386"/>
      <c r="O967" s="386"/>
      <c r="P967" s="386"/>
      <c r="Q967" s="386"/>
    </row>
    <row r="968" spans="1:17" s="184" customFormat="1" ht="30" customHeight="1" x14ac:dyDescent="0.2">
      <c r="A968" s="7656"/>
      <c r="B968" s="7662"/>
      <c r="C968" s="7747"/>
      <c r="D968" s="7586"/>
      <c r="E968" s="7676"/>
      <c r="F968" s="7586"/>
      <c r="G968" s="3513">
        <v>50000000</v>
      </c>
      <c r="H968" s="3513" t="s">
        <v>5398</v>
      </c>
      <c r="I968" s="3513" t="s">
        <v>1401</v>
      </c>
      <c r="J968" s="3513">
        <f>G968</f>
        <v>50000000</v>
      </c>
      <c r="K968" s="3478"/>
      <c r="L968" s="3604" t="s">
        <v>5355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7656"/>
      <c r="B969" s="7662"/>
      <c r="C969" s="7747"/>
      <c r="D969" s="7586"/>
      <c r="E969" s="7676"/>
      <c r="F969" s="7586"/>
      <c r="G969" s="7732" t="s">
        <v>5354</v>
      </c>
      <c r="H969" s="7733"/>
      <c r="I969" s="7733"/>
      <c r="J969" s="7734"/>
      <c r="K969" s="3478"/>
      <c r="L969" s="3555" t="s">
        <v>5404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7655"/>
      <c r="B970" s="7663"/>
      <c r="C970" s="7724"/>
      <c r="D970" s="7564"/>
      <c r="E970" s="7660"/>
      <c r="F970" s="7564"/>
      <c r="G970" s="7732" t="s">
        <v>5456</v>
      </c>
      <c r="H970" s="7733"/>
      <c r="I970" s="7733"/>
      <c r="J970" s="7734"/>
      <c r="K970" s="3679"/>
      <c r="L970" s="3705"/>
      <c r="M970" s="386"/>
      <c r="N970" s="386"/>
      <c r="O970" s="386"/>
      <c r="P970" s="386"/>
      <c r="Q970" s="386"/>
    </row>
    <row r="971" spans="1:17" s="184" customFormat="1" ht="30" customHeight="1" x14ac:dyDescent="0.2">
      <c r="A971" s="3526"/>
      <c r="B971" s="3" t="s">
        <v>3480</v>
      </c>
      <c r="C971" s="3529" t="s">
        <v>372</v>
      </c>
      <c r="D971" s="3513">
        <v>85000000</v>
      </c>
      <c r="E971" s="3523">
        <v>7.0000000000000007E-2</v>
      </c>
      <c r="F971" s="3513">
        <f t="shared" si="96"/>
        <v>5950000.0000000009</v>
      </c>
      <c r="G971" s="3513">
        <v>5950000</v>
      </c>
      <c r="H971" s="3513" t="s">
        <v>5367</v>
      </c>
      <c r="I971" s="3513" t="s">
        <v>4448</v>
      </c>
      <c r="J971" s="3513">
        <f t="shared" ref="J971:J977" si="97">G971</f>
        <v>5950000</v>
      </c>
      <c r="K971" s="3478">
        <f t="shared" ref="K971:K974" si="98">F971-J971</f>
        <v>0</v>
      </c>
      <c r="L971" s="3555"/>
      <c r="M971" s="386"/>
      <c r="N971" s="386"/>
      <c r="O971" s="386"/>
      <c r="P971" s="386"/>
      <c r="Q971" s="386"/>
    </row>
    <row r="972" spans="1:17" s="184" customFormat="1" ht="30" customHeight="1" x14ac:dyDescent="0.2">
      <c r="A972" s="3526"/>
      <c r="B972" s="3" t="s">
        <v>3482</v>
      </c>
      <c r="C972" s="3529" t="s">
        <v>3483</v>
      </c>
      <c r="D972" s="3513">
        <v>70000000</v>
      </c>
      <c r="E972" s="3523">
        <v>0.05</v>
      </c>
      <c r="F972" s="3513">
        <f t="shared" si="96"/>
        <v>3500000</v>
      </c>
      <c r="G972" s="3513">
        <v>3500000</v>
      </c>
      <c r="H972" s="3513" t="s">
        <v>5585</v>
      </c>
      <c r="I972" s="3513" t="s">
        <v>4428</v>
      </c>
      <c r="J972" s="3513">
        <f t="shared" si="97"/>
        <v>3500000</v>
      </c>
      <c r="K972" s="3478">
        <f t="shared" si="98"/>
        <v>0</v>
      </c>
      <c r="L972" s="3555"/>
      <c r="M972" s="386"/>
      <c r="N972" s="386"/>
      <c r="O972" s="386"/>
      <c r="P972" s="386"/>
      <c r="Q972" s="386"/>
    </row>
    <row r="973" spans="1:17" s="184" customFormat="1" ht="30" customHeight="1" x14ac:dyDescent="0.2">
      <c r="A973" s="3526"/>
      <c r="B973" s="3" t="s">
        <v>3979</v>
      </c>
      <c r="C973" s="3529" t="s">
        <v>889</v>
      </c>
      <c r="D973" s="3513">
        <v>20000000</v>
      </c>
      <c r="E973" s="3523">
        <v>0.05</v>
      </c>
      <c r="F973" s="3513">
        <f t="shared" si="96"/>
        <v>1000000</v>
      </c>
      <c r="G973" s="3513"/>
      <c r="H973" s="3513"/>
      <c r="I973" s="3513" t="s">
        <v>3980</v>
      </c>
      <c r="J973" s="3513">
        <f t="shared" si="97"/>
        <v>0</v>
      </c>
      <c r="K973" s="3478">
        <f t="shared" si="98"/>
        <v>1000000</v>
      </c>
      <c r="L973" s="3555"/>
      <c r="M973" s="386"/>
      <c r="N973" s="386"/>
      <c r="O973" s="386"/>
      <c r="P973" s="386"/>
      <c r="Q973" s="386"/>
    </row>
    <row r="974" spans="1:17" s="184" customFormat="1" ht="30" customHeight="1" x14ac:dyDescent="0.2">
      <c r="A974" s="3526"/>
      <c r="B974" s="2551" t="s">
        <v>2952</v>
      </c>
      <c r="C974" s="3024" t="s">
        <v>402</v>
      </c>
      <c r="D974" s="2548">
        <v>150000000</v>
      </c>
      <c r="E974" s="2549">
        <v>0.06</v>
      </c>
      <c r="F974" s="2548">
        <f t="shared" si="96"/>
        <v>9000000</v>
      </c>
      <c r="G974" s="2548">
        <v>9000000</v>
      </c>
      <c r="H974" s="2548" t="s">
        <v>1649</v>
      </c>
      <c r="I974" s="2548" t="s">
        <v>3963</v>
      </c>
      <c r="J974" s="2548">
        <f t="shared" si="97"/>
        <v>9000000</v>
      </c>
      <c r="K974" s="2548">
        <f t="shared" si="98"/>
        <v>0</v>
      </c>
      <c r="L974" s="3025" t="s">
        <v>5458</v>
      </c>
      <c r="M974" s="386"/>
      <c r="N974" s="386"/>
      <c r="O974" s="386"/>
      <c r="P974" s="386"/>
      <c r="Q974" s="386"/>
    </row>
    <row r="975" spans="1:17" s="1659" customFormat="1" ht="30" customHeight="1" x14ac:dyDescent="0.2">
      <c r="A975" s="3550"/>
      <c r="B975" s="3527" t="s">
        <v>3554</v>
      </c>
      <c r="C975" s="3504" t="s">
        <v>372</v>
      </c>
      <c r="D975" s="3513">
        <v>10000000</v>
      </c>
      <c r="E975" s="3523">
        <v>0.05</v>
      </c>
      <c r="F975" s="3513">
        <f>D975*E975</f>
        <v>500000</v>
      </c>
      <c r="G975" s="3483">
        <v>500000</v>
      </c>
      <c r="H975" s="3483" t="s">
        <v>5367</v>
      </c>
      <c r="I975" s="3509" t="s">
        <v>3555</v>
      </c>
      <c r="J975" s="3483">
        <f t="shared" si="97"/>
        <v>500000</v>
      </c>
      <c r="K975" s="3483">
        <f>F975-J975</f>
        <v>0</v>
      </c>
      <c r="L975" s="3543"/>
      <c r="M975" s="386"/>
      <c r="N975" s="386"/>
      <c r="O975" s="386"/>
      <c r="P975" s="386"/>
      <c r="Q975" s="386"/>
    </row>
    <row r="976" spans="1:17" s="1659" customFormat="1" ht="30" customHeight="1" x14ac:dyDescent="0.2">
      <c r="A976" s="3506"/>
      <c r="B976" s="3530" t="s">
        <v>4442</v>
      </c>
      <c r="C976" s="3503" t="s">
        <v>4223</v>
      </c>
      <c r="D976" s="3513">
        <v>100000000</v>
      </c>
      <c r="E976" s="3793">
        <v>0.05</v>
      </c>
      <c r="F976" s="3513">
        <f>D976*E976</f>
        <v>5000000</v>
      </c>
      <c r="G976" s="3513">
        <v>5000000</v>
      </c>
      <c r="H976" s="3513" t="s">
        <v>5367</v>
      </c>
      <c r="I976" s="3513" t="s">
        <v>5537</v>
      </c>
      <c r="J976" s="3481">
        <f t="shared" si="97"/>
        <v>5000000</v>
      </c>
      <c r="K976" s="3481">
        <f>F976-J976</f>
        <v>0</v>
      </c>
      <c r="L976" s="847"/>
      <c r="M976" s="386"/>
      <c r="N976" s="386"/>
      <c r="O976" s="386"/>
      <c r="P976" s="386"/>
      <c r="Q976" s="386"/>
    </row>
    <row r="977" spans="1:17" s="1659" customFormat="1" ht="30" customHeight="1" x14ac:dyDescent="0.2">
      <c r="A977" s="3550"/>
      <c r="B977" s="3527" t="s">
        <v>3566</v>
      </c>
      <c r="C977" s="3529"/>
      <c r="D977" s="3513">
        <v>6000000</v>
      </c>
      <c r="E977" s="3523">
        <f>F977/D977</f>
        <v>0.05</v>
      </c>
      <c r="F977" s="3513">
        <v>300000</v>
      </c>
      <c r="G977" s="3513"/>
      <c r="H977" s="3513"/>
      <c r="I977" s="3513" t="s">
        <v>3567</v>
      </c>
      <c r="J977" s="3513">
        <f t="shared" si="97"/>
        <v>0</v>
      </c>
      <c r="K977" s="3513">
        <f>F977-J977</f>
        <v>300000</v>
      </c>
      <c r="L977" s="2177" t="s">
        <v>3568</v>
      </c>
      <c r="M977" s="386"/>
      <c r="N977" s="386"/>
      <c r="O977" s="386"/>
      <c r="P977" s="386"/>
      <c r="Q977" s="386"/>
    </row>
    <row r="978" spans="1:17" s="1659" customFormat="1" ht="30" customHeight="1" x14ac:dyDescent="0.2">
      <c r="A978" s="7703"/>
      <c r="B978" s="7652" t="s">
        <v>3590</v>
      </c>
      <c r="C978" s="7723" t="s">
        <v>2278</v>
      </c>
      <c r="D978" s="7563">
        <v>870000000</v>
      </c>
      <c r="E978" s="7659">
        <v>7.0999999999999994E-2</v>
      </c>
      <c r="F978" s="7563">
        <v>62000000</v>
      </c>
      <c r="G978" s="7563"/>
      <c r="H978" s="7563"/>
      <c r="I978" s="7563" t="s">
        <v>4471</v>
      </c>
      <c r="J978" s="7563">
        <f>G978+G979</f>
        <v>0</v>
      </c>
      <c r="K978" s="7563">
        <f>F981-J978</f>
        <v>72500000</v>
      </c>
      <c r="L978" s="3543"/>
      <c r="M978" s="386"/>
      <c r="N978" s="386"/>
      <c r="O978" s="386"/>
      <c r="P978" s="386"/>
      <c r="Q978" s="386"/>
    </row>
    <row r="979" spans="1:17" s="1659" customFormat="1" ht="30" customHeight="1" x14ac:dyDescent="0.2">
      <c r="A979" s="7704"/>
      <c r="B979" s="7665"/>
      <c r="C979" s="7747"/>
      <c r="D979" s="7586"/>
      <c r="E979" s="7676"/>
      <c r="F979" s="7586"/>
      <c r="G979" s="7586"/>
      <c r="H979" s="7586"/>
      <c r="I979" s="7586"/>
      <c r="J979" s="7586"/>
      <c r="K979" s="7586"/>
      <c r="L979" s="3543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7704"/>
      <c r="B980" s="7665"/>
      <c r="C980" s="7747"/>
      <c r="D980" s="3481">
        <v>150000000</v>
      </c>
      <c r="E980" s="3488">
        <v>7.0999999999999994E-2</v>
      </c>
      <c r="F980" s="3513">
        <f>D980*E980</f>
        <v>10649999.999999998</v>
      </c>
      <c r="G980" s="7586"/>
      <c r="H980" s="7586"/>
      <c r="I980" s="7586"/>
      <c r="J980" s="7586"/>
      <c r="K980" s="7586"/>
      <c r="L980" s="3543" t="s">
        <v>4419</v>
      </c>
      <c r="M980" s="386"/>
      <c r="N980" s="386"/>
      <c r="O980" s="386"/>
      <c r="P980" s="386"/>
      <c r="Q980" s="386"/>
    </row>
    <row r="981" spans="1:17" s="1659" customFormat="1" ht="30" customHeight="1" x14ac:dyDescent="0.2">
      <c r="A981" s="7704"/>
      <c r="B981" s="7665"/>
      <c r="C981" s="7747"/>
      <c r="D981" s="3481">
        <f>D978+D980+1000000</f>
        <v>1021000000</v>
      </c>
      <c r="E981" s="3488">
        <v>7.0999999999999994E-2</v>
      </c>
      <c r="F981" s="3513">
        <v>72500000</v>
      </c>
      <c r="G981" s="7564"/>
      <c r="H981" s="7564"/>
      <c r="I981" s="7564"/>
      <c r="J981" s="7564"/>
      <c r="K981" s="7564"/>
      <c r="L981" s="3543" t="s">
        <v>4417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7705"/>
      <c r="B982" s="7653"/>
      <c r="C982" s="7724"/>
      <c r="D982" s="3569">
        <v>1478000000</v>
      </c>
      <c r="E982" s="3571">
        <v>7.0999999999999994E-2</v>
      </c>
      <c r="F982" s="3583">
        <v>104500000</v>
      </c>
      <c r="G982" s="8242" t="s">
        <v>5266</v>
      </c>
      <c r="H982" s="8242"/>
      <c r="I982" s="8242"/>
      <c r="J982" s="8242"/>
      <c r="K982" s="8243"/>
      <c r="L982" s="3543" t="s">
        <v>5272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19"/>
      <c r="B983" s="3527" t="s">
        <v>3597</v>
      </c>
      <c r="C983" s="3529" t="s">
        <v>889</v>
      </c>
      <c r="D983" s="3513">
        <v>200000000</v>
      </c>
      <c r="E983" s="3523">
        <v>0.05</v>
      </c>
      <c r="F983" s="3513">
        <f>D983*E983</f>
        <v>10000000</v>
      </c>
      <c r="G983" s="3513">
        <v>10000000</v>
      </c>
      <c r="H983" s="3513" t="s">
        <v>1649</v>
      </c>
      <c r="I983" s="3513" t="s">
        <v>3598</v>
      </c>
      <c r="J983" s="3513">
        <f>G983</f>
        <v>10000000</v>
      </c>
      <c r="K983" s="3513">
        <f>F983-J983</f>
        <v>0</v>
      </c>
      <c r="L983" s="3543"/>
      <c r="M983" s="386"/>
      <c r="N983" s="386"/>
      <c r="O983" s="386"/>
      <c r="P983" s="386"/>
      <c r="Q983" s="386"/>
    </row>
    <row r="984" spans="1:17" s="1659" customFormat="1" ht="30" customHeight="1" x14ac:dyDescent="0.2">
      <c r="A984" s="3550"/>
      <c r="B984" s="3527" t="s">
        <v>3612</v>
      </c>
      <c r="C984" s="3529" t="s">
        <v>2278</v>
      </c>
      <c r="D984" s="3513">
        <v>100000000</v>
      </c>
      <c r="E984" s="3523">
        <v>0.05</v>
      </c>
      <c r="F984" s="3513">
        <f t="shared" ref="F984:F997" si="99">D984*E984</f>
        <v>5000000</v>
      </c>
      <c r="G984" s="3513">
        <v>5000000</v>
      </c>
      <c r="H984" s="3513" t="s">
        <v>5634</v>
      </c>
      <c r="I984" s="3513" t="s">
        <v>4125</v>
      </c>
      <c r="J984" s="3513">
        <f>G984</f>
        <v>5000000</v>
      </c>
      <c r="K984" s="3513">
        <f>F984-J984</f>
        <v>0</v>
      </c>
      <c r="L984" s="3543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7703"/>
      <c r="B985" s="7652" t="s">
        <v>4055</v>
      </c>
      <c r="C985" s="7723" t="s">
        <v>2278</v>
      </c>
      <c r="D985" s="3513">
        <v>130000000</v>
      </c>
      <c r="E985" s="3523">
        <v>0.05</v>
      </c>
      <c r="F985" s="3513">
        <f t="shared" si="99"/>
        <v>6500000</v>
      </c>
      <c r="G985" s="7991" t="s">
        <v>4697</v>
      </c>
      <c r="H985" s="7992"/>
      <c r="I985" s="7992"/>
      <c r="J985" s="7992"/>
      <c r="K985" s="7993"/>
      <c r="L985" s="3543" t="s">
        <v>4520</v>
      </c>
      <c r="M985" s="386"/>
      <c r="N985" s="386"/>
      <c r="O985" s="386"/>
      <c r="P985" s="386"/>
      <c r="Q985" s="386"/>
    </row>
    <row r="986" spans="1:17" s="1659" customFormat="1" ht="30" customHeight="1" x14ac:dyDescent="0.2">
      <c r="A986" s="7704"/>
      <c r="B986" s="7665"/>
      <c r="C986" s="7747"/>
      <c r="D986" s="3513">
        <v>70000000</v>
      </c>
      <c r="E986" s="3523">
        <v>0.05</v>
      </c>
      <c r="F986" s="3513">
        <f t="shared" si="99"/>
        <v>3500000</v>
      </c>
      <c r="G986" s="7997"/>
      <c r="H986" s="7998"/>
      <c r="I986" s="7998"/>
      <c r="J986" s="7998"/>
      <c r="K986" s="7999"/>
      <c r="L986" s="3543" t="s">
        <v>4519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7705"/>
      <c r="B987" s="7653"/>
      <c r="C987" s="7724"/>
      <c r="D987" s="3583">
        <v>200000000</v>
      </c>
      <c r="E987" s="896">
        <v>0.05</v>
      </c>
      <c r="F987" s="3583">
        <f t="shared" si="99"/>
        <v>10000000</v>
      </c>
      <c r="G987" s="3513">
        <v>10000000</v>
      </c>
      <c r="H987" s="3513" t="s">
        <v>5735</v>
      </c>
      <c r="I987" s="3513" t="s">
        <v>3776</v>
      </c>
      <c r="J987" s="3481">
        <f>G987</f>
        <v>10000000</v>
      </c>
      <c r="K987" s="3481">
        <f>F987-J987</f>
        <v>0</v>
      </c>
      <c r="L987" s="3543" t="s">
        <v>2685</v>
      </c>
      <c r="M987" s="386"/>
      <c r="N987" s="386"/>
      <c r="O987" s="386"/>
      <c r="P987" s="386"/>
      <c r="Q987" s="386"/>
    </row>
    <row r="988" spans="1:17" s="1659" customFormat="1" ht="30" customHeight="1" x14ac:dyDescent="0.2">
      <c r="A988" s="7703"/>
      <c r="B988" s="7652" t="s">
        <v>3674</v>
      </c>
      <c r="C988" s="7723" t="s">
        <v>402</v>
      </c>
      <c r="D988" s="7563">
        <v>1300000000</v>
      </c>
      <c r="E988" s="7659">
        <v>7.0000000000000007E-2</v>
      </c>
      <c r="F988" s="7563">
        <f t="shared" si="99"/>
        <v>91000000.000000015</v>
      </c>
      <c r="G988" s="3513">
        <v>30000000</v>
      </c>
      <c r="H988" s="3513" t="s">
        <v>5398</v>
      </c>
      <c r="I988" s="3513" t="s">
        <v>4934</v>
      </c>
      <c r="J988" s="7563">
        <f>G988+G990+G992</f>
        <v>76000000</v>
      </c>
      <c r="K988" s="7563">
        <f>F990-J988</f>
        <v>-76000000</v>
      </c>
      <c r="L988" s="3543" t="s">
        <v>3919</v>
      </c>
      <c r="M988" s="386"/>
      <c r="N988" s="386"/>
      <c r="O988" s="386"/>
      <c r="P988" s="386"/>
      <c r="Q988" s="386"/>
    </row>
    <row r="989" spans="1:17" s="1659" customFormat="1" ht="30" customHeight="1" x14ac:dyDescent="0.2">
      <c r="A989" s="7704"/>
      <c r="B989" s="7665"/>
      <c r="C989" s="7747"/>
      <c r="D989" s="7586"/>
      <c r="E989" s="7676"/>
      <c r="F989" s="7586"/>
      <c r="G989" s="4104">
        <v>56000000</v>
      </c>
      <c r="H989" s="4101" t="s">
        <v>5931</v>
      </c>
      <c r="I989" s="4101" t="s">
        <v>5934</v>
      </c>
      <c r="J989" s="7586"/>
      <c r="K989" s="7586"/>
      <c r="L989" s="4128" t="s">
        <v>5930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7704"/>
      <c r="B990" s="7665"/>
      <c r="C990" s="7747"/>
      <c r="D990" s="7586"/>
      <c r="E990" s="7676"/>
      <c r="F990" s="7586"/>
      <c r="G990" s="3513">
        <v>38000000</v>
      </c>
      <c r="H990" s="3513" t="s">
        <v>1012</v>
      </c>
      <c r="I990" s="3513" t="s">
        <v>1613</v>
      </c>
      <c r="J990" s="7586"/>
      <c r="K990" s="7586"/>
      <c r="L990" s="3543" t="s">
        <v>3709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7704"/>
      <c r="B991" s="7665"/>
      <c r="C991" s="7747"/>
      <c r="D991" s="7586"/>
      <c r="E991" s="7676"/>
      <c r="F991" s="7586"/>
      <c r="G991" s="4104">
        <v>40000000</v>
      </c>
      <c r="H991" s="4101" t="s">
        <v>5839</v>
      </c>
      <c r="I991" s="4101" t="s">
        <v>5932</v>
      </c>
      <c r="J991" s="7586"/>
      <c r="K991" s="7586"/>
      <c r="L991" s="4128" t="s">
        <v>5933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7704"/>
      <c r="B992" s="7665"/>
      <c r="C992" s="7747"/>
      <c r="D992" s="7586"/>
      <c r="E992" s="7676"/>
      <c r="F992" s="7586"/>
      <c r="G992" s="3513">
        <v>8000000</v>
      </c>
      <c r="H992" s="3513" t="s">
        <v>5922</v>
      </c>
      <c r="I992" s="3513" t="s">
        <v>1613</v>
      </c>
      <c r="J992" s="7564"/>
      <c r="K992" s="7564"/>
      <c r="L992" s="3543"/>
      <c r="M992" s="386"/>
      <c r="N992" s="386"/>
      <c r="O992" s="386"/>
      <c r="P992" s="386"/>
      <c r="Q992" s="386"/>
    </row>
    <row r="993" spans="1:17" s="1659" customFormat="1" ht="30" customHeight="1" x14ac:dyDescent="0.2">
      <c r="A993" s="7704"/>
      <c r="B993" s="7665"/>
      <c r="C993" s="7747"/>
      <c r="D993" s="7586"/>
      <c r="E993" s="7676"/>
      <c r="F993" s="7586"/>
      <c r="G993" s="4165">
        <v>30000000</v>
      </c>
      <c r="H993" s="4165" t="s">
        <v>5995</v>
      </c>
      <c r="I993" s="4165" t="s">
        <v>1613</v>
      </c>
      <c r="J993" s="7563">
        <f>G993+G994</f>
        <v>80000000</v>
      </c>
      <c r="K993" s="7563"/>
      <c r="L993" s="4170" t="s">
        <v>5998</v>
      </c>
      <c r="M993" s="386"/>
      <c r="N993" s="386"/>
      <c r="O993" s="386"/>
      <c r="P993" s="386"/>
      <c r="Q993" s="386"/>
    </row>
    <row r="994" spans="1:17" s="1659" customFormat="1" ht="30" customHeight="1" x14ac:dyDescent="0.2">
      <c r="A994" s="7705"/>
      <c r="B994" s="7653"/>
      <c r="C994" s="7724"/>
      <c r="D994" s="7564"/>
      <c r="E994" s="7660"/>
      <c r="F994" s="7564"/>
      <c r="G994" s="4165">
        <v>50000000</v>
      </c>
      <c r="H994" s="4165" t="s">
        <v>5995</v>
      </c>
      <c r="I994" s="4165" t="s">
        <v>1613</v>
      </c>
      <c r="J994" s="7564"/>
      <c r="K994" s="7564"/>
      <c r="L994" s="4170" t="s">
        <v>5998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3550"/>
      <c r="B995" s="3527" t="s">
        <v>3707</v>
      </c>
      <c r="C995" s="3529" t="s">
        <v>3390</v>
      </c>
      <c r="D995" s="3513">
        <v>10000000</v>
      </c>
      <c r="E995" s="3523">
        <v>0.05</v>
      </c>
      <c r="F995" s="3513">
        <f t="shared" si="99"/>
        <v>500000</v>
      </c>
      <c r="G995" s="3513">
        <v>500000</v>
      </c>
      <c r="H995" s="3513" t="s">
        <v>5839</v>
      </c>
      <c r="I995" s="3513" t="s">
        <v>4154</v>
      </c>
      <c r="J995" s="3513">
        <f>G995</f>
        <v>500000</v>
      </c>
      <c r="K995" s="3513">
        <f>F995-J995</f>
        <v>0</v>
      </c>
      <c r="L995" s="3543"/>
      <c r="M995" s="386"/>
      <c r="N995" s="386"/>
      <c r="O995" s="386"/>
      <c r="P995" s="386"/>
      <c r="Q995" s="386"/>
    </row>
    <row r="996" spans="1:17" s="1659" customFormat="1" ht="30" customHeight="1" x14ac:dyDescent="0.2">
      <c r="A996" s="7703"/>
      <c r="B996" s="7652" t="s">
        <v>3710</v>
      </c>
      <c r="C996" s="7723" t="s">
        <v>262</v>
      </c>
      <c r="D996" s="3513">
        <v>58000000</v>
      </c>
      <c r="E996" s="3523">
        <v>0.05</v>
      </c>
      <c r="F996" s="3513">
        <f t="shared" si="99"/>
        <v>2900000</v>
      </c>
      <c r="G996" s="3513"/>
      <c r="H996" s="3513"/>
      <c r="I996" s="3513"/>
      <c r="J996" s="3513"/>
      <c r="K996" s="3513"/>
      <c r="L996" s="3543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7704"/>
      <c r="B997" s="7665"/>
      <c r="C997" s="7747"/>
      <c r="D997" s="3513">
        <v>39500000</v>
      </c>
      <c r="E997" s="3523">
        <v>0.05</v>
      </c>
      <c r="F997" s="3513">
        <f t="shared" si="99"/>
        <v>1975000</v>
      </c>
      <c r="G997" s="3513"/>
      <c r="H997" s="3513"/>
      <c r="I997" s="3513"/>
      <c r="J997" s="3513"/>
      <c r="K997" s="3513"/>
      <c r="L997" s="3543" t="s">
        <v>5276</v>
      </c>
      <c r="M997" s="386"/>
      <c r="N997" s="386"/>
      <c r="O997" s="386"/>
      <c r="P997" s="386"/>
      <c r="Q997" s="386"/>
    </row>
    <row r="998" spans="1:17" s="1659" customFormat="1" ht="30" customHeight="1" x14ac:dyDescent="0.2">
      <c r="A998" s="7705"/>
      <c r="B998" s="7653"/>
      <c r="C998" s="7724"/>
      <c r="D998" s="3583">
        <f>D996+D997</f>
        <v>97500000</v>
      </c>
      <c r="E998" s="896"/>
      <c r="F998" s="3583"/>
      <c r="G998" s="3513"/>
      <c r="H998" s="3513"/>
      <c r="I998" s="3513"/>
      <c r="J998" s="3513"/>
      <c r="K998" s="3513"/>
      <c r="L998" s="3543"/>
      <c r="M998" s="386"/>
      <c r="N998" s="386"/>
      <c r="O998" s="386"/>
      <c r="P998" s="386"/>
      <c r="Q998" s="386"/>
    </row>
    <row r="999" spans="1:17" s="1659" customFormat="1" ht="30" customHeight="1" x14ac:dyDescent="0.2">
      <c r="A999" s="3550"/>
      <c r="B999" s="3527" t="s">
        <v>3742</v>
      </c>
      <c r="C999" s="3529" t="s">
        <v>1300</v>
      </c>
      <c r="D999" s="3513">
        <v>100000000</v>
      </c>
      <c r="E999" s="3523">
        <v>0.05</v>
      </c>
      <c r="F999" s="3513">
        <f>D999*E999</f>
        <v>5000000</v>
      </c>
      <c r="G999" s="3513">
        <v>5000000</v>
      </c>
      <c r="H999" s="3513" t="s">
        <v>5697</v>
      </c>
      <c r="I999" s="3513" t="s">
        <v>5117</v>
      </c>
      <c r="J999" s="3513">
        <f>G999</f>
        <v>5000000</v>
      </c>
      <c r="K999" s="3513">
        <f>F999-J999</f>
        <v>0</v>
      </c>
      <c r="L999" s="3543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3550"/>
      <c r="B1000" s="3527" t="s">
        <v>3743</v>
      </c>
      <c r="C1000" s="3529" t="s">
        <v>1300</v>
      </c>
      <c r="D1000" s="3483">
        <v>96000000</v>
      </c>
      <c r="E1000" s="3489">
        <v>0.05</v>
      </c>
      <c r="F1000" s="3483">
        <v>5000000</v>
      </c>
      <c r="G1000" s="3513">
        <v>5000000</v>
      </c>
      <c r="H1000" s="3513" t="s">
        <v>5697</v>
      </c>
      <c r="I1000" s="3513" t="s">
        <v>5116</v>
      </c>
      <c r="J1000" s="3513">
        <f>G1000</f>
        <v>5000000</v>
      </c>
      <c r="K1000" s="3513">
        <f>F1000-J1000</f>
        <v>0</v>
      </c>
      <c r="L1000" s="3543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3550"/>
      <c r="B1001" s="3527" t="s">
        <v>3869</v>
      </c>
      <c r="C1001" s="3529" t="s">
        <v>3219</v>
      </c>
      <c r="D1001" s="3483">
        <v>100000000</v>
      </c>
      <c r="E1001" s="3489">
        <v>0.06</v>
      </c>
      <c r="F1001" s="3483">
        <f>D1001*E1001</f>
        <v>6000000</v>
      </c>
      <c r="G1001" s="3483"/>
      <c r="H1001" s="3483"/>
      <c r="I1001" s="3509"/>
      <c r="J1001" s="3483"/>
      <c r="K1001" s="3483"/>
      <c r="L1001" s="3543" t="s">
        <v>3872</v>
      </c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3550"/>
      <c r="B1002" s="3527" t="s">
        <v>3871</v>
      </c>
      <c r="C1002" s="3529" t="s">
        <v>3390</v>
      </c>
      <c r="D1002" s="3513">
        <v>50000000</v>
      </c>
      <c r="E1002" s="3489">
        <v>0.05</v>
      </c>
      <c r="F1002" s="3483">
        <f>D1002*E1002</f>
        <v>2500000</v>
      </c>
      <c r="G1002" s="3483"/>
      <c r="H1002" s="3483"/>
      <c r="I1002" s="3509"/>
      <c r="J1002" s="3483"/>
      <c r="K1002" s="3483"/>
      <c r="L1002" s="3543"/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0"/>
      <c r="B1003" s="3527" t="s">
        <v>3890</v>
      </c>
      <c r="C1003" s="3529"/>
      <c r="D1003" s="3484"/>
      <c r="E1003" s="3484"/>
      <c r="F1003" s="3484"/>
      <c r="G1003" s="3483"/>
      <c r="H1003" s="3483"/>
      <c r="I1003" s="3509" t="s">
        <v>3891</v>
      </c>
      <c r="J1003" s="3483">
        <f>G1003</f>
        <v>0</v>
      </c>
      <c r="K1003" s="3483">
        <f>F1003-J1003</f>
        <v>0</v>
      </c>
      <c r="L1003" s="3543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7990"/>
      <c r="B1004" s="7717" t="s">
        <v>3895</v>
      </c>
      <c r="C1004" s="7873" t="s">
        <v>4105</v>
      </c>
      <c r="D1004" s="3513">
        <v>120000000</v>
      </c>
      <c r="E1004" s="3489">
        <v>0.05</v>
      </c>
      <c r="F1004" s="3483">
        <f>D1004*E1004</f>
        <v>6000000</v>
      </c>
      <c r="G1004" s="7563"/>
      <c r="H1004" s="7563"/>
      <c r="I1004" s="7563" t="s">
        <v>4313</v>
      </c>
      <c r="J1004" s="7563">
        <f>G1004</f>
        <v>0</v>
      </c>
      <c r="K1004" s="7563">
        <f>(F1004+F1005)-J1004</f>
        <v>8100000</v>
      </c>
      <c r="L1004" s="3543" t="s">
        <v>3897</v>
      </c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7990"/>
      <c r="B1005" s="7717"/>
      <c r="C1005" s="7873"/>
      <c r="D1005" s="3483">
        <v>30000000</v>
      </c>
      <c r="E1005" s="3489">
        <v>7.0000000000000007E-2</v>
      </c>
      <c r="F1005" s="3483">
        <f>D1005*E1005</f>
        <v>2100000</v>
      </c>
      <c r="G1005" s="7564"/>
      <c r="H1005" s="7564"/>
      <c r="I1005" s="7564"/>
      <c r="J1005" s="7564"/>
      <c r="K1005" s="7564"/>
      <c r="L1005" s="2022" t="s">
        <v>4215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3550"/>
      <c r="B1006" s="3527" t="s">
        <v>3956</v>
      </c>
      <c r="C1006" s="3504" t="s">
        <v>3390</v>
      </c>
      <c r="D1006" s="3483">
        <v>50000000</v>
      </c>
      <c r="E1006" s="3489">
        <v>0.05</v>
      </c>
      <c r="F1006" s="3483">
        <f>D1006*E1006</f>
        <v>2500000</v>
      </c>
      <c r="G1006" s="3483">
        <v>2500000</v>
      </c>
      <c r="H1006" s="3483" t="s">
        <v>5849</v>
      </c>
      <c r="I1006" s="3509" t="s">
        <v>4600</v>
      </c>
      <c r="J1006" s="3483">
        <f>G1006</f>
        <v>2500000</v>
      </c>
      <c r="K1006" s="3483">
        <f>F1006-J1006</f>
        <v>0</v>
      </c>
      <c r="L1006" s="3543"/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0"/>
      <c r="B1007" s="3527" t="s">
        <v>3961</v>
      </c>
      <c r="C1007" s="3504"/>
      <c r="D1007" s="3483">
        <f>25000000+10000000+10000000+250000+2500000+1500000+500000</f>
        <v>49750000</v>
      </c>
      <c r="E1007" s="3489"/>
      <c r="F1007" s="3483"/>
      <c r="G1007" s="3483"/>
      <c r="H1007" s="3483"/>
      <c r="I1007" s="3509"/>
      <c r="J1007" s="3483"/>
      <c r="K1007" s="3483"/>
      <c r="L1007" s="3543" t="s">
        <v>3962</v>
      </c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7703"/>
      <c r="B1008" s="7652" t="s">
        <v>4902</v>
      </c>
      <c r="C1008" s="7723" t="s">
        <v>942</v>
      </c>
      <c r="D1008" s="7563">
        <v>800000000</v>
      </c>
      <c r="E1008" s="7659">
        <v>6.5000000000000002E-2</v>
      </c>
      <c r="F1008" s="7846">
        <f>D1008*E1008</f>
        <v>52000000</v>
      </c>
      <c r="G1008" s="3483">
        <v>2000000</v>
      </c>
      <c r="H1008" s="3483" t="s">
        <v>5849</v>
      </c>
      <c r="I1008" s="3509" t="s">
        <v>4262</v>
      </c>
      <c r="J1008" s="3483">
        <f>G1008</f>
        <v>2000000</v>
      </c>
      <c r="K1008" s="3483"/>
      <c r="L1008" s="3585" t="s">
        <v>5914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7705"/>
      <c r="B1009" s="7653"/>
      <c r="C1009" s="7724"/>
      <c r="D1009" s="7564"/>
      <c r="E1009" s="7660"/>
      <c r="F1009" s="7848"/>
      <c r="G1009" s="4085"/>
      <c r="H1009" s="4085"/>
      <c r="I1009" s="4089"/>
      <c r="J1009" s="4085"/>
      <c r="K1009" s="4085"/>
      <c r="L1009" s="4095" t="s">
        <v>4971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7703"/>
      <c r="B1010" s="7652" t="s">
        <v>3964</v>
      </c>
      <c r="C1010" s="3504" t="s">
        <v>1652</v>
      </c>
      <c r="D1010" s="3483">
        <v>58000000</v>
      </c>
      <c r="E1010" s="3489">
        <v>0.05</v>
      </c>
      <c r="F1010" s="3483">
        <f>D1010*E1010</f>
        <v>2900000</v>
      </c>
      <c r="G1010" s="7563">
        <v>4620000</v>
      </c>
      <c r="H1010" s="7563" t="s">
        <v>5367</v>
      </c>
      <c r="I1010" s="7563" t="s">
        <v>5535</v>
      </c>
      <c r="J1010" s="7563">
        <f>G1010</f>
        <v>4620000</v>
      </c>
      <c r="K1010" s="7563"/>
      <c r="L1010" s="3543" t="s">
        <v>6327</v>
      </c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7705"/>
      <c r="B1011" s="7653"/>
      <c r="C1011" s="3504" t="s">
        <v>1298</v>
      </c>
      <c r="D1011" s="3483">
        <v>40000000</v>
      </c>
      <c r="E1011" s="3489">
        <v>0.05</v>
      </c>
      <c r="F1011" s="3483">
        <f>D1011*E1011</f>
        <v>2000000</v>
      </c>
      <c r="G1011" s="7564"/>
      <c r="H1011" s="7564"/>
      <c r="I1011" s="7564"/>
      <c r="J1011" s="7564"/>
      <c r="K1011" s="7564"/>
      <c r="L1011" s="3543" t="s">
        <v>5285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3550"/>
      <c r="B1012" s="3527" t="s">
        <v>896</v>
      </c>
      <c r="C1012" s="3504"/>
      <c r="D1012" s="3483">
        <v>130000000</v>
      </c>
      <c r="E1012" s="3489">
        <v>0.05</v>
      </c>
      <c r="F1012" s="3483">
        <f>D1012*E1012</f>
        <v>6500000</v>
      </c>
      <c r="G1012" s="3483">
        <v>6500000</v>
      </c>
      <c r="H1012" s="3483" t="s">
        <v>1527</v>
      </c>
      <c r="I1012" s="3509" t="s">
        <v>4869</v>
      </c>
      <c r="J1012" s="3483">
        <f t="shared" ref="J1012:J1015" si="100">G1012</f>
        <v>6500000</v>
      </c>
      <c r="K1012" s="3483">
        <f>F1012-J1012</f>
        <v>0</v>
      </c>
      <c r="L1012" s="3543"/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3550"/>
      <c r="B1013" s="3527" t="s">
        <v>2305</v>
      </c>
      <c r="C1013" s="3504"/>
      <c r="D1013" s="7470" t="s">
        <v>5703</v>
      </c>
      <c r="E1013" s="7493"/>
      <c r="F1013" s="7510"/>
      <c r="G1013" s="3483">
        <v>10000000</v>
      </c>
      <c r="H1013" s="3483" t="s">
        <v>5697</v>
      </c>
      <c r="I1013" s="3509" t="s">
        <v>3609</v>
      </c>
      <c r="J1013" s="3483">
        <f t="shared" si="100"/>
        <v>10000000</v>
      </c>
      <c r="K1013" s="3483"/>
      <c r="L1013" s="3543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3550"/>
      <c r="B1014" s="3527" t="s">
        <v>4014</v>
      </c>
      <c r="C1014" s="3504" t="s">
        <v>4223</v>
      </c>
      <c r="D1014" s="3483">
        <v>100000000</v>
      </c>
      <c r="E1014" s="3489">
        <v>0.06</v>
      </c>
      <c r="F1014" s="3483">
        <f>D1014*E1014</f>
        <v>6000000</v>
      </c>
      <c r="G1014" s="3779">
        <v>6000000</v>
      </c>
      <c r="H1014" s="3779" t="s">
        <v>5367</v>
      </c>
      <c r="I1014" s="3779" t="s">
        <v>5085</v>
      </c>
      <c r="J1014" s="3779">
        <f t="shared" si="100"/>
        <v>6000000</v>
      </c>
      <c r="K1014" s="3483">
        <f>F1014-J1014</f>
        <v>0</v>
      </c>
      <c r="L1014" s="3543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3550"/>
      <c r="B1015" s="3527" t="s">
        <v>4025</v>
      </c>
      <c r="C1015" s="3504"/>
      <c r="D1015" s="3483">
        <v>110000000</v>
      </c>
      <c r="E1015" s="3489">
        <v>0.04</v>
      </c>
      <c r="F1015" s="3483">
        <f>D1015*E1015</f>
        <v>4400000</v>
      </c>
      <c r="G1015" s="3483">
        <v>4400000</v>
      </c>
      <c r="H1015" s="3483" t="s">
        <v>2019</v>
      </c>
      <c r="I1015" s="3509" t="s">
        <v>3469</v>
      </c>
      <c r="J1015" s="3483">
        <f t="shared" si="100"/>
        <v>4400000</v>
      </c>
      <c r="K1015" s="3483">
        <f>F1015-J1015</f>
        <v>0</v>
      </c>
      <c r="L1015" s="3543"/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0"/>
      <c r="B1016" s="3527" t="s">
        <v>1455</v>
      </c>
      <c r="C1016" s="3504"/>
      <c r="D1016" s="3483">
        <v>50000000</v>
      </c>
      <c r="E1016" s="3489">
        <v>0.05</v>
      </c>
      <c r="F1016" s="3483">
        <f>D1016*E1016</f>
        <v>2500000</v>
      </c>
      <c r="G1016" s="233"/>
      <c r="H1016" s="233"/>
      <c r="I1016" s="233"/>
      <c r="J1016" s="233"/>
      <c r="K1016" s="3483"/>
      <c r="L1016" s="3543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7703"/>
      <c r="B1017" s="7652" t="s">
        <v>4037</v>
      </c>
      <c r="C1017" s="7723"/>
      <c r="D1017" s="3481">
        <v>21000000</v>
      </c>
      <c r="E1017" s="3513"/>
      <c r="F1017" s="3481"/>
      <c r="G1017" s="3481"/>
      <c r="H1017" s="3481"/>
      <c r="I1017" s="3481"/>
      <c r="J1017" s="3481"/>
      <c r="K1017" s="3482"/>
      <c r="L1017" s="3554" t="s">
        <v>4219</v>
      </c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7705"/>
      <c r="B1018" s="7653"/>
      <c r="C1018" s="7724"/>
      <c r="D1018" s="3481">
        <v>520000000</v>
      </c>
      <c r="E1018" s="3483"/>
      <c r="F1018" s="3481"/>
      <c r="G1018" s="3481"/>
      <c r="H1018" s="3481"/>
      <c r="I1018" s="3481"/>
      <c r="J1018" s="3481"/>
      <c r="K1018" s="3482"/>
      <c r="L1018" s="3554" t="s">
        <v>5126</v>
      </c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7703"/>
      <c r="B1019" s="7652" t="s">
        <v>4046</v>
      </c>
      <c r="C1019" s="7723" t="s">
        <v>990</v>
      </c>
      <c r="D1019" s="3513">
        <v>47000000</v>
      </c>
      <c r="E1019" s="3489">
        <v>0.05</v>
      </c>
      <c r="F1019" s="3513">
        <f>D1019*E1019</f>
        <v>2350000</v>
      </c>
      <c r="G1019" s="7563">
        <v>3850000</v>
      </c>
      <c r="H1019" s="7563" t="s">
        <v>5990</v>
      </c>
      <c r="I1019" s="7563" t="s">
        <v>4766</v>
      </c>
      <c r="J1019" s="7563">
        <f>G1019</f>
        <v>3850000</v>
      </c>
      <c r="K1019" s="7563">
        <f>(F1019+F1020)-J1019</f>
        <v>3000000</v>
      </c>
      <c r="L1019" s="3555" t="s">
        <v>5282</v>
      </c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7705"/>
      <c r="B1020" s="7653"/>
      <c r="C1020" s="7724"/>
      <c r="D1020" s="3509">
        <v>90000000</v>
      </c>
      <c r="E1020" s="3489">
        <v>0.05</v>
      </c>
      <c r="F1020" s="3510">
        <f>D1020*E1020</f>
        <v>4500000</v>
      </c>
      <c r="G1020" s="7564"/>
      <c r="H1020" s="7564"/>
      <c r="I1020" s="7564"/>
      <c r="J1020" s="7564"/>
      <c r="K1020" s="7564"/>
      <c r="L1020" s="3543" t="s">
        <v>5283</v>
      </c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4143"/>
      <c r="B1021" s="4139"/>
      <c r="C1021" s="4144"/>
      <c r="D1021" s="4141">
        <v>3000000</v>
      </c>
      <c r="E1021" s="4138">
        <v>0.05</v>
      </c>
      <c r="F1021" s="4142">
        <f>D1021*E1021</f>
        <v>150000</v>
      </c>
      <c r="G1021" s="7732" t="s">
        <v>5991</v>
      </c>
      <c r="H1021" s="7733"/>
      <c r="I1021" s="7733"/>
      <c r="J1021" s="7734"/>
      <c r="K1021" s="4137"/>
      <c r="L1021" s="4145"/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3550"/>
      <c r="B1022" s="3491" t="s">
        <v>4079</v>
      </c>
      <c r="C1022" s="3504" t="s">
        <v>1652</v>
      </c>
      <c r="D1022" s="3509">
        <v>100000000</v>
      </c>
      <c r="E1022" s="3489">
        <v>0.05</v>
      </c>
      <c r="F1022" s="3510">
        <f>D1022*E1022</f>
        <v>5000000</v>
      </c>
      <c r="G1022" s="3483">
        <v>5000000</v>
      </c>
      <c r="H1022" s="3483" t="s">
        <v>1649</v>
      </c>
      <c r="I1022" s="3509" t="s">
        <v>5468</v>
      </c>
      <c r="J1022" s="3483">
        <f t="shared" ref="J1022:J1024" si="101">G1022</f>
        <v>5000000</v>
      </c>
      <c r="K1022" s="3483">
        <f>F1022-J1022</f>
        <v>0</v>
      </c>
      <c r="L1022" s="3543"/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3550"/>
      <c r="B1023" s="3527" t="s">
        <v>4083</v>
      </c>
      <c r="C1023" s="3504"/>
      <c r="D1023" s="452"/>
      <c r="E1023" s="3502"/>
      <c r="F1023" s="597"/>
      <c r="G1023" s="3483"/>
      <c r="H1023" s="3483"/>
      <c r="I1023" s="937">
        <v>5423044873</v>
      </c>
      <c r="J1023" s="3483">
        <f t="shared" si="101"/>
        <v>0</v>
      </c>
      <c r="K1023" s="3501"/>
      <c r="L1023" s="3543"/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7703"/>
      <c r="B1024" s="7652" t="s">
        <v>4100</v>
      </c>
      <c r="C1024" s="7723" t="s">
        <v>1796</v>
      </c>
      <c r="D1024" s="3513">
        <v>11000000</v>
      </c>
      <c r="E1024" s="3523">
        <v>0.05</v>
      </c>
      <c r="F1024" s="3513">
        <f>D1024*E1024</f>
        <v>550000</v>
      </c>
      <c r="G1024" s="3513">
        <v>1600000</v>
      </c>
      <c r="H1024" s="3513" t="s">
        <v>6023</v>
      </c>
      <c r="I1024" s="3513" t="s">
        <v>6025</v>
      </c>
      <c r="J1024" s="3513">
        <f t="shared" si="101"/>
        <v>1600000</v>
      </c>
      <c r="K1024" s="3513"/>
      <c r="L1024" s="3907" t="s">
        <v>5432</v>
      </c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7705"/>
      <c r="B1025" s="7653"/>
      <c r="C1025" s="7724"/>
      <c r="D1025" s="3668">
        <v>30000000</v>
      </c>
      <c r="E1025" s="3655">
        <v>0.05</v>
      </c>
      <c r="F1025" s="3669">
        <f>D1025*E1025</f>
        <v>1500000</v>
      </c>
      <c r="G1025" s="8252" t="s">
        <v>5667</v>
      </c>
      <c r="H1025" s="8253"/>
      <c r="I1025" s="8253"/>
      <c r="J1025" s="8254"/>
      <c r="K1025" s="3647"/>
      <c r="L1025" s="3665" t="s">
        <v>5666</v>
      </c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3550"/>
      <c r="B1026" s="3527" t="s">
        <v>4114</v>
      </c>
      <c r="C1026" s="3504" t="s">
        <v>1172</v>
      </c>
      <c r="D1026" s="3509">
        <v>50000000</v>
      </c>
      <c r="E1026" s="3489">
        <v>0.05</v>
      </c>
      <c r="F1026" s="3510">
        <f>D1026*E1026</f>
        <v>2500000</v>
      </c>
      <c r="G1026" s="3483"/>
      <c r="H1026" s="3483"/>
      <c r="I1026" s="3509"/>
      <c r="J1026" s="3483"/>
      <c r="K1026" s="3483"/>
      <c r="L1026" s="3543"/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0"/>
      <c r="B1027" s="3527" t="s">
        <v>4115</v>
      </c>
      <c r="C1027" s="3504"/>
      <c r="D1027" s="3509">
        <v>5000000</v>
      </c>
      <c r="E1027" s="3489"/>
      <c r="F1027" s="3510"/>
      <c r="G1027" s="3483"/>
      <c r="H1027" s="3483"/>
      <c r="I1027" s="3509"/>
      <c r="J1027" s="3483"/>
      <c r="K1027" s="3483"/>
      <c r="L1027" s="3543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3550"/>
      <c r="B1028" s="3527" t="s">
        <v>4116</v>
      </c>
      <c r="C1028" s="3504" t="s">
        <v>1172</v>
      </c>
      <c r="D1028" s="3509">
        <v>70000000</v>
      </c>
      <c r="E1028" s="3489">
        <v>0.06</v>
      </c>
      <c r="F1028" s="3510">
        <f>D1028*E1028</f>
        <v>4200000</v>
      </c>
      <c r="G1028" s="3483"/>
      <c r="H1028" s="3483"/>
      <c r="I1028" s="3509"/>
      <c r="J1028" s="3483"/>
      <c r="K1028" s="3483"/>
      <c r="L1028" s="3543"/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3550"/>
      <c r="B1029" s="3527" t="s">
        <v>4131</v>
      </c>
      <c r="C1029" s="3504"/>
      <c r="D1029" s="3509">
        <v>45000000</v>
      </c>
      <c r="E1029" s="3489">
        <v>0.05</v>
      </c>
      <c r="F1029" s="3510">
        <f>D1029*E1029</f>
        <v>2250000</v>
      </c>
      <c r="G1029" s="3513">
        <v>2250000</v>
      </c>
      <c r="H1029" s="3513" t="s">
        <v>2019</v>
      </c>
      <c r="I1029" s="3513" t="s">
        <v>3561</v>
      </c>
      <c r="J1029" s="3513">
        <f>G1029</f>
        <v>2250000</v>
      </c>
      <c r="K1029" s="3483">
        <f>F1029-J1029</f>
        <v>0</v>
      </c>
      <c r="L1029" s="3543"/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0"/>
      <c r="B1030" s="3527" t="s">
        <v>4242</v>
      </c>
      <c r="C1030" s="3504"/>
      <c r="D1030" s="3509">
        <v>60000000</v>
      </c>
      <c r="E1030" s="3489">
        <v>0.05</v>
      </c>
      <c r="F1030" s="3510">
        <f>D1030*E1030</f>
        <v>3000000</v>
      </c>
      <c r="G1030" s="3483">
        <v>3000000</v>
      </c>
      <c r="H1030" s="3483" t="s">
        <v>5735</v>
      </c>
      <c r="I1030" s="3509" t="s">
        <v>5760</v>
      </c>
      <c r="J1030" s="3483">
        <f>G1030</f>
        <v>3000000</v>
      </c>
      <c r="K1030" s="3483">
        <f>F1030-J1030</f>
        <v>0</v>
      </c>
      <c r="L1030" s="3543" t="s">
        <v>5364</v>
      </c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322"/>
      <c r="B1031" s="2551" t="s">
        <v>4243</v>
      </c>
      <c r="C1031" s="3024" t="s">
        <v>942</v>
      </c>
      <c r="D1031" s="2548">
        <v>10000000</v>
      </c>
      <c r="E1031" s="2549">
        <v>0.05</v>
      </c>
      <c r="F1031" s="2548">
        <f>D1031*E1031</f>
        <v>500000</v>
      </c>
      <c r="G1031" s="3713">
        <v>10000000</v>
      </c>
      <c r="H1031" s="3713" t="s">
        <v>1649</v>
      </c>
      <c r="I1031" s="3714" t="s">
        <v>5460</v>
      </c>
      <c r="J1031" s="3713">
        <f>G1031</f>
        <v>10000000</v>
      </c>
      <c r="K1031" s="3713"/>
      <c r="L1031" s="7732" t="s">
        <v>5461</v>
      </c>
      <c r="M1031" s="7733"/>
      <c r="N1031" s="7733"/>
      <c r="O1031" s="7734"/>
      <c r="P1031" s="386"/>
      <c r="Q1031" s="386"/>
    </row>
    <row r="1032" spans="1:17" s="1659" customFormat="1" ht="30" customHeight="1" x14ac:dyDescent="0.2">
      <c r="A1032" s="3550"/>
      <c r="B1032" s="3527" t="s">
        <v>4139</v>
      </c>
      <c r="C1032" s="3504"/>
      <c r="D1032" s="3509">
        <v>10000000</v>
      </c>
      <c r="E1032" s="3489"/>
      <c r="F1032" s="3510"/>
      <c r="G1032" s="3483"/>
      <c r="H1032" s="3483"/>
      <c r="I1032" s="3509"/>
      <c r="J1032" s="3483"/>
      <c r="K1032" s="3483"/>
      <c r="L1032" s="7732"/>
      <c r="M1032" s="7733"/>
      <c r="N1032" s="7733"/>
      <c r="O1032" s="7734"/>
      <c r="P1032" s="386"/>
      <c r="Q1032" s="386"/>
    </row>
    <row r="1033" spans="1:17" s="1659" customFormat="1" ht="30" customHeight="1" x14ac:dyDescent="0.2">
      <c r="A1033" s="4177"/>
      <c r="B1033" s="4174" t="s">
        <v>4142</v>
      </c>
      <c r="C1033" s="4173"/>
      <c r="D1033" s="4165">
        <v>200000000</v>
      </c>
      <c r="E1033" s="4172">
        <v>7.0000000000000007E-2</v>
      </c>
      <c r="F1033" s="4165">
        <f>D1033*E1033</f>
        <v>14000000.000000002</v>
      </c>
      <c r="G1033" s="3509">
        <v>14000000</v>
      </c>
      <c r="H1033" s="3489" t="s">
        <v>5995</v>
      </c>
      <c r="I1033" s="3510" t="s">
        <v>815</v>
      </c>
      <c r="J1033" s="3509">
        <f>G1033</f>
        <v>14000000</v>
      </c>
      <c r="K1033" s="3483">
        <f>F1033-J1033</f>
        <v>0</v>
      </c>
      <c r="L1033" s="7732"/>
      <c r="M1033" s="7733"/>
      <c r="N1033" s="7733"/>
      <c r="O1033" s="7734"/>
      <c r="P1033" s="386"/>
      <c r="Q1033" s="386"/>
    </row>
    <row r="1034" spans="1:17" s="1659" customFormat="1" ht="30" customHeight="1" x14ac:dyDescent="0.2">
      <c r="A1034" s="3550"/>
      <c r="B1034" s="2373" t="s">
        <v>4155</v>
      </c>
      <c r="C1034" s="3504"/>
      <c r="D1034" s="452"/>
      <c r="E1034" s="3502"/>
      <c r="F1034" s="597"/>
      <c r="G1034" s="3483"/>
      <c r="H1034" s="3483"/>
      <c r="I1034" s="3509" t="s">
        <v>4156</v>
      </c>
      <c r="J1034" s="3483">
        <f>G1034</f>
        <v>0</v>
      </c>
      <c r="K1034" s="3483"/>
      <c r="L1034" s="3543"/>
      <c r="M1034" s="3556"/>
      <c r="N1034" s="3556"/>
      <c r="O1034" s="3556"/>
      <c r="P1034" s="386"/>
      <c r="Q1034" s="386"/>
    </row>
    <row r="1035" spans="1:17" s="1659" customFormat="1" ht="30" customHeight="1" x14ac:dyDescent="0.2">
      <c r="A1035" s="3550"/>
      <c r="B1035" s="2373" t="s">
        <v>4157</v>
      </c>
      <c r="C1035" s="3504"/>
      <c r="D1035" s="452"/>
      <c r="E1035" s="3502"/>
      <c r="F1035" s="597"/>
      <c r="G1035" s="3483"/>
      <c r="H1035" s="3483"/>
      <c r="I1035" s="3509" t="s">
        <v>4158</v>
      </c>
      <c r="J1035" s="3483">
        <f>G1035</f>
        <v>0</v>
      </c>
      <c r="K1035" s="3483"/>
      <c r="L1035" s="3543"/>
      <c r="M1035" s="3556"/>
      <c r="N1035" s="3556"/>
      <c r="O1035" s="3556"/>
      <c r="P1035" s="386"/>
      <c r="Q1035" s="386"/>
    </row>
    <row r="1036" spans="1:17" s="1659" customFormat="1" ht="30" customHeight="1" x14ac:dyDescent="0.2">
      <c r="A1036" s="3550"/>
      <c r="B1036" s="2373" t="s">
        <v>4160</v>
      </c>
      <c r="C1036" s="3504"/>
      <c r="D1036" s="452"/>
      <c r="E1036" s="3502"/>
      <c r="F1036" s="597"/>
      <c r="G1036" s="3483"/>
      <c r="H1036" s="3483"/>
      <c r="I1036" s="3509" t="s">
        <v>4161</v>
      </c>
      <c r="J1036" s="3483">
        <f>G1036</f>
        <v>0</v>
      </c>
      <c r="K1036" s="3483"/>
      <c r="L1036" s="3543"/>
      <c r="M1036" s="3556"/>
      <c r="N1036" s="3556"/>
      <c r="O1036" s="3556"/>
      <c r="P1036" s="386"/>
      <c r="Q1036" s="386"/>
    </row>
    <row r="1037" spans="1:17" s="1659" customFormat="1" ht="30" customHeight="1" x14ac:dyDescent="0.2">
      <c r="A1037" s="7703"/>
      <c r="B1037" s="8021" t="s">
        <v>4162</v>
      </c>
      <c r="C1037" s="8023" t="s">
        <v>392</v>
      </c>
      <c r="D1037" s="8001">
        <v>70000000</v>
      </c>
      <c r="E1037" s="8083">
        <v>0.05</v>
      </c>
      <c r="F1037" s="8001">
        <f>D1037*E1037</f>
        <v>3500000</v>
      </c>
      <c r="G1037" s="8270" t="s">
        <v>4674</v>
      </c>
      <c r="H1037" s="8271"/>
      <c r="I1037" s="8271"/>
      <c r="J1037" s="8272"/>
      <c r="K1037" s="8279"/>
      <c r="L1037" s="3545" t="s">
        <v>4208</v>
      </c>
      <c r="M1037" s="3556"/>
      <c r="N1037" s="3556"/>
      <c r="O1037" s="3556"/>
      <c r="P1037" s="386"/>
      <c r="Q1037" s="386"/>
    </row>
    <row r="1038" spans="1:17" s="1659" customFormat="1" ht="30" customHeight="1" x14ac:dyDescent="0.2">
      <c r="A1038" s="7704"/>
      <c r="B1038" s="8269"/>
      <c r="C1038" s="8024"/>
      <c r="D1038" s="8002"/>
      <c r="E1038" s="8084"/>
      <c r="F1038" s="8002"/>
      <c r="G1038" s="8273"/>
      <c r="H1038" s="8274"/>
      <c r="I1038" s="8274"/>
      <c r="J1038" s="8275"/>
      <c r="K1038" s="8279"/>
      <c r="L1038" s="3554" t="s">
        <v>4209</v>
      </c>
      <c r="M1038" s="3556"/>
      <c r="N1038" s="3556"/>
      <c r="O1038" s="3556"/>
      <c r="P1038" s="386"/>
      <c r="Q1038" s="386"/>
    </row>
    <row r="1039" spans="1:17" s="1659" customFormat="1" ht="30" customHeight="1" x14ac:dyDescent="0.2">
      <c r="A1039" s="7704"/>
      <c r="B1039" s="8269"/>
      <c r="C1039" s="8024"/>
      <c r="D1039" s="3567">
        <v>10000000</v>
      </c>
      <c r="E1039" s="3577">
        <v>0.05</v>
      </c>
      <c r="F1039" s="3567">
        <f t="shared" ref="F1039:F1045" si="102">D1039*E1039</f>
        <v>500000</v>
      </c>
      <c r="G1039" s="8045"/>
      <c r="H1039" s="8046"/>
      <c r="I1039" s="8046"/>
      <c r="J1039" s="8047"/>
      <c r="K1039" s="8279"/>
      <c r="L1039" s="3554" t="s">
        <v>4270</v>
      </c>
      <c r="M1039" s="3556"/>
      <c r="N1039" s="3556"/>
      <c r="O1039" s="3556"/>
      <c r="P1039" s="386"/>
      <c r="Q1039" s="386"/>
    </row>
    <row r="1040" spans="1:17" s="1659" customFormat="1" ht="30" customHeight="1" x14ac:dyDescent="0.2">
      <c r="A1040" s="7704"/>
      <c r="B1040" s="8269"/>
      <c r="C1040" s="8024"/>
      <c r="D1040" s="3580">
        <v>84000000</v>
      </c>
      <c r="E1040" s="679">
        <v>0.05</v>
      </c>
      <c r="F1040" s="3580">
        <f t="shared" si="102"/>
        <v>4200000</v>
      </c>
      <c r="G1040" s="8264" t="s">
        <v>4832</v>
      </c>
      <c r="H1040" s="8264"/>
      <c r="I1040" s="8264"/>
      <c r="J1040" s="8264"/>
      <c r="K1040" s="3567"/>
      <c r="L1040" s="3554"/>
      <c r="M1040" s="3556"/>
      <c r="N1040" s="3556"/>
      <c r="O1040" s="3556"/>
      <c r="P1040" s="386"/>
      <c r="Q1040" s="386"/>
    </row>
    <row r="1041" spans="1:17" s="1659" customFormat="1" ht="30" customHeight="1" x14ac:dyDescent="0.2">
      <c r="A1041" s="7704"/>
      <c r="B1041" s="8269"/>
      <c r="C1041" s="8024"/>
      <c r="D1041" s="3580">
        <f>D1040+F1040</f>
        <v>88200000</v>
      </c>
      <c r="E1041" s="679">
        <v>0.05</v>
      </c>
      <c r="F1041" s="3580">
        <f t="shared" si="102"/>
        <v>4410000</v>
      </c>
      <c r="G1041" s="8264" t="s">
        <v>4833</v>
      </c>
      <c r="H1041" s="8264"/>
      <c r="I1041" s="8264"/>
      <c r="J1041" s="8264"/>
      <c r="K1041" s="3567"/>
      <c r="L1041" s="3554"/>
      <c r="M1041" s="3556"/>
      <c r="N1041" s="3556"/>
      <c r="O1041" s="3556"/>
      <c r="P1041" s="386"/>
      <c r="Q1041" s="386"/>
    </row>
    <row r="1042" spans="1:17" s="1659" customFormat="1" ht="30" customHeight="1" x14ac:dyDescent="0.2">
      <c r="A1042" s="7705"/>
      <c r="B1042" s="8022"/>
      <c r="C1042" s="8025"/>
      <c r="D1042" s="3580">
        <v>100000000</v>
      </c>
      <c r="E1042" s="679">
        <v>0.06</v>
      </c>
      <c r="F1042" s="3580">
        <f t="shared" si="102"/>
        <v>6000000</v>
      </c>
      <c r="G1042" s="3568"/>
      <c r="H1042" s="3568"/>
      <c r="I1042" s="2958"/>
      <c r="J1042" s="3567"/>
      <c r="K1042" s="3567"/>
      <c r="L1042" s="3554" t="s">
        <v>4371</v>
      </c>
      <c r="M1042" s="3556"/>
      <c r="N1042" s="3556"/>
      <c r="O1042" s="3556"/>
      <c r="P1042" s="386"/>
      <c r="Q1042" s="386"/>
    </row>
    <row r="1043" spans="1:17" s="1659" customFormat="1" ht="30" customHeight="1" x14ac:dyDescent="0.2">
      <c r="A1043" s="3550"/>
      <c r="B1043" s="3527" t="s">
        <v>4186</v>
      </c>
      <c r="C1043" s="3529"/>
      <c r="D1043" s="3513">
        <v>120000000</v>
      </c>
      <c r="E1043" s="3523">
        <v>0.05</v>
      </c>
      <c r="F1043" s="3513">
        <f t="shared" si="102"/>
        <v>6000000</v>
      </c>
      <c r="G1043" s="3483">
        <v>6000000</v>
      </c>
      <c r="H1043" s="3483" t="s">
        <v>1649</v>
      </c>
      <c r="I1043" s="3513" t="s">
        <v>5061</v>
      </c>
      <c r="J1043" s="3513">
        <f>G1043</f>
        <v>6000000</v>
      </c>
      <c r="K1043" s="3513">
        <f>F1043-J1043</f>
        <v>0</v>
      </c>
      <c r="L1043" s="3543" t="s">
        <v>4990</v>
      </c>
      <c r="M1043" s="3556"/>
      <c r="N1043" s="3556"/>
      <c r="O1043" s="3556"/>
      <c r="P1043" s="386"/>
      <c r="Q1043" s="386"/>
    </row>
    <row r="1044" spans="1:17" s="1659" customFormat="1" ht="30" customHeight="1" x14ac:dyDescent="0.2">
      <c r="A1044" s="3550"/>
      <c r="B1044" s="3527" t="s">
        <v>4196</v>
      </c>
      <c r="C1044" s="3529"/>
      <c r="D1044" s="3513">
        <v>100000000</v>
      </c>
      <c r="E1044" s="3523">
        <v>0.05</v>
      </c>
      <c r="F1044" s="3513">
        <f t="shared" si="102"/>
        <v>5000000</v>
      </c>
      <c r="G1044" s="3483">
        <v>5000000</v>
      </c>
      <c r="H1044" s="3483" t="s">
        <v>5839</v>
      </c>
      <c r="I1044" s="3509" t="s">
        <v>5844</v>
      </c>
      <c r="J1044" s="3483">
        <f>G1044</f>
        <v>5000000</v>
      </c>
      <c r="K1044" s="3483">
        <f>F1044-J1044</f>
        <v>0</v>
      </c>
      <c r="L1044" s="3543" t="s">
        <v>5809</v>
      </c>
      <c r="M1044" s="3556"/>
      <c r="N1044" s="3556"/>
      <c r="O1044" s="3556"/>
      <c r="P1044" s="386"/>
      <c r="Q1044" s="386"/>
    </row>
    <row r="1045" spans="1:17" s="1659" customFormat="1" ht="30" customHeight="1" x14ac:dyDescent="0.2">
      <c r="A1045" s="7703"/>
      <c r="B1045" s="7652" t="s">
        <v>4213</v>
      </c>
      <c r="C1045" s="7723" t="s">
        <v>4105</v>
      </c>
      <c r="D1045" s="7563">
        <v>100000000</v>
      </c>
      <c r="E1045" s="7659">
        <v>7.0000000000000007E-2</v>
      </c>
      <c r="F1045" s="7563">
        <f t="shared" si="102"/>
        <v>7000000.0000000009</v>
      </c>
      <c r="G1045" s="3483"/>
      <c r="H1045" s="3483"/>
      <c r="I1045" s="3509" t="s">
        <v>4845</v>
      </c>
      <c r="J1045" s="3483">
        <f>G1045</f>
        <v>0</v>
      </c>
      <c r="K1045" s="3483">
        <f>F1045-J1045</f>
        <v>7000000.0000000009</v>
      </c>
      <c r="L1045" s="3585" t="s">
        <v>4214</v>
      </c>
      <c r="M1045" s="3556"/>
      <c r="N1045" s="3556"/>
      <c r="O1045" s="3556"/>
      <c r="P1045" s="386"/>
      <c r="Q1045" s="386"/>
    </row>
    <row r="1046" spans="1:17" s="1659" customFormat="1" ht="30" customHeight="1" x14ac:dyDescent="0.2">
      <c r="A1046" s="7705"/>
      <c r="B1046" s="7653"/>
      <c r="C1046" s="7724"/>
      <c r="D1046" s="7564"/>
      <c r="E1046" s="7660"/>
      <c r="F1046" s="7564"/>
      <c r="G1046" s="3483"/>
      <c r="H1046" s="3483"/>
      <c r="I1046" s="3509" t="s">
        <v>4845</v>
      </c>
      <c r="J1046" s="3483">
        <f>G1046</f>
        <v>0</v>
      </c>
      <c r="K1046" s="3483">
        <f>F1045-J1046</f>
        <v>7000000.0000000009</v>
      </c>
      <c r="L1046" s="3585" t="s">
        <v>4905</v>
      </c>
      <c r="M1046" s="3556"/>
      <c r="N1046" s="3556"/>
      <c r="O1046" s="3556"/>
      <c r="P1046" s="386"/>
      <c r="Q1046" s="386"/>
    </row>
    <row r="1047" spans="1:17" s="1659" customFormat="1" ht="30" customHeight="1" x14ac:dyDescent="0.2">
      <c r="A1047" s="3550"/>
      <c r="B1047" s="3527" t="s">
        <v>4292</v>
      </c>
      <c r="C1047" s="3529"/>
      <c r="D1047" s="3513"/>
      <c r="E1047" s="3489"/>
      <c r="F1047" s="3483"/>
      <c r="G1047" s="3483"/>
      <c r="H1047" s="3483"/>
      <c r="I1047" s="3509"/>
      <c r="J1047" s="3483"/>
      <c r="K1047" s="3483"/>
      <c r="L1047" s="4242" t="s">
        <v>6056</v>
      </c>
      <c r="M1047" s="3556"/>
      <c r="N1047" s="3556"/>
      <c r="O1047" s="3556"/>
      <c r="P1047" s="386"/>
      <c r="Q1047" s="386"/>
    </row>
    <row r="1048" spans="1:17" s="1659" customFormat="1" ht="30" customHeight="1" x14ac:dyDescent="0.2">
      <c r="A1048" s="4177"/>
      <c r="B1048" s="4174" t="s">
        <v>4295</v>
      </c>
      <c r="C1048" s="4173" t="s">
        <v>4296</v>
      </c>
      <c r="D1048" s="4165">
        <v>80000000</v>
      </c>
      <c r="E1048" s="4172">
        <v>0.05</v>
      </c>
      <c r="F1048" s="4165">
        <f>D1048*E1048</f>
        <v>4000000</v>
      </c>
      <c r="G1048" s="3483">
        <v>4000000</v>
      </c>
      <c r="H1048" s="3483" t="s">
        <v>5995</v>
      </c>
      <c r="I1048" s="3509" t="s">
        <v>1720</v>
      </c>
      <c r="J1048" s="3483">
        <f t="shared" ref="J1048:J1064" si="103">G1048</f>
        <v>4000000</v>
      </c>
      <c r="K1048" s="3483">
        <f>F1048-J1048</f>
        <v>0</v>
      </c>
      <c r="L1048" s="3585" t="s">
        <v>4670</v>
      </c>
      <c r="M1048" s="3556"/>
      <c r="N1048" s="3556"/>
      <c r="O1048" s="3556"/>
      <c r="P1048" s="386"/>
      <c r="Q1048" s="386"/>
    </row>
    <row r="1049" spans="1:17" s="1659" customFormat="1" ht="30" customHeight="1" x14ac:dyDescent="0.2">
      <c r="A1049" s="19"/>
      <c r="B1049" s="3704" t="s">
        <v>4332</v>
      </c>
      <c r="C1049" s="3703" t="s">
        <v>402</v>
      </c>
      <c r="D1049" s="3696">
        <v>200000000</v>
      </c>
      <c r="E1049" s="3702">
        <v>0.05</v>
      </c>
      <c r="F1049" s="3696">
        <f>D1049*E1049</f>
        <v>10000000</v>
      </c>
      <c r="G1049" s="3683">
        <v>10000000</v>
      </c>
      <c r="H1049" s="3683" t="s">
        <v>5434</v>
      </c>
      <c r="I1049" s="3694" t="s">
        <v>1220</v>
      </c>
      <c r="J1049" s="3683">
        <f t="shared" si="103"/>
        <v>10000000</v>
      </c>
      <c r="K1049" s="3683">
        <f>F1049-J1049</f>
        <v>0</v>
      </c>
      <c r="L1049" s="3585" t="s">
        <v>4795</v>
      </c>
      <c r="M1049" s="3556"/>
      <c r="N1049" s="3556"/>
      <c r="O1049" s="3556"/>
      <c r="P1049" s="386"/>
      <c r="Q1049" s="386"/>
    </row>
    <row r="1050" spans="1:17" s="1659" customFormat="1" ht="30" customHeight="1" x14ac:dyDescent="0.2">
      <c r="A1050" s="3550"/>
      <c r="B1050" s="3527" t="s">
        <v>4368</v>
      </c>
      <c r="C1050" s="3529"/>
      <c r="D1050" s="452"/>
      <c r="E1050" s="3502"/>
      <c r="F1050" s="597"/>
      <c r="G1050" s="3483"/>
      <c r="H1050" s="3483"/>
      <c r="I1050" s="3509" t="s">
        <v>2986</v>
      </c>
      <c r="J1050" s="3483">
        <f t="shared" si="103"/>
        <v>0</v>
      </c>
      <c r="K1050" s="3483"/>
      <c r="L1050" s="3585"/>
      <c r="M1050" s="3556"/>
      <c r="N1050" s="3556"/>
      <c r="O1050" s="3556"/>
      <c r="P1050" s="386"/>
      <c r="Q1050" s="386"/>
    </row>
    <row r="1051" spans="1:17" s="1659" customFormat="1" ht="30" customHeight="1" x14ac:dyDescent="0.2">
      <c r="A1051" s="3550"/>
      <c r="B1051" s="3527" t="s">
        <v>4374</v>
      </c>
      <c r="C1051" s="3529"/>
      <c r="D1051" s="3509">
        <v>100000000</v>
      </c>
      <c r="E1051" s="3489">
        <v>0.05</v>
      </c>
      <c r="F1051" s="3510">
        <f>D1051*E1051</f>
        <v>5000000</v>
      </c>
      <c r="G1051" s="3483">
        <v>5000000</v>
      </c>
      <c r="H1051" s="3483" t="s">
        <v>3977</v>
      </c>
      <c r="I1051" s="3509" t="s">
        <v>5014</v>
      </c>
      <c r="J1051" s="3483">
        <f t="shared" si="103"/>
        <v>5000000</v>
      </c>
      <c r="K1051" s="3483">
        <f>F1051-J1051</f>
        <v>0</v>
      </c>
      <c r="L1051" s="3543" t="s">
        <v>4375</v>
      </c>
      <c r="M1051" s="3556"/>
      <c r="N1051" s="3556"/>
      <c r="O1051" s="3556"/>
      <c r="P1051" s="386"/>
      <c r="Q1051" s="386"/>
    </row>
    <row r="1052" spans="1:17" s="1659" customFormat="1" ht="30" customHeight="1" x14ac:dyDescent="0.2">
      <c r="A1052" s="7703"/>
      <c r="B1052" s="7652" t="s">
        <v>5361</v>
      </c>
      <c r="C1052" s="7723" t="s">
        <v>262</v>
      </c>
      <c r="D1052" s="3593">
        <v>115000000</v>
      </c>
      <c r="E1052" s="3590">
        <v>0.05</v>
      </c>
      <c r="F1052" s="3594">
        <f>D1052*E1052</f>
        <v>5750000</v>
      </c>
      <c r="G1052" s="7732" t="s">
        <v>5655</v>
      </c>
      <c r="H1052" s="7733"/>
      <c r="I1052" s="7733"/>
      <c r="J1052" s="7734"/>
      <c r="K1052" s="3587"/>
      <c r="L1052" s="3598" t="s">
        <v>5711</v>
      </c>
      <c r="M1052" s="3605"/>
      <c r="N1052" s="3605"/>
      <c r="O1052" s="3605"/>
      <c r="P1052" s="386"/>
      <c r="Q1052" s="386"/>
    </row>
    <row r="1053" spans="1:17" s="1659" customFormat="1" ht="30" customHeight="1" x14ac:dyDescent="0.2">
      <c r="A1053" s="7705"/>
      <c r="B1053" s="7653"/>
      <c r="C1053" s="7724"/>
      <c r="D1053" s="3939">
        <v>5000000</v>
      </c>
      <c r="E1053" s="3934">
        <v>0.05</v>
      </c>
      <c r="F1053" s="3940">
        <f>D1053*E1053</f>
        <v>250000</v>
      </c>
      <c r="G1053" s="7732" t="s">
        <v>5710</v>
      </c>
      <c r="H1053" s="7733"/>
      <c r="I1053" s="7733"/>
      <c r="J1053" s="7734"/>
      <c r="K1053" s="3931"/>
      <c r="L1053" s="3943" t="s">
        <v>5712</v>
      </c>
      <c r="M1053" s="3946"/>
      <c r="N1053" s="3946"/>
      <c r="O1053" s="3946"/>
      <c r="P1053" s="386"/>
      <c r="Q1053" s="386"/>
    </row>
    <row r="1054" spans="1:17" s="1659" customFormat="1" ht="31.5" customHeight="1" x14ac:dyDescent="0.2">
      <c r="A1054" s="3550"/>
      <c r="B1054" s="3527" t="s">
        <v>4376</v>
      </c>
      <c r="C1054" s="3529" t="s">
        <v>1718</v>
      </c>
      <c r="D1054" s="3509">
        <v>70000000</v>
      </c>
      <c r="E1054" s="3489">
        <v>7.0000000000000007E-2</v>
      </c>
      <c r="F1054" s="3510">
        <f>D1054*E1054</f>
        <v>4900000.0000000009</v>
      </c>
      <c r="G1054" s="3483">
        <v>4900000</v>
      </c>
      <c r="H1054" s="3483" t="s">
        <v>2019</v>
      </c>
      <c r="I1054" s="3509" t="s">
        <v>5514</v>
      </c>
      <c r="J1054" s="3483">
        <f t="shared" si="103"/>
        <v>4900000</v>
      </c>
      <c r="K1054" s="3483">
        <f t="shared" ref="K1054:K1059" si="104">F1054-J1054</f>
        <v>0</v>
      </c>
      <c r="L1054" s="3585" t="s">
        <v>4992</v>
      </c>
      <c r="M1054" s="3556"/>
      <c r="N1054" s="3556"/>
      <c r="O1054" s="3556"/>
      <c r="P1054" s="386"/>
      <c r="Q1054" s="386"/>
    </row>
    <row r="1055" spans="1:17" s="1659" customFormat="1" ht="30" customHeight="1" x14ac:dyDescent="0.2">
      <c r="A1055" s="3550"/>
      <c r="B1055" s="3527" t="s">
        <v>4393</v>
      </c>
      <c r="C1055" s="3529" t="s">
        <v>1718</v>
      </c>
      <c r="D1055" s="3509">
        <v>350000000</v>
      </c>
      <c r="E1055" s="3489">
        <v>7.0000000000000007E-2</v>
      </c>
      <c r="F1055" s="3510">
        <f>D1055*E1055</f>
        <v>24500000.000000004</v>
      </c>
      <c r="G1055" s="3483">
        <v>24500000</v>
      </c>
      <c r="H1055" s="3483" t="s">
        <v>2019</v>
      </c>
      <c r="I1055" s="3509" t="s">
        <v>4900</v>
      </c>
      <c r="J1055" s="3483">
        <f t="shared" si="103"/>
        <v>24500000</v>
      </c>
      <c r="K1055" s="3483">
        <f t="shared" si="104"/>
        <v>0</v>
      </c>
      <c r="L1055" s="3585" t="s">
        <v>4394</v>
      </c>
      <c r="M1055" s="3556"/>
      <c r="N1055" s="3556"/>
      <c r="O1055" s="3556"/>
      <c r="P1055" s="386"/>
      <c r="Q1055" s="386"/>
    </row>
    <row r="1056" spans="1:17" s="1659" customFormat="1" ht="30" customHeight="1" x14ac:dyDescent="0.2">
      <c r="A1056" s="3550"/>
      <c r="B1056" s="3527" t="s">
        <v>4397</v>
      </c>
      <c r="C1056" s="3529" t="s">
        <v>1172</v>
      </c>
      <c r="D1056" s="3509">
        <v>50000000</v>
      </c>
      <c r="E1056" s="3489">
        <v>0.05</v>
      </c>
      <c r="F1056" s="3510">
        <f t="shared" ref="F1056:F1063" si="105">D1056*E1056</f>
        <v>2500000</v>
      </c>
      <c r="G1056" s="3483">
        <v>2500000</v>
      </c>
      <c r="H1056" s="3483" t="s">
        <v>5345</v>
      </c>
      <c r="I1056" s="3509" t="s">
        <v>4526</v>
      </c>
      <c r="J1056" s="3483">
        <f t="shared" si="103"/>
        <v>2500000</v>
      </c>
      <c r="K1056" s="3483">
        <f t="shared" si="104"/>
        <v>0</v>
      </c>
      <c r="L1056" s="3585" t="s">
        <v>4398</v>
      </c>
      <c r="M1056" s="3556"/>
      <c r="N1056" s="3556"/>
      <c r="O1056" s="3556"/>
      <c r="P1056" s="386"/>
      <c r="Q1056" s="386"/>
    </row>
    <row r="1057" spans="1:17" s="1659" customFormat="1" ht="30" customHeight="1" x14ac:dyDescent="0.2">
      <c r="A1057" s="3550"/>
      <c r="B1057" s="3527" t="s">
        <v>5013</v>
      </c>
      <c r="C1057" s="3529"/>
      <c r="D1057" s="3509">
        <v>100000000</v>
      </c>
      <c r="E1057" s="3489">
        <v>0.05</v>
      </c>
      <c r="F1057" s="3510">
        <f t="shared" si="105"/>
        <v>5000000</v>
      </c>
      <c r="G1057" s="3483">
        <v>5000000</v>
      </c>
      <c r="H1057" s="3483" t="s">
        <v>5345</v>
      </c>
      <c r="I1057" s="3509" t="s">
        <v>4406</v>
      </c>
      <c r="J1057" s="3483">
        <f t="shared" si="103"/>
        <v>5000000</v>
      </c>
      <c r="K1057" s="3483">
        <f t="shared" si="104"/>
        <v>0</v>
      </c>
      <c r="L1057" s="3585"/>
      <c r="M1057" s="3556"/>
      <c r="N1057" s="3556"/>
      <c r="O1057" s="3556"/>
      <c r="P1057" s="386"/>
      <c r="Q1057" s="386"/>
    </row>
    <row r="1058" spans="1:17" s="1659" customFormat="1" ht="30" customHeight="1" x14ac:dyDescent="0.2">
      <c r="A1058" s="3550"/>
      <c r="B1058" s="3527" t="s">
        <v>4410</v>
      </c>
      <c r="C1058" s="3529"/>
      <c r="D1058" s="3509">
        <v>50000000</v>
      </c>
      <c r="E1058" s="3489">
        <v>0.05</v>
      </c>
      <c r="F1058" s="3510">
        <f t="shared" si="105"/>
        <v>2500000</v>
      </c>
      <c r="G1058" s="3483">
        <v>2500000</v>
      </c>
      <c r="H1058" s="3483" t="s">
        <v>3977</v>
      </c>
      <c r="I1058" s="3509" t="s">
        <v>4411</v>
      </c>
      <c r="J1058" s="3483">
        <f t="shared" si="103"/>
        <v>2500000</v>
      </c>
      <c r="K1058" s="3483">
        <f t="shared" si="104"/>
        <v>0</v>
      </c>
      <c r="L1058" s="3585"/>
      <c r="M1058" s="3556"/>
      <c r="N1058" s="3556"/>
      <c r="O1058" s="3556"/>
      <c r="P1058" s="386"/>
      <c r="Q1058" s="386"/>
    </row>
    <row r="1059" spans="1:17" s="1659" customFormat="1" ht="30" customHeight="1" x14ac:dyDescent="0.2">
      <c r="A1059" s="3550"/>
      <c r="B1059" s="3527" t="s">
        <v>5005</v>
      </c>
      <c r="C1059" s="3529" t="s">
        <v>262</v>
      </c>
      <c r="D1059" s="3509">
        <v>20000000</v>
      </c>
      <c r="E1059" s="3489">
        <v>0.05</v>
      </c>
      <c r="F1059" s="3510">
        <f t="shared" si="105"/>
        <v>1000000</v>
      </c>
      <c r="G1059" s="3483">
        <v>1000000</v>
      </c>
      <c r="H1059" s="3483" t="s">
        <v>1879</v>
      </c>
      <c r="I1059" s="3509" t="s">
        <v>5571</v>
      </c>
      <c r="J1059" s="3483">
        <f t="shared" si="103"/>
        <v>1000000</v>
      </c>
      <c r="K1059" s="3483">
        <f t="shared" si="104"/>
        <v>0</v>
      </c>
      <c r="L1059" s="3585" t="s">
        <v>5036</v>
      </c>
      <c r="M1059" s="3556"/>
      <c r="N1059" s="3556"/>
      <c r="O1059" s="3556"/>
      <c r="P1059" s="386"/>
      <c r="Q1059" s="386"/>
    </row>
    <row r="1060" spans="1:17" s="1659" customFormat="1" ht="30" customHeight="1" x14ac:dyDescent="0.2">
      <c r="A1060" s="3550"/>
      <c r="B1060" s="3527" t="s">
        <v>4432</v>
      </c>
      <c r="C1060" s="3529" t="s">
        <v>2644</v>
      </c>
      <c r="D1060" s="3509">
        <v>300000000</v>
      </c>
      <c r="E1060" s="3489">
        <v>0.05</v>
      </c>
      <c r="F1060" s="3510">
        <f t="shared" si="105"/>
        <v>15000000</v>
      </c>
      <c r="G1060" s="3483">
        <v>15000000</v>
      </c>
      <c r="H1060" s="3483" t="s">
        <v>1527</v>
      </c>
      <c r="I1060" s="3509" t="s">
        <v>1063</v>
      </c>
      <c r="J1060" s="3483">
        <f t="shared" si="103"/>
        <v>15000000</v>
      </c>
      <c r="K1060" s="3483">
        <f t="shared" ref="K1060:K1063" si="106">F1060-J1060</f>
        <v>0</v>
      </c>
      <c r="L1060" s="3585" t="s">
        <v>4435</v>
      </c>
      <c r="M1060" s="3556"/>
      <c r="N1060" s="3556"/>
      <c r="O1060" s="3556"/>
      <c r="P1060" s="386"/>
      <c r="Q1060" s="386"/>
    </row>
    <row r="1061" spans="1:17" s="1659" customFormat="1" ht="30" customHeight="1" x14ac:dyDescent="0.2">
      <c r="A1061" s="3550"/>
      <c r="B1061" s="3527" t="s">
        <v>4433</v>
      </c>
      <c r="C1061" s="3529" t="s">
        <v>371</v>
      </c>
      <c r="D1061" s="3509">
        <v>200000000</v>
      </c>
      <c r="E1061" s="3489">
        <v>0.05</v>
      </c>
      <c r="F1061" s="3510">
        <f t="shared" si="105"/>
        <v>10000000</v>
      </c>
      <c r="G1061" s="3483">
        <v>10000000</v>
      </c>
      <c r="H1061" s="3483" t="s">
        <v>5367</v>
      </c>
      <c r="I1061" s="3509" t="s">
        <v>4167</v>
      </c>
      <c r="J1061" s="3483">
        <f t="shared" si="103"/>
        <v>10000000</v>
      </c>
      <c r="K1061" s="3483">
        <f t="shared" si="106"/>
        <v>0</v>
      </c>
      <c r="L1061" s="3585" t="s">
        <v>4434</v>
      </c>
      <c r="M1061" s="3556"/>
      <c r="N1061" s="3556"/>
      <c r="O1061" s="3556"/>
      <c r="P1061" s="386"/>
      <c r="Q1061" s="386"/>
    </row>
    <row r="1062" spans="1:17" s="1659" customFormat="1" ht="30" customHeight="1" x14ac:dyDescent="0.2">
      <c r="A1062" s="3550"/>
      <c r="B1062" s="3527" t="s">
        <v>4454</v>
      </c>
      <c r="C1062" s="3529" t="s">
        <v>262</v>
      </c>
      <c r="D1062" s="3509">
        <v>120000000</v>
      </c>
      <c r="E1062" s="3489">
        <v>0.06</v>
      </c>
      <c r="F1062" s="3510">
        <f t="shared" si="105"/>
        <v>7200000</v>
      </c>
      <c r="G1062" s="3483">
        <v>7200000</v>
      </c>
      <c r="H1062" s="3483" t="s">
        <v>3977</v>
      </c>
      <c r="I1062" s="3509" t="s">
        <v>4455</v>
      </c>
      <c r="J1062" s="3483">
        <f t="shared" si="103"/>
        <v>7200000</v>
      </c>
      <c r="K1062" s="3483">
        <f t="shared" si="106"/>
        <v>0</v>
      </c>
      <c r="L1062" s="3585" t="s">
        <v>4456</v>
      </c>
      <c r="M1062" s="3556"/>
      <c r="N1062" s="3556"/>
      <c r="O1062" s="3556"/>
      <c r="P1062" s="386"/>
      <c r="Q1062" s="386"/>
    </row>
    <row r="1063" spans="1:17" s="1659" customFormat="1" ht="30" customHeight="1" x14ac:dyDescent="0.2">
      <c r="A1063" s="3550"/>
      <c r="B1063" s="3527" t="s">
        <v>4468</v>
      </c>
      <c r="C1063" s="3529" t="s">
        <v>1300</v>
      </c>
      <c r="D1063" s="3509">
        <v>75000000</v>
      </c>
      <c r="E1063" s="3489">
        <v>0.05</v>
      </c>
      <c r="F1063" s="3510">
        <f t="shared" si="105"/>
        <v>3750000</v>
      </c>
      <c r="G1063" s="3483">
        <v>3750000</v>
      </c>
      <c r="H1063" s="3483" t="s">
        <v>5697</v>
      </c>
      <c r="I1063" s="3509" t="s">
        <v>5095</v>
      </c>
      <c r="J1063" s="3483">
        <f t="shared" si="103"/>
        <v>3750000</v>
      </c>
      <c r="K1063" s="3483">
        <f t="shared" si="106"/>
        <v>0</v>
      </c>
      <c r="L1063" s="3585" t="s">
        <v>4469</v>
      </c>
      <c r="M1063" s="3556"/>
      <c r="N1063" s="3556"/>
      <c r="O1063" s="3556"/>
      <c r="P1063" s="386"/>
      <c r="Q1063" s="386"/>
    </row>
    <row r="1064" spans="1:17" s="1659" customFormat="1" ht="30" customHeight="1" x14ac:dyDescent="0.2">
      <c r="A1064" s="7703"/>
      <c r="B1064" s="7652" t="s">
        <v>4496</v>
      </c>
      <c r="C1064" s="7723" t="s">
        <v>1287</v>
      </c>
      <c r="D1064" s="3509">
        <v>100000000</v>
      </c>
      <c r="E1064" s="3489">
        <v>0.06</v>
      </c>
      <c r="F1064" s="3510">
        <f>D1064*E1064</f>
        <v>6000000</v>
      </c>
      <c r="G1064" s="7563">
        <v>9840000</v>
      </c>
      <c r="H1064" s="7563" t="s">
        <v>5697</v>
      </c>
      <c r="I1064" s="7563" t="s">
        <v>5133</v>
      </c>
      <c r="J1064" s="7563">
        <f t="shared" si="103"/>
        <v>9840000</v>
      </c>
      <c r="K1064" s="7563"/>
      <c r="L1064" s="3585"/>
      <c r="M1064" s="3556"/>
      <c r="N1064" s="3556"/>
      <c r="O1064" s="3556"/>
      <c r="P1064" s="386"/>
      <c r="Q1064" s="386"/>
    </row>
    <row r="1065" spans="1:17" s="1659" customFormat="1" ht="30" customHeight="1" x14ac:dyDescent="0.2">
      <c r="A1065" s="7704"/>
      <c r="B1065" s="7665"/>
      <c r="C1065" s="7747"/>
      <c r="D1065" s="7563">
        <v>160000000</v>
      </c>
      <c r="E1065" s="7659">
        <v>0.06</v>
      </c>
      <c r="F1065" s="7563">
        <f>D1065*E1065</f>
        <v>9600000</v>
      </c>
      <c r="G1065" s="7586"/>
      <c r="H1065" s="7586"/>
      <c r="I1065" s="7586"/>
      <c r="J1065" s="7586"/>
      <c r="K1065" s="7586"/>
      <c r="L1065" s="3585" t="s">
        <v>5307</v>
      </c>
      <c r="M1065" s="3556"/>
      <c r="N1065" s="3556"/>
      <c r="O1065" s="3556"/>
      <c r="P1065" s="386"/>
      <c r="Q1065" s="386"/>
    </row>
    <row r="1066" spans="1:17" s="1659" customFormat="1" ht="30" customHeight="1" x14ac:dyDescent="0.2">
      <c r="A1066" s="7704"/>
      <c r="B1066" s="7665"/>
      <c r="C1066" s="7747"/>
      <c r="D1066" s="7564"/>
      <c r="E1066" s="7660"/>
      <c r="F1066" s="7564"/>
      <c r="G1066" s="7586"/>
      <c r="H1066" s="7586"/>
      <c r="I1066" s="7586"/>
      <c r="J1066" s="7586"/>
      <c r="K1066" s="7586"/>
      <c r="L1066" s="3670" t="s">
        <v>5406</v>
      </c>
      <c r="M1066" s="3667"/>
      <c r="N1066" s="3667"/>
      <c r="O1066" s="3667"/>
      <c r="P1066" s="386"/>
      <c r="Q1066" s="386"/>
    </row>
    <row r="1067" spans="1:17" s="1659" customFormat="1" ht="30" customHeight="1" x14ac:dyDescent="0.2">
      <c r="A1067" s="7705"/>
      <c r="B1067" s="7653"/>
      <c r="C1067" s="7724"/>
      <c r="D1067" s="3562">
        <f>D1064+D1065</f>
        <v>260000000</v>
      </c>
      <c r="E1067" s="3500">
        <v>0.06</v>
      </c>
      <c r="F1067" s="3563">
        <f>D1067*E1067</f>
        <v>15600000</v>
      </c>
      <c r="G1067" s="7564"/>
      <c r="H1067" s="7564"/>
      <c r="I1067" s="7564"/>
      <c r="J1067" s="7564"/>
      <c r="K1067" s="7564"/>
      <c r="L1067" s="3585" t="s">
        <v>5707</v>
      </c>
      <c r="M1067" s="3556"/>
      <c r="N1067" s="3556"/>
      <c r="O1067" s="3556"/>
      <c r="P1067" s="386"/>
      <c r="Q1067" s="386"/>
    </row>
    <row r="1068" spans="1:17" s="1659" customFormat="1" ht="30" customHeight="1" x14ac:dyDescent="0.2">
      <c r="A1068" s="7703"/>
      <c r="B1068" s="7652" t="s">
        <v>4494</v>
      </c>
      <c r="C1068" s="7723" t="s">
        <v>1287</v>
      </c>
      <c r="D1068" s="3513">
        <v>150000000</v>
      </c>
      <c r="E1068" s="3489">
        <v>0.06</v>
      </c>
      <c r="F1068" s="3483">
        <f>D1068*E1068</f>
        <v>9000000</v>
      </c>
      <c r="G1068" s="7991" t="s">
        <v>5309</v>
      </c>
      <c r="H1068" s="7992"/>
      <c r="I1068" s="7992"/>
      <c r="J1068" s="7993"/>
      <c r="K1068" s="3483"/>
      <c r="L1068" s="3546" t="s">
        <v>4495</v>
      </c>
      <c r="M1068" s="3556"/>
      <c r="N1068" s="3556"/>
      <c r="O1068" s="3556"/>
      <c r="P1068" s="386"/>
      <c r="Q1068" s="386"/>
    </row>
    <row r="1069" spans="1:17" s="1659" customFormat="1" ht="30" customHeight="1" x14ac:dyDescent="0.2">
      <c r="A1069" s="7704"/>
      <c r="B1069" s="7665"/>
      <c r="C1069" s="7747"/>
      <c r="D1069" s="3513">
        <v>130000000</v>
      </c>
      <c r="E1069" s="3489">
        <v>0.06</v>
      </c>
      <c r="F1069" s="3483">
        <f>D1069*E1069</f>
        <v>7800000</v>
      </c>
      <c r="G1069" s="7997"/>
      <c r="H1069" s="7998"/>
      <c r="I1069" s="7998"/>
      <c r="J1069" s="7999"/>
      <c r="K1069" s="3483"/>
      <c r="L1069" s="3585" t="s">
        <v>5308</v>
      </c>
      <c r="M1069" s="3556"/>
      <c r="N1069" s="3556"/>
      <c r="O1069" s="3556"/>
      <c r="P1069" s="386"/>
      <c r="Q1069" s="386"/>
    </row>
    <row r="1070" spans="1:17" s="1659" customFormat="1" ht="30" customHeight="1" x14ac:dyDescent="0.2">
      <c r="A1070" s="7705"/>
      <c r="B1070" s="7653"/>
      <c r="C1070" s="7724"/>
      <c r="D1070" s="3480">
        <f>D1068+D1069</f>
        <v>280000000</v>
      </c>
      <c r="E1070" s="3500">
        <v>0.06</v>
      </c>
      <c r="F1070" s="3499">
        <f>D1070*E1070</f>
        <v>16800000</v>
      </c>
      <c r="G1070" s="3483">
        <v>12900000</v>
      </c>
      <c r="H1070" s="3483" t="s">
        <v>5697</v>
      </c>
      <c r="I1070" s="3509" t="s">
        <v>2078</v>
      </c>
      <c r="J1070" s="3483">
        <f>G1070</f>
        <v>12900000</v>
      </c>
      <c r="K1070" s="3483"/>
      <c r="L1070" s="3546" t="s">
        <v>5662</v>
      </c>
      <c r="M1070" s="3556"/>
      <c r="N1070" s="3556"/>
      <c r="O1070" s="3556"/>
      <c r="P1070" s="386"/>
      <c r="Q1070" s="386"/>
    </row>
    <row r="1071" spans="1:17" s="1659" customFormat="1" ht="30" customHeight="1" x14ac:dyDescent="0.2">
      <c r="A1071" s="7703"/>
      <c r="B1071" s="7652" t="s">
        <v>4513</v>
      </c>
      <c r="C1071" s="3529"/>
      <c r="D1071" s="3513">
        <v>20000000</v>
      </c>
      <c r="E1071" s="3489">
        <f>F1071/D1071</f>
        <v>0.06</v>
      </c>
      <c r="F1071" s="3483">
        <v>1200000</v>
      </c>
      <c r="G1071" s="3483"/>
      <c r="H1071" s="3483"/>
      <c r="I1071" s="3509" t="s">
        <v>4526</v>
      </c>
      <c r="J1071" s="3483">
        <f>G1071</f>
        <v>0</v>
      </c>
      <c r="K1071" s="3483"/>
      <c r="L1071" s="3546" t="s">
        <v>4525</v>
      </c>
      <c r="M1071" s="3556"/>
      <c r="N1071" s="3556"/>
      <c r="O1071" s="3556"/>
      <c r="P1071" s="386"/>
      <c r="Q1071" s="386"/>
    </row>
    <row r="1072" spans="1:17" s="1659" customFormat="1" ht="30" customHeight="1" x14ac:dyDescent="0.2">
      <c r="A1072" s="7705"/>
      <c r="B1072" s="7653"/>
      <c r="C1072" s="3529" t="s">
        <v>1138</v>
      </c>
      <c r="D1072" s="3513">
        <v>130000000</v>
      </c>
      <c r="E1072" s="3489">
        <v>7.0000000000000007E-2</v>
      </c>
      <c r="F1072" s="3483">
        <v>9000000</v>
      </c>
      <c r="G1072" s="3483">
        <v>27000000</v>
      </c>
      <c r="H1072" s="3483" t="s">
        <v>6023</v>
      </c>
      <c r="I1072" s="3509" t="s">
        <v>4526</v>
      </c>
      <c r="J1072" s="3483">
        <f>G1072</f>
        <v>27000000</v>
      </c>
      <c r="K1072" s="3483"/>
      <c r="L1072" s="3546" t="s">
        <v>6034</v>
      </c>
      <c r="M1072" s="3556"/>
      <c r="N1072" s="3556"/>
      <c r="O1072" s="3556"/>
      <c r="P1072" s="386"/>
      <c r="Q1072" s="386"/>
    </row>
    <row r="1073" spans="1:17" s="1659" customFormat="1" ht="30" customHeight="1" x14ac:dyDescent="0.2">
      <c r="A1073" s="7703"/>
      <c r="B1073" s="7652" t="s">
        <v>3186</v>
      </c>
      <c r="C1073" s="7723" t="s">
        <v>889</v>
      </c>
      <c r="D1073" s="7563">
        <v>150000000</v>
      </c>
      <c r="E1073" s="7659">
        <v>0.06</v>
      </c>
      <c r="F1073" s="7563">
        <f>D1073*E1073</f>
        <v>9000000</v>
      </c>
      <c r="G1073" s="7563"/>
      <c r="H1073" s="7563"/>
      <c r="I1073" s="7563" t="s">
        <v>4782</v>
      </c>
      <c r="J1073" s="7563">
        <f>G1073</f>
        <v>0</v>
      </c>
      <c r="K1073" s="7563">
        <f>G1073-J1073</f>
        <v>0</v>
      </c>
      <c r="L1073" s="3546" t="s">
        <v>4682</v>
      </c>
      <c r="M1073" s="3556"/>
      <c r="N1073" s="3556"/>
      <c r="O1073" s="3556"/>
      <c r="P1073" s="386"/>
      <c r="Q1073" s="386"/>
    </row>
    <row r="1074" spans="1:17" s="1659" customFormat="1" ht="30" customHeight="1" x14ac:dyDescent="0.2">
      <c r="A1074" s="7705"/>
      <c r="B1074" s="7653"/>
      <c r="C1074" s="7724"/>
      <c r="D1074" s="7564"/>
      <c r="E1074" s="7660"/>
      <c r="F1074" s="7564"/>
      <c r="G1074" s="7564"/>
      <c r="H1074" s="7564"/>
      <c r="I1074" s="7564"/>
      <c r="J1074" s="7564"/>
      <c r="K1074" s="7564"/>
      <c r="L1074" s="3546" t="s">
        <v>4681</v>
      </c>
      <c r="M1074" s="3556"/>
      <c r="N1074" s="3556"/>
      <c r="O1074" s="3556"/>
      <c r="P1074" s="386"/>
      <c r="Q1074" s="386"/>
    </row>
    <row r="1075" spans="1:17" s="1659" customFormat="1" ht="30" customHeight="1" x14ac:dyDescent="0.2">
      <c r="A1075" s="3550"/>
      <c r="B1075" s="3527" t="s">
        <v>4527</v>
      </c>
      <c r="C1075" s="3529"/>
      <c r="D1075" s="3513">
        <v>100000000</v>
      </c>
      <c r="E1075" s="3489">
        <v>0.05</v>
      </c>
      <c r="F1075" s="3483">
        <v>5000000</v>
      </c>
      <c r="G1075" s="3483">
        <v>5000000</v>
      </c>
      <c r="H1075" s="3483" t="s">
        <v>5735</v>
      </c>
      <c r="I1075" s="3509" t="s">
        <v>5757</v>
      </c>
      <c r="J1075" s="3483">
        <f>F1075</f>
        <v>5000000</v>
      </c>
      <c r="K1075" s="3483">
        <f>F1075-J1075</f>
        <v>0</v>
      </c>
      <c r="L1075" s="3546" t="s">
        <v>5835</v>
      </c>
      <c r="M1075" s="3556"/>
      <c r="N1075" s="3556"/>
      <c r="O1075" s="3556"/>
      <c r="P1075" s="386"/>
      <c r="Q1075" s="386"/>
    </row>
    <row r="1076" spans="1:17" s="1659" customFormat="1" ht="30" customHeight="1" x14ac:dyDescent="0.2">
      <c r="A1076" s="3550"/>
      <c r="B1076" s="3527" t="s">
        <v>5135</v>
      </c>
      <c r="C1076" s="3529"/>
      <c r="D1076" s="3513">
        <v>10000000</v>
      </c>
      <c r="E1076" s="3489">
        <v>0.05</v>
      </c>
      <c r="F1076" s="3483">
        <f>D1076*E1076</f>
        <v>500000</v>
      </c>
      <c r="G1076" s="3483">
        <v>500000</v>
      </c>
      <c r="H1076" s="3483" t="s">
        <v>5735</v>
      </c>
      <c r="I1076" s="3509" t="s">
        <v>5735</v>
      </c>
      <c r="J1076" s="3483">
        <f>G1076</f>
        <v>500000</v>
      </c>
      <c r="K1076" s="3483">
        <f>F1076-J1076</f>
        <v>0</v>
      </c>
      <c r="L1076" s="3546" t="s">
        <v>5136</v>
      </c>
      <c r="M1076" s="3556"/>
      <c r="N1076" s="3556"/>
      <c r="O1076" s="3556"/>
      <c r="P1076" s="386"/>
      <c r="Q1076" s="386"/>
    </row>
    <row r="1077" spans="1:17" s="1659" customFormat="1" ht="30" customHeight="1" x14ac:dyDescent="0.2">
      <c r="A1077" s="3550"/>
      <c r="B1077" s="3527" t="s">
        <v>4537</v>
      </c>
      <c r="C1077" s="3529"/>
      <c r="D1077" s="3513">
        <v>100000000</v>
      </c>
      <c r="E1077" s="3489">
        <v>0.05</v>
      </c>
      <c r="F1077" s="3483">
        <f>D1077*E1077</f>
        <v>5000000</v>
      </c>
      <c r="G1077" s="3483">
        <v>5000000</v>
      </c>
      <c r="H1077" s="3483" t="s">
        <v>5839</v>
      </c>
      <c r="I1077" s="3509" t="s">
        <v>5212</v>
      </c>
      <c r="J1077" s="3483">
        <f>G1077</f>
        <v>5000000</v>
      </c>
      <c r="K1077" s="3483">
        <f>F1077-J1077</f>
        <v>0</v>
      </c>
      <c r="L1077" s="3546" t="s">
        <v>4538</v>
      </c>
      <c r="M1077" s="3556"/>
      <c r="N1077" s="3556"/>
      <c r="O1077" s="3556"/>
      <c r="P1077" s="386"/>
      <c r="Q1077" s="386"/>
    </row>
    <row r="1078" spans="1:17" s="1659" customFormat="1" ht="30" customHeight="1" x14ac:dyDescent="0.2">
      <c r="A1078" s="3550"/>
      <c r="B1078" s="3527" t="s">
        <v>105</v>
      </c>
      <c r="C1078" s="3529"/>
      <c r="D1078" s="3513">
        <v>200000000</v>
      </c>
      <c r="E1078" s="3489">
        <v>7.0000000000000007E-2</v>
      </c>
      <c r="F1078" s="3483">
        <f>D1078*E1078</f>
        <v>14000000.000000002</v>
      </c>
      <c r="G1078" s="3483">
        <v>14000000</v>
      </c>
      <c r="H1078" s="3483" t="s">
        <v>5995</v>
      </c>
      <c r="I1078" s="3509" t="s">
        <v>2794</v>
      </c>
      <c r="J1078" s="3483">
        <f>G1078</f>
        <v>14000000</v>
      </c>
      <c r="K1078" s="3483">
        <f>F1078-J1078</f>
        <v>0</v>
      </c>
      <c r="L1078" s="3546"/>
      <c r="M1078" s="3556"/>
      <c r="N1078" s="3556"/>
      <c r="O1078" s="3556"/>
      <c r="P1078" s="386"/>
      <c r="Q1078" s="386"/>
    </row>
    <row r="1079" spans="1:17" s="1659" customFormat="1" ht="30" customHeight="1" x14ac:dyDescent="0.2">
      <c r="A1079" s="7703"/>
      <c r="B1079" s="7652" t="s">
        <v>4550</v>
      </c>
      <c r="C1079" s="7723" t="s">
        <v>1299</v>
      </c>
      <c r="D1079" s="7563">
        <v>120000000</v>
      </c>
      <c r="E1079" s="7659">
        <v>7.0000000000000007E-2</v>
      </c>
      <c r="F1079" s="7563">
        <f>D1079*E1079</f>
        <v>8400000</v>
      </c>
      <c r="G1079" s="3513">
        <v>6000000</v>
      </c>
      <c r="H1079" s="3483" t="s">
        <v>5347</v>
      </c>
      <c r="I1079" s="3509" t="s">
        <v>5499</v>
      </c>
      <c r="J1079" s="7563">
        <f>G1079+G1080</f>
        <v>14400000</v>
      </c>
      <c r="K1079" s="7563">
        <f>F1079-J1079</f>
        <v>-6000000</v>
      </c>
      <c r="L1079" s="3546" t="s">
        <v>4551</v>
      </c>
      <c r="M1079" s="3556"/>
      <c r="N1079" s="3556"/>
      <c r="O1079" s="3556"/>
      <c r="P1079" s="386"/>
      <c r="Q1079" s="386"/>
    </row>
    <row r="1080" spans="1:17" s="1659" customFormat="1" ht="30" customHeight="1" x14ac:dyDescent="0.2">
      <c r="A1080" s="7705"/>
      <c r="B1080" s="7653"/>
      <c r="C1080" s="7724"/>
      <c r="D1080" s="7564"/>
      <c r="E1080" s="7660"/>
      <c r="F1080" s="7564"/>
      <c r="G1080" s="3513">
        <v>8400000</v>
      </c>
      <c r="H1080" s="3483" t="s">
        <v>5735</v>
      </c>
      <c r="I1080" s="3509" t="s">
        <v>5178</v>
      </c>
      <c r="J1080" s="7564"/>
      <c r="K1080" s="7564"/>
      <c r="L1080" s="3546" t="s">
        <v>5148</v>
      </c>
      <c r="M1080" s="3556"/>
      <c r="N1080" s="3556"/>
      <c r="O1080" s="3556"/>
      <c r="P1080" s="386"/>
      <c r="Q1080" s="386"/>
    </row>
    <row r="1081" spans="1:17" s="1659" customFormat="1" ht="30" customHeight="1" x14ac:dyDescent="0.2">
      <c r="A1081" s="3550"/>
      <c r="B1081" s="3527" t="s">
        <v>4577</v>
      </c>
      <c r="C1081" s="3529" t="s">
        <v>371</v>
      </c>
      <c r="D1081" s="3513">
        <v>50000000</v>
      </c>
      <c r="E1081" s="3489">
        <v>0.05</v>
      </c>
      <c r="F1081" s="3483">
        <f>D1081*E1081</f>
        <v>2500000</v>
      </c>
      <c r="G1081" s="3483">
        <v>2500000</v>
      </c>
      <c r="H1081" s="3483" t="s">
        <v>5596</v>
      </c>
      <c r="I1081" s="3509" t="s">
        <v>4578</v>
      </c>
      <c r="J1081" s="3483">
        <f t="shared" ref="J1081:J1086" si="107">G1081</f>
        <v>2500000</v>
      </c>
      <c r="K1081" s="3483">
        <f>F1081-G1081</f>
        <v>0</v>
      </c>
      <c r="L1081" s="3546" t="s">
        <v>5094</v>
      </c>
      <c r="M1081" s="3556"/>
      <c r="N1081" s="3556"/>
      <c r="O1081" s="3556"/>
      <c r="P1081" s="386"/>
      <c r="Q1081" s="386"/>
    </row>
    <row r="1082" spans="1:17" s="1659" customFormat="1" ht="30" customHeight="1" x14ac:dyDescent="0.2">
      <c r="A1082" s="3550"/>
      <c r="B1082" s="3527" t="s">
        <v>4667</v>
      </c>
      <c r="C1082" s="3529" t="s">
        <v>1796</v>
      </c>
      <c r="D1082" s="3513">
        <v>100000000</v>
      </c>
      <c r="E1082" s="3489">
        <v>7.0000000000000007E-2</v>
      </c>
      <c r="F1082" s="3483">
        <f>D1082*E1082</f>
        <v>7000000.0000000009</v>
      </c>
      <c r="G1082" s="3483"/>
      <c r="H1082" s="3483"/>
      <c r="I1082" s="3509" t="s">
        <v>4787</v>
      </c>
      <c r="J1082" s="3483">
        <f t="shared" si="107"/>
        <v>0</v>
      </c>
      <c r="K1082" s="3483">
        <f>F1082-J1082</f>
        <v>7000000.0000000009</v>
      </c>
      <c r="L1082" s="3546"/>
      <c r="M1082" s="3556"/>
      <c r="N1082" s="3556"/>
      <c r="O1082" s="3556"/>
      <c r="P1082" s="386"/>
      <c r="Q1082" s="386"/>
    </row>
    <row r="1083" spans="1:17" s="1659" customFormat="1" ht="30" customHeight="1" x14ac:dyDescent="0.2">
      <c r="A1083" s="3550"/>
      <c r="B1083" s="3527" t="s">
        <v>4668</v>
      </c>
      <c r="C1083" s="3529"/>
      <c r="D1083" s="3513">
        <v>100000000</v>
      </c>
      <c r="E1083" s="3489">
        <v>7.0000000000000007E-2</v>
      </c>
      <c r="F1083" s="3483">
        <f t="shared" ref="F1083:F1086" si="108">D1083*E1083</f>
        <v>7000000.0000000009</v>
      </c>
      <c r="G1083" s="3483"/>
      <c r="H1083" s="3483"/>
      <c r="I1083" s="3509" t="s">
        <v>4861</v>
      </c>
      <c r="J1083" s="3483">
        <f t="shared" si="107"/>
        <v>0</v>
      </c>
      <c r="K1083" s="3483">
        <f>F1083-J1083</f>
        <v>7000000.0000000009</v>
      </c>
      <c r="L1083" s="3546"/>
      <c r="M1083" s="3556"/>
      <c r="N1083" s="3556"/>
      <c r="O1083" s="3556"/>
      <c r="P1083" s="386"/>
      <c r="Q1083" s="386"/>
    </row>
    <row r="1084" spans="1:17" s="1659" customFormat="1" ht="30" customHeight="1" x14ac:dyDescent="0.2">
      <c r="A1084" s="3550"/>
      <c r="B1084" s="3527" t="s">
        <v>4669</v>
      </c>
      <c r="C1084" s="3529"/>
      <c r="D1084" s="3513">
        <v>35000000</v>
      </c>
      <c r="E1084" s="3489">
        <v>7.0000000000000007E-2</v>
      </c>
      <c r="F1084" s="3483">
        <f t="shared" si="108"/>
        <v>2450000.0000000005</v>
      </c>
      <c r="G1084" s="3483"/>
      <c r="H1084" s="3483"/>
      <c r="I1084" s="3509" t="s">
        <v>4862</v>
      </c>
      <c r="J1084" s="3483">
        <f t="shared" si="107"/>
        <v>0</v>
      </c>
      <c r="K1084" s="3483">
        <f>F1084-J1084</f>
        <v>2450000.0000000005</v>
      </c>
      <c r="L1084" s="3546"/>
      <c r="M1084" s="3556"/>
      <c r="N1084" s="3556"/>
      <c r="O1084" s="3556"/>
      <c r="P1084" s="386"/>
      <c r="Q1084" s="386"/>
    </row>
    <row r="1085" spans="1:17" s="1659" customFormat="1" ht="30" customHeight="1" x14ac:dyDescent="0.2">
      <c r="A1085" s="3550"/>
      <c r="B1085" s="3527" t="s">
        <v>4676</v>
      </c>
      <c r="C1085" s="3529"/>
      <c r="D1085" s="3513">
        <v>110000000</v>
      </c>
      <c r="E1085" s="3489">
        <v>0.05</v>
      </c>
      <c r="F1085" s="3483">
        <f t="shared" si="108"/>
        <v>5500000</v>
      </c>
      <c r="G1085" s="3483">
        <v>5500000</v>
      </c>
      <c r="H1085" s="3483" t="s">
        <v>5735</v>
      </c>
      <c r="I1085" s="3509" t="s">
        <v>5759</v>
      </c>
      <c r="J1085" s="3483">
        <f t="shared" si="107"/>
        <v>5500000</v>
      </c>
      <c r="K1085" s="3483">
        <f>F1085-J1085</f>
        <v>0</v>
      </c>
      <c r="L1085" s="3546" t="s">
        <v>4677</v>
      </c>
      <c r="M1085" s="3556"/>
      <c r="N1085" s="3556"/>
      <c r="O1085" s="3556"/>
      <c r="P1085" s="386"/>
      <c r="Q1085" s="386"/>
    </row>
    <row r="1086" spans="1:17" s="1659" customFormat="1" ht="30" customHeight="1" x14ac:dyDescent="0.2">
      <c r="A1086" s="7703"/>
      <c r="B1086" s="7652" t="s">
        <v>4755</v>
      </c>
      <c r="C1086" s="7723" t="s">
        <v>1796</v>
      </c>
      <c r="D1086" s="7563">
        <v>50000000</v>
      </c>
      <c r="E1086" s="7659">
        <v>0.05</v>
      </c>
      <c r="F1086" s="7563">
        <f t="shared" si="108"/>
        <v>2500000</v>
      </c>
      <c r="G1086" s="7563"/>
      <c r="H1086" s="7563"/>
      <c r="I1086" s="7563" t="s">
        <v>5331</v>
      </c>
      <c r="J1086" s="7563">
        <f t="shared" si="107"/>
        <v>0</v>
      </c>
      <c r="K1086" s="7563">
        <f>F1086-J1086</f>
        <v>2500000</v>
      </c>
      <c r="L1086" s="3585" t="s">
        <v>4756</v>
      </c>
      <c r="M1086" s="3556"/>
      <c r="N1086" s="3556"/>
      <c r="O1086" s="3556"/>
      <c r="P1086" s="386"/>
      <c r="Q1086" s="386"/>
    </row>
    <row r="1087" spans="1:17" s="1659" customFormat="1" ht="30" customHeight="1" x14ac:dyDescent="0.2">
      <c r="A1087" s="7705"/>
      <c r="B1087" s="7653"/>
      <c r="C1087" s="7724"/>
      <c r="D1087" s="7564"/>
      <c r="E1087" s="7660"/>
      <c r="F1087" s="7564"/>
      <c r="G1087" s="7564"/>
      <c r="H1087" s="7564"/>
      <c r="I1087" s="7564"/>
      <c r="J1087" s="7564"/>
      <c r="K1087" s="7564"/>
      <c r="L1087" s="3585" t="s">
        <v>5242</v>
      </c>
      <c r="M1087" s="3556"/>
      <c r="N1087" s="3556"/>
      <c r="O1087" s="3556"/>
      <c r="P1087" s="386"/>
      <c r="Q1087" s="386"/>
    </row>
    <row r="1088" spans="1:17" s="1659" customFormat="1" ht="30" customHeight="1" x14ac:dyDescent="0.2">
      <c r="A1088" s="3550"/>
      <c r="B1088" s="3527" t="s">
        <v>229</v>
      </c>
      <c r="C1088" s="3529" t="s">
        <v>1306</v>
      </c>
      <c r="D1088" s="3513">
        <v>60000000</v>
      </c>
      <c r="E1088" s="3489">
        <v>0.05</v>
      </c>
      <c r="F1088" s="3483">
        <f t="shared" ref="F1088:F1093" si="109">D1088*E1088</f>
        <v>3000000</v>
      </c>
      <c r="G1088" s="3483">
        <v>3000000</v>
      </c>
      <c r="H1088" s="3483" t="s">
        <v>5948</v>
      </c>
      <c r="I1088" s="3509" t="s">
        <v>1063</v>
      </c>
      <c r="J1088" s="3483">
        <f t="shared" ref="J1088:J1095" si="110">G1088</f>
        <v>3000000</v>
      </c>
      <c r="K1088" s="3483">
        <f t="shared" ref="K1088:K1095" si="111">F1088-J1088</f>
        <v>0</v>
      </c>
      <c r="L1088" s="3546"/>
      <c r="M1088" s="3556"/>
      <c r="N1088" s="3556"/>
      <c r="O1088" s="3556"/>
      <c r="P1088" s="386"/>
      <c r="Q1088" s="386"/>
    </row>
    <row r="1089" spans="1:17" s="1659" customFormat="1" ht="30" customHeight="1" x14ac:dyDescent="0.2">
      <c r="A1089" s="3550"/>
      <c r="B1089" s="3527" t="s">
        <v>4792</v>
      </c>
      <c r="C1089" s="3529" t="s">
        <v>2278</v>
      </c>
      <c r="D1089" s="3513">
        <v>200000000</v>
      </c>
      <c r="E1089" s="3489">
        <v>7.0000000000000007E-2</v>
      </c>
      <c r="F1089" s="3483">
        <f t="shared" si="109"/>
        <v>14000000.000000002</v>
      </c>
      <c r="G1089" s="3483">
        <v>14000000</v>
      </c>
      <c r="H1089" s="3483" t="s">
        <v>5697</v>
      </c>
      <c r="I1089" s="3509" t="s">
        <v>5122</v>
      </c>
      <c r="J1089" s="3483">
        <f t="shared" si="110"/>
        <v>14000000</v>
      </c>
      <c r="K1089" s="3483">
        <f t="shared" si="111"/>
        <v>0</v>
      </c>
      <c r="L1089" s="3546" t="s">
        <v>4977</v>
      </c>
      <c r="M1089" s="3556"/>
      <c r="N1089" s="3556"/>
      <c r="O1089" s="3556"/>
      <c r="P1089" s="386"/>
      <c r="Q1089" s="386"/>
    </row>
    <row r="1090" spans="1:17" s="1659" customFormat="1" ht="30" customHeight="1" x14ac:dyDescent="0.2">
      <c r="A1090" s="3550"/>
      <c r="B1090" s="3527" t="s">
        <v>5040</v>
      </c>
      <c r="C1090" s="3529" t="s">
        <v>1300</v>
      </c>
      <c r="D1090" s="3513">
        <v>250000000</v>
      </c>
      <c r="E1090" s="3489">
        <v>7.0000000000000007E-2</v>
      </c>
      <c r="F1090" s="3483">
        <f t="shared" si="109"/>
        <v>17500000</v>
      </c>
      <c r="G1090" s="3483">
        <v>17500000</v>
      </c>
      <c r="H1090" s="3483" t="s">
        <v>5697</v>
      </c>
      <c r="I1090" s="3509" t="s">
        <v>5132</v>
      </c>
      <c r="J1090" s="3483">
        <f t="shared" si="110"/>
        <v>17500000</v>
      </c>
      <c r="K1090" s="3483">
        <f t="shared" si="111"/>
        <v>0</v>
      </c>
      <c r="L1090" s="3822" t="s">
        <v>5600</v>
      </c>
      <c r="M1090" s="3556"/>
      <c r="N1090" s="3556"/>
      <c r="O1090" s="3556"/>
      <c r="P1090" s="386"/>
      <c r="Q1090" s="386"/>
    </row>
    <row r="1091" spans="1:17" s="1659" customFormat="1" ht="30" customHeight="1" x14ac:dyDescent="0.2">
      <c r="A1091" s="3550"/>
      <c r="B1091" s="3527" t="s">
        <v>4914</v>
      </c>
      <c r="C1091" s="3529" t="s">
        <v>1299</v>
      </c>
      <c r="D1091" s="3513">
        <v>200000000</v>
      </c>
      <c r="E1091" s="3489">
        <v>5.5E-2</v>
      </c>
      <c r="F1091" s="3483">
        <f t="shared" si="109"/>
        <v>11000000</v>
      </c>
      <c r="G1091" s="3483">
        <v>11000000</v>
      </c>
      <c r="H1091" s="3483" t="s">
        <v>5735</v>
      </c>
      <c r="I1091" s="3509" t="s">
        <v>1574</v>
      </c>
      <c r="J1091" s="3483">
        <f t="shared" si="110"/>
        <v>11000000</v>
      </c>
      <c r="K1091" s="3483">
        <f t="shared" si="111"/>
        <v>0</v>
      </c>
      <c r="L1091" s="3546" t="s">
        <v>4915</v>
      </c>
      <c r="M1091" s="3556"/>
      <c r="N1091" s="3556"/>
      <c r="O1091" s="3556"/>
      <c r="P1091" s="386"/>
      <c r="Q1091" s="386"/>
    </row>
    <row r="1092" spans="1:17" s="1659" customFormat="1" ht="30" customHeight="1" x14ac:dyDescent="0.2">
      <c r="A1092" s="3550"/>
      <c r="B1092" s="3527" t="s">
        <v>4922</v>
      </c>
      <c r="C1092" s="3529"/>
      <c r="D1092" s="3513">
        <v>600000000</v>
      </c>
      <c r="E1092" s="3489">
        <v>7.0000000000000007E-2</v>
      </c>
      <c r="F1092" s="3483">
        <f t="shared" si="109"/>
        <v>42000000.000000007</v>
      </c>
      <c r="G1092" s="3483">
        <v>42000000</v>
      </c>
      <c r="H1092" s="3483" t="s">
        <v>5367</v>
      </c>
      <c r="I1092" s="3509" t="s">
        <v>5604</v>
      </c>
      <c r="J1092" s="3483">
        <f t="shared" si="110"/>
        <v>42000000</v>
      </c>
      <c r="K1092" s="3483">
        <f t="shared" si="111"/>
        <v>0</v>
      </c>
      <c r="L1092" s="3546" t="s">
        <v>5656</v>
      </c>
      <c r="M1092" s="3556"/>
      <c r="N1092" s="3556"/>
      <c r="O1092" s="3556"/>
      <c r="P1092" s="386"/>
      <c r="Q1092" s="386"/>
    </row>
    <row r="1093" spans="1:17" s="1659" customFormat="1" ht="30" customHeight="1" x14ac:dyDescent="0.2">
      <c r="A1093" s="3550"/>
      <c r="B1093" s="3527" t="s">
        <v>4969</v>
      </c>
      <c r="C1093" s="3529"/>
      <c r="D1093" s="3513">
        <v>100000000</v>
      </c>
      <c r="E1093" s="3489">
        <v>0.05</v>
      </c>
      <c r="F1093" s="3483">
        <f t="shared" si="109"/>
        <v>5000000</v>
      </c>
      <c r="G1093" s="3483">
        <v>5000000</v>
      </c>
      <c r="H1093" s="3483" t="s">
        <v>3977</v>
      </c>
      <c r="I1093" s="3509" t="s">
        <v>3955</v>
      </c>
      <c r="J1093" s="3483">
        <f t="shared" si="110"/>
        <v>5000000</v>
      </c>
      <c r="K1093" s="3483">
        <f t="shared" si="111"/>
        <v>0</v>
      </c>
      <c r="L1093" s="3546" t="s">
        <v>4970</v>
      </c>
      <c r="M1093" s="3556"/>
      <c r="N1093" s="3556"/>
      <c r="O1093" s="3556"/>
      <c r="P1093" s="386"/>
      <c r="Q1093" s="386"/>
    </row>
    <row r="1094" spans="1:17" s="1659" customFormat="1" ht="30" customHeight="1" x14ac:dyDescent="0.2">
      <c r="A1094" s="3550"/>
      <c r="B1094" s="3527" t="s">
        <v>4967</v>
      </c>
      <c r="C1094" s="3529" t="s">
        <v>3483</v>
      </c>
      <c r="D1094" s="3513">
        <v>150000000</v>
      </c>
      <c r="E1094" s="3489">
        <v>5.6000000000000001E-2</v>
      </c>
      <c r="F1094" s="3483">
        <v>8500000</v>
      </c>
      <c r="G1094" s="3483">
        <v>8500000</v>
      </c>
      <c r="H1094" s="3483" t="s">
        <v>2019</v>
      </c>
      <c r="I1094" s="3509" t="s">
        <v>5515</v>
      </c>
      <c r="J1094" s="3483">
        <f t="shared" si="110"/>
        <v>8500000</v>
      </c>
      <c r="K1094" s="3483">
        <f t="shared" si="111"/>
        <v>0</v>
      </c>
      <c r="L1094" s="3546" t="s">
        <v>4968</v>
      </c>
      <c r="M1094" s="3556"/>
      <c r="N1094" s="3556"/>
      <c r="O1094" s="3556"/>
      <c r="P1094" s="386"/>
      <c r="Q1094" s="386"/>
    </row>
    <row r="1095" spans="1:17" s="1659" customFormat="1" ht="30" customHeight="1" x14ac:dyDescent="0.2">
      <c r="A1095" s="3550"/>
      <c r="B1095" s="3527" t="s">
        <v>5019</v>
      </c>
      <c r="C1095" s="3504"/>
      <c r="D1095" s="3483">
        <v>130000000</v>
      </c>
      <c r="E1095" s="3489">
        <v>0.05</v>
      </c>
      <c r="F1095" s="3483">
        <f>D1095*E1095</f>
        <v>6500000</v>
      </c>
      <c r="G1095" s="3483">
        <v>6500000</v>
      </c>
      <c r="H1095" s="3483" t="s">
        <v>5596</v>
      </c>
      <c r="I1095" s="3509" t="s">
        <v>1220</v>
      </c>
      <c r="J1095" s="3483">
        <f t="shared" si="110"/>
        <v>6500000</v>
      </c>
      <c r="K1095" s="3483">
        <f t="shared" si="111"/>
        <v>0</v>
      </c>
      <c r="L1095" s="3546" t="s">
        <v>5020</v>
      </c>
      <c r="M1095" s="3556"/>
      <c r="N1095" s="3556"/>
      <c r="O1095" s="3556"/>
      <c r="P1095" s="386"/>
      <c r="Q1095" s="386"/>
    </row>
    <row r="1096" spans="1:17" s="1659" customFormat="1" ht="30" customHeight="1" x14ac:dyDescent="0.2">
      <c r="A1096" s="7703"/>
      <c r="B1096" s="7652" t="s">
        <v>5021</v>
      </c>
      <c r="C1096" s="7723" t="s">
        <v>1287</v>
      </c>
      <c r="D1096" s="3483">
        <v>200000000</v>
      </c>
      <c r="E1096" s="3489">
        <v>0.05</v>
      </c>
      <c r="F1096" s="3483">
        <f>D1096*E1096</f>
        <v>10000000</v>
      </c>
      <c r="G1096" s="7563">
        <v>20000000</v>
      </c>
      <c r="H1096" s="7563" t="s">
        <v>5697</v>
      </c>
      <c r="I1096" s="7563" t="s">
        <v>5708</v>
      </c>
      <c r="J1096" s="7563">
        <f>G1096</f>
        <v>20000000</v>
      </c>
      <c r="K1096" s="7563">
        <f>F1098-J1096</f>
        <v>0</v>
      </c>
      <c r="L1096" s="3546" t="s">
        <v>5022</v>
      </c>
      <c r="M1096" s="3556"/>
      <c r="N1096" s="3556"/>
      <c r="O1096" s="3556"/>
      <c r="P1096" s="386"/>
      <c r="Q1096" s="386"/>
    </row>
    <row r="1097" spans="1:17" s="1659" customFormat="1" ht="30" customHeight="1" x14ac:dyDescent="0.2">
      <c r="A1097" s="7704"/>
      <c r="B1097" s="7665"/>
      <c r="C1097" s="7747"/>
      <c r="D1097" s="3483">
        <v>200000000</v>
      </c>
      <c r="E1097" s="3489">
        <v>0.05</v>
      </c>
      <c r="F1097" s="3483">
        <f>D1097*E1097</f>
        <v>10000000</v>
      </c>
      <c r="G1097" s="7586"/>
      <c r="H1097" s="7586"/>
      <c r="I1097" s="7586"/>
      <c r="J1097" s="7586"/>
      <c r="K1097" s="7586"/>
      <c r="L1097" s="3546" t="s">
        <v>5151</v>
      </c>
      <c r="M1097" s="3556"/>
      <c r="N1097" s="3556"/>
      <c r="O1097" s="3556"/>
      <c r="P1097" s="386"/>
      <c r="Q1097" s="386"/>
    </row>
    <row r="1098" spans="1:17" s="1659" customFormat="1" ht="30" customHeight="1" x14ac:dyDescent="0.2">
      <c r="A1098" s="7705"/>
      <c r="B1098" s="7653"/>
      <c r="C1098" s="7724"/>
      <c r="D1098" s="3570">
        <v>400000000</v>
      </c>
      <c r="E1098" s="3572">
        <v>0.05</v>
      </c>
      <c r="F1098" s="3570">
        <f>D1098*E1098</f>
        <v>20000000</v>
      </c>
      <c r="G1098" s="7564"/>
      <c r="H1098" s="7564"/>
      <c r="I1098" s="7564"/>
      <c r="J1098" s="7564"/>
      <c r="K1098" s="7564"/>
      <c r="L1098" s="3546" t="s">
        <v>5709</v>
      </c>
      <c r="M1098" s="3556"/>
      <c r="N1098" s="3556"/>
      <c r="O1098" s="3556"/>
      <c r="P1098" s="386"/>
      <c r="Q1098" s="386"/>
    </row>
    <row r="1099" spans="1:17" s="1659" customFormat="1" ht="30" customHeight="1" x14ac:dyDescent="0.2">
      <c r="A1099" s="3550"/>
      <c r="B1099" s="3527" t="s">
        <v>5033</v>
      </c>
      <c r="C1099" s="3504"/>
      <c r="D1099" s="3501"/>
      <c r="E1099" s="3502"/>
      <c r="F1099" s="3501"/>
      <c r="G1099" s="3483"/>
      <c r="H1099" s="3483"/>
      <c r="I1099" s="3509" t="s">
        <v>5034</v>
      </c>
      <c r="J1099" s="3483">
        <f>G1099</f>
        <v>0</v>
      </c>
      <c r="K1099" s="3501">
        <f>F1099-J1099</f>
        <v>0</v>
      </c>
      <c r="L1099" s="3546"/>
      <c r="M1099" s="3556"/>
      <c r="N1099" s="3556"/>
      <c r="O1099" s="3556"/>
      <c r="P1099" s="386"/>
      <c r="Q1099" s="386"/>
    </row>
    <row r="1100" spans="1:17" s="1659" customFormat="1" ht="30" customHeight="1" x14ac:dyDescent="0.2">
      <c r="A1100" s="3119"/>
      <c r="B1100" s="3527" t="s">
        <v>5037</v>
      </c>
      <c r="C1100" s="3504" t="s">
        <v>371</v>
      </c>
      <c r="D1100" s="3483">
        <v>60000000</v>
      </c>
      <c r="E1100" s="3489">
        <v>0.06</v>
      </c>
      <c r="F1100" s="3483">
        <f t="shared" ref="F1100:F1105" si="112">D1100*E1100</f>
        <v>3600000</v>
      </c>
      <c r="G1100" s="3483"/>
      <c r="H1100" s="3483"/>
      <c r="I1100" s="3509"/>
      <c r="J1100" s="3483"/>
      <c r="K1100" s="3483"/>
      <c r="L1100" s="3546" t="s">
        <v>5038</v>
      </c>
      <c r="M1100" s="3556"/>
      <c r="N1100" s="3556"/>
      <c r="O1100" s="3556"/>
      <c r="P1100" s="386"/>
      <c r="Q1100" s="386"/>
    </row>
    <row r="1101" spans="1:17" s="1659" customFormat="1" ht="30" customHeight="1" x14ac:dyDescent="0.2">
      <c r="A1101" s="3119"/>
      <c r="B1101" s="3527" t="s">
        <v>5053</v>
      </c>
      <c r="C1101" s="3504"/>
      <c r="D1101" s="3483">
        <v>300000000</v>
      </c>
      <c r="E1101" s="3489">
        <v>0.05</v>
      </c>
      <c r="F1101" s="3483">
        <f t="shared" si="112"/>
        <v>15000000</v>
      </c>
      <c r="G1101" s="3483">
        <v>15000000</v>
      </c>
      <c r="H1101" s="3483" t="s">
        <v>3977</v>
      </c>
      <c r="I1101" s="3509" t="s">
        <v>5059</v>
      </c>
      <c r="J1101" s="3483">
        <f t="shared" ref="J1101:J1108" si="113">G1101</f>
        <v>15000000</v>
      </c>
      <c r="K1101" s="3483">
        <f>F1101-J1101</f>
        <v>0</v>
      </c>
      <c r="L1101" s="3546"/>
      <c r="M1101" s="3556"/>
      <c r="N1101" s="3556"/>
      <c r="O1101" s="3556"/>
      <c r="P1101" s="386"/>
      <c r="Q1101" s="386"/>
    </row>
    <row r="1102" spans="1:17" s="1659" customFormat="1" ht="30" customHeight="1" x14ac:dyDescent="0.2">
      <c r="A1102" s="3119"/>
      <c r="B1102" s="3527" t="s">
        <v>5064</v>
      </c>
      <c r="C1102" s="3504"/>
      <c r="D1102" s="3483">
        <v>700000000</v>
      </c>
      <c r="E1102" s="3489">
        <v>6.5000000000000002E-2</v>
      </c>
      <c r="F1102" s="3483">
        <f t="shared" si="112"/>
        <v>45500000</v>
      </c>
      <c r="G1102" s="3483">
        <v>45500000</v>
      </c>
      <c r="H1102" s="3483" t="s">
        <v>3977</v>
      </c>
      <c r="I1102" s="3509" t="s">
        <v>5520</v>
      </c>
      <c r="J1102" s="3483">
        <f t="shared" si="113"/>
        <v>45500000</v>
      </c>
      <c r="K1102" s="3483">
        <f>F1102-J1102</f>
        <v>0</v>
      </c>
      <c r="L1102" s="3546" t="s">
        <v>5066</v>
      </c>
      <c r="M1102" s="3556"/>
      <c r="N1102" s="3556"/>
      <c r="O1102" s="3556"/>
      <c r="P1102" s="386"/>
      <c r="Q1102" s="386"/>
    </row>
    <row r="1103" spans="1:17" s="1659" customFormat="1" ht="30" customHeight="1" x14ac:dyDescent="0.2">
      <c r="A1103" s="3119"/>
      <c r="B1103" s="3527" t="s">
        <v>5065</v>
      </c>
      <c r="C1103" s="3504"/>
      <c r="D1103" s="3483">
        <v>400000000</v>
      </c>
      <c r="E1103" s="3489">
        <v>6.5000000000000002E-2</v>
      </c>
      <c r="F1103" s="3483">
        <f t="shared" si="112"/>
        <v>26000000</v>
      </c>
      <c r="G1103" s="3483">
        <v>26000000</v>
      </c>
      <c r="H1103" s="3483" t="s">
        <v>3977</v>
      </c>
      <c r="I1103" s="3509" t="s">
        <v>5519</v>
      </c>
      <c r="J1103" s="3483">
        <f t="shared" si="113"/>
        <v>26000000</v>
      </c>
      <c r="K1103" s="3483">
        <f>F1103-J1103</f>
        <v>0</v>
      </c>
      <c r="L1103" s="3546" t="s">
        <v>5066</v>
      </c>
      <c r="M1103" s="3556"/>
      <c r="N1103" s="3556"/>
      <c r="O1103" s="3556"/>
      <c r="P1103" s="386"/>
      <c r="Q1103" s="386"/>
    </row>
    <row r="1104" spans="1:17" s="1659" customFormat="1" ht="30" customHeight="1" x14ac:dyDescent="0.2">
      <c r="A1104" s="4130"/>
      <c r="B1104" s="19" t="s">
        <v>5067</v>
      </c>
      <c r="C1104" s="378"/>
      <c r="D1104" s="4101">
        <v>32000000</v>
      </c>
      <c r="E1104" s="4123">
        <v>0.05</v>
      </c>
      <c r="F1104" s="4101">
        <f t="shared" si="112"/>
        <v>1600000</v>
      </c>
      <c r="G1104" s="4101">
        <v>1600000</v>
      </c>
      <c r="H1104" s="4101" t="s">
        <v>5948</v>
      </c>
      <c r="I1104" s="4101" t="s">
        <v>5316</v>
      </c>
      <c r="J1104" s="4101">
        <f t="shared" si="113"/>
        <v>1600000</v>
      </c>
      <c r="K1104" s="4101">
        <f>F1104-J1104</f>
        <v>0</v>
      </c>
      <c r="L1104" s="3546" t="s">
        <v>5219</v>
      </c>
      <c r="M1104" s="3556"/>
      <c r="N1104" s="3556"/>
      <c r="O1104" s="3556"/>
      <c r="P1104" s="386"/>
      <c r="Q1104" s="386"/>
    </row>
    <row r="1105" spans="1:17" s="1659" customFormat="1" ht="30" customHeight="1" x14ac:dyDescent="0.2">
      <c r="A1105" s="3119"/>
      <c r="B1105" s="4111" t="s">
        <v>5113</v>
      </c>
      <c r="C1105" s="3504"/>
      <c r="D1105" s="3483">
        <v>500000000</v>
      </c>
      <c r="E1105" s="3489">
        <v>0.05</v>
      </c>
      <c r="F1105" s="3483">
        <f t="shared" si="112"/>
        <v>25000000</v>
      </c>
      <c r="G1105" s="3483">
        <v>25000000</v>
      </c>
      <c r="H1105" s="3483" t="s">
        <v>5697</v>
      </c>
      <c r="I1105" s="3509" t="s">
        <v>5114</v>
      </c>
      <c r="J1105" s="3483">
        <f t="shared" si="113"/>
        <v>25000000</v>
      </c>
      <c r="K1105" s="3483">
        <f>F1105-J1105</f>
        <v>0</v>
      </c>
      <c r="L1105" s="3546"/>
      <c r="M1105" s="3556"/>
      <c r="N1105" s="3556"/>
      <c r="O1105" s="3556"/>
      <c r="P1105" s="386"/>
      <c r="Q1105" s="386"/>
    </row>
    <row r="1106" spans="1:17" s="1659" customFormat="1" ht="30" customHeight="1" x14ac:dyDescent="0.2">
      <c r="A1106" s="3119"/>
      <c r="B1106" s="2373" t="s">
        <v>5124</v>
      </c>
      <c r="C1106" s="3504"/>
      <c r="D1106" s="3501"/>
      <c r="E1106" s="3502"/>
      <c r="F1106" s="3501"/>
      <c r="G1106" s="3483"/>
      <c r="H1106" s="3483"/>
      <c r="I1106" s="3509" t="s">
        <v>5125</v>
      </c>
      <c r="J1106" s="3483">
        <f t="shared" si="113"/>
        <v>0</v>
      </c>
      <c r="K1106" s="3483"/>
      <c r="L1106" s="3546"/>
      <c r="M1106" s="3556"/>
      <c r="N1106" s="3556"/>
      <c r="O1106" s="3556"/>
      <c r="P1106" s="386"/>
      <c r="Q1106" s="386"/>
    </row>
    <row r="1107" spans="1:17" s="1659" customFormat="1" ht="30" customHeight="1" x14ac:dyDescent="0.2">
      <c r="A1107" s="3119"/>
      <c r="B1107" s="2373" t="s">
        <v>5129</v>
      </c>
      <c r="C1107" s="3504"/>
      <c r="D1107" s="3501"/>
      <c r="E1107" s="3502"/>
      <c r="F1107" s="3501"/>
      <c r="G1107" s="3483"/>
      <c r="H1107" s="3483"/>
      <c r="I1107" s="3509" t="s">
        <v>5130</v>
      </c>
      <c r="J1107" s="3483">
        <f t="shared" si="113"/>
        <v>0</v>
      </c>
      <c r="K1107" s="3483"/>
      <c r="L1107" s="3546"/>
      <c r="M1107" s="3556"/>
      <c r="N1107" s="3556"/>
      <c r="O1107" s="3556"/>
      <c r="P1107" s="386"/>
      <c r="Q1107" s="386"/>
    </row>
    <row r="1108" spans="1:17" s="1659" customFormat="1" ht="30" customHeight="1" x14ac:dyDescent="0.2">
      <c r="A1108" s="3119"/>
      <c r="B1108" s="3527" t="s">
        <v>5218</v>
      </c>
      <c r="C1108" s="3504" t="s">
        <v>990</v>
      </c>
      <c r="D1108" s="3483">
        <v>50000000</v>
      </c>
      <c r="E1108" s="3489">
        <v>0.05</v>
      </c>
      <c r="F1108" s="3483">
        <f>D1108*E1108</f>
        <v>2500000</v>
      </c>
      <c r="G1108" s="3483">
        <v>2500000</v>
      </c>
      <c r="H1108" s="3483" t="s">
        <v>2341</v>
      </c>
      <c r="I1108" s="3509" t="s">
        <v>5920</v>
      </c>
      <c r="J1108" s="3483">
        <f t="shared" si="113"/>
        <v>2500000</v>
      </c>
      <c r="K1108" s="3483">
        <f>F1108-J1108</f>
        <v>0</v>
      </c>
      <c r="L1108" s="3546" t="s">
        <v>5280</v>
      </c>
      <c r="M1108" s="3556"/>
      <c r="N1108" s="3556"/>
      <c r="O1108" s="3556"/>
      <c r="P1108" s="386"/>
      <c r="Q1108" s="386"/>
    </row>
    <row r="1109" spans="1:17" s="1659" customFormat="1" ht="30" customHeight="1" x14ac:dyDescent="0.2">
      <c r="A1109" s="7703"/>
      <c r="B1109" s="7652" t="s">
        <v>5241</v>
      </c>
      <c r="C1109" s="7723" t="s">
        <v>4105</v>
      </c>
      <c r="D1109" s="7563">
        <v>100000000</v>
      </c>
      <c r="E1109" s="7659">
        <v>7.0000000000000007E-2</v>
      </c>
      <c r="F1109" s="7563">
        <f>D1109*E1109</f>
        <v>7000000.0000000009</v>
      </c>
      <c r="G1109" s="3483"/>
      <c r="H1109" s="3483"/>
      <c r="I1109" s="3509"/>
      <c r="J1109" s="3483"/>
      <c r="K1109" s="3483"/>
      <c r="L1109" s="3546" t="s">
        <v>5322</v>
      </c>
      <c r="M1109" s="3556"/>
      <c r="N1109" s="3556"/>
      <c r="O1109" s="3556"/>
      <c r="P1109" s="386"/>
      <c r="Q1109" s="386"/>
    </row>
    <row r="1110" spans="1:17" s="1659" customFormat="1" ht="30" customHeight="1" x14ac:dyDescent="0.2">
      <c r="A1110" s="7704"/>
      <c r="B1110" s="7665"/>
      <c r="C1110" s="7747"/>
      <c r="D1110" s="7564"/>
      <c r="E1110" s="7660"/>
      <c r="F1110" s="7564"/>
      <c r="G1110" s="3483"/>
      <c r="H1110" s="3483"/>
      <c r="I1110" s="3509"/>
      <c r="J1110" s="3483"/>
      <c r="K1110" s="3483"/>
      <c r="L1110" s="3546" t="s">
        <v>5794</v>
      </c>
      <c r="M1110" s="3556"/>
      <c r="N1110" s="3556"/>
      <c r="O1110" s="3556"/>
      <c r="P1110" s="386"/>
      <c r="Q1110" s="386"/>
    </row>
    <row r="1111" spans="1:17" s="1659" customFormat="1" ht="30" customHeight="1" x14ac:dyDescent="0.2">
      <c r="A1111" s="7704"/>
      <c r="B1111" s="7665"/>
      <c r="C1111" s="7747"/>
      <c r="D1111" s="3975">
        <v>280000000</v>
      </c>
      <c r="E1111" s="3980">
        <v>7.0000000000000007E-2</v>
      </c>
      <c r="F1111" s="3975">
        <f t="shared" ref="F1111:F1117" si="114">D1111*E1111</f>
        <v>19600000.000000004</v>
      </c>
      <c r="G1111" s="3975"/>
      <c r="H1111" s="3975"/>
      <c r="I1111" s="3990"/>
      <c r="J1111" s="3975"/>
      <c r="K1111" s="3975"/>
      <c r="L1111" s="3997" t="s">
        <v>5795</v>
      </c>
      <c r="M1111" s="3999"/>
      <c r="N1111" s="3999"/>
      <c r="O1111" s="3999"/>
      <c r="P1111" s="386"/>
      <c r="Q1111" s="386"/>
    </row>
    <row r="1112" spans="1:17" s="1659" customFormat="1" ht="30" customHeight="1" x14ac:dyDescent="0.2">
      <c r="A1112" s="7704"/>
      <c r="B1112" s="7665"/>
      <c r="C1112" s="7747"/>
      <c r="D1112" s="4137">
        <v>745000000</v>
      </c>
      <c r="E1112" s="4138">
        <v>7.0000000000000007E-2</v>
      </c>
      <c r="F1112" s="4137">
        <f t="shared" si="114"/>
        <v>52150000.000000007</v>
      </c>
      <c r="G1112" s="7732" t="s">
        <v>5984</v>
      </c>
      <c r="H1112" s="7733"/>
      <c r="I1112" s="7733"/>
      <c r="J1112" s="7734"/>
      <c r="K1112" s="4137"/>
      <c r="L1112" s="4148"/>
      <c r="M1112" s="4152"/>
      <c r="N1112" s="4152"/>
      <c r="O1112" s="4152"/>
      <c r="P1112" s="386"/>
      <c r="Q1112" s="386"/>
    </row>
    <row r="1113" spans="1:17" s="1659" customFormat="1" ht="30" customHeight="1" x14ac:dyDescent="0.2">
      <c r="A1113" s="7704"/>
      <c r="B1113" s="7665"/>
      <c r="C1113" s="7747"/>
      <c r="D1113" s="4153">
        <f>SUM(D1109:D1112)</f>
        <v>1125000000</v>
      </c>
      <c r="E1113" s="4154">
        <v>7.0000000000000007E-2</v>
      </c>
      <c r="F1113" s="4153">
        <f t="shared" si="114"/>
        <v>78750000.000000015</v>
      </c>
      <c r="G1113" s="7732" t="s">
        <v>5983</v>
      </c>
      <c r="H1113" s="7733"/>
      <c r="I1113" s="7733"/>
      <c r="J1113" s="7734"/>
      <c r="K1113" s="4137"/>
      <c r="L1113" s="4148"/>
      <c r="M1113" s="4152"/>
      <c r="N1113" s="4152"/>
      <c r="O1113" s="4152"/>
      <c r="P1113" s="386"/>
      <c r="Q1113" s="386"/>
    </row>
    <row r="1114" spans="1:17" s="1659" customFormat="1" ht="30" customHeight="1" x14ac:dyDescent="0.2">
      <c r="A1114" s="7705"/>
      <c r="B1114" s="7653"/>
      <c r="C1114" s="7724"/>
      <c r="D1114" s="4153">
        <v>1275000000</v>
      </c>
      <c r="E1114" s="4138">
        <v>7.0000000000000007E-2</v>
      </c>
      <c r="F1114" s="4137">
        <f t="shared" si="114"/>
        <v>89250000.000000015</v>
      </c>
      <c r="G1114" s="7732" t="s">
        <v>6008</v>
      </c>
      <c r="H1114" s="7733"/>
      <c r="I1114" s="7733"/>
      <c r="J1114" s="7734"/>
      <c r="K1114" s="4137"/>
      <c r="L1114" s="4148" t="s">
        <v>6009</v>
      </c>
      <c r="M1114" s="4152"/>
      <c r="N1114" s="4152"/>
      <c r="O1114" s="4152"/>
      <c r="P1114" s="386"/>
      <c r="Q1114" s="386"/>
    </row>
    <row r="1115" spans="1:17" s="1659" customFormat="1" ht="30" customHeight="1" x14ac:dyDescent="0.2">
      <c r="A1115" s="3119"/>
      <c r="B1115" s="3527" t="s">
        <v>5243</v>
      </c>
      <c r="C1115" s="3504"/>
      <c r="D1115" s="3483">
        <v>50000000</v>
      </c>
      <c r="E1115" s="3489">
        <v>0.05</v>
      </c>
      <c r="F1115" s="3483">
        <f t="shared" si="114"/>
        <v>2500000</v>
      </c>
      <c r="G1115" s="3483">
        <v>2500000</v>
      </c>
      <c r="H1115" s="3483" t="s">
        <v>5990</v>
      </c>
      <c r="I1115" s="3509" t="s">
        <v>5994</v>
      </c>
      <c r="J1115" s="3483">
        <f>G1115</f>
        <v>2500000</v>
      </c>
      <c r="K1115" s="3483">
        <f>F1115-J1115</f>
        <v>0</v>
      </c>
      <c r="L1115" s="3546" t="s">
        <v>5278</v>
      </c>
      <c r="M1115" s="3556" t="s">
        <v>5277</v>
      </c>
      <c r="N1115" s="3556"/>
      <c r="O1115" s="3556"/>
      <c r="P1115" s="386"/>
      <c r="Q1115" s="386"/>
    </row>
    <row r="1116" spans="1:17" s="1659" customFormat="1" ht="30" customHeight="1" x14ac:dyDescent="0.2">
      <c r="A1116" s="3119"/>
      <c r="B1116" s="3527" t="s">
        <v>5250</v>
      </c>
      <c r="C1116" s="3529"/>
      <c r="D1116" s="3513">
        <v>100000000</v>
      </c>
      <c r="E1116" s="3489">
        <v>0.05</v>
      </c>
      <c r="F1116" s="3483">
        <f t="shared" si="114"/>
        <v>5000000</v>
      </c>
      <c r="G1116" s="3483">
        <v>5000000</v>
      </c>
      <c r="H1116" s="3483" t="s">
        <v>5995</v>
      </c>
      <c r="I1116" s="3509" t="s">
        <v>5997</v>
      </c>
      <c r="J1116" s="3483">
        <f>G1116</f>
        <v>5000000</v>
      </c>
      <c r="K1116" s="3483">
        <f>F1116-J1116</f>
        <v>0</v>
      </c>
      <c r="L1116" s="3546" t="s">
        <v>5251</v>
      </c>
      <c r="M1116" s="3556"/>
      <c r="N1116" s="3556"/>
      <c r="O1116" s="3556"/>
      <c r="P1116" s="386"/>
      <c r="Q1116" s="386"/>
    </row>
    <row r="1117" spans="1:17" s="1659" customFormat="1" ht="30" customHeight="1" x14ac:dyDescent="0.2">
      <c r="A1117" s="3119"/>
      <c r="B1117" s="3527" t="s">
        <v>5252</v>
      </c>
      <c r="C1117" s="3504"/>
      <c r="D1117" s="3483">
        <v>200000000</v>
      </c>
      <c r="E1117" s="3489">
        <v>5.5E-2</v>
      </c>
      <c r="F1117" s="3483">
        <f t="shared" si="114"/>
        <v>11000000</v>
      </c>
      <c r="G1117" s="3483"/>
      <c r="H1117" s="3483"/>
      <c r="I1117" s="3509"/>
      <c r="J1117" s="3483"/>
      <c r="K1117" s="3483"/>
      <c r="L1117" s="3546" t="s">
        <v>5305</v>
      </c>
      <c r="M1117" s="3556"/>
      <c r="N1117" s="3556"/>
      <c r="O1117" s="3556"/>
      <c r="P1117" s="386"/>
      <c r="Q1117" s="386"/>
    </row>
    <row r="1118" spans="1:17" s="1659" customFormat="1" ht="30" customHeight="1" x14ac:dyDescent="0.2">
      <c r="A1118" s="3119"/>
      <c r="B1118" s="3527" t="s">
        <v>5304</v>
      </c>
      <c r="C1118" s="3504"/>
      <c r="D1118" s="3501"/>
      <c r="E1118" s="3502"/>
      <c r="F1118" s="3501"/>
      <c r="G1118" s="3483"/>
      <c r="H1118" s="3483"/>
      <c r="I1118" s="3509" t="s">
        <v>4147</v>
      </c>
      <c r="J1118" s="3483">
        <f>G1118</f>
        <v>0</v>
      </c>
      <c r="K1118" s="3501"/>
      <c r="L1118" s="3546"/>
      <c r="M1118" s="3556"/>
      <c r="N1118" s="3556"/>
      <c r="O1118" s="3556"/>
      <c r="P1118" s="386"/>
      <c r="Q1118" s="386"/>
    </row>
    <row r="1119" spans="1:17" s="1659" customFormat="1" ht="30" customHeight="1" x14ac:dyDescent="0.2">
      <c r="A1119" s="3119"/>
      <c r="B1119" s="3527" t="s">
        <v>5310</v>
      </c>
      <c r="C1119" s="3504"/>
      <c r="D1119" s="3483">
        <v>30000000</v>
      </c>
      <c r="E1119" s="3489">
        <v>0.05</v>
      </c>
      <c r="F1119" s="3483">
        <f>D1119*E1119</f>
        <v>1500000</v>
      </c>
      <c r="G1119" s="3483"/>
      <c r="H1119" s="3483"/>
      <c r="I1119" s="3509"/>
      <c r="J1119" s="3483"/>
      <c r="K1119" s="3483"/>
      <c r="L1119" s="3546" t="s">
        <v>5435</v>
      </c>
      <c r="M1119" s="3556"/>
      <c r="N1119" s="3556"/>
      <c r="O1119" s="3556"/>
      <c r="P1119" s="386"/>
      <c r="Q1119" s="386"/>
    </row>
    <row r="1120" spans="1:17" s="1659" customFormat="1" ht="30" customHeight="1" x14ac:dyDescent="0.2">
      <c r="A1120" s="3119"/>
      <c r="B1120" s="3527" t="s">
        <v>5311</v>
      </c>
      <c r="C1120" s="3504"/>
      <c r="D1120" s="3483">
        <v>10000000</v>
      </c>
      <c r="E1120" s="3489">
        <v>0.05</v>
      </c>
      <c r="F1120" s="3483">
        <f>D1120*E1120</f>
        <v>500000</v>
      </c>
      <c r="G1120" s="3483"/>
      <c r="H1120" s="3483"/>
      <c r="I1120" s="3509"/>
      <c r="J1120" s="3483"/>
      <c r="K1120" s="3483"/>
      <c r="L1120" s="3546" t="s">
        <v>5437</v>
      </c>
      <c r="M1120" s="3556"/>
      <c r="N1120" s="3556"/>
      <c r="O1120" s="3556"/>
      <c r="P1120" s="386"/>
      <c r="Q1120" s="386"/>
    </row>
    <row r="1121" spans="1:17" s="1659" customFormat="1" ht="30" customHeight="1" x14ac:dyDescent="0.2">
      <c r="A1121" s="3119"/>
      <c r="B1121" s="3527" t="s">
        <v>5319</v>
      </c>
      <c r="C1121" s="3504"/>
      <c r="D1121" s="3483">
        <v>110000000</v>
      </c>
      <c r="E1121" s="3489">
        <v>0.05</v>
      </c>
      <c r="F1121" s="3483">
        <f>D1121*E1121</f>
        <v>5500000</v>
      </c>
      <c r="G1121" s="3483"/>
      <c r="H1121" s="3483"/>
      <c r="I1121" s="3509"/>
      <c r="J1121" s="3483"/>
      <c r="K1121" s="3483"/>
      <c r="L1121" s="3546" t="s">
        <v>5320</v>
      </c>
      <c r="M1121" s="3556"/>
      <c r="N1121" s="3556"/>
      <c r="O1121" s="3556"/>
      <c r="P1121" s="386"/>
      <c r="Q1121" s="386"/>
    </row>
    <row r="1122" spans="1:17" s="1659" customFormat="1" ht="30" customHeight="1" x14ac:dyDescent="0.2">
      <c r="A1122" s="3119"/>
      <c r="B1122" s="3527" t="s">
        <v>5325</v>
      </c>
      <c r="C1122" s="3504"/>
      <c r="D1122" s="3501"/>
      <c r="E1122" s="3502"/>
      <c r="F1122" s="3501"/>
      <c r="G1122" s="3483"/>
      <c r="H1122" s="3483"/>
      <c r="I1122" s="3509" t="s">
        <v>5326</v>
      </c>
      <c r="J1122" s="3483">
        <f>G1122</f>
        <v>0</v>
      </c>
      <c r="K1122" s="3483"/>
      <c r="L1122" s="3476" t="s">
        <v>5327</v>
      </c>
      <c r="M1122" s="3556"/>
      <c r="N1122" s="3556"/>
      <c r="O1122" s="3556"/>
      <c r="P1122" s="386"/>
      <c r="Q1122" s="386"/>
    </row>
    <row r="1123" spans="1:17" s="1659" customFormat="1" ht="30" customHeight="1" x14ac:dyDescent="0.2">
      <c r="A1123" s="3119"/>
      <c r="B1123" s="3527" t="s">
        <v>5332</v>
      </c>
      <c r="C1123" s="3504"/>
      <c r="D1123" s="3483">
        <v>30000000</v>
      </c>
      <c r="E1123" s="3489">
        <v>7.0000000000000007E-2</v>
      </c>
      <c r="F1123" s="3483">
        <f>D1123*E1123</f>
        <v>2100000</v>
      </c>
      <c r="G1123" s="3483">
        <v>2700000</v>
      </c>
      <c r="H1123" s="3483" t="s">
        <v>2341</v>
      </c>
      <c r="I1123" s="3509" t="s">
        <v>5918</v>
      </c>
      <c r="J1123" s="3483">
        <f>G1123</f>
        <v>2700000</v>
      </c>
      <c r="K1123" s="3483">
        <f>F1123-J1123</f>
        <v>-600000</v>
      </c>
      <c r="L1123" s="3546" t="s">
        <v>5919</v>
      </c>
      <c r="M1123" s="3556"/>
      <c r="N1123" s="3556"/>
      <c r="O1123" s="3556"/>
      <c r="P1123" s="386"/>
      <c r="Q1123" s="386"/>
    </row>
    <row r="1124" spans="1:17" s="1659" customFormat="1" ht="30" customHeight="1" x14ac:dyDescent="0.2">
      <c r="A1124" s="3119"/>
      <c r="B1124" s="3602" t="s">
        <v>5362</v>
      </c>
      <c r="C1124" s="3595"/>
      <c r="D1124" s="3587">
        <v>11000000</v>
      </c>
      <c r="E1124" s="3590">
        <v>0.06</v>
      </c>
      <c r="F1124" s="3587">
        <f>D1124*E1124</f>
        <v>660000</v>
      </c>
      <c r="G1124" s="7470" t="s">
        <v>5642</v>
      </c>
      <c r="H1124" s="7493"/>
      <c r="I1124" s="7493"/>
      <c r="J1124" s="7493"/>
      <c r="K1124" s="7510"/>
      <c r="L1124" s="3599" t="s">
        <v>5363</v>
      </c>
      <c r="M1124" s="3605"/>
      <c r="N1124" s="3605"/>
      <c r="O1124" s="3605"/>
      <c r="P1124" s="386"/>
      <c r="Q1124" s="386"/>
    </row>
    <row r="1125" spans="1:17" s="1659" customFormat="1" ht="30" customHeight="1" x14ac:dyDescent="0.2">
      <c r="A1125" s="7703"/>
      <c r="B1125" s="7652" t="s">
        <v>5365</v>
      </c>
      <c r="C1125" s="7723"/>
      <c r="D1125" s="7563"/>
      <c r="E1125" s="7659"/>
      <c r="F1125" s="7563"/>
      <c r="G1125" s="3587">
        <v>20000000</v>
      </c>
      <c r="H1125" s="3587" t="s">
        <v>5358</v>
      </c>
      <c r="I1125" s="3593" t="s">
        <v>678</v>
      </c>
      <c r="J1125" s="7563">
        <f>G1125+G1126</f>
        <v>120000000</v>
      </c>
      <c r="K1125" s="7563"/>
      <c r="L1125" s="7674" t="s">
        <v>5366</v>
      </c>
      <c r="M1125" s="3605"/>
      <c r="N1125" s="3605"/>
      <c r="O1125" s="3605"/>
      <c r="P1125" s="386"/>
      <c r="Q1125" s="386"/>
    </row>
    <row r="1126" spans="1:17" s="1659" customFormat="1" ht="30" customHeight="1" x14ac:dyDescent="0.2">
      <c r="A1126" s="7705"/>
      <c r="B1126" s="7653"/>
      <c r="C1126" s="7724"/>
      <c r="D1126" s="7564"/>
      <c r="E1126" s="7660"/>
      <c r="F1126" s="7564"/>
      <c r="G1126" s="3647">
        <v>100000000</v>
      </c>
      <c r="H1126" s="3647" t="s">
        <v>1527</v>
      </c>
      <c r="I1126" s="3659" t="s">
        <v>5418</v>
      </c>
      <c r="J1126" s="7564"/>
      <c r="K1126" s="7564"/>
      <c r="L1126" s="7675"/>
      <c r="M1126" s="3667"/>
      <c r="N1126" s="3667"/>
      <c r="O1126" s="3667"/>
      <c r="P1126" s="386"/>
      <c r="Q1126" s="386"/>
    </row>
    <row r="1127" spans="1:17" s="1659" customFormat="1" ht="30" customHeight="1" x14ac:dyDescent="0.2">
      <c r="A1127" s="3119"/>
      <c r="B1127" s="3641" t="s">
        <v>5370</v>
      </c>
      <c r="C1127" s="3634" t="s">
        <v>4223</v>
      </c>
      <c r="D1127" s="3628">
        <v>285000000</v>
      </c>
      <c r="E1127" s="3630">
        <v>5.5E-2</v>
      </c>
      <c r="F1127" s="3628">
        <f>D1127*E1127</f>
        <v>15675000</v>
      </c>
      <c r="G1127" s="7470" t="s">
        <v>5526</v>
      </c>
      <c r="H1127" s="7493"/>
      <c r="I1127" s="7493"/>
      <c r="J1127" s="7510"/>
      <c r="K1127" s="3628"/>
      <c r="L1127" s="3637" t="s">
        <v>5525</v>
      </c>
      <c r="M1127" s="3642"/>
      <c r="N1127" s="3642"/>
      <c r="O1127" s="3642"/>
      <c r="P1127" s="386"/>
      <c r="Q1127" s="386"/>
    </row>
    <row r="1128" spans="1:17" s="1659" customFormat="1" ht="30" customHeight="1" x14ac:dyDescent="0.2">
      <c r="A1128" s="3119"/>
      <c r="B1128" s="3641" t="s">
        <v>5401</v>
      </c>
      <c r="C1128" s="3634"/>
      <c r="D1128" s="3656"/>
      <c r="E1128" s="3657"/>
      <c r="F1128" s="3656"/>
      <c r="G1128" s="3628">
        <v>3000000</v>
      </c>
      <c r="H1128" s="3628" t="s">
        <v>5398</v>
      </c>
      <c r="I1128" s="3631" t="s">
        <v>5402</v>
      </c>
      <c r="J1128" s="3628">
        <f>G1128</f>
        <v>3000000</v>
      </c>
      <c r="K1128" s="3656"/>
      <c r="L1128" s="3637"/>
      <c r="M1128" s="3642"/>
      <c r="N1128" s="3642"/>
      <c r="O1128" s="3642"/>
      <c r="P1128" s="386"/>
      <c r="Q1128" s="386"/>
    </row>
    <row r="1129" spans="1:17" s="1659" customFormat="1" ht="30" customHeight="1" x14ac:dyDescent="0.2">
      <c r="A1129" s="3119"/>
      <c r="B1129" s="3664" t="s">
        <v>5421</v>
      </c>
      <c r="C1129" s="3658"/>
      <c r="D1129" s="3656"/>
      <c r="E1129" s="3657"/>
      <c r="F1129" s="3656"/>
      <c r="G1129" s="3660">
        <v>23000000</v>
      </c>
      <c r="H1129" s="3660" t="s">
        <v>1527</v>
      </c>
      <c r="I1129" s="3660" t="s">
        <v>5422</v>
      </c>
      <c r="J1129" s="3660">
        <f>G1129</f>
        <v>23000000</v>
      </c>
      <c r="K1129" s="3656"/>
      <c r="L1129" s="3666"/>
      <c r="M1129" s="3667"/>
      <c r="N1129" s="3667"/>
      <c r="O1129" s="3667"/>
      <c r="P1129" s="386"/>
      <c r="Q1129" s="386"/>
    </row>
    <row r="1130" spans="1:17" s="1659" customFormat="1" ht="30" customHeight="1" x14ac:dyDescent="0.2">
      <c r="A1130" s="3119"/>
      <c r="B1130" s="2373" t="s">
        <v>5407</v>
      </c>
      <c r="C1130" s="3923"/>
      <c r="D1130" s="3918">
        <v>70000000</v>
      </c>
      <c r="E1130" s="3919"/>
      <c r="F1130" s="3918"/>
      <c r="G1130" s="7552" t="s">
        <v>5410</v>
      </c>
      <c r="H1130" s="7843"/>
      <c r="I1130" s="7843"/>
      <c r="J1130" s="7844"/>
      <c r="K1130" s="3918"/>
      <c r="L1130" s="3476" t="s">
        <v>5675</v>
      </c>
      <c r="M1130" s="3642"/>
      <c r="N1130" s="3642"/>
      <c r="O1130" s="3642"/>
      <c r="P1130" s="386"/>
      <c r="Q1130" s="386"/>
    </row>
    <row r="1131" spans="1:17" s="1659" customFormat="1" ht="30" customHeight="1" x14ac:dyDescent="0.2">
      <c r="A1131" s="3119"/>
      <c r="B1131" s="3641" t="s">
        <v>5411</v>
      </c>
      <c r="C1131" s="3634"/>
      <c r="D1131" s="3628">
        <v>8000000</v>
      </c>
      <c r="E1131" s="3630"/>
      <c r="F1131" s="3628"/>
      <c r="G1131" s="7732" t="s">
        <v>5413</v>
      </c>
      <c r="H1131" s="7733"/>
      <c r="I1131" s="7733"/>
      <c r="J1131" s="7734"/>
      <c r="K1131" s="3628"/>
      <c r="L1131" s="3637" t="s">
        <v>5412</v>
      </c>
      <c r="M1131" s="3642"/>
      <c r="N1131" s="3642"/>
      <c r="O1131" s="3642"/>
      <c r="P1131" s="386"/>
      <c r="Q1131" s="386"/>
    </row>
    <row r="1132" spans="1:17" s="1659" customFormat="1" ht="30" customHeight="1" x14ac:dyDescent="0.2">
      <c r="A1132" s="3119"/>
      <c r="B1132" s="3664" t="s">
        <v>5676</v>
      </c>
      <c r="C1132" s="3658"/>
      <c r="D1132" s="3647"/>
      <c r="E1132" s="3649"/>
      <c r="F1132" s="3647"/>
      <c r="G1132" s="7732" t="s">
        <v>5414</v>
      </c>
      <c r="H1132" s="7733"/>
      <c r="I1132" s="7733"/>
      <c r="J1132" s="7734"/>
      <c r="K1132" s="3647"/>
      <c r="L1132" s="3666" t="s">
        <v>5415</v>
      </c>
      <c r="M1132" s="3667"/>
      <c r="N1132" s="3667"/>
      <c r="O1132" s="3667"/>
      <c r="P1132" s="386"/>
      <c r="Q1132" s="386"/>
    </row>
    <row r="1133" spans="1:17" s="1659" customFormat="1" ht="30" customHeight="1" x14ac:dyDescent="0.2">
      <c r="A1133" s="8357"/>
      <c r="B1133" s="7717" t="s">
        <v>5426</v>
      </c>
      <c r="C1133" s="7723"/>
      <c r="D1133" s="7494" t="s">
        <v>5427</v>
      </c>
      <c r="E1133" s="7495"/>
      <c r="F1133" s="7768"/>
      <c r="G1133" s="3779">
        <v>90000000</v>
      </c>
      <c r="H1133" s="3779" t="s">
        <v>2019</v>
      </c>
      <c r="I1133" s="3779" t="s">
        <v>4111</v>
      </c>
      <c r="J1133" s="7563">
        <f>G1133+G1134+G1135</f>
        <v>130000000</v>
      </c>
      <c r="K1133" s="7563">
        <f>130000000-J1133</f>
        <v>0</v>
      </c>
      <c r="L1133" s="3666" t="s">
        <v>5428</v>
      </c>
      <c r="M1133" s="3667"/>
      <c r="N1133" s="3667"/>
      <c r="O1133" s="3667"/>
      <c r="P1133" s="386"/>
      <c r="Q1133" s="386"/>
    </row>
    <row r="1134" spans="1:17" s="1659" customFormat="1" ht="30" customHeight="1" x14ac:dyDescent="0.2">
      <c r="A1134" s="8358"/>
      <c r="B1134" s="7717"/>
      <c r="C1134" s="7747"/>
      <c r="D1134" s="7877"/>
      <c r="E1134" s="7524"/>
      <c r="F1134" s="7878"/>
      <c r="G1134" s="3757">
        <v>38000000</v>
      </c>
      <c r="H1134" s="3757" t="s">
        <v>5367</v>
      </c>
      <c r="I1134" s="3774" t="s">
        <v>4111</v>
      </c>
      <c r="J1134" s="7586"/>
      <c r="K1134" s="7586"/>
      <c r="L1134" s="3790"/>
      <c r="M1134" s="3803"/>
      <c r="N1134" s="3803"/>
      <c r="O1134" s="3803"/>
      <c r="P1134" s="386"/>
      <c r="Q1134" s="386"/>
    </row>
    <row r="1135" spans="1:17" s="1659" customFormat="1" ht="30" customHeight="1" x14ac:dyDescent="0.2">
      <c r="A1135" s="8359"/>
      <c r="B1135" s="7717"/>
      <c r="C1135" s="7724"/>
      <c r="D1135" s="7769"/>
      <c r="E1135" s="7805"/>
      <c r="F1135" s="7770"/>
      <c r="G1135" s="3757">
        <v>2000000</v>
      </c>
      <c r="H1135" s="3757" t="s">
        <v>5585</v>
      </c>
      <c r="I1135" s="3774" t="s">
        <v>5589</v>
      </c>
      <c r="J1135" s="7564"/>
      <c r="K1135" s="7564"/>
      <c r="L1135" s="3790"/>
      <c r="M1135" s="3803"/>
      <c r="N1135" s="3803"/>
      <c r="O1135" s="3803"/>
      <c r="P1135" s="386"/>
      <c r="Q1135" s="386"/>
    </row>
    <row r="1136" spans="1:17" s="1659" customFormat="1" ht="30" customHeight="1" x14ac:dyDescent="0.2">
      <c r="A1136" s="3706"/>
      <c r="B1136" s="1090" t="s">
        <v>5440</v>
      </c>
      <c r="C1136" s="3504" t="s">
        <v>1718</v>
      </c>
      <c r="D1136" s="3483">
        <v>250000000</v>
      </c>
      <c r="E1136" s="3489"/>
      <c r="F1136" s="3483"/>
      <c r="G1136" s="3483"/>
      <c r="H1136" s="3483"/>
      <c r="I1136" s="3509"/>
      <c r="J1136" s="3483"/>
      <c r="K1136" s="3483"/>
      <c r="L1136" s="3546" t="s">
        <v>5441</v>
      </c>
      <c r="M1136" s="3556"/>
      <c r="N1136" s="3556"/>
      <c r="O1136" s="3556"/>
      <c r="P1136" s="386"/>
      <c r="Q1136" s="386"/>
    </row>
    <row r="1137" spans="1:17" s="1659" customFormat="1" ht="30" customHeight="1" x14ac:dyDescent="0.2">
      <c r="A1137" s="7703"/>
      <c r="B1137" s="7652" t="s">
        <v>5452</v>
      </c>
      <c r="C1137" s="7723"/>
      <c r="D1137" s="3683">
        <v>100000000</v>
      </c>
      <c r="E1137" s="3688">
        <v>0.06</v>
      </c>
      <c r="F1137" s="3683">
        <f>D1137*E1137</f>
        <v>6000000</v>
      </c>
      <c r="G1137" s="3683"/>
      <c r="H1137" s="3683"/>
      <c r="I1137" s="3694"/>
      <c r="J1137" s="3683"/>
      <c r="K1137" s="3683"/>
      <c r="L1137" s="3699" t="s">
        <v>5455</v>
      </c>
      <c r="M1137" s="3707"/>
      <c r="N1137" s="3707"/>
      <c r="O1137" s="3707"/>
      <c r="P1137" s="386"/>
      <c r="Q1137" s="386"/>
    </row>
    <row r="1138" spans="1:17" s="1659" customFormat="1" ht="30" customHeight="1" x14ac:dyDescent="0.2">
      <c r="A1138" s="7705"/>
      <c r="B1138" s="7653"/>
      <c r="C1138" s="7724"/>
      <c r="D1138" s="4103">
        <v>100000000</v>
      </c>
      <c r="E1138" s="4110">
        <v>0.06</v>
      </c>
      <c r="F1138" s="4103">
        <f>D1138*E1138</f>
        <v>6000000</v>
      </c>
      <c r="G1138" s="7850" t="s">
        <v>5966</v>
      </c>
      <c r="H1138" s="7851"/>
      <c r="I1138" s="7851"/>
      <c r="J1138" s="7852"/>
      <c r="K1138" s="4103"/>
      <c r="L1138" s="4129" t="s">
        <v>5965</v>
      </c>
      <c r="M1138" s="4132"/>
      <c r="N1138" s="4132"/>
      <c r="O1138" s="4132"/>
      <c r="P1138" s="386"/>
      <c r="Q1138" s="386"/>
    </row>
    <row r="1139" spans="1:17" s="1659" customFormat="1" ht="30" customHeight="1" x14ac:dyDescent="0.2">
      <c r="A1139" s="3706"/>
      <c r="B1139" s="1339" t="s">
        <v>5462</v>
      </c>
      <c r="C1139" s="3695" t="s">
        <v>889</v>
      </c>
      <c r="D1139" s="3683">
        <v>20000000</v>
      </c>
      <c r="E1139" s="3688">
        <v>7.0000000000000007E-2</v>
      </c>
      <c r="F1139" s="3683">
        <f>D1139*E1139</f>
        <v>1400000.0000000002</v>
      </c>
      <c r="G1139" s="3683">
        <v>700000</v>
      </c>
      <c r="H1139" s="3683" t="s">
        <v>1649</v>
      </c>
      <c r="I1139" s="3694" t="s">
        <v>5463</v>
      </c>
      <c r="J1139" s="3683">
        <f>G1139</f>
        <v>700000</v>
      </c>
      <c r="K1139" s="3683"/>
      <c r="L1139" s="3699" t="s">
        <v>6085</v>
      </c>
      <c r="M1139" s="3707"/>
      <c r="N1139" s="3707"/>
      <c r="O1139" s="3707"/>
      <c r="P1139" s="386"/>
      <c r="Q1139" s="386"/>
    </row>
    <row r="1140" spans="1:17" s="1659" customFormat="1" ht="30" customHeight="1" x14ac:dyDescent="0.2">
      <c r="A1140" s="3119"/>
      <c r="B1140" s="3747" t="s">
        <v>5506</v>
      </c>
      <c r="C1140" s="3744"/>
      <c r="D1140" s="3742">
        <v>125000000</v>
      </c>
      <c r="E1140" s="3743">
        <v>0.06</v>
      </c>
      <c r="F1140" s="3742">
        <f>D1140*E1140</f>
        <v>7500000</v>
      </c>
      <c r="G1140" s="3779">
        <v>7500000</v>
      </c>
      <c r="H1140" s="3779" t="s">
        <v>5585</v>
      </c>
      <c r="I1140" s="3779" t="s">
        <v>5598</v>
      </c>
      <c r="J1140" s="3779">
        <f>G1140</f>
        <v>7500000</v>
      </c>
      <c r="K1140" s="3742">
        <f>F1140-J1140</f>
        <v>0</v>
      </c>
      <c r="L1140" s="3748" t="s">
        <v>5597</v>
      </c>
      <c r="M1140" s="3750"/>
      <c r="N1140" s="3750"/>
      <c r="O1140" s="3750"/>
      <c r="P1140" s="386"/>
      <c r="Q1140" s="386"/>
    </row>
    <row r="1141" spans="1:17" s="1659" customFormat="1" ht="30" customHeight="1" x14ac:dyDescent="0.2">
      <c r="A1141" s="3749"/>
      <c r="B1141" s="3823"/>
      <c r="C1141" s="3744"/>
      <c r="D1141" s="3742">
        <v>43000000</v>
      </c>
      <c r="E1141" s="3743">
        <v>0.05</v>
      </c>
      <c r="F1141" s="3742">
        <f>D1141*E1141</f>
        <v>2150000</v>
      </c>
      <c r="G1141" s="3742"/>
      <c r="H1141" s="3742"/>
      <c r="I1141" s="3745"/>
      <c r="J1141" s="3742"/>
      <c r="K1141" s="3742"/>
      <c r="L1141" s="3748" t="s">
        <v>5509</v>
      </c>
      <c r="M1141" s="3750"/>
      <c r="N1141" s="3750"/>
      <c r="O1141" s="3750"/>
      <c r="P1141" s="386"/>
      <c r="Q1141" s="386"/>
    </row>
    <row r="1142" spans="1:17" s="1659" customFormat="1" ht="30" customHeight="1" x14ac:dyDescent="0.2">
      <c r="A1142" s="3802"/>
      <c r="B1142" s="3795" t="s">
        <v>1473</v>
      </c>
      <c r="C1142" s="3778"/>
      <c r="D1142" s="3757">
        <v>150000000</v>
      </c>
      <c r="E1142" s="3766">
        <v>5.7000000000000002E-2</v>
      </c>
      <c r="F1142" s="3757">
        <v>8500000</v>
      </c>
      <c r="G1142" s="7470" t="s">
        <v>5654</v>
      </c>
      <c r="H1142" s="7493"/>
      <c r="I1142" s="7493"/>
      <c r="J1142" s="7510"/>
      <c r="K1142" s="3757"/>
      <c r="L1142" s="3790" t="s">
        <v>5510</v>
      </c>
      <c r="M1142" s="3803"/>
      <c r="N1142" s="3803"/>
      <c r="O1142" s="3803"/>
      <c r="P1142" s="386"/>
      <c r="Q1142" s="386"/>
    </row>
    <row r="1143" spans="1:17" s="1659" customFormat="1" ht="30" customHeight="1" x14ac:dyDescent="0.2">
      <c r="A1143" s="3802"/>
      <c r="B1143" s="1339" t="s">
        <v>5512</v>
      </c>
      <c r="C1143" s="3778"/>
      <c r="D1143" s="3757">
        <v>40000000</v>
      </c>
      <c r="E1143" s="3766"/>
      <c r="F1143" s="3757"/>
      <c r="G1143" s="3757"/>
      <c r="H1143" s="3757"/>
      <c r="I1143" s="3774"/>
      <c r="J1143" s="3757"/>
      <c r="K1143" s="3757"/>
      <c r="L1143" s="3790" t="s">
        <v>5513</v>
      </c>
      <c r="M1143" s="3803"/>
      <c r="N1143" s="3803"/>
      <c r="O1143" s="3803"/>
      <c r="P1143" s="386"/>
      <c r="Q1143" s="386"/>
    </row>
    <row r="1144" spans="1:17" s="1659" customFormat="1" ht="30" customHeight="1" x14ac:dyDescent="0.2">
      <c r="A1144" s="3802"/>
      <c r="B1144" s="1339" t="s">
        <v>5527</v>
      </c>
      <c r="C1144" s="3778" t="s">
        <v>4223</v>
      </c>
      <c r="D1144" s="3757">
        <v>300000000</v>
      </c>
      <c r="E1144" s="3766">
        <v>0.06</v>
      </c>
      <c r="F1144" s="3757">
        <f>D1144*E1144</f>
        <v>18000000</v>
      </c>
      <c r="G1144" s="3757"/>
      <c r="H1144" s="3757"/>
      <c r="I1144" s="3774"/>
      <c r="J1144" s="3757"/>
      <c r="K1144" s="3757"/>
      <c r="L1144" s="3790" t="s">
        <v>5529</v>
      </c>
      <c r="M1144" s="3803"/>
      <c r="N1144" s="3803"/>
      <c r="O1144" s="3803"/>
      <c r="P1144" s="386"/>
      <c r="Q1144" s="386"/>
    </row>
    <row r="1145" spans="1:17" s="1659" customFormat="1" ht="30" customHeight="1" x14ac:dyDescent="0.2">
      <c r="A1145" s="3802"/>
      <c r="B1145" s="1339" t="s">
        <v>5545</v>
      </c>
      <c r="C1145" s="3778" t="s">
        <v>371</v>
      </c>
      <c r="D1145" s="3757">
        <v>100000000</v>
      </c>
      <c r="E1145" s="3766">
        <v>0.05</v>
      </c>
      <c r="F1145" s="3757">
        <f>D1145*E1145</f>
        <v>5000000</v>
      </c>
      <c r="G1145" s="3757"/>
      <c r="H1145" s="3757"/>
      <c r="I1145" s="3774"/>
      <c r="J1145" s="3757"/>
      <c r="K1145" s="3757"/>
      <c r="L1145" s="3790" t="s">
        <v>5546</v>
      </c>
      <c r="M1145" s="3803"/>
      <c r="N1145" s="3803"/>
      <c r="O1145" s="3803"/>
      <c r="P1145" s="386"/>
      <c r="Q1145" s="386"/>
    </row>
    <row r="1146" spans="1:17" s="1659" customFormat="1" ht="30" customHeight="1" x14ac:dyDescent="0.2">
      <c r="A1146" s="7703"/>
      <c r="B1146" s="7652" t="s">
        <v>5547</v>
      </c>
      <c r="C1146" s="7723"/>
      <c r="D1146" s="7563">
        <v>40000000</v>
      </c>
      <c r="E1146" s="7659"/>
      <c r="F1146" s="7563"/>
      <c r="G1146" s="7732" t="s">
        <v>5549</v>
      </c>
      <c r="H1146" s="7733"/>
      <c r="I1146" s="7733"/>
      <c r="J1146" s="7734"/>
      <c r="K1146" s="3757"/>
      <c r="L1146" s="3790" t="s">
        <v>5548</v>
      </c>
      <c r="M1146" s="3803"/>
      <c r="N1146" s="3803"/>
      <c r="O1146" s="3803"/>
      <c r="P1146" s="386"/>
      <c r="Q1146" s="386"/>
    </row>
    <row r="1147" spans="1:17" s="1659" customFormat="1" ht="30" customHeight="1" x14ac:dyDescent="0.2">
      <c r="A1147" s="7705"/>
      <c r="B1147" s="7653"/>
      <c r="C1147" s="7724"/>
      <c r="D1147" s="7564"/>
      <c r="E1147" s="7660"/>
      <c r="F1147" s="7564"/>
      <c r="G1147" s="7732" t="s">
        <v>5550</v>
      </c>
      <c r="H1147" s="7733"/>
      <c r="I1147" s="7733"/>
      <c r="J1147" s="7734"/>
      <c r="K1147" s="3757"/>
      <c r="L1147" s="3790"/>
      <c r="M1147" s="3803"/>
      <c r="N1147" s="3803"/>
      <c r="O1147" s="3803"/>
      <c r="P1147" s="386"/>
      <c r="Q1147" s="386"/>
    </row>
    <row r="1148" spans="1:17" s="1659" customFormat="1" ht="30" customHeight="1" x14ac:dyDescent="0.2">
      <c r="A1148" s="3776"/>
      <c r="B1148" s="1339" t="s">
        <v>5551</v>
      </c>
      <c r="C1148" s="3778"/>
      <c r="D1148" s="3757">
        <v>40000000</v>
      </c>
      <c r="E1148" s="3766">
        <v>0.04</v>
      </c>
      <c r="F1148" s="3757">
        <f>D1148*E1148</f>
        <v>1600000</v>
      </c>
      <c r="G1148" s="7732" t="s">
        <v>5552</v>
      </c>
      <c r="H1148" s="7733"/>
      <c r="I1148" s="7733"/>
      <c r="J1148" s="7734"/>
      <c r="K1148" s="3757"/>
      <c r="L1148" s="3790" t="s">
        <v>5553</v>
      </c>
      <c r="M1148" s="3803"/>
      <c r="N1148" s="3803"/>
      <c r="O1148" s="3803"/>
      <c r="P1148" s="386"/>
      <c r="Q1148" s="386"/>
    </row>
    <row r="1149" spans="1:17" s="1659" customFormat="1" ht="30" customHeight="1" x14ac:dyDescent="0.2">
      <c r="A1149" s="7703"/>
      <c r="B1149" s="7652" t="s">
        <v>5562</v>
      </c>
      <c r="C1149" s="7723" t="s">
        <v>1652</v>
      </c>
      <c r="D1149" s="7563">
        <v>100000000</v>
      </c>
      <c r="E1149" s="7659">
        <v>0.05</v>
      </c>
      <c r="F1149" s="7563">
        <f>D1149*E1149</f>
        <v>5000000</v>
      </c>
      <c r="G1149" s="7563">
        <v>5000000</v>
      </c>
      <c r="H1149" s="7563" t="s">
        <v>5367</v>
      </c>
      <c r="I1149" s="7563" t="s">
        <v>5563</v>
      </c>
      <c r="J1149" s="7563">
        <f>G1149</f>
        <v>5000000</v>
      </c>
      <c r="K1149" s="7563">
        <f>F1149-J1149</f>
        <v>0</v>
      </c>
      <c r="L1149" s="3790" t="s">
        <v>5657</v>
      </c>
      <c r="M1149" s="3803"/>
      <c r="N1149" s="3803"/>
      <c r="O1149" s="3803"/>
      <c r="P1149" s="386"/>
      <c r="Q1149" s="386"/>
    </row>
    <row r="1150" spans="1:17" s="1659" customFormat="1" ht="30" customHeight="1" x14ac:dyDescent="0.2">
      <c r="A1150" s="7705"/>
      <c r="B1150" s="7653"/>
      <c r="C1150" s="7724"/>
      <c r="D1150" s="7564"/>
      <c r="E1150" s="7660"/>
      <c r="F1150" s="7564"/>
      <c r="G1150" s="7564"/>
      <c r="H1150" s="7564"/>
      <c r="I1150" s="7564"/>
      <c r="J1150" s="7564"/>
      <c r="K1150" s="7564"/>
      <c r="L1150" s="3997" t="s">
        <v>5807</v>
      </c>
      <c r="M1150" s="3999"/>
      <c r="N1150" s="3999"/>
      <c r="O1150" s="3999"/>
      <c r="P1150" s="386"/>
      <c r="Q1150" s="386"/>
    </row>
    <row r="1151" spans="1:17" s="1659" customFormat="1" ht="30" customHeight="1" x14ac:dyDescent="0.2">
      <c r="A1151" s="3776"/>
      <c r="B1151" s="1339" t="s">
        <v>5573</v>
      </c>
      <c r="C1151" s="3778"/>
      <c r="D1151" s="3757">
        <v>150000000</v>
      </c>
      <c r="E1151" s="3766">
        <v>0.06</v>
      </c>
      <c r="F1151" s="3757">
        <f>D1151*E1151</f>
        <v>9000000</v>
      </c>
      <c r="G1151" s="3779">
        <v>9000000</v>
      </c>
      <c r="H1151" s="3779" t="s">
        <v>1879</v>
      </c>
      <c r="I1151" s="3779" t="s">
        <v>4141</v>
      </c>
      <c r="J1151" s="3779">
        <f>G1151</f>
        <v>9000000</v>
      </c>
      <c r="K1151" s="3757">
        <f>F1151-J1151</f>
        <v>0</v>
      </c>
      <c r="L1151" s="3790"/>
      <c r="M1151" s="3803"/>
      <c r="N1151" s="3803"/>
      <c r="O1151" s="3803"/>
      <c r="P1151" s="386"/>
      <c r="Q1151" s="386"/>
    </row>
    <row r="1152" spans="1:17" s="1659" customFormat="1" ht="30" customHeight="1" x14ac:dyDescent="0.2">
      <c r="A1152" s="3776"/>
      <c r="B1152" s="1339" t="s">
        <v>5574</v>
      </c>
      <c r="C1152" s="3778"/>
      <c r="D1152" s="3757">
        <v>80000000</v>
      </c>
      <c r="E1152" s="3766">
        <v>0.06</v>
      </c>
      <c r="F1152" s="3757">
        <f>D1152*E1152</f>
        <v>4800000</v>
      </c>
      <c r="G1152" s="3779">
        <v>4800000</v>
      </c>
      <c r="H1152" s="3779" t="s">
        <v>1879</v>
      </c>
      <c r="I1152" s="3779" t="s">
        <v>5575</v>
      </c>
      <c r="J1152" s="3779">
        <f>G1152</f>
        <v>4800000</v>
      </c>
      <c r="K1152" s="3757">
        <f>F1152-J1152</f>
        <v>0</v>
      </c>
      <c r="L1152" s="3790"/>
      <c r="M1152" s="3803"/>
      <c r="N1152" s="3803"/>
      <c r="O1152" s="3803"/>
      <c r="P1152" s="386"/>
      <c r="Q1152" s="386"/>
    </row>
    <row r="1153" spans="1:17" s="1659" customFormat="1" ht="30" customHeight="1" x14ac:dyDescent="0.2">
      <c r="A1153" s="7703"/>
      <c r="B1153" s="7652" t="s">
        <v>5630</v>
      </c>
      <c r="C1153" s="7723"/>
      <c r="D1153" s="7563">
        <v>50000000</v>
      </c>
      <c r="E1153" s="7659"/>
      <c r="F1153" s="7563"/>
      <c r="G1153" s="7991" t="s">
        <v>5756</v>
      </c>
      <c r="H1153" s="7992"/>
      <c r="I1153" s="7992"/>
      <c r="J1153" s="7993"/>
      <c r="K1153" s="3859"/>
      <c r="L1153" s="3866" t="s">
        <v>5631</v>
      </c>
      <c r="M1153" s="3867"/>
      <c r="N1153" s="3867"/>
      <c r="O1153" s="3867"/>
      <c r="P1153" s="386"/>
      <c r="Q1153" s="386"/>
    </row>
    <row r="1154" spans="1:17" s="1659" customFormat="1" ht="30" customHeight="1" x14ac:dyDescent="0.2">
      <c r="A1154" s="7705"/>
      <c r="B1154" s="7653"/>
      <c r="C1154" s="7724"/>
      <c r="D1154" s="7564"/>
      <c r="E1154" s="7660"/>
      <c r="F1154" s="7564"/>
      <c r="G1154" s="7997"/>
      <c r="H1154" s="7998"/>
      <c r="I1154" s="7998"/>
      <c r="J1154" s="7999"/>
      <c r="K1154" s="3859"/>
      <c r="L1154" s="3866" t="s">
        <v>5632</v>
      </c>
      <c r="M1154" s="3867"/>
      <c r="N1154" s="3867"/>
      <c r="O1154" s="3867"/>
      <c r="P1154" s="386"/>
      <c r="Q1154" s="386"/>
    </row>
    <row r="1155" spans="1:17" s="1659" customFormat="1" ht="30" customHeight="1" x14ac:dyDescent="0.2">
      <c r="A1155" s="3883"/>
      <c r="B1155" s="1339" t="s">
        <v>64</v>
      </c>
      <c r="C1155" s="3885"/>
      <c r="D1155" s="3875">
        <v>20000000</v>
      </c>
      <c r="E1155" s="3879">
        <v>0.05</v>
      </c>
      <c r="F1155" s="3875">
        <f>D1155*E1155</f>
        <v>1000000</v>
      </c>
      <c r="G1155" s="7732" t="s">
        <v>5742</v>
      </c>
      <c r="H1155" s="7733"/>
      <c r="I1155" s="7733"/>
      <c r="J1155" s="7734"/>
      <c r="K1155" s="3875"/>
      <c r="L1155" s="3889" t="s">
        <v>5640</v>
      </c>
      <c r="M1155" s="3894"/>
      <c r="N1155" s="3894"/>
      <c r="O1155" s="3894"/>
      <c r="P1155" s="386"/>
      <c r="Q1155" s="386"/>
    </row>
    <row r="1156" spans="1:17" s="1659" customFormat="1" ht="30" customHeight="1" x14ac:dyDescent="0.2">
      <c r="A1156" s="3883"/>
      <c r="B1156" s="1339" t="s">
        <v>5638</v>
      </c>
      <c r="C1156" s="3885" t="s">
        <v>3390</v>
      </c>
      <c r="D1156" s="3875">
        <v>8000000</v>
      </c>
      <c r="E1156" s="3879">
        <v>0.05</v>
      </c>
      <c r="F1156" s="3875">
        <f>D1156*E1156</f>
        <v>400000</v>
      </c>
      <c r="G1156" s="7732" t="s">
        <v>5741</v>
      </c>
      <c r="H1156" s="7733"/>
      <c r="I1156" s="7733"/>
      <c r="J1156" s="7734"/>
      <c r="K1156" s="3875"/>
      <c r="L1156" s="7674" t="s">
        <v>5668</v>
      </c>
      <c r="M1156" s="3894"/>
      <c r="N1156" s="3894"/>
      <c r="O1156" s="3894"/>
      <c r="P1156" s="386"/>
      <c r="Q1156" s="386"/>
    </row>
    <row r="1157" spans="1:17" s="1659" customFormat="1" ht="30" customHeight="1" x14ac:dyDescent="0.2">
      <c r="A1157" s="3883"/>
      <c r="B1157" s="1339" t="s">
        <v>5639</v>
      </c>
      <c r="C1157" s="3885"/>
      <c r="D1157" s="3875">
        <v>12000000</v>
      </c>
      <c r="E1157" s="3879">
        <v>0.05</v>
      </c>
      <c r="F1157" s="3875">
        <f>D1157*E1157</f>
        <v>600000</v>
      </c>
      <c r="G1157" s="7732" t="s">
        <v>5743</v>
      </c>
      <c r="H1157" s="7733"/>
      <c r="I1157" s="7733"/>
      <c r="J1157" s="7734"/>
      <c r="K1157" s="3875"/>
      <c r="L1157" s="7675"/>
      <c r="M1157" s="3894"/>
      <c r="N1157" s="3894"/>
      <c r="O1157" s="3894"/>
      <c r="P1157" s="386"/>
      <c r="Q1157" s="386"/>
    </row>
    <row r="1158" spans="1:17" s="1659" customFormat="1" ht="30" customHeight="1" x14ac:dyDescent="0.2">
      <c r="A1158" s="3864"/>
      <c r="B1158" s="1339" t="s">
        <v>5660</v>
      </c>
      <c r="C1158" s="3863"/>
      <c r="D1158" s="3859"/>
      <c r="E1158" s="3860"/>
      <c r="F1158" s="3859"/>
      <c r="G1158" s="3859"/>
      <c r="H1158" s="3859"/>
      <c r="I1158" s="3865"/>
      <c r="J1158" s="3859"/>
      <c r="K1158" s="3859"/>
      <c r="L1158" s="3866" t="s">
        <v>5661</v>
      </c>
      <c r="M1158" s="3867"/>
      <c r="N1158" s="3867"/>
      <c r="O1158" s="3867"/>
      <c r="P1158" s="386"/>
      <c r="Q1158" s="386"/>
    </row>
    <row r="1159" spans="1:17" s="1659" customFormat="1" ht="30" customHeight="1" x14ac:dyDescent="0.2">
      <c r="A1159" s="3921"/>
      <c r="B1159" s="1339" t="s">
        <v>5684</v>
      </c>
      <c r="C1159" s="3922"/>
      <c r="D1159" s="3916">
        <v>20000000</v>
      </c>
      <c r="E1159" s="3917">
        <v>0.05</v>
      </c>
      <c r="F1159" s="3916">
        <f t="shared" ref="F1159:F1165" si="115">D1159*E1159</f>
        <v>1000000</v>
      </c>
      <c r="G1159" s="7732" t="s">
        <v>5685</v>
      </c>
      <c r="H1159" s="7733"/>
      <c r="I1159" s="7733"/>
      <c r="J1159" s="7733"/>
      <c r="K1159" s="7734"/>
      <c r="L1159" s="3924" t="s">
        <v>5686</v>
      </c>
      <c r="M1159" s="3926"/>
      <c r="N1159" s="3926"/>
      <c r="O1159" s="3926"/>
      <c r="P1159" s="386"/>
      <c r="Q1159" s="386"/>
    </row>
    <row r="1160" spans="1:17" s="1659" customFormat="1" ht="30" customHeight="1" x14ac:dyDescent="0.2">
      <c r="A1160" s="3921"/>
      <c r="B1160" s="1339" t="s">
        <v>5738</v>
      </c>
      <c r="C1160" s="3922" t="s">
        <v>3007</v>
      </c>
      <c r="D1160" s="3916">
        <v>200000000</v>
      </c>
      <c r="E1160" s="3917">
        <v>6.5000000000000002E-2</v>
      </c>
      <c r="F1160" s="3916">
        <f t="shared" si="115"/>
        <v>13000000</v>
      </c>
      <c r="G1160" s="7732" t="s">
        <v>5728</v>
      </c>
      <c r="H1160" s="7733"/>
      <c r="I1160" s="7733"/>
      <c r="J1160" s="7734"/>
      <c r="K1160" s="3916"/>
      <c r="L1160" s="3924" t="s">
        <v>5687</v>
      </c>
      <c r="M1160" s="3926"/>
      <c r="N1160" s="3926"/>
      <c r="O1160" s="3926"/>
      <c r="P1160" s="386"/>
      <c r="Q1160" s="386"/>
    </row>
    <row r="1161" spans="1:17" s="1659" customFormat="1" ht="30" customHeight="1" x14ac:dyDescent="0.2">
      <c r="A1161" s="3959"/>
      <c r="B1161" s="1339" t="s">
        <v>5737</v>
      </c>
      <c r="C1161" s="3960"/>
      <c r="D1161" s="3951">
        <v>350000000</v>
      </c>
      <c r="E1161" s="3952">
        <v>6.5000000000000002E-2</v>
      </c>
      <c r="F1161" s="3951">
        <f t="shared" si="115"/>
        <v>22750000</v>
      </c>
      <c r="G1161" s="7732" t="s">
        <v>5739</v>
      </c>
      <c r="H1161" s="7733"/>
      <c r="I1161" s="7733"/>
      <c r="J1161" s="7734"/>
      <c r="K1161" s="3951"/>
      <c r="L1161" s="4129" t="s">
        <v>5947</v>
      </c>
      <c r="M1161" s="3967"/>
      <c r="N1161" s="3967"/>
      <c r="O1161" s="3967"/>
      <c r="P1161" s="386"/>
      <c r="Q1161" s="386"/>
    </row>
    <row r="1162" spans="1:17" s="1659" customFormat="1" ht="30" customHeight="1" x14ac:dyDescent="0.2">
      <c r="A1162" s="3921"/>
      <c r="B1162" s="1339" t="s">
        <v>5688</v>
      </c>
      <c r="C1162" s="3922"/>
      <c r="D1162" s="3916">
        <v>4000000</v>
      </c>
      <c r="E1162" s="3917">
        <v>7.0000000000000007E-2</v>
      </c>
      <c r="F1162" s="3916">
        <f t="shared" si="115"/>
        <v>280000</v>
      </c>
      <c r="G1162" s="3916"/>
      <c r="H1162" s="3916"/>
      <c r="I1162" s="3920"/>
      <c r="J1162" s="3916"/>
      <c r="K1162" s="3916"/>
      <c r="L1162" s="3944" t="s">
        <v>5689</v>
      </c>
      <c r="M1162" s="3926"/>
      <c r="N1162" s="3926"/>
      <c r="O1162" s="3926"/>
      <c r="P1162" s="386"/>
      <c r="Q1162" s="386"/>
    </row>
    <row r="1163" spans="1:17" s="1659" customFormat="1" ht="30" customHeight="1" x14ac:dyDescent="0.2">
      <c r="A1163" s="3938"/>
      <c r="B1163" s="1339" t="s">
        <v>5690</v>
      </c>
      <c r="C1163" s="3937"/>
      <c r="D1163" s="3931">
        <v>1000000000</v>
      </c>
      <c r="E1163" s="3934">
        <v>7.0000000000000007E-2</v>
      </c>
      <c r="F1163" s="3931">
        <f t="shared" si="115"/>
        <v>70000000</v>
      </c>
      <c r="G1163" s="3931"/>
      <c r="H1163" s="3931"/>
      <c r="I1163" s="3939"/>
      <c r="J1163" s="3931"/>
      <c r="K1163" s="3931"/>
      <c r="L1163" s="3944"/>
      <c r="M1163" s="3946"/>
      <c r="N1163" s="3946"/>
      <c r="O1163" s="3946"/>
      <c r="P1163" s="386"/>
      <c r="Q1163" s="386"/>
    </row>
    <row r="1164" spans="1:17" s="1659" customFormat="1" ht="30" customHeight="1" x14ac:dyDescent="0.2">
      <c r="A1164" s="3938"/>
      <c r="B1164" s="1339" t="s">
        <v>5691</v>
      </c>
      <c r="C1164" s="3937" t="s">
        <v>1287</v>
      </c>
      <c r="D1164" s="3931">
        <v>60000000</v>
      </c>
      <c r="E1164" s="3934">
        <v>0.05</v>
      </c>
      <c r="F1164" s="3931">
        <f t="shared" si="115"/>
        <v>3000000</v>
      </c>
      <c r="G1164" s="7732" t="s">
        <v>5883</v>
      </c>
      <c r="H1164" s="7733"/>
      <c r="I1164" s="7733"/>
      <c r="J1164" s="7734"/>
      <c r="K1164" s="3931"/>
      <c r="L1164" s="3944" t="s">
        <v>5692</v>
      </c>
      <c r="M1164" s="3946"/>
      <c r="N1164" s="3946"/>
      <c r="O1164" s="3946"/>
      <c r="P1164" s="386"/>
      <c r="Q1164" s="386"/>
    </row>
    <row r="1165" spans="1:17" s="1659" customFormat="1" ht="30" customHeight="1" x14ac:dyDescent="0.2">
      <c r="A1165" s="3938"/>
      <c r="B1165" s="1339" t="s">
        <v>5848</v>
      </c>
      <c r="C1165" s="3960"/>
      <c r="D1165" s="3951">
        <v>350000000</v>
      </c>
      <c r="E1165" s="3952">
        <v>0.05</v>
      </c>
      <c r="F1165" s="3951">
        <f t="shared" si="115"/>
        <v>17500000</v>
      </c>
      <c r="G1165" s="3951"/>
      <c r="H1165" s="3951"/>
      <c r="I1165" s="3957"/>
      <c r="J1165" s="3951"/>
      <c r="K1165" s="3951"/>
      <c r="L1165" s="3944" t="s">
        <v>5874</v>
      </c>
      <c r="M1165" s="3946"/>
      <c r="N1165" s="3946"/>
      <c r="O1165" s="3946"/>
      <c r="P1165" s="386"/>
      <c r="Q1165" s="386"/>
    </row>
    <row r="1166" spans="1:17" s="1659" customFormat="1" ht="30" customHeight="1" x14ac:dyDescent="0.2">
      <c r="A1166" s="3959"/>
      <c r="B1166" s="1339" t="s">
        <v>5715</v>
      </c>
      <c r="C1166" s="3960" t="s">
        <v>1299</v>
      </c>
      <c r="D1166" s="3951">
        <v>100000000</v>
      </c>
      <c r="E1166" s="3952"/>
      <c r="F1166" s="3951"/>
      <c r="G1166" s="7732" t="s">
        <v>5717</v>
      </c>
      <c r="H1166" s="7733"/>
      <c r="I1166" s="7733"/>
      <c r="J1166" s="7734"/>
      <c r="K1166" s="3951"/>
      <c r="L1166" s="3963" t="s">
        <v>5716</v>
      </c>
      <c r="M1166" s="3967"/>
      <c r="N1166" s="3967"/>
      <c r="O1166" s="3967"/>
      <c r="P1166" s="386"/>
      <c r="Q1166" s="386"/>
    </row>
    <row r="1167" spans="1:17" s="1659" customFormat="1" ht="30" customHeight="1" x14ac:dyDescent="0.2">
      <c r="A1167" s="3959"/>
      <c r="B1167" s="1339" t="s">
        <v>5732</v>
      </c>
      <c r="C1167" s="3960"/>
      <c r="D1167" s="3951">
        <v>80000000</v>
      </c>
      <c r="E1167" s="3952">
        <v>7.0000000000000007E-2</v>
      </c>
      <c r="F1167" s="3951">
        <f t="shared" ref="F1167:F1173" si="116">D1167*E1167</f>
        <v>5600000.0000000009</v>
      </c>
      <c r="G1167" s="7732" t="s">
        <v>5740</v>
      </c>
      <c r="H1167" s="7733"/>
      <c r="I1167" s="7733"/>
      <c r="J1167" s="7734"/>
      <c r="K1167" s="3951"/>
      <c r="L1167" s="3963" t="s">
        <v>5731</v>
      </c>
      <c r="M1167" s="3967"/>
      <c r="N1167" s="3967"/>
      <c r="O1167" s="3967"/>
      <c r="P1167" s="386"/>
      <c r="Q1167" s="386"/>
    </row>
    <row r="1168" spans="1:17" s="1659" customFormat="1" ht="30" customHeight="1" x14ac:dyDescent="0.2">
      <c r="A1168" s="3959"/>
      <c r="B1168" s="1339" t="s">
        <v>5744</v>
      </c>
      <c r="C1168" s="3960"/>
      <c r="D1168" s="3951">
        <v>50000000</v>
      </c>
      <c r="E1168" s="3952">
        <v>0.05</v>
      </c>
      <c r="F1168" s="3951">
        <f t="shared" si="116"/>
        <v>2500000</v>
      </c>
      <c r="G1168" s="3951"/>
      <c r="H1168" s="3951"/>
      <c r="I1168" s="3957"/>
      <c r="J1168" s="3951"/>
      <c r="K1168" s="3951"/>
      <c r="L1168" s="3963" t="s">
        <v>5745</v>
      </c>
      <c r="M1168" s="3967"/>
      <c r="N1168" s="3967"/>
      <c r="O1168" s="3967"/>
      <c r="P1168" s="386"/>
      <c r="Q1168" s="386"/>
    </row>
    <row r="1169" spans="1:17" s="1659" customFormat="1" ht="30" customHeight="1" x14ac:dyDescent="0.2">
      <c r="A1169" s="7703"/>
      <c r="B1169" s="7652" t="s">
        <v>5762</v>
      </c>
      <c r="C1169" s="7723"/>
      <c r="D1169" s="7563">
        <v>150000000</v>
      </c>
      <c r="E1169" s="7659">
        <v>0.05</v>
      </c>
      <c r="F1169" s="7563">
        <f t="shared" si="116"/>
        <v>7500000</v>
      </c>
      <c r="G1169" s="7732" t="s">
        <v>5872</v>
      </c>
      <c r="H1169" s="7733"/>
      <c r="I1169" s="7733"/>
      <c r="J1169" s="7734"/>
      <c r="K1169" s="3975"/>
      <c r="L1169" s="7674" t="s">
        <v>5763</v>
      </c>
      <c r="M1169" s="3999"/>
      <c r="N1169" s="3999"/>
      <c r="O1169" s="3999"/>
      <c r="P1169" s="386"/>
      <c r="Q1169" s="386"/>
    </row>
    <row r="1170" spans="1:17" s="1659" customFormat="1" ht="30" customHeight="1" x14ac:dyDescent="0.2">
      <c r="A1170" s="7705"/>
      <c r="B1170" s="7653"/>
      <c r="C1170" s="7724"/>
      <c r="D1170" s="7564"/>
      <c r="E1170" s="7660"/>
      <c r="F1170" s="7564"/>
      <c r="G1170" s="7732" t="s">
        <v>5873</v>
      </c>
      <c r="H1170" s="7733"/>
      <c r="I1170" s="7733"/>
      <c r="J1170" s="7734"/>
      <c r="K1170" s="4030"/>
      <c r="L1170" s="7675"/>
      <c r="M1170" s="4038"/>
      <c r="N1170" s="4038"/>
      <c r="O1170" s="4038"/>
      <c r="P1170" s="386"/>
      <c r="Q1170" s="386"/>
    </row>
    <row r="1171" spans="1:17" s="1659" customFormat="1" ht="30" customHeight="1" x14ac:dyDescent="0.2">
      <c r="A1171" s="3989"/>
      <c r="B1171" s="1339" t="s">
        <v>5771</v>
      </c>
      <c r="C1171" s="3988" t="s">
        <v>1306</v>
      </c>
      <c r="D1171" s="3975">
        <v>150000000</v>
      </c>
      <c r="E1171" s="3980">
        <v>0.06</v>
      </c>
      <c r="F1171" s="3975">
        <f t="shared" si="116"/>
        <v>9000000</v>
      </c>
      <c r="G1171" s="3975"/>
      <c r="H1171" s="3975"/>
      <c r="I1171" s="3990"/>
      <c r="J1171" s="3975"/>
      <c r="K1171" s="3975"/>
      <c r="L1171" s="3997" t="s">
        <v>5810</v>
      </c>
      <c r="M1171" s="3999"/>
      <c r="N1171" s="3999"/>
      <c r="O1171" s="3999"/>
      <c r="P1171" s="386"/>
      <c r="Q1171" s="386"/>
    </row>
    <row r="1172" spans="1:17" s="1659" customFormat="1" ht="30" customHeight="1" x14ac:dyDescent="0.2">
      <c r="A1172" s="3989"/>
      <c r="B1172" s="1339" t="s">
        <v>5772</v>
      </c>
      <c r="C1172" s="3988"/>
      <c r="D1172" s="3975">
        <v>20000000</v>
      </c>
      <c r="E1172" s="3980">
        <v>0.05</v>
      </c>
      <c r="F1172" s="3975">
        <f t="shared" si="116"/>
        <v>1000000</v>
      </c>
      <c r="G1172" s="7732" t="s">
        <v>5792</v>
      </c>
      <c r="H1172" s="7733"/>
      <c r="I1172" s="7733"/>
      <c r="J1172" s="7734"/>
      <c r="K1172" s="3975"/>
      <c r="L1172" s="3997" t="s">
        <v>5686</v>
      </c>
      <c r="M1172" s="3999"/>
      <c r="N1172" s="3999"/>
      <c r="O1172" s="3999"/>
      <c r="P1172" s="386"/>
      <c r="Q1172" s="386"/>
    </row>
    <row r="1173" spans="1:17" s="1659" customFormat="1" ht="30" customHeight="1" x14ac:dyDescent="0.2">
      <c r="A1173" s="3989"/>
      <c r="B1173" s="1339" t="s">
        <v>5805</v>
      </c>
      <c r="C1173" s="3988"/>
      <c r="D1173" s="3975">
        <v>50000000</v>
      </c>
      <c r="E1173" s="3980">
        <v>0.05</v>
      </c>
      <c r="F1173" s="3975">
        <f t="shared" si="116"/>
        <v>2500000</v>
      </c>
      <c r="G1173" s="7732" t="s">
        <v>6116</v>
      </c>
      <c r="H1173" s="7733"/>
      <c r="I1173" s="7733"/>
      <c r="J1173" s="7734"/>
      <c r="K1173" s="3975"/>
      <c r="L1173" s="3997" t="s">
        <v>5806</v>
      </c>
      <c r="M1173" s="3999"/>
      <c r="N1173" s="3999"/>
      <c r="O1173" s="3999"/>
      <c r="P1173" s="386"/>
      <c r="Q1173" s="386"/>
    </row>
    <row r="1174" spans="1:17" s="1659" customFormat="1" ht="30" customHeight="1" x14ac:dyDescent="0.2">
      <c r="A1174" s="3989"/>
      <c r="B1174" s="1339" t="s">
        <v>5923</v>
      </c>
      <c r="C1174" s="3988" t="s">
        <v>262</v>
      </c>
      <c r="D1174" s="3975">
        <v>100000000</v>
      </c>
      <c r="E1174" s="3980"/>
      <c r="F1174" s="3975"/>
      <c r="G1174" s="3975"/>
      <c r="H1174" s="3975"/>
      <c r="I1174" s="3990"/>
      <c r="J1174" s="3975"/>
      <c r="K1174" s="3975"/>
      <c r="L1174" s="3997" t="s">
        <v>5924</v>
      </c>
      <c r="M1174" s="3999"/>
      <c r="N1174" s="3999"/>
      <c r="O1174" s="3999"/>
      <c r="P1174" s="386"/>
      <c r="Q1174" s="386"/>
    </row>
    <row r="1175" spans="1:17" s="1659" customFormat="1" ht="30" customHeight="1" x14ac:dyDescent="0.2">
      <c r="A1175" s="4143"/>
      <c r="B1175" s="1339" t="s">
        <v>5970</v>
      </c>
      <c r="C1175" s="4144"/>
      <c r="D1175" s="4137">
        <v>100000000</v>
      </c>
      <c r="E1175" s="4138">
        <v>0.06</v>
      </c>
      <c r="F1175" s="4137">
        <f>D1175*E1175</f>
        <v>6000000</v>
      </c>
      <c r="G1175" s="7732" t="s">
        <v>6028</v>
      </c>
      <c r="H1175" s="7733"/>
      <c r="I1175" s="7733"/>
      <c r="J1175" s="7734"/>
      <c r="K1175" s="4137"/>
      <c r="L1175" s="4148" t="s">
        <v>5971</v>
      </c>
      <c r="M1175" s="4152"/>
      <c r="N1175" s="4152"/>
      <c r="O1175" s="4152"/>
      <c r="P1175" s="386"/>
      <c r="Q1175" s="386"/>
    </row>
    <row r="1176" spans="1:17" s="1659" customFormat="1" ht="30" customHeight="1" x14ac:dyDescent="0.2">
      <c r="A1176" s="7703"/>
      <c r="B1176" s="7652" t="s">
        <v>5975</v>
      </c>
      <c r="C1176" s="7723" t="s">
        <v>3483</v>
      </c>
      <c r="D1176" s="7563">
        <v>270000000</v>
      </c>
      <c r="E1176" s="7659">
        <v>0.06</v>
      </c>
      <c r="F1176" s="7563">
        <f>D1176*E1176</f>
        <v>16200000</v>
      </c>
      <c r="G1176" s="4137"/>
      <c r="H1176" s="4137"/>
      <c r="I1176" s="4141"/>
      <c r="J1176" s="4137"/>
      <c r="K1176" s="4137"/>
      <c r="L1176" s="4148" t="s">
        <v>5976</v>
      </c>
      <c r="M1176" s="4152"/>
      <c r="N1176" s="4152"/>
      <c r="O1176" s="4152"/>
      <c r="P1176" s="386"/>
      <c r="Q1176" s="386"/>
    </row>
    <row r="1177" spans="1:17" s="1659" customFormat="1" ht="30" customHeight="1" x14ac:dyDescent="0.2">
      <c r="A1177" s="7704"/>
      <c r="B1177" s="7665"/>
      <c r="C1177" s="7747"/>
      <c r="D1177" s="7586"/>
      <c r="E1177" s="7676"/>
      <c r="F1177" s="7586"/>
      <c r="G1177" s="4137"/>
      <c r="H1177" s="4137"/>
      <c r="I1177" s="4141"/>
      <c r="J1177" s="4137"/>
      <c r="K1177" s="4137"/>
      <c r="L1177" s="4148" t="s">
        <v>5977</v>
      </c>
      <c r="M1177" s="4152"/>
      <c r="N1177" s="4152"/>
      <c r="O1177" s="4152"/>
      <c r="P1177" s="386"/>
      <c r="Q1177" s="386"/>
    </row>
    <row r="1178" spans="1:17" s="1659" customFormat="1" ht="30" customHeight="1" x14ac:dyDescent="0.2">
      <c r="A1178" s="7705"/>
      <c r="B1178" s="7653"/>
      <c r="C1178" s="7724"/>
      <c r="D1178" s="7564"/>
      <c r="E1178" s="7660"/>
      <c r="F1178" s="7564"/>
      <c r="G1178" s="4137"/>
      <c r="H1178" s="4137"/>
      <c r="I1178" s="4141"/>
      <c r="J1178" s="4137"/>
      <c r="K1178" s="4137"/>
      <c r="L1178" s="4148" t="s">
        <v>5978</v>
      </c>
      <c r="M1178" s="4152"/>
      <c r="N1178" s="4152"/>
      <c r="O1178" s="4152"/>
      <c r="P1178" s="386"/>
      <c r="Q1178" s="386"/>
    </row>
    <row r="1179" spans="1:17" s="1659" customFormat="1" ht="30" customHeight="1" x14ac:dyDescent="0.2">
      <c r="A1179" s="4143"/>
      <c r="B1179" s="1339" t="s">
        <v>5980</v>
      </c>
      <c r="C1179" s="4144" t="s">
        <v>942</v>
      </c>
      <c r="D1179" s="4137">
        <v>490000000</v>
      </c>
      <c r="E1179" s="4138">
        <v>0.06</v>
      </c>
      <c r="F1179" s="4137">
        <f>D1179*E1179</f>
        <v>29400000</v>
      </c>
      <c r="G1179" s="7732" t="s">
        <v>6013</v>
      </c>
      <c r="H1179" s="7733"/>
      <c r="I1179" s="7733"/>
      <c r="J1179" s="7733"/>
      <c r="K1179" s="7734"/>
      <c r="L1179" s="4148" t="s">
        <v>5981</v>
      </c>
      <c r="M1179" s="4152"/>
      <c r="N1179" s="4152"/>
      <c r="O1179" s="4152"/>
      <c r="P1179" s="386"/>
      <c r="Q1179" s="386"/>
    </row>
    <row r="1180" spans="1:17" s="1659" customFormat="1" ht="30" customHeight="1" x14ac:dyDescent="0.2">
      <c r="A1180" s="4143"/>
      <c r="B1180" s="1339" t="s">
        <v>5985</v>
      </c>
      <c r="C1180" s="4144"/>
      <c r="D1180" s="4137">
        <v>40000000</v>
      </c>
      <c r="E1180" s="4138">
        <v>0.05</v>
      </c>
      <c r="F1180" s="4137">
        <f>D1180*E1180</f>
        <v>2000000</v>
      </c>
      <c r="G1180" s="7732" t="s">
        <v>5987</v>
      </c>
      <c r="H1180" s="7733"/>
      <c r="I1180" s="7733"/>
      <c r="J1180" s="7734"/>
      <c r="K1180" s="4137"/>
      <c r="L1180" s="4148" t="s">
        <v>5986</v>
      </c>
      <c r="M1180" s="4152"/>
      <c r="N1180" s="4152"/>
      <c r="O1180" s="4152"/>
      <c r="P1180" s="386"/>
      <c r="Q1180" s="386"/>
    </row>
    <row r="1181" spans="1:17" s="1659" customFormat="1" ht="30" customHeight="1" x14ac:dyDescent="0.2">
      <c r="A1181" s="4143"/>
      <c r="B1181" s="1339" t="s">
        <v>6017</v>
      </c>
      <c r="C1181" s="4144" t="s">
        <v>3323</v>
      </c>
      <c r="D1181" s="4137">
        <v>1900000000</v>
      </c>
      <c r="E1181" s="4138">
        <v>7.0000000000000007E-2</v>
      </c>
      <c r="F1181" s="4137">
        <f>D1181*E1181</f>
        <v>133000000.00000001</v>
      </c>
      <c r="G1181" s="7732" t="s">
        <v>6018</v>
      </c>
      <c r="H1181" s="7733"/>
      <c r="I1181" s="7733"/>
      <c r="J1181" s="7733"/>
      <c r="K1181" s="7734"/>
      <c r="L1181" s="4148" t="s">
        <v>6019</v>
      </c>
      <c r="M1181" s="4152"/>
      <c r="N1181" s="4152"/>
      <c r="O1181" s="4152"/>
      <c r="P1181" s="386"/>
      <c r="Q1181" s="386"/>
    </row>
    <row r="1182" spans="1:17" s="1659" customFormat="1" ht="30" customHeight="1" x14ac:dyDescent="0.2">
      <c r="A1182" s="4143"/>
      <c r="B1182" s="1339" t="s">
        <v>6031</v>
      </c>
      <c r="C1182" s="4144"/>
      <c r="D1182" s="4137">
        <v>120000000</v>
      </c>
      <c r="E1182" s="4138"/>
      <c r="F1182" s="4137"/>
      <c r="G1182" s="7732" t="s">
        <v>6033</v>
      </c>
      <c r="H1182" s="7733"/>
      <c r="I1182" s="7733"/>
      <c r="J1182" s="7734"/>
      <c r="K1182" s="4137"/>
      <c r="L1182" s="4214" t="s">
        <v>6032</v>
      </c>
      <c r="M1182" s="4152"/>
      <c r="N1182" s="4152"/>
      <c r="O1182" s="4152"/>
      <c r="P1182" s="386"/>
      <c r="Q1182" s="386"/>
    </row>
    <row r="1183" spans="1:17" s="1659" customFormat="1" ht="30" customHeight="1" x14ac:dyDescent="0.2">
      <c r="A1183" s="4143"/>
      <c r="B1183" s="1339" t="s">
        <v>6035</v>
      </c>
      <c r="C1183" s="4144" t="s">
        <v>942</v>
      </c>
      <c r="D1183" s="4137">
        <v>80000000</v>
      </c>
      <c r="E1183" s="4138">
        <v>0.05</v>
      </c>
      <c r="F1183" s="4137">
        <f>D1183*E1183</f>
        <v>4000000</v>
      </c>
      <c r="G1183" s="7732" t="s">
        <v>6037</v>
      </c>
      <c r="H1183" s="7733"/>
      <c r="I1183" s="7733"/>
      <c r="J1183" s="7733"/>
      <c r="K1183" s="7734"/>
      <c r="L1183" s="4214" t="s">
        <v>6036</v>
      </c>
      <c r="M1183" s="4152"/>
      <c r="N1183" s="4152"/>
      <c r="O1183" s="4152"/>
      <c r="P1183" s="386"/>
      <c r="Q1183" s="386"/>
    </row>
    <row r="1184" spans="1:17" s="1659" customFormat="1" ht="30" customHeight="1" x14ac:dyDescent="0.2">
      <c r="A1184" s="3706"/>
      <c r="B1184" s="1339" t="s">
        <v>6053</v>
      </c>
      <c r="C1184" s="3695"/>
      <c r="D1184" s="3683">
        <v>200000000</v>
      </c>
      <c r="E1184" s="3688">
        <v>0.06</v>
      </c>
      <c r="F1184" s="3683">
        <f>D1184*E1184</f>
        <v>12000000</v>
      </c>
      <c r="G1184" s="7732" t="s">
        <v>6055</v>
      </c>
      <c r="H1184" s="7733"/>
      <c r="I1184" s="7733"/>
      <c r="J1184" s="7734"/>
      <c r="K1184" s="3683"/>
      <c r="L1184" s="4214" t="s">
        <v>6054</v>
      </c>
      <c r="M1184" s="3707"/>
      <c r="N1184" s="3707"/>
      <c r="O1184" s="3707"/>
      <c r="P1184" s="386"/>
      <c r="Q1184" s="386"/>
    </row>
    <row r="1185" spans="1:17" s="1659" customFormat="1" ht="30" customHeight="1" x14ac:dyDescent="0.2">
      <c r="A1185" s="4215"/>
      <c r="B1185" s="4209" t="s">
        <v>4767</v>
      </c>
      <c r="C1185" s="4210" t="s">
        <v>989</v>
      </c>
      <c r="D1185" s="4185">
        <v>4200000</v>
      </c>
      <c r="E1185" s="4195">
        <v>0.05</v>
      </c>
      <c r="F1185" s="4188">
        <f>D1185*E1185</f>
        <v>210000</v>
      </c>
      <c r="G1185" s="4188"/>
      <c r="H1185" s="4188"/>
      <c r="I1185" s="4203"/>
      <c r="J1185" s="4188"/>
      <c r="K1185" s="4188"/>
      <c r="L1185" s="4214"/>
      <c r="M1185" s="4218"/>
      <c r="N1185" s="4218"/>
      <c r="O1185" s="4218"/>
      <c r="P1185" s="386"/>
      <c r="Q1185" s="386"/>
    </row>
    <row r="1186" spans="1:17" s="1659" customFormat="1" ht="30" customHeight="1" x14ac:dyDescent="0.2">
      <c r="A1186" s="4215"/>
      <c r="B1186" s="4215"/>
      <c r="C1186" s="4210"/>
      <c r="D1186" s="4185"/>
      <c r="E1186" s="4206"/>
      <c r="F1186" s="4185"/>
      <c r="G1186" s="4185"/>
      <c r="H1186" s="4185"/>
      <c r="I1186" s="4185"/>
      <c r="J1186" s="4185"/>
      <c r="K1186" s="4185"/>
      <c r="L1186" s="4219"/>
      <c r="M1186" s="4218"/>
      <c r="N1186" s="4218"/>
      <c r="O1186" s="4218"/>
      <c r="P1186" s="386"/>
      <c r="Q1186" s="386"/>
    </row>
    <row r="1187" spans="1:17" s="1659" customFormat="1" ht="30" customHeight="1" x14ac:dyDescent="0.2">
      <c r="A1187" s="4215"/>
      <c r="B1187" s="4215"/>
      <c r="C1187" s="4210"/>
      <c r="D1187" s="4185"/>
      <c r="E1187" s="4206"/>
      <c r="F1187" s="4185"/>
      <c r="G1187" s="4185"/>
      <c r="H1187" s="4185"/>
      <c r="I1187" s="4185"/>
      <c r="J1187" s="4185"/>
      <c r="K1187" s="4185"/>
      <c r="L1187" s="4219"/>
      <c r="M1187" s="4218"/>
      <c r="N1187" s="4218"/>
      <c r="O1187" s="4218"/>
      <c r="P1187" s="386"/>
      <c r="Q1187" s="386"/>
    </row>
    <row r="1188" spans="1:17" s="1659" customFormat="1" ht="30" customHeight="1" x14ac:dyDescent="0.2">
      <c r="A1188" s="4215"/>
      <c r="B1188" s="4215"/>
      <c r="C1188" s="4210"/>
      <c r="D1188" s="4185"/>
      <c r="E1188" s="4206"/>
      <c r="F1188" s="4185"/>
      <c r="G1188" s="4185"/>
      <c r="H1188" s="4185"/>
      <c r="I1188" s="4185"/>
      <c r="J1188" s="4185"/>
      <c r="K1188" s="4185"/>
      <c r="L1188" s="4219"/>
      <c r="M1188" s="4218"/>
      <c r="N1188" s="4218"/>
      <c r="O1188" s="4218"/>
      <c r="P1188" s="386"/>
      <c r="Q1188" s="386"/>
    </row>
    <row r="1189" spans="1:17" ht="30" customHeight="1" x14ac:dyDescent="0.2">
      <c r="A1189" s="8013" t="s">
        <v>5338</v>
      </c>
      <c r="B1189" s="8014"/>
      <c r="C1189" s="1031"/>
      <c r="D1189" s="3584"/>
      <c r="E1189" s="3489"/>
      <c r="F1189" s="3483"/>
      <c r="G1189" s="3483"/>
      <c r="H1189" s="3483"/>
      <c r="I1189" s="3582"/>
      <c r="J1189" s="3483"/>
      <c r="K1189" s="3483"/>
      <c r="L1189" s="3491"/>
    </row>
  </sheetData>
  <mergeCells count="1909">
    <mergeCell ref="A827:A828"/>
    <mergeCell ref="B827:B828"/>
    <mergeCell ref="L501:L504"/>
    <mergeCell ref="B508:B510"/>
    <mergeCell ref="C508:C510"/>
    <mergeCell ref="A508:A510"/>
    <mergeCell ref="D509:E509"/>
    <mergeCell ref="D510:E510"/>
    <mergeCell ref="G510:J510"/>
    <mergeCell ref="G508:J509"/>
    <mergeCell ref="A563:A564"/>
    <mergeCell ref="I566:I567"/>
    <mergeCell ref="C563:C564"/>
    <mergeCell ref="G566:G567"/>
    <mergeCell ref="A558:A560"/>
    <mergeCell ref="A553:A557"/>
    <mergeCell ref="C531:C536"/>
    <mergeCell ref="A543:A546"/>
    <mergeCell ref="D568:D570"/>
    <mergeCell ref="L548:L550"/>
    <mergeCell ref="C566:C567"/>
    <mergeCell ref="A561:A562"/>
    <mergeCell ref="A568:A578"/>
    <mergeCell ref="K501:K504"/>
    <mergeCell ref="K566:K567"/>
    <mergeCell ref="B608:B609"/>
    <mergeCell ref="C608:C609"/>
    <mergeCell ref="B605:B607"/>
    <mergeCell ref="G672:K672"/>
    <mergeCell ref="G638:J640"/>
    <mergeCell ref="G673:K673"/>
    <mergeCell ref="A605:A607"/>
    <mergeCell ref="A501:A507"/>
    <mergeCell ref="A634:A635"/>
    <mergeCell ref="A616:A627"/>
    <mergeCell ref="G821:J821"/>
    <mergeCell ref="D657:E657"/>
    <mergeCell ref="C798:C799"/>
    <mergeCell ref="D1153:D1154"/>
    <mergeCell ref="F1086:F1087"/>
    <mergeCell ref="G1086:G1087"/>
    <mergeCell ref="G1182:J1182"/>
    <mergeCell ref="G1183:K1183"/>
    <mergeCell ref="G1173:J1173"/>
    <mergeCell ref="A1149:A1150"/>
    <mergeCell ref="J1149:J1150"/>
    <mergeCell ref="A1169:A1170"/>
    <mergeCell ref="L1169:L1170"/>
    <mergeCell ref="B793:B797"/>
    <mergeCell ref="A985:A987"/>
    <mergeCell ref="C1086:C1087"/>
    <mergeCell ref="C1052:C1053"/>
    <mergeCell ref="B1153:B1154"/>
    <mergeCell ref="F1079:F1080"/>
    <mergeCell ref="F1037:F1038"/>
    <mergeCell ref="B1079:B1080"/>
    <mergeCell ref="E1079:E1080"/>
    <mergeCell ref="A1096:A1098"/>
    <mergeCell ref="A1068:A1070"/>
    <mergeCell ref="C1096:C1098"/>
    <mergeCell ref="G1073:G1074"/>
    <mergeCell ref="C1149:C1150"/>
    <mergeCell ref="D1149:D1150"/>
    <mergeCell ref="E1149:E1150"/>
    <mergeCell ref="A520:A529"/>
    <mergeCell ref="J587:J589"/>
    <mergeCell ref="A587:A589"/>
    <mergeCell ref="B587:B589"/>
    <mergeCell ref="G593:G594"/>
    <mergeCell ref="F568:F570"/>
    <mergeCell ref="J568:J570"/>
    <mergeCell ref="G575:J575"/>
    <mergeCell ref="A547:A551"/>
    <mergeCell ref="J553:J555"/>
    <mergeCell ref="D574:F574"/>
    <mergeCell ref="J571:J573"/>
    <mergeCell ref="C582:C586"/>
    <mergeCell ref="B582:B586"/>
    <mergeCell ref="I558:I560"/>
    <mergeCell ref="J538:J539"/>
    <mergeCell ref="B561:B562"/>
    <mergeCell ref="C561:C562"/>
    <mergeCell ref="G520:G526"/>
    <mergeCell ref="E563:E564"/>
    <mergeCell ref="H587:H589"/>
    <mergeCell ref="J593:J594"/>
    <mergeCell ref="E582:E585"/>
    <mergeCell ref="D582:D585"/>
    <mergeCell ref="G1184:J1184"/>
    <mergeCell ref="C1146:C1147"/>
    <mergeCell ref="D1146:D1147"/>
    <mergeCell ref="A1133:A1135"/>
    <mergeCell ref="C1133:C1135"/>
    <mergeCell ref="D1133:F1135"/>
    <mergeCell ref="G1124:K1124"/>
    <mergeCell ref="G1096:G1098"/>
    <mergeCell ref="B1073:B1074"/>
    <mergeCell ref="K1086:K1087"/>
    <mergeCell ref="A1071:A1072"/>
    <mergeCell ref="A1073:A1074"/>
    <mergeCell ref="C1073:C1074"/>
    <mergeCell ref="A1052:A1053"/>
    <mergeCell ref="C1137:C1138"/>
    <mergeCell ref="G1138:J1138"/>
    <mergeCell ref="D1065:D1066"/>
    <mergeCell ref="E1065:E1066"/>
    <mergeCell ref="F1065:F1066"/>
    <mergeCell ref="G1181:K1181"/>
    <mergeCell ref="A1176:A1178"/>
    <mergeCell ref="I1096:I1098"/>
    <mergeCell ref="J1096:J1098"/>
    <mergeCell ref="F1169:F1170"/>
    <mergeCell ref="G1170:J1170"/>
    <mergeCell ref="G1160:J1160"/>
    <mergeCell ref="G1114:J1114"/>
    <mergeCell ref="B1109:B1114"/>
    <mergeCell ref="A1109:A1114"/>
    <mergeCell ref="G1142:J1142"/>
    <mergeCell ref="C1169:C1170"/>
    <mergeCell ref="G1146:J1146"/>
    <mergeCell ref="A468:A470"/>
    <mergeCell ref="B468:B470"/>
    <mergeCell ref="C468:C470"/>
    <mergeCell ref="I1073:I1074"/>
    <mergeCell ref="H1149:H1150"/>
    <mergeCell ref="I1149:I1150"/>
    <mergeCell ref="K1079:K1080"/>
    <mergeCell ref="A608:A609"/>
    <mergeCell ref="A465:A467"/>
    <mergeCell ref="A582:A586"/>
    <mergeCell ref="A804:A805"/>
    <mergeCell ref="B815:B822"/>
    <mergeCell ref="G815:G817"/>
    <mergeCell ref="G818:G819"/>
    <mergeCell ref="H815:H817"/>
    <mergeCell ref="H818:H819"/>
    <mergeCell ref="A610:A611"/>
    <mergeCell ref="B727:B730"/>
    <mergeCell ref="C727:C730"/>
    <mergeCell ref="G727:G730"/>
    <mergeCell ref="C610:C611"/>
    <mergeCell ref="G610:G611"/>
    <mergeCell ref="A643:A675"/>
    <mergeCell ref="B643:B675"/>
    <mergeCell ref="C795:C796"/>
    <mergeCell ref="G645:K645"/>
    <mergeCell ref="F1149:F1150"/>
    <mergeCell ref="G1149:G1150"/>
    <mergeCell ref="G1113:J1113"/>
    <mergeCell ref="C520:C529"/>
    <mergeCell ref="G527:J529"/>
    <mergeCell ref="G592:J592"/>
    <mergeCell ref="K593:K594"/>
    <mergeCell ref="D576:F576"/>
    <mergeCell ref="B371:B373"/>
    <mergeCell ref="K371:K373"/>
    <mergeCell ref="D389:D390"/>
    <mergeCell ref="J367:J368"/>
    <mergeCell ref="B501:B507"/>
    <mergeCell ref="C501:C507"/>
    <mergeCell ref="G501:J504"/>
    <mergeCell ref="B297:B301"/>
    <mergeCell ref="I473:I475"/>
    <mergeCell ref="J473:J475"/>
    <mergeCell ref="G480:J480"/>
    <mergeCell ref="B531:B536"/>
    <mergeCell ref="D548:D550"/>
    <mergeCell ref="E548:E550"/>
    <mergeCell ref="B384:B385"/>
    <mergeCell ref="C384:C385"/>
    <mergeCell ref="G384:G385"/>
    <mergeCell ref="H384:H385"/>
    <mergeCell ref="I384:I385"/>
    <mergeCell ref="J384:J385"/>
    <mergeCell ref="G380:G381"/>
    <mergeCell ref="H380:H381"/>
    <mergeCell ref="K384:K385"/>
    <mergeCell ref="K367:K368"/>
    <mergeCell ref="K352:K354"/>
    <mergeCell ref="B479:B480"/>
    <mergeCell ref="J465:J466"/>
    <mergeCell ref="F440:F441"/>
    <mergeCell ref="G440:G441"/>
    <mergeCell ref="C369:F370"/>
    <mergeCell ref="A492:A493"/>
    <mergeCell ref="A453:A454"/>
    <mergeCell ref="A449:A450"/>
    <mergeCell ref="C449:C450"/>
    <mergeCell ref="G449:G450"/>
    <mergeCell ref="H449:H450"/>
    <mergeCell ref="I449:I450"/>
    <mergeCell ref="K520:K526"/>
    <mergeCell ref="C543:C546"/>
    <mergeCell ref="I492:I493"/>
    <mergeCell ref="A428:A430"/>
    <mergeCell ref="A484:A487"/>
    <mergeCell ref="A538:A539"/>
    <mergeCell ref="K532:K536"/>
    <mergeCell ref="I468:I470"/>
    <mergeCell ref="H520:H526"/>
    <mergeCell ref="A479:A480"/>
    <mergeCell ref="B484:B486"/>
    <mergeCell ref="H484:H487"/>
    <mergeCell ref="C485:C487"/>
    <mergeCell ref="J492:J493"/>
    <mergeCell ref="I498:I499"/>
    <mergeCell ref="A531:A536"/>
    <mergeCell ref="A497:A500"/>
    <mergeCell ref="A476:A477"/>
    <mergeCell ref="F492:F493"/>
    <mergeCell ref="H482:H483"/>
    <mergeCell ref="I482:I483"/>
    <mergeCell ref="H473:H475"/>
    <mergeCell ref="D492:D493"/>
    <mergeCell ref="E492:E493"/>
    <mergeCell ref="G429:J430"/>
    <mergeCell ref="C12:C18"/>
    <mergeCell ref="G382:J382"/>
    <mergeCell ref="B380:B383"/>
    <mergeCell ref="G395:G398"/>
    <mergeCell ref="H395:H398"/>
    <mergeCell ref="I395:I398"/>
    <mergeCell ref="J395:J398"/>
    <mergeCell ref="C236:C241"/>
    <mergeCell ref="J299:J301"/>
    <mergeCell ref="G579:J579"/>
    <mergeCell ref="G370:J370"/>
    <mergeCell ref="G249:J249"/>
    <mergeCell ref="B558:B560"/>
    <mergeCell ref="C297:C301"/>
    <mergeCell ref="I372:I373"/>
    <mergeCell ref="C371:C373"/>
    <mergeCell ref="C568:C581"/>
    <mergeCell ref="C402:C403"/>
    <mergeCell ref="G403:J403"/>
    <mergeCell ref="G549:J549"/>
    <mergeCell ref="B68:B71"/>
    <mergeCell ref="I76:I77"/>
    <mergeCell ref="C79:C87"/>
    <mergeCell ref="B26:B27"/>
    <mergeCell ref="C52:C54"/>
    <mergeCell ref="D52:D54"/>
    <mergeCell ref="B492:B493"/>
    <mergeCell ref="G498:G499"/>
    <mergeCell ref="H498:H499"/>
    <mergeCell ref="B453:B454"/>
    <mergeCell ref="C453:C454"/>
    <mergeCell ref="B449:B450"/>
    <mergeCell ref="B739:B740"/>
    <mergeCell ref="C739:C740"/>
    <mergeCell ref="D664:E666"/>
    <mergeCell ref="A749:A751"/>
    <mergeCell ref="K731:K733"/>
    <mergeCell ref="B749:B751"/>
    <mergeCell ref="C689:C690"/>
    <mergeCell ref="D659:E659"/>
    <mergeCell ref="E689:E690"/>
    <mergeCell ref="A693:A696"/>
    <mergeCell ref="J715:J722"/>
    <mergeCell ref="J702:J704"/>
    <mergeCell ref="A793:A797"/>
    <mergeCell ref="C797:F797"/>
    <mergeCell ref="A735:A736"/>
    <mergeCell ref="A764:A765"/>
    <mergeCell ref="A742:A745"/>
    <mergeCell ref="C742:C745"/>
    <mergeCell ref="G743:J743"/>
    <mergeCell ref="A715:A722"/>
    <mergeCell ref="A783:A784"/>
    <mergeCell ref="B783:B784"/>
    <mergeCell ref="C785:C786"/>
    <mergeCell ref="B791:B792"/>
    <mergeCell ref="C749:C751"/>
    <mergeCell ref="A731:A733"/>
    <mergeCell ref="B731:B733"/>
    <mergeCell ref="C731:C733"/>
    <mergeCell ref="C693:C696"/>
    <mergeCell ref="C791:C792"/>
    <mergeCell ref="F769:F770"/>
    <mergeCell ref="D795:D796"/>
    <mergeCell ref="C815:C822"/>
    <mergeCell ref="A996:A998"/>
    <mergeCell ref="C996:C998"/>
    <mergeCell ref="B1004:B1005"/>
    <mergeCell ref="F988:F994"/>
    <mergeCell ref="E1008:E1009"/>
    <mergeCell ref="A766:A767"/>
    <mergeCell ref="A773:A780"/>
    <mergeCell ref="C773:C777"/>
    <mergeCell ref="G773:G777"/>
    <mergeCell ref="B764:B765"/>
    <mergeCell ref="C764:C765"/>
    <mergeCell ref="A727:A730"/>
    <mergeCell ref="H610:H611"/>
    <mergeCell ref="A689:A690"/>
    <mergeCell ref="B785:B786"/>
    <mergeCell ref="E795:E796"/>
    <mergeCell ref="A967:A970"/>
    <mergeCell ref="B967:B970"/>
    <mergeCell ref="C967:C970"/>
    <mergeCell ref="D967:D970"/>
    <mergeCell ref="F967:F970"/>
    <mergeCell ref="B962:B966"/>
    <mergeCell ref="B988:B994"/>
    <mergeCell ref="C978:C982"/>
    <mergeCell ref="E967:E970"/>
    <mergeCell ref="D978:D979"/>
    <mergeCell ref="E978:E979"/>
    <mergeCell ref="A978:A982"/>
    <mergeCell ref="F953:F954"/>
    <mergeCell ref="D957:F961"/>
    <mergeCell ref="G779:J780"/>
    <mergeCell ref="C793:C794"/>
    <mergeCell ref="G769:G770"/>
    <mergeCell ref="G766:G767"/>
    <mergeCell ref="H766:H767"/>
    <mergeCell ref="D764:D765"/>
    <mergeCell ref="E764:E765"/>
    <mergeCell ref="D769:D770"/>
    <mergeCell ref="F785:F786"/>
    <mergeCell ref="F779:F780"/>
    <mergeCell ref="F791:F792"/>
    <mergeCell ref="B759:B763"/>
    <mergeCell ref="B779:B780"/>
    <mergeCell ref="A947:A948"/>
    <mergeCell ref="B947:B948"/>
    <mergeCell ref="C947:C948"/>
    <mergeCell ref="E894:E895"/>
    <mergeCell ref="E899:E900"/>
    <mergeCell ref="G871:J871"/>
    <mergeCell ref="G872:J872"/>
    <mergeCell ref="D873:D874"/>
    <mergeCell ref="E873:E874"/>
    <mergeCell ref="A898:A900"/>
    <mergeCell ref="B930:B933"/>
    <mergeCell ref="A925:A927"/>
    <mergeCell ref="B925:B927"/>
    <mergeCell ref="G879:G881"/>
    <mergeCell ref="H879:H881"/>
    <mergeCell ref="F865:F866"/>
    <mergeCell ref="A815:A822"/>
    <mergeCell ref="G896:G897"/>
    <mergeCell ref="A830:A840"/>
    <mergeCell ref="G869:J869"/>
    <mergeCell ref="L855:L856"/>
    <mergeCell ref="G868:J868"/>
    <mergeCell ref="K855:K856"/>
    <mergeCell ref="L878:L879"/>
    <mergeCell ref="K905:K906"/>
    <mergeCell ref="K879:K881"/>
    <mergeCell ref="L873:L874"/>
    <mergeCell ref="K873:K874"/>
    <mergeCell ref="K910:K911"/>
    <mergeCell ref="A894:A895"/>
    <mergeCell ref="C910:C911"/>
    <mergeCell ref="D910:D911"/>
    <mergeCell ref="E910:E911"/>
    <mergeCell ref="I910:I911"/>
    <mergeCell ref="C898:C899"/>
    <mergeCell ref="B910:B911"/>
    <mergeCell ref="A910:A911"/>
    <mergeCell ref="A896:A897"/>
    <mergeCell ref="F894:F895"/>
    <mergeCell ref="B894:B895"/>
    <mergeCell ref="I896:I897"/>
    <mergeCell ref="J896:J897"/>
    <mergeCell ref="A878:A881"/>
    <mergeCell ref="B878:B881"/>
    <mergeCell ref="C878:C881"/>
    <mergeCell ref="A867:A875"/>
    <mergeCell ref="B867:B875"/>
    <mergeCell ref="C867:C875"/>
    <mergeCell ref="G875:J875"/>
    <mergeCell ref="G867:J867"/>
    <mergeCell ref="D855:E855"/>
    <mergeCell ref="D857:E857"/>
    <mergeCell ref="A962:A966"/>
    <mergeCell ref="C962:C966"/>
    <mergeCell ref="F935:F936"/>
    <mergeCell ref="C935:C936"/>
    <mergeCell ref="D935:D936"/>
    <mergeCell ref="C925:C927"/>
    <mergeCell ref="D919:D924"/>
    <mergeCell ref="E919:E924"/>
    <mergeCell ref="A935:A936"/>
    <mergeCell ref="A955:A956"/>
    <mergeCell ref="B955:B956"/>
    <mergeCell ref="C957:C961"/>
    <mergeCell ref="C985:C987"/>
    <mergeCell ref="D937:F938"/>
    <mergeCell ref="B985:B987"/>
    <mergeCell ref="F978:F979"/>
    <mergeCell ref="G978:G981"/>
    <mergeCell ref="F919:F924"/>
    <mergeCell ref="C930:C933"/>
    <mergeCell ref="D930:D932"/>
    <mergeCell ref="E930:E932"/>
    <mergeCell ref="F930:F932"/>
    <mergeCell ref="B919:B924"/>
    <mergeCell ref="E953:E954"/>
    <mergeCell ref="C953:C954"/>
    <mergeCell ref="B952:B954"/>
    <mergeCell ref="C937:C939"/>
    <mergeCell ref="G970:J970"/>
    <mergeCell ref="G969:J969"/>
    <mergeCell ref="A1004:A1005"/>
    <mergeCell ref="A1008:A1009"/>
    <mergeCell ref="A988:A994"/>
    <mergeCell ref="B978:B982"/>
    <mergeCell ref="C988:C994"/>
    <mergeCell ref="G905:G906"/>
    <mergeCell ref="H905:H906"/>
    <mergeCell ref="I905:I906"/>
    <mergeCell ref="J905:J906"/>
    <mergeCell ref="C896:C897"/>
    <mergeCell ref="D899:D900"/>
    <mergeCell ref="A919:A924"/>
    <mergeCell ref="C919:C924"/>
    <mergeCell ref="A937:A939"/>
    <mergeCell ref="A930:A933"/>
    <mergeCell ref="E935:E936"/>
    <mergeCell ref="D947:D948"/>
    <mergeCell ref="E947:E948"/>
    <mergeCell ref="F947:F948"/>
    <mergeCell ref="B1008:B1009"/>
    <mergeCell ref="I1004:I1005"/>
    <mergeCell ref="J1004:J1005"/>
    <mergeCell ref="C1004:C1005"/>
    <mergeCell ref="B937:B939"/>
    <mergeCell ref="A905:A906"/>
    <mergeCell ref="D953:D954"/>
    <mergeCell ref="H978:H981"/>
    <mergeCell ref="B905:B906"/>
    <mergeCell ref="C905:C906"/>
    <mergeCell ref="H960:H961"/>
    <mergeCell ref="I960:I961"/>
    <mergeCell ref="G962:J962"/>
    <mergeCell ref="L1032:O1032"/>
    <mergeCell ref="G923:J923"/>
    <mergeCell ref="G924:J924"/>
    <mergeCell ref="K930:K932"/>
    <mergeCell ref="G933:J933"/>
    <mergeCell ref="J988:J992"/>
    <mergeCell ref="G985:K986"/>
    <mergeCell ref="J978:J981"/>
    <mergeCell ref="H930:H932"/>
    <mergeCell ref="I930:I932"/>
    <mergeCell ref="G952:J954"/>
    <mergeCell ref="G982:K982"/>
    <mergeCell ref="I978:I981"/>
    <mergeCell ref="G916:J916"/>
    <mergeCell ref="G917:J917"/>
    <mergeCell ref="K963:K966"/>
    <mergeCell ref="I963:I966"/>
    <mergeCell ref="J963:J966"/>
    <mergeCell ref="G963:G966"/>
    <mergeCell ref="H963:H966"/>
    <mergeCell ref="G919:J919"/>
    <mergeCell ref="J930:J932"/>
    <mergeCell ref="G1004:G1005"/>
    <mergeCell ref="H1004:H1005"/>
    <mergeCell ref="G922:J922"/>
    <mergeCell ref="G930:G932"/>
    <mergeCell ref="G926:J926"/>
    <mergeCell ref="G920:J920"/>
    <mergeCell ref="G921:J921"/>
    <mergeCell ref="K937:K938"/>
    <mergeCell ref="L1031:O1031"/>
    <mergeCell ref="K978:K981"/>
    <mergeCell ref="A1189:B1189"/>
    <mergeCell ref="A1125:A1126"/>
    <mergeCell ref="L1125:L1126"/>
    <mergeCell ref="K1125:K1126"/>
    <mergeCell ref="G1172:J1172"/>
    <mergeCell ref="G1164:J1164"/>
    <mergeCell ref="G1130:J1130"/>
    <mergeCell ref="G1131:J1131"/>
    <mergeCell ref="G1132:J1132"/>
    <mergeCell ref="B1125:B1126"/>
    <mergeCell ref="D1125:D1126"/>
    <mergeCell ref="E1125:E1126"/>
    <mergeCell ref="C1125:C1126"/>
    <mergeCell ref="F1125:F1126"/>
    <mergeCell ref="J1125:J1126"/>
    <mergeCell ref="B1096:B1098"/>
    <mergeCell ref="L1156:L1157"/>
    <mergeCell ref="E1153:E1154"/>
    <mergeCell ref="F1153:F1154"/>
    <mergeCell ref="C1153:C1154"/>
    <mergeCell ref="G1153:J1154"/>
    <mergeCell ref="G1166:J1166"/>
    <mergeCell ref="K1133:K1135"/>
    <mergeCell ref="G1167:J1167"/>
    <mergeCell ref="G1148:J1148"/>
    <mergeCell ref="E1109:E1110"/>
    <mergeCell ref="F1109:F1110"/>
    <mergeCell ref="G1179:K1179"/>
    <mergeCell ref="B1137:B1138"/>
    <mergeCell ref="B1169:B1170"/>
    <mergeCell ref="A1153:A1154"/>
    <mergeCell ref="K1149:K1150"/>
    <mergeCell ref="A1017:A1018"/>
    <mergeCell ref="G1112:J1112"/>
    <mergeCell ref="C1109:C1114"/>
    <mergeCell ref="I1086:I1087"/>
    <mergeCell ref="J1079:J1080"/>
    <mergeCell ref="D1109:D1110"/>
    <mergeCell ref="B1068:B1070"/>
    <mergeCell ref="L1033:O1033"/>
    <mergeCell ref="H1010:H1011"/>
    <mergeCell ref="I1010:I1011"/>
    <mergeCell ref="J1010:J1011"/>
    <mergeCell ref="G1010:G1011"/>
    <mergeCell ref="F1008:F1009"/>
    <mergeCell ref="C1008:C1009"/>
    <mergeCell ref="D1008:D1009"/>
    <mergeCell ref="A1024:A1025"/>
    <mergeCell ref="A1019:A1020"/>
    <mergeCell ref="A1086:A1087"/>
    <mergeCell ref="B1086:B1087"/>
    <mergeCell ref="C1068:C1070"/>
    <mergeCell ref="G1040:J1040"/>
    <mergeCell ref="D1045:D1046"/>
    <mergeCell ref="J1086:J1087"/>
    <mergeCell ref="A1010:A1011"/>
    <mergeCell ref="B1010:B1011"/>
    <mergeCell ref="H1086:H1087"/>
    <mergeCell ref="G1068:J1069"/>
    <mergeCell ref="G1019:G1020"/>
    <mergeCell ref="I1064:I1067"/>
    <mergeCell ref="J1064:J1067"/>
    <mergeCell ref="K1073:K1074"/>
    <mergeCell ref="D1013:F1013"/>
    <mergeCell ref="A1146:A1147"/>
    <mergeCell ref="B1133:B1135"/>
    <mergeCell ref="A1137:A1138"/>
    <mergeCell ref="K1096:K1098"/>
    <mergeCell ref="H1096:H1098"/>
    <mergeCell ref="K1064:K1067"/>
    <mergeCell ref="C1079:C1080"/>
    <mergeCell ref="D1079:D1080"/>
    <mergeCell ref="B1019:B1020"/>
    <mergeCell ref="C1019:C1020"/>
    <mergeCell ref="F1073:F1074"/>
    <mergeCell ref="I1019:I1020"/>
    <mergeCell ref="D1086:D1087"/>
    <mergeCell ref="A1079:A1080"/>
    <mergeCell ref="A1064:A1067"/>
    <mergeCell ref="A1037:A1042"/>
    <mergeCell ref="A1045:A1046"/>
    <mergeCell ref="E1086:E1087"/>
    <mergeCell ref="D1073:D1074"/>
    <mergeCell ref="B1037:B1042"/>
    <mergeCell ref="G1053:J1053"/>
    <mergeCell ref="H1073:H1074"/>
    <mergeCell ref="C1045:C1046"/>
    <mergeCell ref="C1064:C1067"/>
    <mergeCell ref="G1064:G1067"/>
    <mergeCell ref="H1064:H1067"/>
    <mergeCell ref="B1052:B1053"/>
    <mergeCell ref="G1052:J1052"/>
    <mergeCell ref="B1024:B1025"/>
    <mergeCell ref="C1024:C1025"/>
    <mergeCell ref="G1025:J1025"/>
    <mergeCell ref="J1019:J1020"/>
    <mergeCell ref="K899:K900"/>
    <mergeCell ref="G899:J900"/>
    <mergeCell ref="G910:G911"/>
    <mergeCell ref="H910:H911"/>
    <mergeCell ref="B935:B936"/>
    <mergeCell ref="K848:K853"/>
    <mergeCell ref="D852:E852"/>
    <mergeCell ref="K912:K914"/>
    <mergeCell ref="K896:K897"/>
    <mergeCell ref="K993:K994"/>
    <mergeCell ref="K1019:K1020"/>
    <mergeCell ref="K1004:K1005"/>
    <mergeCell ref="E1169:E1170"/>
    <mergeCell ref="J1133:J1135"/>
    <mergeCell ref="H1019:H1020"/>
    <mergeCell ref="K1010:K1011"/>
    <mergeCell ref="B996:B998"/>
    <mergeCell ref="K957:K960"/>
    <mergeCell ref="K988:K992"/>
    <mergeCell ref="D988:D994"/>
    <mergeCell ref="J957:J960"/>
    <mergeCell ref="E988:E994"/>
    <mergeCell ref="J937:J938"/>
    <mergeCell ref="B1071:B1072"/>
    <mergeCell ref="E1045:E1046"/>
    <mergeCell ref="G1037:J1039"/>
    <mergeCell ref="D1037:D1038"/>
    <mergeCell ref="J1073:J1074"/>
    <mergeCell ref="F1045:F1046"/>
    <mergeCell ref="G870:J870"/>
    <mergeCell ref="B865:B866"/>
    <mergeCell ref="C955:C956"/>
    <mergeCell ref="D1176:D1178"/>
    <mergeCell ref="K1037:K1039"/>
    <mergeCell ref="F1176:F1178"/>
    <mergeCell ref="G1161:J1161"/>
    <mergeCell ref="G1156:J1156"/>
    <mergeCell ref="G1155:J1155"/>
    <mergeCell ref="G1157:J1157"/>
    <mergeCell ref="G1159:K1159"/>
    <mergeCell ref="E1176:E1178"/>
    <mergeCell ref="C1176:C1178"/>
    <mergeCell ref="B1176:B1178"/>
    <mergeCell ref="G1127:J1127"/>
    <mergeCell ref="E1146:E1147"/>
    <mergeCell ref="F1146:F1147"/>
    <mergeCell ref="G1147:J1147"/>
    <mergeCell ref="G918:J918"/>
    <mergeCell ref="C912:C918"/>
    <mergeCell ref="H912:H914"/>
    <mergeCell ref="G1041:J1041"/>
    <mergeCell ref="J993:J994"/>
    <mergeCell ref="B1064:B1067"/>
    <mergeCell ref="E1073:E1074"/>
    <mergeCell ref="C1037:C1042"/>
    <mergeCell ref="B1045:B1046"/>
    <mergeCell ref="E1037:E1038"/>
    <mergeCell ref="B1017:B1018"/>
    <mergeCell ref="C1017:C1018"/>
    <mergeCell ref="G1169:J1169"/>
    <mergeCell ref="G1175:J1175"/>
    <mergeCell ref="D1169:D1170"/>
    <mergeCell ref="B1149:B1150"/>
    <mergeCell ref="B1146:B1147"/>
    <mergeCell ref="I879:I881"/>
    <mergeCell ref="J879:J881"/>
    <mergeCell ref="G873:J873"/>
    <mergeCell ref="G858:J858"/>
    <mergeCell ref="G859:J859"/>
    <mergeCell ref="D859:E860"/>
    <mergeCell ref="F859:F860"/>
    <mergeCell ref="J910:J911"/>
    <mergeCell ref="D849:E849"/>
    <mergeCell ref="A865:A866"/>
    <mergeCell ref="A952:A954"/>
    <mergeCell ref="A957:A961"/>
    <mergeCell ref="B957:B961"/>
    <mergeCell ref="C865:C866"/>
    <mergeCell ref="G860:J860"/>
    <mergeCell ref="C842:C861"/>
    <mergeCell ref="G915:J915"/>
    <mergeCell ref="C887:C891"/>
    <mergeCell ref="F899:F900"/>
    <mergeCell ref="B898:B900"/>
    <mergeCell ref="A887:A891"/>
    <mergeCell ref="B887:B891"/>
    <mergeCell ref="F873:F874"/>
    <mergeCell ref="D853:E853"/>
    <mergeCell ref="J865:J866"/>
    <mergeCell ref="A842:A861"/>
    <mergeCell ref="G854:J854"/>
    <mergeCell ref="G857:J857"/>
    <mergeCell ref="F910:F911"/>
    <mergeCell ref="J912:J914"/>
    <mergeCell ref="I912:I914"/>
    <mergeCell ref="G901:J901"/>
    <mergeCell ref="G825:G826"/>
    <mergeCell ref="H825:H826"/>
    <mergeCell ref="I825:I826"/>
    <mergeCell ref="J825:J826"/>
    <mergeCell ref="D785:D786"/>
    <mergeCell ref="A825:A826"/>
    <mergeCell ref="A823:A824"/>
    <mergeCell ref="B823:B824"/>
    <mergeCell ref="H804:H805"/>
    <mergeCell ref="I804:I805"/>
    <mergeCell ref="G823:G824"/>
    <mergeCell ref="H823:H824"/>
    <mergeCell ref="I823:I824"/>
    <mergeCell ref="D894:D895"/>
    <mergeCell ref="B896:B897"/>
    <mergeCell ref="C827:C828"/>
    <mergeCell ref="B825:B826"/>
    <mergeCell ref="G806:G813"/>
    <mergeCell ref="H806:H813"/>
    <mergeCell ref="I806:I813"/>
    <mergeCell ref="H829:H840"/>
    <mergeCell ref="J829:J840"/>
    <mergeCell ref="C825:C826"/>
    <mergeCell ref="D825:D826"/>
    <mergeCell ref="E825:E826"/>
    <mergeCell ref="C823:C824"/>
    <mergeCell ref="A798:A799"/>
    <mergeCell ref="B798:B799"/>
    <mergeCell ref="B804:B805"/>
    <mergeCell ref="B830:B840"/>
    <mergeCell ref="C804:C805"/>
    <mergeCell ref="C830:C840"/>
    <mergeCell ref="C894:C895"/>
    <mergeCell ref="H896:H897"/>
    <mergeCell ref="E915:E918"/>
    <mergeCell ref="F915:F918"/>
    <mergeCell ref="G912:G914"/>
    <mergeCell ref="C634:C635"/>
    <mergeCell ref="B691:B692"/>
    <mergeCell ref="I795:I796"/>
    <mergeCell ref="D791:D792"/>
    <mergeCell ref="E791:E792"/>
    <mergeCell ref="D779:D780"/>
    <mergeCell ref="C806:C814"/>
    <mergeCell ref="G646:K646"/>
    <mergeCell ref="H769:H770"/>
    <mergeCell ref="C779:C780"/>
    <mergeCell ref="C783:C784"/>
    <mergeCell ref="C759:C763"/>
    <mergeCell ref="C756:C758"/>
    <mergeCell ref="J785:J786"/>
    <mergeCell ref="B742:B745"/>
    <mergeCell ref="C725:C726"/>
    <mergeCell ref="K829:K840"/>
    <mergeCell ref="D850:E850"/>
    <mergeCell ref="D851:E851"/>
    <mergeCell ref="G744:J744"/>
    <mergeCell ref="C769:C770"/>
    <mergeCell ref="J769:J770"/>
    <mergeCell ref="G674:K674"/>
    <mergeCell ref="G848:J853"/>
    <mergeCell ref="G822:J822"/>
    <mergeCell ref="F839:F840"/>
    <mergeCell ref="K823:K824"/>
    <mergeCell ref="A806:A814"/>
    <mergeCell ref="F766:F767"/>
    <mergeCell ref="B806:B814"/>
    <mergeCell ref="A800:A801"/>
    <mergeCell ref="B800:B801"/>
    <mergeCell ref="C800:C801"/>
    <mergeCell ref="A802:A803"/>
    <mergeCell ref="B802:B803"/>
    <mergeCell ref="A759:A763"/>
    <mergeCell ref="C766:C767"/>
    <mergeCell ref="D766:D767"/>
    <mergeCell ref="E766:E767"/>
    <mergeCell ref="B766:B767"/>
    <mergeCell ref="A769:A770"/>
    <mergeCell ref="H665:H666"/>
    <mergeCell ref="G650:K650"/>
    <mergeCell ref="C712:C713"/>
    <mergeCell ref="B693:B696"/>
    <mergeCell ref="B712:B713"/>
    <mergeCell ref="D705:D708"/>
    <mergeCell ref="C802:C803"/>
    <mergeCell ref="A785:A786"/>
    <mergeCell ref="A791:A792"/>
    <mergeCell ref="G670:K670"/>
    <mergeCell ref="G651:K651"/>
    <mergeCell ref="A697:A698"/>
    <mergeCell ref="A739:A740"/>
    <mergeCell ref="J793:J794"/>
    <mergeCell ref="K793:K794"/>
    <mergeCell ref="K791:K792"/>
    <mergeCell ref="K785:K786"/>
    <mergeCell ref="B769:B770"/>
    <mergeCell ref="A757:A758"/>
    <mergeCell ref="B616:B627"/>
    <mergeCell ref="C616:C627"/>
    <mergeCell ref="A705:A708"/>
    <mergeCell ref="A702:A704"/>
    <mergeCell ref="D689:D690"/>
    <mergeCell ref="B634:B635"/>
    <mergeCell ref="C697:C698"/>
    <mergeCell ref="E687:F687"/>
    <mergeCell ref="L571:L573"/>
    <mergeCell ref="G581:J581"/>
    <mergeCell ref="K626:K627"/>
    <mergeCell ref="F602:F603"/>
    <mergeCell ref="D571:F572"/>
    <mergeCell ref="G605:G607"/>
    <mergeCell ref="A600:A604"/>
    <mergeCell ref="D649:E649"/>
    <mergeCell ref="F626:F627"/>
    <mergeCell ref="J626:J627"/>
    <mergeCell ref="J610:J611"/>
    <mergeCell ref="A630:A631"/>
    <mergeCell ref="A712:A713"/>
    <mergeCell ref="G647:K647"/>
    <mergeCell ref="D654:E654"/>
    <mergeCell ref="B705:B708"/>
    <mergeCell ref="B725:B726"/>
    <mergeCell ref="C702:C704"/>
    <mergeCell ref="H705:I705"/>
    <mergeCell ref="J665:J666"/>
    <mergeCell ref="B689:B690"/>
    <mergeCell ref="A691:A692"/>
    <mergeCell ref="G644:K644"/>
    <mergeCell ref="A638:A642"/>
    <mergeCell ref="B638:B642"/>
    <mergeCell ref="F664:F666"/>
    <mergeCell ref="G661:K661"/>
    <mergeCell ref="L590:L591"/>
    <mergeCell ref="C597:C598"/>
    <mergeCell ref="G600:J601"/>
    <mergeCell ref="H597:H598"/>
    <mergeCell ref="D625:J625"/>
    <mergeCell ref="G662:K662"/>
    <mergeCell ref="C630:C631"/>
    <mergeCell ref="C638:C642"/>
    <mergeCell ref="G631:J631"/>
    <mergeCell ref="G641:J641"/>
    <mergeCell ref="C605:C607"/>
    <mergeCell ref="J634:J635"/>
    <mergeCell ref="D607:E607"/>
    <mergeCell ref="B630:B631"/>
    <mergeCell ref="D626:D627"/>
    <mergeCell ref="E626:E627"/>
    <mergeCell ref="D602:D603"/>
    <mergeCell ref="I665:I666"/>
    <mergeCell ref="K638:K640"/>
    <mergeCell ref="C593:C594"/>
    <mergeCell ref="G659:K659"/>
    <mergeCell ref="J597:J598"/>
    <mergeCell ref="G602:J602"/>
    <mergeCell ref="A593:A594"/>
    <mergeCell ref="G597:G598"/>
    <mergeCell ref="B593:B594"/>
    <mergeCell ref="C600:C604"/>
    <mergeCell ref="B600:B604"/>
    <mergeCell ref="A597:A598"/>
    <mergeCell ref="G556:J556"/>
    <mergeCell ref="C538:C539"/>
    <mergeCell ref="G538:G539"/>
    <mergeCell ref="J558:J560"/>
    <mergeCell ref="G574:J574"/>
    <mergeCell ref="E568:E570"/>
    <mergeCell ref="F563:F564"/>
    <mergeCell ref="J563:J564"/>
    <mergeCell ref="B568:B578"/>
    <mergeCell ref="C587:C589"/>
    <mergeCell ref="J561:J562"/>
    <mergeCell ref="D563:D564"/>
    <mergeCell ref="I587:I589"/>
    <mergeCell ref="J582:J583"/>
    <mergeCell ref="C558:C560"/>
    <mergeCell ref="I597:I598"/>
    <mergeCell ref="G580:J580"/>
    <mergeCell ref="G586:I586"/>
    <mergeCell ref="G548:J548"/>
    <mergeCell ref="D577:D578"/>
    <mergeCell ref="E577:E578"/>
    <mergeCell ref="H553:H555"/>
    <mergeCell ref="F577:F578"/>
    <mergeCell ref="F582:F585"/>
    <mergeCell ref="F548:F550"/>
    <mergeCell ref="H561:H562"/>
    <mergeCell ref="A566:A567"/>
    <mergeCell ref="B566:B567"/>
    <mergeCell ref="B543:B546"/>
    <mergeCell ref="G545:J545"/>
    <mergeCell ref="C553:C557"/>
    <mergeCell ref="A473:A475"/>
    <mergeCell ref="B473:B475"/>
    <mergeCell ref="C465:C467"/>
    <mergeCell ref="B476:B477"/>
    <mergeCell ref="C476:C477"/>
    <mergeCell ref="G476:G477"/>
    <mergeCell ref="H476:H477"/>
    <mergeCell ref="I476:I477"/>
    <mergeCell ref="J476:J477"/>
    <mergeCell ref="B465:B467"/>
    <mergeCell ref="C471:C472"/>
    <mergeCell ref="G468:G470"/>
    <mergeCell ref="C473:C475"/>
    <mergeCell ref="A471:A472"/>
    <mergeCell ref="B471:B472"/>
    <mergeCell ref="L436:L437"/>
    <mergeCell ref="E418:E420"/>
    <mergeCell ref="F418:F420"/>
    <mergeCell ref="A463:A464"/>
    <mergeCell ref="B463:B464"/>
    <mergeCell ref="C463:C464"/>
    <mergeCell ref="J458:J459"/>
    <mergeCell ref="K458:K459"/>
    <mergeCell ref="A460:A462"/>
    <mergeCell ref="B460:B462"/>
    <mergeCell ref="C460:C462"/>
    <mergeCell ref="G460:G462"/>
    <mergeCell ref="H460:H462"/>
    <mergeCell ref="I460:I462"/>
    <mergeCell ref="J460:J462"/>
    <mergeCell ref="K460:K462"/>
    <mergeCell ref="A458:A459"/>
    <mergeCell ref="A422:A425"/>
    <mergeCell ref="G423:J424"/>
    <mergeCell ref="A432:A434"/>
    <mergeCell ref="A440:A441"/>
    <mergeCell ref="A443:A444"/>
    <mergeCell ref="K432:K434"/>
    <mergeCell ref="G458:G459"/>
    <mergeCell ref="I440:I441"/>
    <mergeCell ref="A436:A437"/>
    <mergeCell ref="G437:J437"/>
    <mergeCell ref="I453:I454"/>
    <mergeCell ref="J453:J454"/>
    <mergeCell ref="J440:J441"/>
    <mergeCell ref="D440:D441"/>
    <mergeCell ref="B436:B437"/>
    <mergeCell ref="E413:E414"/>
    <mergeCell ref="H458:H459"/>
    <mergeCell ref="B458:B459"/>
    <mergeCell ref="C458:C459"/>
    <mergeCell ref="C422:C425"/>
    <mergeCell ref="B432:B434"/>
    <mergeCell ref="C432:C434"/>
    <mergeCell ref="B440:B441"/>
    <mergeCell ref="C440:C441"/>
    <mergeCell ref="I432:I434"/>
    <mergeCell ref="J432:J434"/>
    <mergeCell ref="B422:B425"/>
    <mergeCell ref="D418:D420"/>
    <mergeCell ref="C443:C444"/>
    <mergeCell ref="G443:G444"/>
    <mergeCell ref="H443:H444"/>
    <mergeCell ref="I443:I444"/>
    <mergeCell ref="A371:A373"/>
    <mergeCell ref="F413:F414"/>
    <mergeCell ref="D413:D414"/>
    <mergeCell ref="A408:A411"/>
    <mergeCell ref="A413:A414"/>
    <mergeCell ref="B413:B414"/>
    <mergeCell ref="C413:C414"/>
    <mergeCell ref="J371:J373"/>
    <mergeCell ref="G372:G373"/>
    <mergeCell ref="A367:A370"/>
    <mergeCell ref="B367:B370"/>
    <mergeCell ref="C367:C368"/>
    <mergeCell ref="D367:D368"/>
    <mergeCell ref="E367:E368"/>
    <mergeCell ref="F367:F368"/>
    <mergeCell ref="G367:G368"/>
    <mergeCell ref="H367:H368"/>
    <mergeCell ref="I367:I368"/>
    <mergeCell ref="C400:C401"/>
    <mergeCell ref="H400:H401"/>
    <mergeCell ref="I400:I401"/>
    <mergeCell ref="A386:A387"/>
    <mergeCell ref="B386:B387"/>
    <mergeCell ref="L386:L387"/>
    <mergeCell ref="A395:A398"/>
    <mergeCell ref="B395:B398"/>
    <mergeCell ref="C395:C398"/>
    <mergeCell ref="J380:J381"/>
    <mergeCell ref="K380:K381"/>
    <mergeCell ref="H372:H373"/>
    <mergeCell ref="K404:K405"/>
    <mergeCell ref="G408:J408"/>
    <mergeCell ref="G409:J409"/>
    <mergeCell ref="C408:C411"/>
    <mergeCell ref="I380:I381"/>
    <mergeCell ref="G400:G401"/>
    <mergeCell ref="J400:J401"/>
    <mergeCell ref="B402:B403"/>
    <mergeCell ref="F389:F390"/>
    <mergeCell ref="B408:B411"/>
    <mergeCell ref="C380:C383"/>
    <mergeCell ref="G383:J383"/>
    <mergeCell ref="A402:A403"/>
    <mergeCell ref="I374:I378"/>
    <mergeCell ref="H374:H378"/>
    <mergeCell ref="A404:A405"/>
    <mergeCell ref="B404:B405"/>
    <mergeCell ref="C404:C405"/>
    <mergeCell ref="A384:A385"/>
    <mergeCell ref="K400:K401"/>
    <mergeCell ref="G374:G378"/>
    <mergeCell ref="A374:A378"/>
    <mergeCell ref="B374:B378"/>
    <mergeCell ref="C374:C378"/>
    <mergeCell ref="A380:A383"/>
    <mergeCell ref="A363:A365"/>
    <mergeCell ref="B363:B365"/>
    <mergeCell ref="G363:G364"/>
    <mergeCell ref="H363:H364"/>
    <mergeCell ref="I363:I364"/>
    <mergeCell ref="C343:C344"/>
    <mergeCell ref="G343:J343"/>
    <mergeCell ref="D352:D353"/>
    <mergeCell ref="E352:E353"/>
    <mergeCell ref="F352:F353"/>
    <mergeCell ref="J360:J362"/>
    <mergeCell ref="A360:A362"/>
    <mergeCell ref="B360:B362"/>
    <mergeCell ref="I360:I362"/>
    <mergeCell ref="F358:F359"/>
    <mergeCell ref="J363:J364"/>
    <mergeCell ref="I352:I354"/>
    <mergeCell ref="D361:D362"/>
    <mergeCell ref="C360:C362"/>
    <mergeCell ref="G360:G362"/>
    <mergeCell ref="H360:H362"/>
    <mergeCell ref="J352:J354"/>
    <mergeCell ref="A340:A342"/>
    <mergeCell ref="B340:B342"/>
    <mergeCell ref="C340:C342"/>
    <mergeCell ref="D340:D342"/>
    <mergeCell ref="E340:E342"/>
    <mergeCell ref="F340:F342"/>
    <mergeCell ref="K320:K321"/>
    <mergeCell ref="A327:A329"/>
    <mergeCell ref="B327:B329"/>
    <mergeCell ref="C327:C329"/>
    <mergeCell ref="G327:G329"/>
    <mergeCell ref="H327:H329"/>
    <mergeCell ref="I327:I329"/>
    <mergeCell ref="J327:J329"/>
    <mergeCell ref="K327:K329"/>
    <mergeCell ref="A320:A321"/>
    <mergeCell ref="B320:B321"/>
    <mergeCell ref="C320:C321"/>
    <mergeCell ref="G320:G321"/>
    <mergeCell ref="H320:H321"/>
    <mergeCell ref="I320:I321"/>
    <mergeCell ref="A325:A326"/>
    <mergeCell ref="B325:B326"/>
    <mergeCell ref="C325:C326"/>
    <mergeCell ref="G340:G342"/>
    <mergeCell ref="H340:H342"/>
    <mergeCell ref="I340:I342"/>
    <mergeCell ref="J340:J342"/>
    <mergeCell ref="K340:K342"/>
    <mergeCell ref="A288:A289"/>
    <mergeCell ref="B288:B289"/>
    <mergeCell ref="C288:C289"/>
    <mergeCell ref="D254:D255"/>
    <mergeCell ref="E254:E255"/>
    <mergeCell ref="L297:L300"/>
    <mergeCell ref="I272:I274"/>
    <mergeCell ref="J272:J274"/>
    <mergeCell ref="J282:J283"/>
    <mergeCell ref="C263:C264"/>
    <mergeCell ref="G263:G264"/>
    <mergeCell ref="H263:H264"/>
    <mergeCell ref="I263:I264"/>
    <mergeCell ref="J263:J264"/>
    <mergeCell ref="K263:K264"/>
    <mergeCell ref="B294:B295"/>
    <mergeCell ref="C294:C295"/>
    <mergeCell ref="I276:I277"/>
    <mergeCell ref="G268:J268"/>
    <mergeCell ref="B272:B274"/>
    <mergeCell ref="C272:C274"/>
    <mergeCell ref="A272:A274"/>
    <mergeCell ref="K290:K291"/>
    <mergeCell ref="L281:L282"/>
    <mergeCell ref="K288:K289"/>
    <mergeCell ref="A284:A286"/>
    <mergeCell ref="B284:B286"/>
    <mergeCell ref="C284:C286"/>
    <mergeCell ref="D284:D286"/>
    <mergeCell ref="E266:E267"/>
    <mergeCell ref="F266:F267"/>
    <mergeCell ref="A297:A301"/>
    <mergeCell ref="E139:E140"/>
    <mergeCell ref="B126:B127"/>
    <mergeCell ref="A211:A213"/>
    <mergeCell ref="C211:C213"/>
    <mergeCell ref="G197:K197"/>
    <mergeCell ref="G211:G213"/>
    <mergeCell ref="H211:H213"/>
    <mergeCell ref="B254:B255"/>
    <mergeCell ref="B256:B258"/>
    <mergeCell ref="D227:D228"/>
    <mergeCell ref="A260:A262"/>
    <mergeCell ref="J181:J183"/>
    <mergeCell ref="K181:K183"/>
    <mergeCell ref="B185:B187"/>
    <mergeCell ref="B211:B213"/>
    <mergeCell ref="A209:A210"/>
    <mergeCell ref="B209:B210"/>
    <mergeCell ref="C209:C210"/>
    <mergeCell ref="B227:B228"/>
    <mergeCell ref="C227:C228"/>
    <mergeCell ref="A195:A200"/>
    <mergeCell ref="A203:A208"/>
    <mergeCell ref="G192:J192"/>
    <mergeCell ref="D181:F183"/>
    <mergeCell ref="C180:C183"/>
    <mergeCell ref="B180:B183"/>
    <mergeCell ref="G193:J193"/>
    <mergeCell ref="G194:J194"/>
    <mergeCell ref="D205:E205"/>
    <mergeCell ref="C185:C187"/>
    <mergeCell ref="D186:F187"/>
    <mergeCell ref="J209:J210"/>
    <mergeCell ref="L76:L77"/>
    <mergeCell ref="A59:A61"/>
    <mergeCell ref="B59:B61"/>
    <mergeCell ref="C59:C61"/>
    <mergeCell ref="G59:G61"/>
    <mergeCell ref="H59:H61"/>
    <mergeCell ref="I59:I61"/>
    <mergeCell ref="J59:J61"/>
    <mergeCell ref="K59:K61"/>
    <mergeCell ref="D70:D71"/>
    <mergeCell ref="E70:E71"/>
    <mergeCell ref="F70:F71"/>
    <mergeCell ref="B65:B67"/>
    <mergeCell ref="A65:A67"/>
    <mergeCell ref="C65:C67"/>
    <mergeCell ref="K68:K69"/>
    <mergeCell ref="G70:J70"/>
    <mergeCell ref="G76:G77"/>
    <mergeCell ref="J76:J77"/>
    <mergeCell ref="K76:K77"/>
    <mergeCell ref="L59:L60"/>
    <mergeCell ref="A68:A71"/>
    <mergeCell ref="L79:L80"/>
    <mergeCell ref="H79:H82"/>
    <mergeCell ref="I79:I82"/>
    <mergeCell ref="C68:C71"/>
    <mergeCell ref="A94:A95"/>
    <mergeCell ref="G84:J84"/>
    <mergeCell ref="B92:B93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C26:C27"/>
    <mergeCell ref="E37:E38"/>
    <mergeCell ref="F37:F38"/>
    <mergeCell ref="A26:A27"/>
    <mergeCell ref="G90:J91"/>
    <mergeCell ref="A44:A46"/>
    <mergeCell ref="C44:C46"/>
    <mergeCell ref="L61:N61"/>
    <mergeCell ref="G65:G67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L53:L54"/>
    <mergeCell ref="E68:E69"/>
    <mergeCell ref="F68:F69"/>
    <mergeCell ref="D68:D69"/>
    <mergeCell ref="F52:F54"/>
    <mergeCell ref="J53:J54"/>
    <mergeCell ref="E52:E54"/>
    <mergeCell ref="K48:K51"/>
    <mergeCell ref="K53:K54"/>
    <mergeCell ref="K56:K57"/>
    <mergeCell ref="H65:H67"/>
    <mergeCell ref="I65:I67"/>
    <mergeCell ref="J65:J67"/>
    <mergeCell ref="K65:K67"/>
    <mergeCell ref="B52:B54"/>
    <mergeCell ref="A11:A18"/>
    <mergeCell ref="B11:B18"/>
    <mergeCell ref="A20:A21"/>
    <mergeCell ref="B20:B21"/>
    <mergeCell ref="C20:C21"/>
    <mergeCell ref="G20:G21"/>
    <mergeCell ref="H20:H21"/>
    <mergeCell ref="I20:I21"/>
    <mergeCell ref="G111:G113"/>
    <mergeCell ref="H111:H113"/>
    <mergeCell ref="I111:I113"/>
    <mergeCell ref="J111:J113"/>
    <mergeCell ref="I34:I36"/>
    <mergeCell ref="J34:J36"/>
    <mergeCell ref="G68:J69"/>
    <mergeCell ref="A88:A91"/>
    <mergeCell ref="B88:B91"/>
    <mergeCell ref="C88:C91"/>
    <mergeCell ref="D88:D91"/>
    <mergeCell ref="B44:B46"/>
    <mergeCell ref="A37:A38"/>
    <mergeCell ref="B37:B38"/>
    <mergeCell ref="C37:C38"/>
    <mergeCell ref="D37:D38"/>
    <mergeCell ref="J56:J57"/>
    <mergeCell ref="A52:A54"/>
    <mergeCell ref="A56:A57"/>
    <mergeCell ref="A92:A93"/>
    <mergeCell ref="A97:A98"/>
    <mergeCell ref="E88:E91"/>
    <mergeCell ref="A111:A113"/>
    <mergeCell ref="B109:B110"/>
    <mergeCell ref="F220:F221"/>
    <mergeCell ref="G220:J220"/>
    <mergeCell ref="A281:A283"/>
    <mergeCell ref="J276:J277"/>
    <mergeCell ref="B195:B200"/>
    <mergeCell ref="C203:C208"/>
    <mergeCell ref="B203:B208"/>
    <mergeCell ref="G199:K199"/>
    <mergeCell ref="A263:A264"/>
    <mergeCell ref="B263:B264"/>
    <mergeCell ref="A180:A183"/>
    <mergeCell ref="A185:A187"/>
    <mergeCell ref="K260:K262"/>
    <mergeCell ref="F229:F230"/>
    <mergeCell ref="E233:E234"/>
    <mergeCell ref="A242:A243"/>
    <mergeCell ref="B242:B243"/>
    <mergeCell ref="C242:C243"/>
    <mergeCell ref="H282:H283"/>
    <mergeCell ref="I282:I283"/>
    <mergeCell ref="A191:A194"/>
    <mergeCell ref="I265:I266"/>
    <mergeCell ref="J266:J267"/>
    <mergeCell ref="J290:J291"/>
    <mergeCell ref="G326:J326"/>
    <mergeCell ref="G325:J325"/>
    <mergeCell ref="J320:J321"/>
    <mergeCell ref="D294:D295"/>
    <mergeCell ref="E294:E295"/>
    <mergeCell ref="C175:C176"/>
    <mergeCell ref="G175:G176"/>
    <mergeCell ref="H175:H176"/>
    <mergeCell ref="I175:I176"/>
    <mergeCell ref="B246:B247"/>
    <mergeCell ref="C246:C247"/>
    <mergeCell ref="G246:J246"/>
    <mergeCell ref="F227:F228"/>
    <mergeCell ref="G218:J218"/>
    <mergeCell ref="B236:B241"/>
    <mergeCell ref="G227:G228"/>
    <mergeCell ref="E229:E230"/>
    <mergeCell ref="J186:J187"/>
    <mergeCell ref="G196:K196"/>
    <mergeCell ref="K203:K206"/>
    <mergeCell ref="B191:B194"/>
    <mergeCell ref="C191:C194"/>
    <mergeCell ref="G203:J207"/>
    <mergeCell ref="C195:C200"/>
    <mergeCell ref="B249:B251"/>
    <mergeCell ref="G258:J258"/>
    <mergeCell ref="E227:E228"/>
    <mergeCell ref="G209:G210"/>
    <mergeCell ref="H209:H210"/>
    <mergeCell ref="I209:I210"/>
    <mergeCell ref="C256:C258"/>
    <mergeCell ref="A290:A291"/>
    <mergeCell ref="A343:A344"/>
    <mergeCell ref="B343:B344"/>
    <mergeCell ref="A358:A359"/>
    <mergeCell ref="A352:A354"/>
    <mergeCell ref="B358:B359"/>
    <mergeCell ref="C358:C359"/>
    <mergeCell ref="H254:H255"/>
    <mergeCell ref="B281:B283"/>
    <mergeCell ref="A227:A228"/>
    <mergeCell ref="A276:A277"/>
    <mergeCell ref="A233:A234"/>
    <mergeCell ref="A309:A311"/>
    <mergeCell ref="A306:A307"/>
    <mergeCell ref="B306:B307"/>
    <mergeCell ref="C306:C307"/>
    <mergeCell ref="E290:E291"/>
    <mergeCell ref="A313:A314"/>
    <mergeCell ref="C313:C314"/>
    <mergeCell ref="F294:F295"/>
    <mergeCell ref="G306:G307"/>
    <mergeCell ref="H306:H307"/>
    <mergeCell ref="D358:D359"/>
    <mergeCell ref="E358:E359"/>
    <mergeCell ref="C352:C354"/>
    <mergeCell ref="D290:D291"/>
    <mergeCell ref="B313:B314"/>
    <mergeCell ref="E297:E301"/>
    <mergeCell ref="F290:F291"/>
    <mergeCell ref="H272:H274"/>
    <mergeCell ref="B265:B267"/>
    <mergeCell ref="C266:C267"/>
    <mergeCell ref="J79:J82"/>
    <mergeCell ref="A175:A176"/>
    <mergeCell ref="I306:I307"/>
    <mergeCell ref="J306:J307"/>
    <mergeCell ref="A229:A230"/>
    <mergeCell ref="H276:H277"/>
    <mergeCell ref="A246:A247"/>
    <mergeCell ref="A236:A241"/>
    <mergeCell ref="G260:G262"/>
    <mergeCell ref="H260:H262"/>
    <mergeCell ref="I260:I262"/>
    <mergeCell ref="J260:J262"/>
    <mergeCell ref="C218:C221"/>
    <mergeCell ref="A218:A221"/>
    <mergeCell ref="A254:A255"/>
    <mergeCell ref="G272:G274"/>
    <mergeCell ref="C254:C255"/>
    <mergeCell ref="C260:C262"/>
    <mergeCell ref="A256:A257"/>
    <mergeCell ref="A265:A267"/>
    <mergeCell ref="F297:F301"/>
    <mergeCell ref="J297:J298"/>
    <mergeCell ref="B290:B291"/>
    <mergeCell ref="I211:I213"/>
    <mergeCell ref="J211:J213"/>
    <mergeCell ref="C216:C217"/>
    <mergeCell ref="E276:E277"/>
    <mergeCell ref="B260:B262"/>
    <mergeCell ref="I288:I289"/>
    <mergeCell ref="J288:J289"/>
    <mergeCell ref="G276:G277"/>
    <mergeCell ref="F284:F286"/>
    <mergeCell ref="A109:A110"/>
    <mergeCell ref="C128:C130"/>
    <mergeCell ref="B3:B4"/>
    <mergeCell ref="A3:A4"/>
    <mergeCell ref="C3:C4"/>
    <mergeCell ref="G83:J83"/>
    <mergeCell ref="B188:B189"/>
    <mergeCell ref="A188:A189"/>
    <mergeCell ref="C188:C189"/>
    <mergeCell ref="D188:D189"/>
    <mergeCell ref="B41:B43"/>
    <mergeCell ref="A41:A43"/>
    <mergeCell ref="C41:C43"/>
    <mergeCell ref="D41:F43"/>
    <mergeCell ref="J41:J43"/>
    <mergeCell ref="G86:J86"/>
    <mergeCell ref="A101:A103"/>
    <mergeCell ref="A128:A130"/>
    <mergeCell ref="I169:I171"/>
    <mergeCell ref="A123:A125"/>
    <mergeCell ref="A126:A127"/>
    <mergeCell ref="A79:A87"/>
    <mergeCell ref="C94:C95"/>
    <mergeCell ref="A104:A108"/>
    <mergeCell ref="B104:B108"/>
    <mergeCell ref="C104:C108"/>
    <mergeCell ref="D106:E106"/>
    <mergeCell ref="G104:G106"/>
    <mergeCell ref="B94:B95"/>
    <mergeCell ref="F99:F100"/>
    <mergeCell ref="G142:J142"/>
    <mergeCell ref="D143:F143"/>
    <mergeCell ref="B158:B159"/>
    <mergeCell ref="C158:C159"/>
    <mergeCell ref="G158:G159"/>
    <mergeCell ref="H158:H159"/>
    <mergeCell ref="I158:I159"/>
    <mergeCell ref="G169:G171"/>
    <mergeCell ref="H169:H171"/>
    <mergeCell ref="F114:F115"/>
    <mergeCell ref="K128:K129"/>
    <mergeCell ref="K169:K171"/>
    <mergeCell ref="B141:B146"/>
    <mergeCell ref="G123:J123"/>
    <mergeCell ref="K186:K187"/>
    <mergeCell ref="B169:B171"/>
    <mergeCell ref="C169:C171"/>
    <mergeCell ref="A139:A140"/>
    <mergeCell ref="A149:A154"/>
    <mergeCell ref="G149:J149"/>
    <mergeCell ref="G150:J150"/>
    <mergeCell ref="G151:J151"/>
    <mergeCell ref="G152:J152"/>
    <mergeCell ref="G153:J153"/>
    <mergeCell ref="B160:B167"/>
    <mergeCell ref="C160:C167"/>
    <mergeCell ref="G115:J115"/>
    <mergeCell ref="A114:A121"/>
    <mergeCell ref="K158:K159"/>
    <mergeCell ref="G126:J127"/>
    <mergeCell ref="J169:J171"/>
    <mergeCell ref="C139:C140"/>
    <mergeCell ref="B139:B140"/>
    <mergeCell ref="D139:D140"/>
    <mergeCell ref="B131:B136"/>
    <mergeCell ref="A99:A100"/>
    <mergeCell ref="C117:C121"/>
    <mergeCell ref="G117:J117"/>
    <mergeCell ref="A249:A251"/>
    <mergeCell ref="A418:A420"/>
    <mergeCell ref="B418:B420"/>
    <mergeCell ref="D104:D105"/>
    <mergeCell ref="E104:E105"/>
    <mergeCell ref="F104:F105"/>
    <mergeCell ref="G146:J146"/>
    <mergeCell ref="I216:I217"/>
    <mergeCell ref="J216:J217"/>
    <mergeCell ref="H216:H217"/>
    <mergeCell ref="B214:B217"/>
    <mergeCell ref="E188:E189"/>
    <mergeCell ref="A131:A136"/>
    <mergeCell ref="C214:C215"/>
    <mergeCell ref="A169:A171"/>
    <mergeCell ref="A141:A146"/>
    <mergeCell ref="C114:C115"/>
    <mergeCell ref="D114:D115"/>
    <mergeCell ref="A178:A179"/>
    <mergeCell ref="E99:E100"/>
    <mergeCell ref="J175:J176"/>
    <mergeCell ref="F160:F161"/>
    <mergeCell ref="J160:J161"/>
    <mergeCell ref="C126:C127"/>
    <mergeCell ref="B128:B130"/>
    <mergeCell ref="C131:C136"/>
    <mergeCell ref="J128:J129"/>
    <mergeCell ref="A158:A159"/>
    <mergeCell ref="L538:L539"/>
    <mergeCell ref="G130:J130"/>
    <mergeCell ref="K162:K166"/>
    <mergeCell ref="E389:E390"/>
    <mergeCell ref="K306:K307"/>
    <mergeCell ref="G251:J251"/>
    <mergeCell ref="D240:F240"/>
    <mergeCell ref="E220:E221"/>
    <mergeCell ref="I254:I255"/>
    <mergeCell ref="J254:J255"/>
    <mergeCell ref="E361:E362"/>
    <mergeCell ref="G311:J311"/>
    <mergeCell ref="D266:D267"/>
    <mergeCell ref="A160:A167"/>
    <mergeCell ref="B178:B179"/>
    <mergeCell ref="C178:C179"/>
    <mergeCell ref="B276:B277"/>
    <mergeCell ref="C276:C277"/>
    <mergeCell ref="B229:B230"/>
    <mergeCell ref="C229:C230"/>
    <mergeCell ref="D229:D230"/>
    <mergeCell ref="B218:B221"/>
    <mergeCell ref="A214:A217"/>
    <mergeCell ref="F242:F243"/>
    <mergeCell ref="K175:K176"/>
    <mergeCell ref="C149:C154"/>
    <mergeCell ref="E284:E286"/>
    <mergeCell ref="A294:A295"/>
    <mergeCell ref="B233:B234"/>
    <mergeCell ref="C233:C234"/>
    <mergeCell ref="D233:D234"/>
    <mergeCell ref="D309:D311"/>
    <mergeCell ref="L498:L499"/>
    <mergeCell ref="G288:G289"/>
    <mergeCell ref="F361:F362"/>
    <mergeCell ref="F188:F189"/>
    <mergeCell ref="K449:K450"/>
    <mergeCell ref="I458:I459"/>
    <mergeCell ref="L482:L483"/>
    <mergeCell ref="L484:L486"/>
    <mergeCell ref="L533:L536"/>
    <mergeCell ref="G532:G536"/>
    <mergeCell ref="G216:G217"/>
    <mergeCell ref="K216:K217"/>
    <mergeCell ref="D179:F179"/>
    <mergeCell ref="K160:K161"/>
    <mergeCell ref="G215:J215"/>
    <mergeCell ref="K505:K507"/>
    <mergeCell ref="G352:G354"/>
    <mergeCell ref="H352:H354"/>
    <mergeCell ref="L160:L161"/>
    <mergeCell ref="L211:L213"/>
    <mergeCell ref="L181:L183"/>
    <mergeCell ref="L260:L261"/>
    <mergeCell ref="L209:L210"/>
    <mergeCell ref="G250:J250"/>
    <mergeCell ref="D160:D161"/>
    <mergeCell ref="E160:E161"/>
    <mergeCell ref="L395:L396"/>
    <mergeCell ref="K272:K274"/>
    <mergeCell ref="D276:D277"/>
    <mergeCell ref="F276:F277"/>
    <mergeCell ref="K266:K267"/>
    <mergeCell ref="H265:H266"/>
    <mergeCell ref="L634:L635"/>
    <mergeCell ref="G87:J87"/>
    <mergeCell ref="G656:K656"/>
    <mergeCell ref="K484:K487"/>
    <mergeCell ref="G334:K334"/>
    <mergeCell ref="K227:K228"/>
    <mergeCell ref="G219:J219"/>
    <mergeCell ref="H227:H228"/>
    <mergeCell ref="I227:I228"/>
    <mergeCell ref="K131:K132"/>
    <mergeCell ref="G128:G129"/>
    <mergeCell ref="H128:H129"/>
    <mergeCell ref="L143:L144"/>
    <mergeCell ref="L101:L102"/>
    <mergeCell ref="G108:J108"/>
    <mergeCell ref="G578:J578"/>
    <mergeCell ref="I553:I555"/>
    <mergeCell ref="L449:L450"/>
    <mergeCell ref="K395:K398"/>
    <mergeCell ref="G432:G434"/>
    <mergeCell ref="G254:G255"/>
    <mergeCell ref="L175:L176"/>
    <mergeCell ref="J162:J166"/>
    <mergeCell ref="L288:L289"/>
    <mergeCell ref="L336:P336"/>
    <mergeCell ref="L340:L342"/>
    <mergeCell ref="L363:L364"/>
    <mergeCell ref="K360:K362"/>
    <mergeCell ref="K363:K364"/>
    <mergeCell ref="G471:G472"/>
    <mergeCell ref="H471:H472"/>
    <mergeCell ref="I471:I472"/>
    <mergeCell ref="J727:J730"/>
    <mergeCell ref="I773:I777"/>
    <mergeCell ref="I693:I696"/>
    <mergeCell ref="K759:K761"/>
    <mergeCell ref="K563:K564"/>
    <mergeCell ref="H558:H560"/>
    <mergeCell ref="I561:I562"/>
    <mergeCell ref="G550:J550"/>
    <mergeCell ref="G506:G507"/>
    <mergeCell ref="G492:G493"/>
    <mergeCell ref="K473:K475"/>
    <mergeCell ref="G465:G466"/>
    <mergeCell ref="K610:K611"/>
    <mergeCell ref="G655:K655"/>
    <mergeCell ref="G669:K669"/>
    <mergeCell ref="K571:K573"/>
    <mergeCell ref="K584:K586"/>
    <mergeCell ref="I520:I526"/>
    <mergeCell ref="J520:J526"/>
    <mergeCell ref="G654:K654"/>
    <mergeCell ref="K597:K598"/>
    <mergeCell ref="G577:J577"/>
    <mergeCell ref="G587:G589"/>
    <mergeCell ref="I484:I487"/>
    <mergeCell ref="J484:J487"/>
    <mergeCell ref="H739:H740"/>
    <mergeCell ref="J739:J740"/>
    <mergeCell ref="K553:K555"/>
    <mergeCell ref="G558:G560"/>
    <mergeCell ref="K582:K583"/>
    <mergeCell ref="K561:K562"/>
    <mergeCell ref="I593:I594"/>
    <mergeCell ref="I739:I740"/>
    <mergeCell ref="G551:J551"/>
    <mergeCell ref="L616:L617"/>
    <mergeCell ref="H727:H730"/>
    <mergeCell ref="I727:I730"/>
    <mergeCell ref="I715:I722"/>
    <mergeCell ref="G658:K658"/>
    <mergeCell ref="G663:K663"/>
    <mergeCell ref="G664:K664"/>
    <mergeCell ref="G653:K653"/>
    <mergeCell ref="K779:K780"/>
    <mergeCell ref="I766:I767"/>
    <mergeCell ref="H634:H635"/>
    <mergeCell ref="I634:I635"/>
    <mergeCell ref="G657:K657"/>
    <mergeCell ref="G671:K671"/>
    <mergeCell ref="G648:K648"/>
    <mergeCell ref="G652:K652"/>
    <mergeCell ref="K605:K607"/>
    <mergeCell ref="J766:J767"/>
    <mergeCell ref="G708:I708"/>
    <mergeCell ref="K727:K730"/>
    <mergeCell ref="K634:K635"/>
    <mergeCell ref="G634:G635"/>
    <mergeCell ref="L769:L770"/>
    <mergeCell ref="L779:L780"/>
    <mergeCell ref="L677:O677"/>
    <mergeCell ref="J773:J777"/>
    <mergeCell ref="G778:J778"/>
    <mergeCell ref="H773:H777"/>
    <mergeCell ref="H706:I706"/>
    <mergeCell ref="K558:K560"/>
    <mergeCell ref="L815:L816"/>
    <mergeCell ref="J783:J784"/>
    <mergeCell ref="J800:J801"/>
    <mergeCell ref="H783:H784"/>
    <mergeCell ref="I783:I784"/>
    <mergeCell ref="I769:I770"/>
    <mergeCell ref="K693:K696"/>
    <mergeCell ref="G675:J675"/>
    <mergeCell ref="G668:K668"/>
    <mergeCell ref="K769:K770"/>
    <mergeCell ref="K766:K767"/>
    <mergeCell ref="K762:K763"/>
    <mergeCell ref="L759:L761"/>
    <mergeCell ref="G693:G696"/>
    <mergeCell ref="J795:J796"/>
    <mergeCell ref="K795:K796"/>
    <mergeCell ref="K697:K698"/>
    <mergeCell ref="G793:G794"/>
    <mergeCell ref="I731:I733"/>
    <mergeCell ref="H795:H796"/>
    <mergeCell ref="J791:J792"/>
    <mergeCell ref="J762:J763"/>
    <mergeCell ref="G702:G704"/>
    <mergeCell ref="G795:G796"/>
    <mergeCell ref="G739:G740"/>
    <mergeCell ref="G757:J757"/>
    <mergeCell ref="G758:J758"/>
    <mergeCell ref="L793:L794"/>
    <mergeCell ref="G715:G722"/>
    <mergeCell ref="H715:H722"/>
    <mergeCell ref="L702:L703"/>
    <mergeCell ref="L697:L698"/>
    <mergeCell ref="K825:K826"/>
    <mergeCell ref="J806:J813"/>
    <mergeCell ref="J731:J733"/>
    <mergeCell ref="H731:H733"/>
    <mergeCell ref="J823:J824"/>
    <mergeCell ref="D839:D840"/>
    <mergeCell ref="E839:E840"/>
    <mergeCell ref="K802:K803"/>
    <mergeCell ref="I800:I801"/>
    <mergeCell ref="D823:D824"/>
    <mergeCell ref="E823:E824"/>
    <mergeCell ref="F823:F824"/>
    <mergeCell ref="I818:I819"/>
    <mergeCell ref="J815:J819"/>
    <mergeCell ref="K800:K801"/>
    <mergeCell ref="E830:E832"/>
    <mergeCell ref="F830:F832"/>
    <mergeCell ref="J804:J805"/>
    <mergeCell ref="K815:K819"/>
    <mergeCell ref="K804:K805"/>
    <mergeCell ref="H800:H801"/>
    <mergeCell ref="D830:D832"/>
    <mergeCell ref="I829:I840"/>
    <mergeCell ref="F825:F826"/>
    <mergeCell ref="G804:G805"/>
    <mergeCell ref="K798:K799"/>
    <mergeCell ref="G731:G733"/>
    <mergeCell ref="F764:F765"/>
    <mergeCell ref="G798:G799"/>
    <mergeCell ref="H798:H799"/>
    <mergeCell ref="D760:F761"/>
    <mergeCell ref="F795:F796"/>
    <mergeCell ref="K858:K860"/>
    <mergeCell ref="E785:E786"/>
    <mergeCell ref="D865:D866"/>
    <mergeCell ref="E865:E866"/>
    <mergeCell ref="H693:H696"/>
    <mergeCell ref="I815:I817"/>
    <mergeCell ref="G820:J820"/>
    <mergeCell ref="G749:J750"/>
    <mergeCell ref="G751:J751"/>
    <mergeCell ref="K702:K704"/>
    <mergeCell ref="I793:I794"/>
    <mergeCell ref="G783:G784"/>
    <mergeCell ref="E705:E708"/>
    <mergeCell ref="F705:F708"/>
    <mergeCell ref="J705:J708"/>
    <mergeCell ref="K705:K708"/>
    <mergeCell ref="H702:H704"/>
    <mergeCell ref="J693:J696"/>
    <mergeCell ref="K865:K866"/>
    <mergeCell ref="K739:K740"/>
    <mergeCell ref="K845:K847"/>
    <mergeCell ref="G845:J847"/>
    <mergeCell ref="I798:I799"/>
    <mergeCell ref="J798:J799"/>
    <mergeCell ref="G800:G801"/>
    <mergeCell ref="K806:K813"/>
    <mergeCell ref="G842:J844"/>
    <mergeCell ref="G802:G803"/>
    <mergeCell ref="H802:H803"/>
    <mergeCell ref="I802:I803"/>
    <mergeCell ref="J802:J803"/>
    <mergeCell ref="K842:K844"/>
    <mergeCell ref="G1180:J1180"/>
    <mergeCell ref="B333:B335"/>
    <mergeCell ref="A333:A335"/>
    <mergeCell ref="C333:C335"/>
    <mergeCell ref="G1021:J1021"/>
    <mergeCell ref="B684:B685"/>
    <mergeCell ref="A684:A685"/>
    <mergeCell ref="C684:C685"/>
    <mergeCell ref="D684:D685"/>
    <mergeCell ref="E684:E685"/>
    <mergeCell ref="F684:F685"/>
    <mergeCell ref="B945:B946"/>
    <mergeCell ref="A945:A946"/>
    <mergeCell ref="C945:C946"/>
    <mergeCell ref="D945:D946"/>
    <mergeCell ref="E945:E946"/>
    <mergeCell ref="F945:F946"/>
    <mergeCell ref="A389:A390"/>
    <mergeCell ref="B389:B390"/>
    <mergeCell ref="C389:C390"/>
    <mergeCell ref="B912:B918"/>
    <mergeCell ref="A912:A918"/>
    <mergeCell ref="D915:D918"/>
    <mergeCell ref="B842:B861"/>
    <mergeCell ref="D735:D736"/>
    <mergeCell ref="E735:E736"/>
    <mergeCell ref="I610:I611"/>
    <mergeCell ref="B597:B598"/>
    <mergeCell ref="D848:E848"/>
    <mergeCell ref="G831:G840"/>
    <mergeCell ref="G667:K667"/>
    <mergeCell ref="I702:I704"/>
    <mergeCell ref="E114:E115"/>
    <mergeCell ref="L109:L110"/>
    <mergeCell ref="L111:L113"/>
    <mergeCell ref="G109:G110"/>
    <mergeCell ref="H104:H106"/>
    <mergeCell ref="F97:F98"/>
    <mergeCell ref="G116:J116"/>
    <mergeCell ref="H109:H110"/>
    <mergeCell ref="B111:B113"/>
    <mergeCell ref="C111:C113"/>
    <mergeCell ref="B114:B121"/>
    <mergeCell ref="G107:J107"/>
    <mergeCell ref="K104:K106"/>
    <mergeCell ref="C92:C93"/>
    <mergeCell ref="D92:D93"/>
    <mergeCell ref="E97:E98"/>
    <mergeCell ref="G97:K97"/>
    <mergeCell ref="D97:D98"/>
    <mergeCell ref="B97:B98"/>
    <mergeCell ref="C97:C98"/>
    <mergeCell ref="B99:B100"/>
    <mergeCell ref="C99:C100"/>
    <mergeCell ref="D99:D100"/>
    <mergeCell ref="C109:C110"/>
    <mergeCell ref="K418:K420"/>
    <mergeCell ref="J449:J450"/>
    <mergeCell ref="G463:G464"/>
    <mergeCell ref="G603:J603"/>
    <mergeCell ref="K468:K470"/>
    <mergeCell ref="B497:B500"/>
    <mergeCell ref="D507:E507"/>
    <mergeCell ref="J532:J536"/>
    <mergeCell ref="G411:J411"/>
    <mergeCell ref="G410:J410"/>
    <mergeCell ref="B101:B103"/>
    <mergeCell ref="C101:C103"/>
    <mergeCell ref="G101:G103"/>
    <mergeCell ref="H101:H103"/>
    <mergeCell ref="I101:I103"/>
    <mergeCell ref="C123:C125"/>
    <mergeCell ref="B123:B125"/>
    <mergeCell ref="G122:J122"/>
    <mergeCell ref="K109:K110"/>
    <mergeCell ref="G484:G487"/>
    <mergeCell ref="K492:K493"/>
    <mergeCell ref="K463:K464"/>
    <mergeCell ref="K476:K477"/>
    <mergeCell ref="K465:K466"/>
    <mergeCell ref="K471:K472"/>
    <mergeCell ref="H506:H507"/>
    <mergeCell ref="J104:J106"/>
    <mergeCell ref="I506:I507"/>
    <mergeCell ref="K374:K378"/>
    <mergeCell ref="G404:G405"/>
    <mergeCell ref="H404:H405"/>
    <mergeCell ref="I404:I405"/>
    <mergeCell ref="G512:J512"/>
    <mergeCell ref="I465:I466"/>
    <mergeCell ref="J584:J586"/>
    <mergeCell ref="C547:C551"/>
    <mergeCell ref="C436:C437"/>
    <mergeCell ref="C418:C420"/>
    <mergeCell ref="H432:H434"/>
    <mergeCell ref="B538:B539"/>
    <mergeCell ref="J566:J567"/>
    <mergeCell ref="G543:J544"/>
    <mergeCell ref="G557:J557"/>
    <mergeCell ref="J404:J405"/>
    <mergeCell ref="I418:I420"/>
    <mergeCell ref="G482:G483"/>
    <mergeCell ref="G418:G420"/>
    <mergeCell ref="H418:H420"/>
    <mergeCell ref="C498:C499"/>
    <mergeCell ref="C492:C493"/>
    <mergeCell ref="J418:J420"/>
    <mergeCell ref="H566:H567"/>
    <mergeCell ref="H463:H464"/>
    <mergeCell ref="H468:H470"/>
    <mergeCell ref="H440:H441"/>
    <mergeCell ref="H453:H454"/>
    <mergeCell ref="J482:J483"/>
    <mergeCell ref="K568:K570"/>
    <mergeCell ref="E779:E780"/>
    <mergeCell ref="G697:G698"/>
    <mergeCell ref="D762:F763"/>
    <mergeCell ref="H697:H698"/>
    <mergeCell ref="I697:I698"/>
    <mergeCell ref="G426:J426"/>
    <mergeCell ref="H605:H607"/>
    <mergeCell ref="I605:I607"/>
    <mergeCell ref="J605:J607"/>
    <mergeCell ref="K587:K589"/>
    <mergeCell ref="D675:E675"/>
    <mergeCell ref="F689:F690"/>
    <mergeCell ref="H793:H794"/>
    <mergeCell ref="K783:K784"/>
    <mergeCell ref="D504:E504"/>
    <mergeCell ref="H492:H493"/>
    <mergeCell ref="J697:J698"/>
    <mergeCell ref="E769:E770"/>
    <mergeCell ref="H532:H536"/>
    <mergeCell ref="H538:H539"/>
    <mergeCell ref="I538:I539"/>
    <mergeCell ref="I532:I536"/>
    <mergeCell ref="K538:K539"/>
    <mergeCell ref="K453:K454"/>
    <mergeCell ref="E602:E603"/>
    <mergeCell ref="G561:G562"/>
    <mergeCell ref="G553:G555"/>
    <mergeCell ref="D506:E506"/>
    <mergeCell ref="I463:I464"/>
    <mergeCell ref="K443:K444"/>
    <mergeCell ref="G453:G454"/>
    <mergeCell ref="B735:B736"/>
    <mergeCell ref="C735:C736"/>
    <mergeCell ref="B715:B722"/>
    <mergeCell ref="C715:C722"/>
    <mergeCell ref="C705:C708"/>
    <mergeCell ref="B702:B704"/>
    <mergeCell ref="B697:B698"/>
    <mergeCell ref="C643:C675"/>
    <mergeCell ref="F735:F736"/>
    <mergeCell ref="J463:J464"/>
    <mergeCell ref="E440:E441"/>
    <mergeCell ref="J498:J499"/>
    <mergeCell ref="C428:C430"/>
    <mergeCell ref="B428:B430"/>
    <mergeCell ref="H465:H466"/>
    <mergeCell ref="G660:K660"/>
    <mergeCell ref="K665:K666"/>
    <mergeCell ref="K715:K722"/>
    <mergeCell ref="G473:G475"/>
    <mergeCell ref="J471:J472"/>
    <mergeCell ref="J505:J507"/>
    <mergeCell ref="B610:B611"/>
    <mergeCell ref="H593:H594"/>
    <mergeCell ref="K440:K441"/>
    <mergeCell ref="J468:J470"/>
    <mergeCell ref="B553:B557"/>
    <mergeCell ref="B547:B551"/>
    <mergeCell ref="B563:B564"/>
    <mergeCell ref="B520:B529"/>
    <mergeCell ref="J443:J444"/>
    <mergeCell ref="K482:K483"/>
    <mergeCell ref="K498:K499"/>
    <mergeCell ref="G19:J19"/>
    <mergeCell ref="J374:J378"/>
    <mergeCell ref="G241:J241"/>
    <mergeCell ref="H288:H289"/>
    <mergeCell ref="G45:J45"/>
    <mergeCell ref="G46:J46"/>
    <mergeCell ref="G48:G51"/>
    <mergeCell ref="H48:H51"/>
    <mergeCell ref="I48:I51"/>
    <mergeCell ref="K34:K36"/>
    <mergeCell ref="G118:J118"/>
    <mergeCell ref="G120:J120"/>
    <mergeCell ref="G121:J121"/>
    <mergeCell ref="K276:K277"/>
    <mergeCell ref="F233:F234"/>
    <mergeCell ref="G124:J124"/>
    <mergeCell ref="G282:G283"/>
    <mergeCell ref="K79:K82"/>
    <mergeCell ref="G88:J89"/>
    <mergeCell ref="G79:G82"/>
    <mergeCell ref="K111:K113"/>
    <mergeCell ref="F254:F255"/>
    <mergeCell ref="G85:J85"/>
    <mergeCell ref="G141:J141"/>
    <mergeCell ref="J158:J159"/>
    <mergeCell ref="G131:J135"/>
    <mergeCell ref="K254:K255"/>
    <mergeCell ref="K209:K210"/>
    <mergeCell ref="I104:I106"/>
    <mergeCell ref="J20:J21"/>
    <mergeCell ref="K20:K21"/>
    <mergeCell ref="F139:F140"/>
    <mergeCell ref="K299:K301"/>
    <mergeCell ref="K297:K298"/>
    <mergeCell ref="H76:H77"/>
    <mergeCell ref="I109:I110"/>
    <mergeCell ref="J109:J110"/>
    <mergeCell ref="J101:J103"/>
    <mergeCell ref="G95:K95"/>
    <mergeCell ref="K101:K103"/>
    <mergeCell ref="K211:K213"/>
    <mergeCell ref="J227:J228"/>
    <mergeCell ref="G119:J119"/>
    <mergeCell ref="D162:F166"/>
    <mergeCell ref="D220:D221"/>
    <mergeCell ref="F309:F311"/>
    <mergeCell ref="B352:B354"/>
    <mergeCell ref="E309:E311"/>
    <mergeCell ref="D297:D301"/>
    <mergeCell ref="E92:E93"/>
    <mergeCell ref="F92:F93"/>
    <mergeCell ref="F88:F91"/>
    <mergeCell ref="B79:B87"/>
    <mergeCell ref="I128:I129"/>
    <mergeCell ref="K282:K283"/>
    <mergeCell ref="K88:K91"/>
    <mergeCell ref="B149:B154"/>
    <mergeCell ref="B175:B176"/>
    <mergeCell ref="B309:B311"/>
    <mergeCell ref="C309:C311"/>
    <mergeCell ref="C290:C291"/>
    <mergeCell ref="D242:D243"/>
    <mergeCell ref="E242:E243"/>
    <mergeCell ref="C141:C146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1"/>
  <sheetViews>
    <sheetView rightToLeft="1" topLeftCell="B812" zoomScale="60" zoomScaleNormal="60" workbookViewId="0">
      <selection activeCell="B806" sqref="B806:B827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385"/>
      <c r="B2" s="4384" t="s">
        <v>5751</v>
      </c>
      <c r="C2" s="4300" t="s">
        <v>1300</v>
      </c>
      <c r="D2" s="4268">
        <v>6000000</v>
      </c>
      <c r="E2" s="4336">
        <v>7.0000000000000007E-2</v>
      </c>
      <c r="F2" s="4268">
        <v>450000</v>
      </c>
      <c r="G2" s="4645">
        <v>450000</v>
      </c>
      <c r="H2" s="4645" t="s">
        <v>4491</v>
      </c>
      <c r="I2" s="24" t="s">
        <v>6407</v>
      </c>
      <c r="J2" s="4645">
        <f>G2</f>
        <v>450000</v>
      </c>
      <c r="K2" s="4645">
        <f>F2-J2</f>
        <v>0</v>
      </c>
      <c r="L2" s="180" t="s">
        <v>5754</v>
      </c>
    </row>
    <row r="3" spans="1:12" ht="30" customHeight="1" x14ac:dyDescent="0.2">
      <c r="A3" s="8309"/>
      <c r="B3" s="8307" t="s">
        <v>5752</v>
      </c>
      <c r="C3" s="7723" t="s">
        <v>1300</v>
      </c>
      <c r="D3" s="4268">
        <v>5000000</v>
      </c>
      <c r="E3" s="4336">
        <v>7.0000000000000007E-2</v>
      </c>
      <c r="F3" s="4268">
        <f t="shared" ref="F3:F4" si="0">D3*E3</f>
        <v>350000.00000000006</v>
      </c>
      <c r="G3" s="7563">
        <v>654000</v>
      </c>
      <c r="H3" s="7563" t="s">
        <v>4491</v>
      </c>
      <c r="I3" s="7561" t="s">
        <v>6405</v>
      </c>
      <c r="J3" s="7563">
        <f>G3</f>
        <v>654000</v>
      </c>
      <c r="K3" s="7563"/>
      <c r="L3" s="736" t="s">
        <v>5753</v>
      </c>
    </row>
    <row r="4" spans="1:12" ht="30" customHeight="1" x14ac:dyDescent="0.2">
      <c r="A4" s="8310"/>
      <c r="B4" s="8308"/>
      <c r="C4" s="7724"/>
      <c r="D4" s="4268">
        <v>5000000</v>
      </c>
      <c r="E4" s="4336">
        <v>7.0000000000000007E-2</v>
      </c>
      <c r="F4" s="4268">
        <f t="shared" si="0"/>
        <v>350000.00000000006</v>
      </c>
      <c r="G4" s="7564"/>
      <c r="H4" s="7564"/>
      <c r="I4" s="7562"/>
      <c r="J4" s="7564"/>
      <c r="K4" s="7564"/>
      <c r="L4" s="736" t="s">
        <v>5755</v>
      </c>
    </row>
    <row r="5" spans="1:12" ht="30" customHeight="1" x14ac:dyDescent="0.2">
      <c r="A5" s="4341">
        <v>3</v>
      </c>
      <c r="B5" s="19" t="s">
        <v>285</v>
      </c>
      <c r="C5" s="4300" t="s">
        <v>359</v>
      </c>
      <c r="D5" s="4268">
        <v>36000000</v>
      </c>
      <c r="E5" s="4336">
        <v>7.0000000000000007E-2</v>
      </c>
      <c r="F5" s="4268">
        <v>2500000</v>
      </c>
      <c r="G5" s="4268">
        <v>2500000</v>
      </c>
      <c r="H5" s="4268" t="s">
        <v>6368</v>
      </c>
      <c r="I5" s="24" t="s">
        <v>2026</v>
      </c>
      <c r="J5" s="4268">
        <f>G5</f>
        <v>2500000</v>
      </c>
      <c r="K5" s="4268">
        <f>F5-J5</f>
        <v>0</v>
      </c>
      <c r="L5" s="4335"/>
    </row>
    <row r="6" spans="1:12" ht="30" customHeight="1" x14ac:dyDescent="0.2">
      <c r="A6" s="7654">
        <v>4</v>
      </c>
      <c r="B6" s="7652" t="s">
        <v>310</v>
      </c>
      <c r="C6" s="7723" t="s">
        <v>2644</v>
      </c>
      <c r="D6" s="4268">
        <v>700000000</v>
      </c>
      <c r="E6" s="4336">
        <v>6.3E-2</v>
      </c>
      <c r="F6" s="4268">
        <f>D6*E6</f>
        <v>44100000</v>
      </c>
      <c r="G6" s="8446" t="s">
        <v>6206</v>
      </c>
      <c r="H6" s="8447"/>
      <c r="I6" s="8447"/>
      <c r="J6" s="8448"/>
      <c r="K6" s="4268">
        <f>F6-J6</f>
        <v>44100000</v>
      </c>
      <c r="L6" s="29" t="s">
        <v>6211</v>
      </c>
    </row>
    <row r="7" spans="1:12" ht="30" customHeight="1" x14ac:dyDescent="0.2">
      <c r="A7" s="7656"/>
      <c r="B7" s="7665"/>
      <c r="C7" s="7747"/>
      <c r="D7" s="4546">
        <v>44000000</v>
      </c>
      <c r="E7" s="4568"/>
      <c r="F7" s="4546"/>
      <c r="G7" s="8449"/>
      <c r="H7" s="8450"/>
      <c r="I7" s="8450"/>
      <c r="J7" s="8451"/>
      <c r="K7" s="4546"/>
      <c r="L7" s="180"/>
    </row>
    <row r="8" spans="1:12" ht="30" customHeight="1" x14ac:dyDescent="0.2">
      <c r="A8" s="7656"/>
      <c r="B8" s="7665"/>
      <c r="C8" s="7747"/>
      <c r="D8" s="4546">
        <v>56000000</v>
      </c>
      <c r="E8" s="4568"/>
      <c r="F8" s="4546"/>
      <c r="G8" s="7732" t="s">
        <v>6319</v>
      </c>
      <c r="H8" s="7733"/>
      <c r="I8" s="7733"/>
      <c r="J8" s="7734"/>
      <c r="K8" s="4546"/>
      <c r="L8" s="180"/>
    </row>
    <row r="9" spans="1:12" ht="30" customHeight="1" x14ac:dyDescent="0.2">
      <c r="A9" s="7655"/>
      <c r="B9" s="7653"/>
      <c r="C9" s="7724"/>
      <c r="D9" s="4558">
        <f>SUM(D6:D8)</f>
        <v>800000000</v>
      </c>
      <c r="E9" s="4576"/>
      <c r="F9" s="4558"/>
      <c r="G9" s="4546"/>
      <c r="H9" s="4546"/>
      <c r="I9" s="24"/>
      <c r="J9" s="4546"/>
      <c r="K9" s="4546"/>
      <c r="L9" s="180"/>
    </row>
    <row r="10" spans="1:12" ht="30" customHeight="1" x14ac:dyDescent="0.2">
      <c r="A10" s="4271">
        <v>6</v>
      </c>
      <c r="B10" s="4334" t="s">
        <v>407</v>
      </c>
      <c r="C10" s="4299"/>
      <c r="D10" s="4268">
        <v>15000000</v>
      </c>
      <c r="E10" s="4336">
        <v>0.05</v>
      </c>
      <c r="F10" s="4268">
        <f t="shared" ref="F10:F23" si="1">D10*E10</f>
        <v>750000</v>
      </c>
      <c r="G10" s="4268"/>
      <c r="H10" s="4268"/>
      <c r="I10" s="24"/>
      <c r="J10" s="4268">
        <f t="shared" ref="J10:J13" si="2">G10</f>
        <v>0</v>
      </c>
      <c r="K10" s="4268">
        <f t="shared" ref="K10:K13" si="3">F10-J10</f>
        <v>750000</v>
      </c>
      <c r="L10" s="637"/>
    </row>
    <row r="11" spans="1:12" ht="30" customHeight="1" x14ac:dyDescent="0.2">
      <c r="A11" s="4271">
        <v>7</v>
      </c>
      <c r="B11" s="19" t="s">
        <v>102</v>
      </c>
      <c r="C11" s="4337" t="s">
        <v>889</v>
      </c>
      <c r="D11" s="4268">
        <v>45000000</v>
      </c>
      <c r="E11" s="4336">
        <v>0.05</v>
      </c>
      <c r="F11" s="4268">
        <f t="shared" si="1"/>
        <v>2250000</v>
      </c>
      <c r="G11" s="4268">
        <v>2250000</v>
      </c>
      <c r="H11" s="4268" t="s">
        <v>6220</v>
      </c>
      <c r="I11" s="26" t="s">
        <v>6225</v>
      </c>
      <c r="J11" s="4268">
        <f t="shared" si="2"/>
        <v>2250000</v>
      </c>
      <c r="K11" s="4268">
        <f t="shared" si="3"/>
        <v>0</v>
      </c>
      <c r="L11" s="736"/>
    </row>
    <row r="12" spans="1:12" ht="30" customHeight="1" x14ac:dyDescent="0.2">
      <c r="A12" s="4271"/>
      <c r="B12" s="4335" t="s">
        <v>349</v>
      </c>
      <c r="C12" s="4300" t="s">
        <v>1287</v>
      </c>
      <c r="D12" s="4268">
        <v>650000000</v>
      </c>
      <c r="E12" s="4274">
        <v>0.06</v>
      </c>
      <c r="F12" s="4268">
        <f t="shared" si="1"/>
        <v>39000000</v>
      </c>
      <c r="G12" s="4268">
        <v>39000000</v>
      </c>
      <c r="H12" s="4268" t="s">
        <v>6512</v>
      </c>
      <c r="I12" s="24" t="s">
        <v>3739</v>
      </c>
      <c r="J12" s="4268">
        <f>G12</f>
        <v>39000000</v>
      </c>
      <c r="K12" s="4268">
        <f>F12-J12</f>
        <v>0</v>
      </c>
      <c r="L12" s="4365" t="s">
        <v>5261</v>
      </c>
    </row>
    <row r="13" spans="1:12" ht="30" customHeight="1" x14ac:dyDescent="0.2">
      <c r="A13" s="7654">
        <v>10</v>
      </c>
      <c r="B13" s="7652" t="s">
        <v>999</v>
      </c>
      <c r="C13" s="4299" t="s">
        <v>1796</v>
      </c>
      <c r="D13" s="4268">
        <v>180000000</v>
      </c>
      <c r="E13" s="4336">
        <v>7.0000000000000007E-2</v>
      </c>
      <c r="F13" s="4268">
        <f t="shared" si="1"/>
        <v>12600000.000000002</v>
      </c>
      <c r="G13" s="4268">
        <v>12600000</v>
      </c>
      <c r="H13" s="4268" t="s">
        <v>6723</v>
      </c>
      <c r="I13" s="24" t="s">
        <v>6399</v>
      </c>
      <c r="J13" s="4268">
        <f t="shared" si="2"/>
        <v>12600000</v>
      </c>
      <c r="K13" s="4268">
        <f t="shared" si="3"/>
        <v>0</v>
      </c>
      <c r="L13" s="180"/>
    </row>
    <row r="14" spans="1:12" ht="30" customHeight="1" x14ac:dyDescent="0.2">
      <c r="A14" s="7656"/>
      <c r="B14" s="7665"/>
      <c r="C14" s="7723" t="s">
        <v>371</v>
      </c>
      <c r="D14" s="4268">
        <v>10000000</v>
      </c>
      <c r="E14" s="4336">
        <v>7.0000000000000007E-2</v>
      </c>
      <c r="F14" s="4268">
        <f>D14*E14</f>
        <v>700000.00000000012</v>
      </c>
      <c r="G14" s="7563">
        <v>5950000</v>
      </c>
      <c r="H14" s="7563" t="s">
        <v>6395</v>
      </c>
      <c r="I14" s="7657" t="s">
        <v>6399</v>
      </c>
      <c r="J14" s="7563">
        <f>G14</f>
        <v>5950000</v>
      </c>
      <c r="K14" s="4267"/>
      <c r="L14" s="180" t="s">
        <v>5186</v>
      </c>
    </row>
    <row r="15" spans="1:12" ht="30" customHeight="1" x14ac:dyDescent="0.2">
      <c r="A15" s="7656"/>
      <c r="B15" s="7665"/>
      <c r="C15" s="7747"/>
      <c r="D15" s="4268">
        <v>10000000</v>
      </c>
      <c r="E15" s="4336">
        <v>7.0000000000000007E-2</v>
      </c>
      <c r="F15" s="4268">
        <f>D15*E15</f>
        <v>700000.00000000012</v>
      </c>
      <c r="G15" s="7586"/>
      <c r="H15" s="7586"/>
      <c r="I15" s="7664"/>
      <c r="J15" s="7586"/>
      <c r="K15" s="7847">
        <f>(F20+F21)-J14</f>
        <v>0</v>
      </c>
      <c r="L15" s="180" t="s">
        <v>5187</v>
      </c>
    </row>
    <row r="16" spans="1:12" ht="30" customHeight="1" x14ac:dyDescent="0.2">
      <c r="A16" s="7656"/>
      <c r="B16" s="7665"/>
      <c r="C16" s="7747"/>
      <c r="D16" s="4268">
        <v>10000000</v>
      </c>
      <c r="E16" s="4336">
        <v>7.0000000000000007E-2</v>
      </c>
      <c r="F16" s="4268">
        <f t="shared" si="1"/>
        <v>700000.00000000012</v>
      </c>
      <c r="G16" s="7586"/>
      <c r="H16" s="7586"/>
      <c r="I16" s="7664"/>
      <c r="J16" s="7586"/>
      <c r="K16" s="7847"/>
      <c r="L16" s="180" t="s">
        <v>5184</v>
      </c>
    </row>
    <row r="17" spans="1:12" ht="30" customHeight="1" x14ac:dyDescent="0.2">
      <c r="A17" s="7656"/>
      <c r="B17" s="7665"/>
      <c r="C17" s="7747"/>
      <c r="D17" s="4268">
        <v>10000000</v>
      </c>
      <c r="E17" s="4336">
        <v>7.0000000000000007E-2</v>
      </c>
      <c r="F17" s="4268">
        <f t="shared" si="1"/>
        <v>700000.00000000012</v>
      </c>
      <c r="G17" s="7586"/>
      <c r="H17" s="7586"/>
      <c r="I17" s="7664"/>
      <c r="J17" s="7586"/>
      <c r="K17" s="7847"/>
      <c r="L17" s="180" t="s">
        <v>5185</v>
      </c>
    </row>
    <row r="18" spans="1:12" ht="30" customHeight="1" x14ac:dyDescent="0.2">
      <c r="A18" s="7656"/>
      <c r="B18" s="7665"/>
      <c r="C18" s="7747"/>
      <c r="D18" s="4268">
        <v>10000000</v>
      </c>
      <c r="E18" s="4336">
        <v>7.0000000000000007E-2</v>
      </c>
      <c r="F18" s="4268">
        <f t="shared" si="1"/>
        <v>700000.00000000012</v>
      </c>
      <c r="G18" s="7586"/>
      <c r="H18" s="7586"/>
      <c r="I18" s="7664"/>
      <c r="J18" s="7586"/>
      <c r="K18" s="7847"/>
      <c r="L18" s="180" t="s">
        <v>5188</v>
      </c>
    </row>
    <row r="19" spans="1:12" ht="30" customHeight="1" x14ac:dyDescent="0.2">
      <c r="A19" s="7656"/>
      <c r="B19" s="7665"/>
      <c r="C19" s="7747"/>
      <c r="D19" s="4268">
        <v>10000000</v>
      </c>
      <c r="E19" s="4336">
        <v>7.0000000000000007E-2</v>
      </c>
      <c r="F19" s="4268">
        <f t="shared" si="1"/>
        <v>700000.00000000012</v>
      </c>
      <c r="G19" s="7586"/>
      <c r="H19" s="7586"/>
      <c r="I19" s="7664"/>
      <c r="J19" s="7586"/>
      <c r="K19" s="7847"/>
      <c r="L19" s="180" t="s">
        <v>5189</v>
      </c>
    </row>
    <row r="20" spans="1:12" ht="30" customHeight="1" x14ac:dyDescent="0.2">
      <c r="A20" s="7655"/>
      <c r="B20" s="7653"/>
      <c r="C20" s="7747"/>
      <c r="D20" s="2653">
        <v>60000000</v>
      </c>
      <c r="E20" s="4358">
        <v>7.0000000000000007E-2</v>
      </c>
      <c r="F20" s="2653">
        <f>D20*E20</f>
        <v>4200000</v>
      </c>
      <c r="G20" s="7586"/>
      <c r="H20" s="7586"/>
      <c r="I20" s="7664"/>
      <c r="J20" s="7586"/>
      <c r="K20" s="7847"/>
      <c r="L20" s="180" t="s">
        <v>5210</v>
      </c>
    </row>
    <row r="21" spans="1:12" ht="30" customHeight="1" x14ac:dyDescent="0.2">
      <c r="A21" s="4284"/>
      <c r="B21" s="4279" t="s">
        <v>5565</v>
      </c>
      <c r="C21" s="7724"/>
      <c r="D21" s="4660">
        <v>25000000</v>
      </c>
      <c r="E21" s="896">
        <v>7.0000000000000007E-2</v>
      </c>
      <c r="F21" s="4660">
        <f>D21*E21</f>
        <v>1750000.0000000002</v>
      </c>
      <c r="G21" s="7564"/>
      <c r="H21" s="7564"/>
      <c r="I21" s="7658"/>
      <c r="J21" s="7564"/>
      <c r="K21" s="7848"/>
      <c r="L21" s="180" t="s">
        <v>5566</v>
      </c>
    </row>
    <row r="22" spans="1:12" ht="30" customHeight="1" x14ac:dyDescent="0.2">
      <c r="A22" s="7654">
        <v>11</v>
      </c>
      <c r="B22" s="7717" t="s">
        <v>393</v>
      </c>
      <c r="C22" s="7723" t="s">
        <v>359</v>
      </c>
      <c r="D22" s="4260">
        <v>15000000</v>
      </c>
      <c r="E22" s="4336">
        <v>7.0000000000000007E-2</v>
      </c>
      <c r="F22" s="4260">
        <f t="shared" si="1"/>
        <v>1050000</v>
      </c>
      <c r="G22" s="7563">
        <v>1300000</v>
      </c>
      <c r="H22" s="7563" t="s">
        <v>6386</v>
      </c>
      <c r="I22" s="8115" t="s">
        <v>394</v>
      </c>
      <c r="J22" s="7563">
        <f>G22+G23</f>
        <v>1300000</v>
      </c>
      <c r="K22" s="7563">
        <v>0</v>
      </c>
      <c r="L22" s="7713"/>
    </row>
    <row r="23" spans="1:12" ht="30" customHeight="1" x14ac:dyDescent="0.2">
      <c r="A23" s="7656"/>
      <c r="B23" s="7717"/>
      <c r="C23" s="7724"/>
      <c r="D23" s="4260">
        <v>5000000</v>
      </c>
      <c r="E23" s="4336">
        <v>0.05</v>
      </c>
      <c r="F23" s="4260">
        <f t="shared" si="1"/>
        <v>250000</v>
      </c>
      <c r="G23" s="7564"/>
      <c r="H23" s="7564"/>
      <c r="I23" s="8116"/>
      <c r="J23" s="7564"/>
      <c r="K23" s="7564"/>
      <c r="L23" s="7714"/>
    </row>
    <row r="24" spans="1:12" ht="30" customHeight="1" x14ac:dyDescent="0.2">
      <c r="A24" s="1028">
        <v>12</v>
      </c>
      <c r="B24" s="4334" t="s">
        <v>399</v>
      </c>
      <c r="C24" s="4300" t="s">
        <v>1172</v>
      </c>
      <c r="D24" s="4268">
        <v>75000000</v>
      </c>
      <c r="E24" s="4274">
        <f>F24/D24</f>
        <v>5.3333333333333337E-2</v>
      </c>
      <c r="F24" s="4268">
        <v>4000000</v>
      </c>
      <c r="G24" s="4268">
        <v>4000000</v>
      </c>
      <c r="H24" s="4268" t="s">
        <v>6251</v>
      </c>
      <c r="I24" s="52" t="s">
        <v>3728</v>
      </c>
      <c r="J24" s="4268">
        <f>G24</f>
        <v>4000000</v>
      </c>
      <c r="K24" s="4268">
        <f>F24-J24</f>
        <v>0</v>
      </c>
      <c r="L24" s="4292"/>
    </row>
    <row r="25" spans="1:12" ht="30" customHeight="1" x14ac:dyDescent="0.2">
      <c r="A25" s="4341"/>
      <c r="B25" s="19" t="s">
        <v>420</v>
      </c>
      <c r="C25" s="4337" t="s">
        <v>359</v>
      </c>
      <c r="D25" s="4260">
        <v>100000000</v>
      </c>
      <c r="E25" s="4336">
        <v>7.0000000000000007E-2</v>
      </c>
      <c r="F25" s="4260">
        <f t="shared" ref="F25:F35" si="4">D25*E25</f>
        <v>7000000.0000000009</v>
      </c>
      <c r="G25" s="1455">
        <v>7000000</v>
      </c>
      <c r="H25" s="1455" t="s">
        <v>6386</v>
      </c>
      <c r="I25" s="1455" t="s">
        <v>1946</v>
      </c>
      <c r="J25" s="4260">
        <f>G25</f>
        <v>7000000</v>
      </c>
      <c r="K25" s="4260">
        <f>F25-J25</f>
        <v>0</v>
      </c>
      <c r="L25" s="4365"/>
    </row>
    <row r="26" spans="1:12" ht="30" customHeight="1" x14ac:dyDescent="0.2">
      <c r="A26" s="4272">
        <v>14</v>
      </c>
      <c r="B26" s="4279" t="s">
        <v>428</v>
      </c>
      <c r="C26" s="4300" t="s">
        <v>1300</v>
      </c>
      <c r="D26" s="4268">
        <v>150000000</v>
      </c>
      <c r="E26" s="4274">
        <v>0.04</v>
      </c>
      <c r="F26" s="4268">
        <f t="shared" si="4"/>
        <v>6000000</v>
      </c>
      <c r="G26" s="4268">
        <v>6000000</v>
      </c>
      <c r="H26" s="4268" t="s">
        <v>4491</v>
      </c>
      <c r="I26" s="64" t="s">
        <v>4061</v>
      </c>
      <c r="J26" s="4268">
        <f t="shared" ref="J26:J36" si="5">G26</f>
        <v>6000000</v>
      </c>
      <c r="K26" s="4268">
        <f t="shared" ref="K26:K35" si="6">F26-J26</f>
        <v>0</v>
      </c>
      <c r="L26" s="4294"/>
    </row>
    <row r="27" spans="1:12" ht="30" customHeight="1" x14ac:dyDescent="0.2">
      <c r="A27" s="4272"/>
      <c r="B27" s="4279" t="s">
        <v>4726</v>
      </c>
      <c r="C27" s="4300" t="s">
        <v>1138</v>
      </c>
      <c r="D27" s="4268">
        <v>350000000</v>
      </c>
      <c r="E27" s="4274">
        <v>7.0000000000000007E-2</v>
      </c>
      <c r="F27" s="4268">
        <f t="shared" si="4"/>
        <v>24500000.000000004</v>
      </c>
      <c r="G27" s="4268">
        <v>24500000</v>
      </c>
      <c r="H27" s="4268" t="s">
        <v>6762</v>
      </c>
      <c r="I27" s="64" t="s">
        <v>4814</v>
      </c>
      <c r="J27" s="4268">
        <f>G27</f>
        <v>24500000</v>
      </c>
      <c r="K27" s="4268">
        <f>F27-J27</f>
        <v>0</v>
      </c>
      <c r="L27" s="4292"/>
    </row>
    <row r="28" spans="1:12" ht="30" customHeight="1" x14ac:dyDescent="0.2">
      <c r="A28" s="7654">
        <v>15</v>
      </c>
      <c r="B28" s="7652" t="s">
        <v>436</v>
      </c>
      <c r="C28" s="7723" t="s">
        <v>1300</v>
      </c>
      <c r="D28" s="4268">
        <v>13000000</v>
      </c>
      <c r="E28" s="4274">
        <v>0.05</v>
      </c>
      <c r="F28" s="4268">
        <f t="shared" si="4"/>
        <v>650000</v>
      </c>
      <c r="G28" s="8128" t="s">
        <v>6421</v>
      </c>
      <c r="H28" s="8129"/>
      <c r="I28" s="8129"/>
      <c r="J28" s="8130"/>
      <c r="K28" s="4268">
        <f t="shared" si="6"/>
        <v>650000</v>
      </c>
      <c r="L28" s="4292" t="s">
        <v>5705</v>
      </c>
    </row>
    <row r="29" spans="1:12" ht="30" customHeight="1" x14ac:dyDescent="0.2">
      <c r="A29" s="7655"/>
      <c r="B29" s="7653"/>
      <c r="C29" s="7724"/>
      <c r="D29" s="4671">
        <v>100000000</v>
      </c>
      <c r="E29" s="4672">
        <v>0.05</v>
      </c>
      <c r="F29" s="4671">
        <f t="shared" si="4"/>
        <v>5000000</v>
      </c>
      <c r="G29" s="4268">
        <v>5000000</v>
      </c>
      <c r="H29" s="4268" t="s">
        <v>6512</v>
      </c>
      <c r="I29" s="64" t="s">
        <v>3608</v>
      </c>
      <c r="J29" s="4268">
        <f>G29</f>
        <v>5000000</v>
      </c>
      <c r="K29" s="4268">
        <f>F29-J29</f>
        <v>0</v>
      </c>
      <c r="L29" s="4292" t="s">
        <v>5706</v>
      </c>
    </row>
    <row r="30" spans="1:12" ht="30" customHeight="1" x14ac:dyDescent="0.2">
      <c r="A30" s="4341">
        <v>16</v>
      </c>
      <c r="B30" s="19" t="s">
        <v>487</v>
      </c>
      <c r="C30" s="4337" t="s">
        <v>889</v>
      </c>
      <c r="D30" s="4260">
        <v>80000000</v>
      </c>
      <c r="E30" s="4336">
        <v>0.04</v>
      </c>
      <c r="F30" s="4260">
        <f t="shared" si="4"/>
        <v>3200000</v>
      </c>
      <c r="G30" s="4679">
        <v>3200000</v>
      </c>
      <c r="H30" s="4260" t="s">
        <v>6220</v>
      </c>
      <c r="I30" s="4361" t="s">
        <v>4000</v>
      </c>
      <c r="J30" s="4260">
        <f t="shared" si="5"/>
        <v>3200000</v>
      </c>
      <c r="K30" s="4260">
        <f t="shared" si="6"/>
        <v>0</v>
      </c>
      <c r="L30" s="4381"/>
    </row>
    <row r="31" spans="1:12" ht="30" customHeight="1" x14ac:dyDescent="0.2">
      <c r="A31" s="7654">
        <v>17</v>
      </c>
      <c r="B31" s="7652" t="s">
        <v>747</v>
      </c>
      <c r="C31" s="7723" t="s">
        <v>1289</v>
      </c>
      <c r="D31" s="4268">
        <v>100000000</v>
      </c>
      <c r="E31" s="4274">
        <v>0.06</v>
      </c>
      <c r="F31" s="4268">
        <f t="shared" si="4"/>
        <v>6000000</v>
      </c>
      <c r="G31" s="7563">
        <v>9000000</v>
      </c>
      <c r="H31" s="7563" t="s">
        <v>6435</v>
      </c>
      <c r="I31" s="7762" t="s">
        <v>6436</v>
      </c>
      <c r="J31" s="7563">
        <f>G31</f>
        <v>9000000</v>
      </c>
      <c r="K31" s="7563">
        <f>F34-J31</f>
        <v>0</v>
      </c>
      <c r="L31" s="4294"/>
    </row>
    <row r="32" spans="1:12" ht="30" customHeight="1" x14ac:dyDescent="0.2">
      <c r="A32" s="7656"/>
      <c r="B32" s="7665"/>
      <c r="C32" s="7747"/>
      <c r="D32" s="4268">
        <v>6000000</v>
      </c>
      <c r="E32" s="4274">
        <v>0.06</v>
      </c>
      <c r="F32" s="4268">
        <f t="shared" si="4"/>
        <v>360000</v>
      </c>
      <c r="G32" s="7586"/>
      <c r="H32" s="7586"/>
      <c r="I32" s="8114"/>
      <c r="J32" s="7586"/>
      <c r="K32" s="7586"/>
      <c r="L32" s="4294"/>
    </row>
    <row r="33" spans="1:14" ht="30" customHeight="1" x14ac:dyDescent="0.2">
      <c r="A33" s="7656"/>
      <c r="B33" s="7665"/>
      <c r="C33" s="7747"/>
      <c r="D33" s="4268">
        <v>44000000</v>
      </c>
      <c r="E33" s="4274">
        <v>0.06</v>
      </c>
      <c r="F33" s="4268">
        <f t="shared" si="4"/>
        <v>2640000</v>
      </c>
      <c r="G33" s="7586"/>
      <c r="H33" s="7586"/>
      <c r="I33" s="8114"/>
      <c r="J33" s="7586"/>
      <c r="K33" s="7586"/>
      <c r="L33" s="4292" t="s">
        <v>5637</v>
      </c>
    </row>
    <row r="34" spans="1:14" ht="30" customHeight="1" x14ac:dyDescent="0.2">
      <c r="A34" s="7655"/>
      <c r="B34" s="7653"/>
      <c r="C34" s="7724"/>
      <c r="D34" s="4283">
        <f>SUM(D31:D33)</f>
        <v>150000000</v>
      </c>
      <c r="E34" s="4296">
        <v>0.06</v>
      </c>
      <c r="F34" s="4283">
        <f>D34*E34</f>
        <v>9000000</v>
      </c>
      <c r="G34" s="7564"/>
      <c r="H34" s="7564"/>
      <c r="I34" s="7763"/>
      <c r="J34" s="7564"/>
      <c r="K34" s="7564"/>
      <c r="L34" s="4294"/>
    </row>
    <row r="35" spans="1:14" ht="30" customHeight="1" x14ac:dyDescent="0.2">
      <c r="A35" s="4272">
        <v>18</v>
      </c>
      <c r="B35" s="4279" t="s">
        <v>554</v>
      </c>
      <c r="C35" s="4300" t="s">
        <v>1300</v>
      </c>
      <c r="D35" s="4268">
        <v>50000000</v>
      </c>
      <c r="E35" s="4274">
        <v>0.05</v>
      </c>
      <c r="F35" s="4268">
        <f t="shared" si="4"/>
        <v>2500000</v>
      </c>
      <c r="G35" s="4268">
        <v>2500000</v>
      </c>
      <c r="H35" s="4268" t="s">
        <v>6512</v>
      </c>
      <c r="I35" s="64" t="s">
        <v>4471</v>
      </c>
      <c r="J35" s="4268">
        <f t="shared" si="5"/>
        <v>2500000</v>
      </c>
      <c r="K35" s="4268">
        <f t="shared" si="6"/>
        <v>0</v>
      </c>
      <c r="L35" s="4294"/>
    </row>
    <row r="36" spans="1:14" ht="30" customHeight="1" x14ac:dyDescent="0.2">
      <c r="A36" s="7879">
        <v>19</v>
      </c>
      <c r="B36" s="7652" t="s">
        <v>560</v>
      </c>
      <c r="C36" s="7723" t="s">
        <v>1300</v>
      </c>
      <c r="D36" s="4268">
        <v>50000000</v>
      </c>
      <c r="E36" s="7659">
        <f>F36/(D36+D37)</f>
        <v>0.05</v>
      </c>
      <c r="F36" s="7563">
        <v>3250000</v>
      </c>
      <c r="G36" s="7563">
        <v>4750000</v>
      </c>
      <c r="H36" s="7563" t="s">
        <v>4491</v>
      </c>
      <c r="I36" s="7762" t="s">
        <v>4401</v>
      </c>
      <c r="J36" s="7563">
        <f t="shared" si="5"/>
        <v>4750000</v>
      </c>
      <c r="K36" s="7563">
        <f>(F36+F38)-G36</f>
        <v>0</v>
      </c>
      <c r="L36" s="4316"/>
    </row>
    <row r="37" spans="1:14" ht="30" customHeight="1" x14ac:dyDescent="0.2">
      <c r="A37" s="7879"/>
      <c r="B37" s="7665"/>
      <c r="C37" s="7747"/>
      <c r="D37" s="4268">
        <v>15000000</v>
      </c>
      <c r="E37" s="7660"/>
      <c r="F37" s="7564"/>
      <c r="G37" s="7586"/>
      <c r="H37" s="7586"/>
      <c r="I37" s="8114"/>
      <c r="J37" s="7586"/>
      <c r="K37" s="7586"/>
      <c r="L37" s="4316"/>
    </row>
    <row r="38" spans="1:14" ht="30" customHeight="1" x14ac:dyDescent="0.2">
      <c r="A38" s="7879"/>
      <c r="B38" s="7653"/>
      <c r="C38" s="7724"/>
      <c r="D38" s="4268">
        <v>30000000</v>
      </c>
      <c r="E38" s="4274">
        <v>0.05</v>
      </c>
      <c r="F38" s="4268">
        <f>E38*D38</f>
        <v>1500000</v>
      </c>
      <c r="G38" s="7564"/>
      <c r="H38" s="7564"/>
      <c r="I38" s="7763"/>
      <c r="J38" s="7564"/>
      <c r="K38" s="7564"/>
      <c r="L38" s="4316"/>
    </row>
    <row r="39" spans="1:14" ht="30" customHeight="1" x14ac:dyDescent="0.2">
      <c r="A39" s="4686">
        <v>22</v>
      </c>
      <c r="B39" s="4687" t="s">
        <v>658</v>
      </c>
      <c r="C39" s="4688" t="s">
        <v>1287</v>
      </c>
      <c r="D39" s="4679">
        <v>300000000</v>
      </c>
      <c r="E39" s="4685">
        <v>0.05</v>
      </c>
      <c r="F39" s="4679">
        <f>D39*E39</f>
        <v>15000000</v>
      </c>
      <c r="G39" s="4680">
        <v>10000000</v>
      </c>
      <c r="H39" s="4680" t="s">
        <v>6435</v>
      </c>
      <c r="I39" s="4680" t="s">
        <v>6438</v>
      </c>
      <c r="J39" s="4680">
        <f>G39</f>
        <v>10000000</v>
      </c>
      <c r="K39" s="4260"/>
      <c r="L39" s="4365" t="s">
        <v>5730</v>
      </c>
    </row>
    <row r="40" spans="1:14" ht="30" customHeight="1" x14ac:dyDescent="0.2">
      <c r="A40" s="1028">
        <v>23</v>
      </c>
      <c r="B40" s="19" t="s">
        <v>2121</v>
      </c>
      <c r="C40" s="4337" t="s">
        <v>3390</v>
      </c>
      <c r="D40" s="4268">
        <v>150000000</v>
      </c>
      <c r="E40" s="4274">
        <v>7.0000000000000007E-2</v>
      </c>
      <c r="F40" s="4268">
        <f>D40*E40</f>
        <v>10500000.000000002</v>
      </c>
      <c r="G40" s="4268">
        <v>10500000</v>
      </c>
      <c r="H40" s="4308" t="s">
        <v>6440</v>
      </c>
      <c r="I40" s="64" t="s">
        <v>3704</v>
      </c>
      <c r="J40" s="4260">
        <f>G40</f>
        <v>10500000</v>
      </c>
      <c r="K40" s="4260">
        <f>F40-G40</f>
        <v>0</v>
      </c>
      <c r="L40" s="637"/>
    </row>
    <row r="41" spans="1:14" ht="30" customHeight="1" x14ac:dyDescent="0.2">
      <c r="A41" s="1028"/>
      <c r="B41" s="19" t="s">
        <v>3618</v>
      </c>
      <c r="C41" s="4337" t="s">
        <v>3390</v>
      </c>
      <c r="D41" s="4268">
        <v>70000000</v>
      </c>
      <c r="E41" s="4274">
        <v>0.06</v>
      </c>
      <c r="F41" s="4268">
        <f>D41*E41</f>
        <v>4200000</v>
      </c>
      <c r="G41" s="4268">
        <v>4200000</v>
      </c>
      <c r="H41" s="4308" t="s">
        <v>6440</v>
      </c>
      <c r="I41" s="64" t="s">
        <v>3705</v>
      </c>
      <c r="J41" s="4260">
        <f>G41</f>
        <v>4200000</v>
      </c>
      <c r="K41" s="4268">
        <v>0</v>
      </c>
      <c r="L41" s="29"/>
    </row>
    <row r="42" spans="1:14" ht="30" customHeight="1" x14ac:dyDescent="0.2">
      <c r="A42" s="7879">
        <v>25</v>
      </c>
      <c r="B42" s="7717" t="s">
        <v>718</v>
      </c>
      <c r="C42" s="7873" t="s">
        <v>1296</v>
      </c>
      <c r="D42" s="4260">
        <v>35000000</v>
      </c>
      <c r="E42" s="4336">
        <v>5.8000000000000003E-2</v>
      </c>
      <c r="F42" s="4260">
        <v>2000000</v>
      </c>
      <c r="G42" s="7563">
        <v>3500000</v>
      </c>
      <c r="H42" s="7563" t="s">
        <v>6594</v>
      </c>
      <c r="I42" s="7762" t="s">
        <v>4135</v>
      </c>
      <c r="J42" s="7563">
        <f>G42</f>
        <v>3500000</v>
      </c>
      <c r="K42" s="7563">
        <f>F44-J42</f>
        <v>0</v>
      </c>
      <c r="L42" s="4292" t="s">
        <v>5773</v>
      </c>
      <c r="M42" s="366"/>
      <c r="N42" s="366"/>
    </row>
    <row r="43" spans="1:14" ht="30" customHeight="1" x14ac:dyDescent="0.2">
      <c r="A43" s="7879"/>
      <c r="B43" s="7717"/>
      <c r="C43" s="7873"/>
      <c r="D43" s="4260">
        <v>25000000</v>
      </c>
      <c r="E43" s="4336">
        <v>0.06</v>
      </c>
      <c r="F43" s="4260">
        <f>D43*E43</f>
        <v>1500000</v>
      </c>
      <c r="G43" s="7586"/>
      <c r="H43" s="7586"/>
      <c r="I43" s="8114"/>
      <c r="J43" s="7586"/>
      <c r="K43" s="7586"/>
      <c r="L43" s="4316" t="s">
        <v>6214</v>
      </c>
      <c r="M43" s="366"/>
      <c r="N43" s="366"/>
    </row>
    <row r="44" spans="1:14" ht="30" customHeight="1" x14ac:dyDescent="0.2">
      <c r="A44" s="7654"/>
      <c r="B44" s="7652"/>
      <c r="C44" s="7723"/>
      <c r="D44" s="4470">
        <v>60000000</v>
      </c>
      <c r="E44" s="4471">
        <v>5.8000000000000003E-2</v>
      </c>
      <c r="F44" s="4470">
        <v>3500000</v>
      </c>
      <c r="G44" s="7564"/>
      <c r="H44" s="7564"/>
      <c r="I44" s="7763"/>
      <c r="J44" s="7564"/>
      <c r="K44" s="7564"/>
      <c r="L44" s="4316" t="s">
        <v>6108</v>
      </c>
      <c r="M44" s="366"/>
      <c r="N44" s="366"/>
    </row>
    <row r="45" spans="1:14" ht="30" customHeight="1" x14ac:dyDescent="0.2">
      <c r="A45" s="7879"/>
      <c r="B45" s="7717" t="s">
        <v>6215</v>
      </c>
      <c r="C45" s="7873"/>
      <c r="D45" s="7482">
        <v>30000000</v>
      </c>
      <c r="E45" s="7870">
        <v>0.05</v>
      </c>
      <c r="F45" s="7482">
        <f>D45*E45</f>
        <v>1500000</v>
      </c>
      <c r="G45" s="4543"/>
      <c r="H45" s="4543"/>
      <c r="I45" s="4543"/>
      <c r="J45" s="4543"/>
      <c r="K45" s="4543"/>
      <c r="L45" s="4572" t="s">
        <v>6216</v>
      </c>
      <c r="M45" s="366"/>
      <c r="N45" s="366"/>
    </row>
    <row r="46" spans="1:14" ht="30" customHeight="1" x14ac:dyDescent="0.2">
      <c r="A46" s="7879"/>
      <c r="B46" s="7717"/>
      <c r="C46" s="7873"/>
      <c r="D46" s="7482"/>
      <c r="E46" s="7870"/>
      <c r="F46" s="7482"/>
      <c r="G46" s="4543"/>
      <c r="H46" s="4543"/>
      <c r="I46" s="4543"/>
      <c r="J46" s="4543"/>
      <c r="K46" s="4543"/>
      <c r="L46" s="4572" t="s">
        <v>6370</v>
      </c>
      <c r="M46" s="366"/>
      <c r="N46" s="366"/>
    </row>
    <row r="47" spans="1:14" ht="30" customHeight="1" x14ac:dyDescent="0.2">
      <c r="A47" s="4284"/>
      <c r="B47" s="4287" t="s">
        <v>803</v>
      </c>
      <c r="C47" s="4301" t="s">
        <v>359</v>
      </c>
      <c r="D47" s="4267">
        <v>700000000</v>
      </c>
      <c r="E47" s="4285">
        <v>0.05</v>
      </c>
      <c r="F47" s="4267">
        <f t="shared" ref="F47:F60" si="7">D47*E47</f>
        <v>35000000</v>
      </c>
      <c r="G47" s="4443">
        <v>35000000</v>
      </c>
      <c r="H47" s="4443" t="s">
        <v>6368</v>
      </c>
      <c r="I47" s="4443" t="s">
        <v>3156</v>
      </c>
      <c r="J47" s="4443">
        <f>G47</f>
        <v>35000000</v>
      </c>
      <c r="K47" s="4267">
        <f>F47-J47</f>
        <v>0</v>
      </c>
      <c r="L47" s="29"/>
      <c r="M47" s="366"/>
      <c r="N47" s="366"/>
    </row>
    <row r="48" spans="1:14" ht="30" customHeight="1" x14ac:dyDescent="0.2">
      <c r="A48" s="7654">
        <v>27</v>
      </c>
      <c r="B48" s="7652" t="s">
        <v>807</v>
      </c>
      <c r="C48" s="7723" t="s">
        <v>1299</v>
      </c>
      <c r="D48" s="4266">
        <v>500000000</v>
      </c>
      <c r="E48" s="4273">
        <v>7.0000000000000007E-2</v>
      </c>
      <c r="F48" s="4266">
        <f t="shared" si="7"/>
        <v>35000000</v>
      </c>
      <c r="G48" s="7563">
        <v>45500000</v>
      </c>
      <c r="H48" s="7563" t="s">
        <v>3634</v>
      </c>
      <c r="I48" s="7762" t="s">
        <v>3034</v>
      </c>
      <c r="J48" s="7563">
        <f t="shared" ref="J48:J57" si="8">G48</f>
        <v>45500000</v>
      </c>
      <c r="K48" s="7563">
        <f>F51-J48</f>
        <v>0</v>
      </c>
      <c r="L48" s="736" t="s">
        <v>5582</v>
      </c>
      <c r="M48" s="366"/>
      <c r="N48" s="366"/>
    </row>
    <row r="49" spans="1:14" ht="30" customHeight="1" x14ac:dyDescent="0.2">
      <c r="A49" s="7656"/>
      <c r="B49" s="7665"/>
      <c r="C49" s="7747"/>
      <c r="D49" s="4280">
        <v>500000000</v>
      </c>
      <c r="E49" s="4289">
        <v>0.05</v>
      </c>
      <c r="F49" s="4280">
        <f>D49*E49</f>
        <v>25000000</v>
      </c>
      <c r="G49" s="7586"/>
      <c r="H49" s="7586"/>
      <c r="I49" s="8114"/>
      <c r="J49" s="7586"/>
      <c r="K49" s="7586"/>
      <c r="L49" s="736" t="s">
        <v>5583</v>
      </c>
      <c r="M49" s="366"/>
      <c r="N49" s="366"/>
    </row>
    <row r="50" spans="1:14" ht="30" customHeight="1" x14ac:dyDescent="0.2">
      <c r="A50" s="7656"/>
      <c r="B50" s="7665"/>
      <c r="C50" s="7747"/>
      <c r="D50" s="4266">
        <v>150000000</v>
      </c>
      <c r="E50" s="4273">
        <v>7.0000000000000007E-2</v>
      </c>
      <c r="F50" s="4266">
        <f>D50*E50</f>
        <v>10500000.000000002</v>
      </c>
      <c r="G50" s="7586"/>
      <c r="H50" s="7586"/>
      <c r="I50" s="8114"/>
      <c r="J50" s="7586"/>
      <c r="K50" s="7586"/>
      <c r="L50" s="736" t="s">
        <v>5584</v>
      </c>
      <c r="M50" s="366"/>
      <c r="N50" s="366"/>
    </row>
    <row r="51" spans="1:14" ht="30" customHeight="1" x14ac:dyDescent="0.2">
      <c r="A51" s="7655"/>
      <c r="B51" s="7653"/>
      <c r="C51" s="7724"/>
      <c r="D51" s="4356">
        <f>D48+D50</f>
        <v>650000000</v>
      </c>
      <c r="E51" s="4358">
        <v>7.0000000000000007E-2</v>
      </c>
      <c r="F51" s="4356">
        <f>D51*E51</f>
        <v>45500000.000000007</v>
      </c>
      <c r="G51" s="7564"/>
      <c r="H51" s="7564"/>
      <c r="I51" s="7763"/>
      <c r="J51" s="7564"/>
      <c r="K51" s="7564"/>
      <c r="L51" s="736"/>
      <c r="M51" s="366"/>
      <c r="N51" s="366"/>
    </row>
    <row r="52" spans="1:14" ht="30" customHeight="1" x14ac:dyDescent="0.2">
      <c r="A52" s="7654"/>
      <c r="B52" s="7652" t="s">
        <v>3369</v>
      </c>
      <c r="C52" s="7723" t="s">
        <v>1299</v>
      </c>
      <c r="D52" s="7482">
        <v>700000000</v>
      </c>
      <c r="E52" s="7870">
        <v>0.06</v>
      </c>
      <c r="F52" s="7482">
        <f t="shared" si="7"/>
        <v>42000000</v>
      </c>
      <c r="G52" s="4260"/>
      <c r="H52" s="4260"/>
      <c r="I52" s="4260" t="s">
        <v>821</v>
      </c>
      <c r="J52" s="4260">
        <f>G52</f>
        <v>0</v>
      </c>
      <c r="K52" s="4260"/>
      <c r="L52" s="4292" t="s">
        <v>5196</v>
      </c>
      <c r="M52" s="366"/>
      <c r="N52" s="366"/>
    </row>
    <row r="53" spans="1:14" ht="30" customHeight="1" x14ac:dyDescent="0.2">
      <c r="A53" s="7656"/>
      <c r="B53" s="7665"/>
      <c r="C53" s="7747"/>
      <c r="D53" s="7482"/>
      <c r="E53" s="7870"/>
      <c r="F53" s="7482"/>
      <c r="G53" s="4268">
        <v>5000000</v>
      </c>
      <c r="H53" s="4308" t="s">
        <v>6192</v>
      </c>
      <c r="I53" s="4440" t="s">
        <v>821</v>
      </c>
      <c r="J53" s="7482">
        <f>G53+G54</f>
        <v>42000000</v>
      </c>
      <c r="K53" s="7563">
        <f>F52-J53</f>
        <v>0</v>
      </c>
      <c r="L53" s="7713"/>
      <c r="M53" s="366"/>
      <c r="N53" s="366"/>
    </row>
    <row r="54" spans="1:14" ht="30" customHeight="1" x14ac:dyDescent="0.2">
      <c r="A54" s="7656"/>
      <c r="B54" s="7665"/>
      <c r="C54" s="7747"/>
      <c r="D54" s="7482"/>
      <c r="E54" s="7870"/>
      <c r="F54" s="7482"/>
      <c r="G54" s="4268">
        <v>37000000</v>
      </c>
      <c r="H54" s="4308" t="s">
        <v>6512</v>
      </c>
      <c r="I54" s="233" t="s">
        <v>820</v>
      </c>
      <c r="J54" s="7482"/>
      <c r="K54" s="7564"/>
      <c r="L54" s="7714"/>
      <c r="M54" s="366"/>
      <c r="N54" s="366"/>
    </row>
    <row r="55" spans="1:14" ht="30" customHeight="1" x14ac:dyDescent="0.2">
      <c r="A55" s="4297">
        <v>29</v>
      </c>
      <c r="B55" s="4334" t="s">
        <v>839</v>
      </c>
      <c r="C55" s="4299" t="s">
        <v>1306</v>
      </c>
      <c r="D55" s="4267">
        <v>42000000</v>
      </c>
      <c r="E55" s="4285">
        <v>7.0000000000000007E-2</v>
      </c>
      <c r="F55" s="4267">
        <f t="shared" si="7"/>
        <v>2940000.0000000005</v>
      </c>
      <c r="G55" s="4267">
        <v>2940000</v>
      </c>
      <c r="H55" s="4340" t="s">
        <v>6622</v>
      </c>
      <c r="I55" s="1537" t="s">
        <v>5851</v>
      </c>
      <c r="J55" s="4267">
        <f t="shared" si="8"/>
        <v>2940000</v>
      </c>
      <c r="K55" s="4267">
        <f t="shared" ref="K55:K57" si="9">F55-J55</f>
        <v>0</v>
      </c>
      <c r="L55" s="4316"/>
      <c r="M55" s="366"/>
      <c r="N55" s="366"/>
    </row>
    <row r="56" spans="1:14" s="1539" customFormat="1" ht="30" customHeight="1" x14ac:dyDescent="0.2">
      <c r="A56" s="4805">
        <v>30</v>
      </c>
      <c r="B56" s="4786" t="s">
        <v>843</v>
      </c>
      <c r="C56" s="4803" t="s">
        <v>1107</v>
      </c>
      <c r="D56" s="4768">
        <v>40000000</v>
      </c>
      <c r="E56" s="4802">
        <v>0.05</v>
      </c>
      <c r="F56" s="4768">
        <f t="shared" si="7"/>
        <v>2000000</v>
      </c>
      <c r="G56" s="4768">
        <v>2000000</v>
      </c>
      <c r="H56" s="4768" t="s">
        <v>6577</v>
      </c>
      <c r="I56" s="4809" t="s">
        <v>3105</v>
      </c>
      <c r="J56" s="4768">
        <f>G56</f>
        <v>2000000</v>
      </c>
      <c r="K56" s="4768">
        <f>F56-J56</f>
        <v>0</v>
      </c>
      <c r="L56" s="736"/>
      <c r="M56" s="9"/>
      <c r="N56" s="9"/>
    </row>
    <row r="57" spans="1:14" ht="30" customHeight="1" x14ac:dyDescent="0.2">
      <c r="A57" s="4271">
        <v>31</v>
      </c>
      <c r="B57" s="4334" t="s">
        <v>915</v>
      </c>
      <c r="C57" s="4299" t="s">
        <v>1107</v>
      </c>
      <c r="D57" s="4260">
        <v>100000000</v>
      </c>
      <c r="E57" s="4336">
        <v>7.0000000000000007E-2</v>
      </c>
      <c r="F57" s="4260">
        <f t="shared" si="7"/>
        <v>7000000.0000000009</v>
      </c>
      <c r="G57" s="4268">
        <v>7000000</v>
      </c>
      <c r="H57" s="4308" t="s">
        <v>6622</v>
      </c>
      <c r="I57" s="64" t="s">
        <v>3195</v>
      </c>
      <c r="J57" s="4266">
        <f t="shared" si="8"/>
        <v>7000000</v>
      </c>
      <c r="K57" s="4266">
        <f t="shared" si="9"/>
        <v>0</v>
      </c>
      <c r="L57" s="4293"/>
      <c r="M57" s="366"/>
      <c r="N57" s="366"/>
    </row>
    <row r="58" spans="1:14" ht="30" customHeight="1" x14ac:dyDescent="0.2">
      <c r="A58" s="7654">
        <v>32</v>
      </c>
      <c r="B58" s="7652" t="s">
        <v>982</v>
      </c>
      <c r="C58" s="7723" t="s">
        <v>1306</v>
      </c>
      <c r="D58" s="4268">
        <v>100000000</v>
      </c>
      <c r="E58" s="4274">
        <v>0.05</v>
      </c>
      <c r="F58" s="4268">
        <f t="shared" si="7"/>
        <v>5000000</v>
      </c>
      <c r="G58" s="7563">
        <v>8850000</v>
      </c>
      <c r="H58" s="7563" t="s">
        <v>6125</v>
      </c>
      <c r="I58" s="7762" t="s">
        <v>2986</v>
      </c>
      <c r="J58" s="7563">
        <f>G58</f>
        <v>8850000</v>
      </c>
      <c r="K58" s="7563">
        <f>(F58+F59+F60)-J58</f>
        <v>0</v>
      </c>
      <c r="L58" s="8430" t="s">
        <v>4906</v>
      </c>
      <c r="M58" s="366"/>
      <c r="N58" s="366"/>
    </row>
    <row r="59" spans="1:14" ht="30" customHeight="1" x14ac:dyDescent="0.2">
      <c r="A59" s="7656"/>
      <c r="B59" s="7665"/>
      <c r="C59" s="7747"/>
      <c r="D59" s="4268">
        <v>35000000</v>
      </c>
      <c r="E59" s="4274">
        <v>7.0000000000000007E-2</v>
      </c>
      <c r="F59" s="4268">
        <f t="shared" si="7"/>
        <v>2450000.0000000005</v>
      </c>
      <c r="G59" s="7586"/>
      <c r="H59" s="7586"/>
      <c r="I59" s="8114"/>
      <c r="J59" s="7586"/>
      <c r="K59" s="7586"/>
      <c r="L59" s="8431"/>
      <c r="M59" s="366"/>
      <c r="N59" s="366"/>
    </row>
    <row r="60" spans="1:14" ht="30" customHeight="1" x14ac:dyDescent="0.2">
      <c r="A60" s="7656"/>
      <c r="B60" s="7665"/>
      <c r="C60" s="7747"/>
      <c r="D60" s="4260">
        <v>20000000</v>
      </c>
      <c r="E60" s="4336">
        <v>7.0000000000000007E-2</v>
      </c>
      <c r="F60" s="4260">
        <f t="shared" si="7"/>
        <v>1400000.0000000002</v>
      </c>
      <c r="G60" s="7564"/>
      <c r="H60" s="7564"/>
      <c r="I60" s="7763"/>
      <c r="J60" s="7564"/>
      <c r="K60" s="7564"/>
      <c r="L60" s="8432"/>
      <c r="M60" s="1662"/>
      <c r="N60" s="1604"/>
    </row>
    <row r="61" spans="1:14" ht="30" customHeight="1" x14ac:dyDescent="0.2">
      <c r="A61" s="7655"/>
      <c r="B61" s="7653"/>
      <c r="C61" s="7724"/>
      <c r="D61" s="7470" t="s">
        <v>5482</v>
      </c>
      <c r="E61" s="7493"/>
      <c r="F61" s="7510"/>
      <c r="G61" s="4869">
        <v>8850000</v>
      </c>
      <c r="H61" s="4869" t="s">
        <v>6693</v>
      </c>
      <c r="I61" s="64" t="s">
        <v>2986</v>
      </c>
      <c r="J61" s="4869">
        <f>G61</f>
        <v>8850000</v>
      </c>
      <c r="K61" s="4869">
        <f>(F58+F59+F60)-J61</f>
        <v>0</v>
      </c>
      <c r="L61" s="4913" t="s">
        <v>5482</v>
      </c>
      <c r="M61" s="248"/>
      <c r="N61" s="248"/>
    </row>
    <row r="62" spans="1:14" ht="30" customHeight="1" x14ac:dyDescent="0.2">
      <c r="A62" s="4272">
        <v>33</v>
      </c>
      <c r="B62" s="4279" t="s">
        <v>993</v>
      </c>
      <c r="C62" s="4300" t="s">
        <v>1287</v>
      </c>
      <c r="D62" s="4268">
        <v>63580000</v>
      </c>
      <c r="E62" s="4274">
        <v>7.0000000000000007E-2</v>
      </c>
      <c r="F62" s="4268">
        <v>4450000</v>
      </c>
      <c r="G62" s="4268">
        <v>4450000</v>
      </c>
      <c r="H62" s="4268" t="s">
        <v>6408</v>
      </c>
      <c r="I62" s="64" t="s">
        <v>2986</v>
      </c>
      <c r="J62" s="4268">
        <f>G62</f>
        <v>4450000</v>
      </c>
      <c r="K62" s="4268">
        <f t="shared" ref="K62:K73" si="10">F62-J62</f>
        <v>0</v>
      </c>
      <c r="L62" s="4292"/>
      <c r="M62" s="366"/>
      <c r="N62" s="366"/>
    </row>
    <row r="63" spans="1:14" ht="30" customHeight="1" x14ac:dyDescent="0.2">
      <c r="A63" s="4272">
        <v>34</v>
      </c>
      <c r="B63" s="4287" t="s">
        <v>1110</v>
      </c>
      <c r="C63" s="4300" t="s">
        <v>1306</v>
      </c>
      <c r="D63" s="4268">
        <v>20000000</v>
      </c>
      <c r="E63" s="4274">
        <v>0.04</v>
      </c>
      <c r="F63" s="4268">
        <f t="shared" ref="F63:F68" si="11">D63*E63</f>
        <v>800000</v>
      </c>
      <c r="G63" s="4268">
        <v>800000</v>
      </c>
      <c r="H63" s="4268" t="s">
        <v>6622</v>
      </c>
      <c r="I63" s="64" t="s">
        <v>1112</v>
      </c>
      <c r="J63" s="4268">
        <f>G63</f>
        <v>800000</v>
      </c>
      <c r="K63" s="4268">
        <f t="shared" si="10"/>
        <v>0</v>
      </c>
      <c r="L63" s="4292"/>
      <c r="M63" s="366"/>
      <c r="N63" s="366"/>
    </row>
    <row r="64" spans="1:14" ht="30" customHeight="1" x14ac:dyDescent="0.2">
      <c r="A64" s="4341">
        <v>35</v>
      </c>
      <c r="B64" s="19" t="s">
        <v>1150</v>
      </c>
      <c r="C64" s="4337" t="s">
        <v>1138</v>
      </c>
      <c r="D64" s="4260">
        <v>175000000</v>
      </c>
      <c r="E64" s="4336">
        <v>0.06</v>
      </c>
      <c r="F64" s="4260">
        <f t="shared" si="11"/>
        <v>10500000</v>
      </c>
      <c r="G64" s="4260">
        <v>10500000</v>
      </c>
      <c r="H64" s="4260" t="s">
        <v>6759</v>
      </c>
      <c r="I64" s="4260" t="s">
        <v>1720</v>
      </c>
      <c r="J64" s="4260">
        <f>G64</f>
        <v>10500000</v>
      </c>
      <c r="K64" s="4260">
        <f>F64-J64</f>
        <v>0</v>
      </c>
      <c r="L64" s="4365"/>
      <c r="M64" s="366"/>
      <c r="N64" s="366"/>
    </row>
    <row r="65" spans="1:14" ht="30" customHeight="1" x14ac:dyDescent="0.2">
      <c r="A65" s="7654">
        <v>36</v>
      </c>
      <c r="B65" s="7652" t="s">
        <v>3370</v>
      </c>
      <c r="C65" s="7723" t="s">
        <v>1081</v>
      </c>
      <c r="D65" s="4768">
        <v>50000000</v>
      </c>
      <c r="E65" s="4802">
        <v>7.0000000000000007E-2</v>
      </c>
      <c r="F65" s="4768">
        <f t="shared" si="11"/>
        <v>3500000.0000000005</v>
      </c>
      <c r="G65" s="8285" t="s">
        <v>6206</v>
      </c>
      <c r="H65" s="8286"/>
      <c r="I65" s="8286"/>
      <c r="J65" s="8287"/>
      <c r="K65" s="7482">
        <f>(F65+F66+F67)-J65</f>
        <v>17500000.000000004</v>
      </c>
      <c r="L65" s="4810"/>
      <c r="M65" s="366"/>
      <c r="N65" s="366"/>
    </row>
    <row r="66" spans="1:14" ht="30" customHeight="1" x14ac:dyDescent="0.2">
      <c r="A66" s="7656"/>
      <c r="B66" s="7665"/>
      <c r="C66" s="7747"/>
      <c r="D66" s="4768">
        <v>40000000</v>
      </c>
      <c r="E66" s="4802">
        <v>7.0000000000000007E-2</v>
      </c>
      <c r="F66" s="4768">
        <f t="shared" si="11"/>
        <v>2800000.0000000005</v>
      </c>
      <c r="G66" s="8443"/>
      <c r="H66" s="8444"/>
      <c r="I66" s="8444"/>
      <c r="J66" s="8445"/>
      <c r="K66" s="7482"/>
      <c r="L66" s="4810"/>
      <c r="M66" s="366"/>
      <c r="N66" s="366"/>
    </row>
    <row r="67" spans="1:14" ht="30" customHeight="1" x14ac:dyDescent="0.2">
      <c r="A67" s="7656"/>
      <c r="B67" s="7665"/>
      <c r="C67" s="7747"/>
      <c r="D67" s="4768">
        <v>160000000</v>
      </c>
      <c r="E67" s="4802">
        <v>7.0000000000000007E-2</v>
      </c>
      <c r="F67" s="4768">
        <f t="shared" si="11"/>
        <v>11200000.000000002</v>
      </c>
      <c r="G67" s="8288"/>
      <c r="H67" s="8289"/>
      <c r="I67" s="8289"/>
      <c r="J67" s="8290"/>
      <c r="K67" s="7482"/>
      <c r="L67" s="4810"/>
      <c r="M67" s="366"/>
      <c r="N67" s="366"/>
    </row>
    <row r="68" spans="1:14" ht="30" customHeight="1" x14ac:dyDescent="0.2">
      <c r="A68" s="7655"/>
      <c r="B68" s="7653"/>
      <c r="C68" s="7724"/>
      <c r="D68" s="5235">
        <v>100000000</v>
      </c>
      <c r="E68" s="5238">
        <v>7.0000000000000007E-2</v>
      </c>
      <c r="F68" s="5235">
        <f t="shared" si="11"/>
        <v>7000000.0000000009</v>
      </c>
      <c r="G68" s="7732" t="s">
        <v>6886</v>
      </c>
      <c r="H68" s="7733"/>
      <c r="I68" s="7733"/>
      <c r="J68" s="7734"/>
      <c r="K68" s="5235"/>
      <c r="L68" s="5263" t="s">
        <v>6885</v>
      </c>
      <c r="M68" s="366"/>
      <c r="N68" s="366"/>
    </row>
    <row r="69" spans="1:14" ht="30" customHeight="1" x14ac:dyDescent="0.2">
      <c r="A69" s="4778"/>
      <c r="B69" s="4779" t="s">
        <v>4965</v>
      </c>
      <c r="C69" s="4788" t="s">
        <v>3216</v>
      </c>
      <c r="D69" s="4774">
        <v>20000000</v>
      </c>
      <c r="E69" s="4776">
        <v>0.05</v>
      </c>
      <c r="F69" s="4774">
        <f>D69*E69</f>
        <v>1000000</v>
      </c>
      <c r="G69" s="4774">
        <v>1000000</v>
      </c>
      <c r="H69" s="4774" t="s">
        <v>6577</v>
      </c>
      <c r="I69" s="4791" t="s">
        <v>6580</v>
      </c>
      <c r="J69" s="4774">
        <f>G69</f>
        <v>1000000</v>
      </c>
      <c r="K69" s="4774">
        <f>F69-J69</f>
        <v>0</v>
      </c>
      <c r="L69" s="4784"/>
      <c r="M69" s="366"/>
      <c r="N69" s="366"/>
    </row>
    <row r="70" spans="1:14" ht="30" customHeight="1" x14ac:dyDescent="0.2">
      <c r="A70" s="4272">
        <v>38</v>
      </c>
      <c r="B70" s="4278" t="s">
        <v>1254</v>
      </c>
      <c r="C70" s="4300"/>
      <c r="D70" s="298"/>
      <c r="E70" s="299"/>
      <c r="F70" s="298"/>
      <c r="G70" s="4268"/>
      <c r="H70" s="4268"/>
      <c r="I70" s="64"/>
      <c r="J70" s="4268"/>
      <c r="K70" s="4281">
        <f t="shared" si="10"/>
        <v>0</v>
      </c>
      <c r="L70" s="4292"/>
    </row>
    <row r="71" spans="1:14" ht="30" customHeight="1" x14ac:dyDescent="0.2">
      <c r="A71" s="4272">
        <v>39</v>
      </c>
      <c r="B71" s="4278" t="s">
        <v>1213</v>
      </c>
      <c r="C71" s="4300" t="s">
        <v>4105</v>
      </c>
      <c r="D71" s="4690">
        <v>100000000</v>
      </c>
      <c r="E71" s="300">
        <v>0.05</v>
      </c>
      <c r="F71" s="4690">
        <f>D71*E71</f>
        <v>5000000</v>
      </c>
      <c r="G71" s="4680">
        <v>5000000</v>
      </c>
      <c r="H71" s="4680" t="s">
        <v>6512</v>
      </c>
      <c r="I71" s="64" t="s">
        <v>6530</v>
      </c>
      <c r="J71" s="4680">
        <f>G71</f>
        <v>5000000</v>
      </c>
      <c r="K71" s="4680">
        <f t="shared" si="10"/>
        <v>0</v>
      </c>
      <c r="L71" s="4292" t="s">
        <v>6432</v>
      </c>
    </row>
    <row r="72" spans="1:14" ht="30" customHeight="1" x14ac:dyDescent="0.2">
      <c r="A72" s="4272">
        <v>40</v>
      </c>
      <c r="B72" s="4278" t="s">
        <v>1265</v>
      </c>
      <c r="C72" s="4300" t="s">
        <v>1289</v>
      </c>
      <c r="D72" s="4347">
        <v>16000000</v>
      </c>
      <c r="E72" s="300">
        <v>0.05</v>
      </c>
      <c r="F72" s="4347">
        <f>D72*E72</f>
        <v>800000</v>
      </c>
      <c r="G72" s="4268">
        <v>800000</v>
      </c>
      <c r="H72" s="4268" t="s">
        <v>6440</v>
      </c>
      <c r="I72" s="64" t="s">
        <v>1268</v>
      </c>
      <c r="J72" s="4268">
        <f>G72</f>
        <v>800000</v>
      </c>
      <c r="K72" s="4268">
        <f t="shared" si="10"/>
        <v>0</v>
      </c>
      <c r="L72" s="4292"/>
    </row>
    <row r="73" spans="1:14" ht="30" customHeight="1" x14ac:dyDescent="0.2">
      <c r="A73" s="4272">
        <v>41</v>
      </c>
      <c r="B73" s="4278" t="s">
        <v>1285</v>
      </c>
      <c r="C73" s="4300"/>
      <c r="D73" s="298"/>
      <c r="E73" s="299"/>
      <c r="F73" s="298"/>
      <c r="G73" s="4268"/>
      <c r="H73" s="4268"/>
      <c r="I73" s="64"/>
      <c r="J73" s="4268"/>
      <c r="K73" s="4281">
        <f t="shared" si="10"/>
        <v>0</v>
      </c>
      <c r="L73" s="4292"/>
    </row>
    <row r="74" spans="1:14" ht="30" customHeight="1" x14ac:dyDescent="0.2">
      <c r="A74" s="4272">
        <v>42</v>
      </c>
      <c r="B74" s="4334" t="s">
        <v>183</v>
      </c>
      <c r="C74" s="4300"/>
      <c r="D74" s="4268">
        <v>60000000</v>
      </c>
      <c r="E74" s="4336">
        <v>0.05</v>
      </c>
      <c r="F74" s="4268">
        <f t="shared" ref="F74:F232" si="12">D74*E74</f>
        <v>3000000</v>
      </c>
      <c r="G74" s="8433" t="s">
        <v>5636</v>
      </c>
      <c r="H74" s="8434"/>
      <c r="I74" s="8434"/>
      <c r="J74" s="8435"/>
      <c r="K74" s="7563">
        <f>(F74+F75)-J74</f>
        <v>3500000</v>
      </c>
      <c r="L74" s="7757" t="s">
        <v>6162</v>
      </c>
    </row>
    <row r="75" spans="1:14" ht="30" customHeight="1" x14ac:dyDescent="0.2">
      <c r="A75" s="7654">
        <v>43</v>
      </c>
      <c r="B75" s="7652" t="s">
        <v>1079</v>
      </c>
      <c r="C75" s="7723"/>
      <c r="D75" s="4268">
        <v>10000000</v>
      </c>
      <c r="E75" s="4336">
        <v>0.05</v>
      </c>
      <c r="F75" s="4268">
        <f>D75*E75</f>
        <v>500000</v>
      </c>
      <c r="G75" s="8436"/>
      <c r="H75" s="8437"/>
      <c r="I75" s="8437"/>
      <c r="J75" s="8438"/>
      <c r="K75" s="7564"/>
      <c r="L75" s="8037"/>
    </row>
    <row r="76" spans="1:14" ht="30" customHeight="1" x14ac:dyDescent="0.2">
      <c r="A76" s="7656"/>
      <c r="B76" s="7665"/>
      <c r="C76" s="7747"/>
      <c r="D76" s="4404">
        <v>3500000</v>
      </c>
      <c r="E76" s="4424"/>
      <c r="F76" s="4404"/>
      <c r="G76" s="8439"/>
      <c r="H76" s="8440"/>
      <c r="I76" s="8440"/>
      <c r="J76" s="8441"/>
      <c r="K76" s="4404"/>
      <c r="L76" s="7757" t="s">
        <v>6154</v>
      </c>
    </row>
    <row r="77" spans="1:14" ht="30" customHeight="1" x14ac:dyDescent="0.2">
      <c r="A77" s="7656"/>
      <c r="B77" s="7665"/>
      <c r="C77" s="7747"/>
      <c r="D77" s="4404">
        <v>36500000</v>
      </c>
      <c r="E77" s="4424"/>
      <c r="F77" s="4404"/>
      <c r="G77" s="8231" t="s">
        <v>6161</v>
      </c>
      <c r="H77" s="8232"/>
      <c r="I77" s="8232"/>
      <c r="J77" s="8233"/>
      <c r="K77" s="4404"/>
      <c r="L77" s="7758"/>
    </row>
    <row r="78" spans="1:14" ht="30" customHeight="1" x14ac:dyDescent="0.2">
      <c r="A78" s="7655"/>
      <c r="B78" s="7653"/>
      <c r="C78" s="7724"/>
      <c r="D78" s="4410">
        <v>110000000</v>
      </c>
      <c r="E78" s="4439">
        <v>5.5E-2</v>
      </c>
      <c r="F78" s="4410">
        <f>D78*E78</f>
        <v>6050000</v>
      </c>
      <c r="G78" s="4404"/>
      <c r="H78" s="4404"/>
      <c r="I78" s="4415"/>
      <c r="J78" s="4404"/>
      <c r="K78" s="4404"/>
      <c r="L78" s="4438" t="s">
        <v>6154</v>
      </c>
    </row>
    <row r="79" spans="1:14" ht="30" customHeight="1" x14ac:dyDescent="0.2">
      <c r="A79" s="4272">
        <v>44</v>
      </c>
      <c r="B79" s="4338" t="s">
        <v>184</v>
      </c>
      <c r="C79" s="4300" t="s">
        <v>889</v>
      </c>
      <c r="D79" s="4268">
        <v>150000000</v>
      </c>
      <c r="E79" s="4336">
        <v>0.05</v>
      </c>
      <c r="F79" s="4268">
        <f t="shared" si="12"/>
        <v>7500000</v>
      </c>
      <c r="G79" s="4268">
        <v>7500000</v>
      </c>
      <c r="H79" s="4268" t="s">
        <v>6192</v>
      </c>
      <c r="I79" s="4260" t="s">
        <v>1339</v>
      </c>
      <c r="J79" s="4584">
        <f>G79</f>
        <v>7500000</v>
      </c>
      <c r="K79" s="4268">
        <f>F79-J79</f>
        <v>0</v>
      </c>
      <c r="L79" s="4338"/>
    </row>
    <row r="80" spans="1:14" ht="30" customHeight="1" x14ac:dyDescent="0.2">
      <c r="A80" s="7654">
        <v>45</v>
      </c>
      <c r="B80" s="7652" t="s">
        <v>185</v>
      </c>
      <c r="C80" s="7723" t="s">
        <v>1295</v>
      </c>
      <c r="D80" s="4260">
        <v>1590000000</v>
      </c>
      <c r="E80" s="4336">
        <v>7.0000000000000007E-2</v>
      </c>
      <c r="F80" s="4260">
        <f t="shared" ref="F80:F86" si="13">D80*E80</f>
        <v>111300000.00000001</v>
      </c>
      <c r="G80" s="4478">
        <v>55610000</v>
      </c>
      <c r="H80" s="4400" t="s">
        <v>6251</v>
      </c>
      <c r="I80" s="4422" t="s">
        <v>2696</v>
      </c>
      <c r="J80" s="7563">
        <f>G80+G81+G82</f>
        <v>155610000</v>
      </c>
      <c r="K80" s="7563"/>
      <c r="L80" s="8442" t="s">
        <v>5482</v>
      </c>
    </row>
    <row r="81" spans="1:12" ht="30" customHeight="1" x14ac:dyDescent="0.2">
      <c r="A81" s="7656"/>
      <c r="B81" s="7665"/>
      <c r="C81" s="7747"/>
      <c r="D81" s="4266">
        <f>D80+100000000</f>
        <v>1690000000</v>
      </c>
      <c r="E81" s="4273">
        <v>7.0000000000000007E-2</v>
      </c>
      <c r="F81" s="4266">
        <f t="shared" si="13"/>
        <v>118300000.00000001</v>
      </c>
      <c r="G81" s="4478">
        <v>50000000</v>
      </c>
      <c r="H81" s="4400" t="s">
        <v>3807</v>
      </c>
      <c r="I81" s="4422" t="s">
        <v>2805</v>
      </c>
      <c r="J81" s="7586"/>
      <c r="K81" s="7586"/>
      <c r="L81" s="8442"/>
    </row>
    <row r="82" spans="1:12" ht="30" customHeight="1" x14ac:dyDescent="0.2">
      <c r="A82" s="7656"/>
      <c r="B82" s="7665"/>
      <c r="C82" s="7747"/>
      <c r="D82" s="4266">
        <v>400000000</v>
      </c>
      <c r="E82" s="4273">
        <v>7.0000000000000007E-2</v>
      </c>
      <c r="F82" s="4266">
        <f t="shared" si="13"/>
        <v>28000000.000000004</v>
      </c>
      <c r="G82" s="4478">
        <v>50000000</v>
      </c>
      <c r="H82" s="4400" t="s">
        <v>6354</v>
      </c>
      <c r="I82" s="4422" t="s">
        <v>2805</v>
      </c>
      <c r="J82" s="7564"/>
      <c r="K82" s="7564"/>
      <c r="L82" s="8442"/>
    </row>
    <row r="83" spans="1:12" ht="30" customHeight="1" x14ac:dyDescent="0.2">
      <c r="A83" s="7656"/>
      <c r="B83" s="7665"/>
      <c r="C83" s="7747"/>
      <c r="D83" s="4356">
        <f>D81+D82</f>
        <v>2090000000</v>
      </c>
      <c r="E83" s="4358">
        <v>7.0000000000000007E-2</v>
      </c>
      <c r="F83" s="4356">
        <f t="shared" si="13"/>
        <v>146300000</v>
      </c>
      <c r="G83" s="4478"/>
      <c r="H83" s="4400"/>
      <c r="I83" s="4422"/>
      <c r="J83" s="4400"/>
      <c r="K83" s="4400"/>
      <c r="L83" s="4329"/>
    </row>
    <row r="84" spans="1:12" ht="30" customHeight="1" x14ac:dyDescent="0.2">
      <c r="A84" s="7656"/>
      <c r="B84" s="7665"/>
      <c r="C84" s="7747"/>
      <c r="D84" s="4266">
        <v>96300000</v>
      </c>
      <c r="E84" s="4273">
        <v>7.0000000000000007E-2</v>
      </c>
      <c r="F84" s="4266">
        <f t="shared" si="13"/>
        <v>6741000.0000000009</v>
      </c>
      <c r="G84" s="4478"/>
      <c r="H84" s="4395"/>
      <c r="I84" s="4395"/>
      <c r="J84" s="4395"/>
      <c r="K84" s="4267"/>
      <c r="L84" s="4387" t="s">
        <v>6124</v>
      </c>
    </row>
    <row r="85" spans="1:12" ht="30" customHeight="1" x14ac:dyDescent="0.2">
      <c r="A85" s="7656"/>
      <c r="B85" s="7665"/>
      <c r="C85" s="7747"/>
      <c r="D85" s="4402">
        <v>23700000</v>
      </c>
      <c r="E85" s="4406"/>
      <c r="F85" s="4402"/>
      <c r="G85" s="4478"/>
      <c r="H85" s="4400"/>
      <c r="I85" s="4400"/>
      <c r="J85" s="4400"/>
      <c r="K85" s="4403"/>
      <c r="L85" s="4438" t="s">
        <v>6155</v>
      </c>
    </row>
    <row r="86" spans="1:12" ht="30" customHeight="1" x14ac:dyDescent="0.2">
      <c r="A86" s="7656"/>
      <c r="B86" s="7665"/>
      <c r="C86" s="7747"/>
      <c r="D86" s="4398">
        <f>D83+D84+D85</f>
        <v>2210000000</v>
      </c>
      <c r="E86" s="4399">
        <v>7.0000000000000007E-2</v>
      </c>
      <c r="F86" s="4398">
        <f t="shared" si="13"/>
        <v>154700000</v>
      </c>
      <c r="G86" s="7732" t="s">
        <v>6355</v>
      </c>
      <c r="H86" s="7733"/>
      <c r="I86" s="7733"/>
      <c r="J86" s="7734"/>
      <c r="K86" s="4397"/>
      <c r="L86" s="4438" t="s">
        <v>5594</v>
      </c>
    </row>
    <row r="87" spans="1:12" ht="30" customHeight="1" x14ac:dyDescent="0.2">
      <c r="A87" s="7656"/>
      <c r="B87" s="7665"/>
      <c r="C87" s="7747"/>
      <c r="D87" s="7563">
        <v>30000000</v>
      </c>
      <c r="E87" s="7659">
        <v>7.0000000000000007E-2</v>
      </c>
      <c r="F87" s="7563">
        <f>D87*E87</f>
        <v>2100000</v>
      </c>
      <c r="G87" s="7991" t="s">
        <v>6250</v>
      </c>
      <c r="H87" s="7992"/>
      <c r="I87" s="7992"/>
      <c r="J87" s="7993"/>
      <c r="K87" s="4403"/>
      <c r="L87" s="4438" t="s">
        <v>5633</v>
      </c>
    </row>
    <row r="88" spans="1:12" ht="30" customHeight="1" x14ac:dyDescent="0.2">
      <c r="A88" s="7656"/>
      <c r="B88" s="7665"/>
      <c r="C88" s="7747"/>
      <c r="D88" s="7564"/>
      <c r="E88" s="7660"/>
      <c r="F88" s="7564"/>
      <c r="G88" s="7997"/>
      <c r="H88" s="7998"/>
      <c r="I88" s="7998"/>
      <c r="J88" s="7999"/>
      <c r="K88" s="4267"/>
      <c r="L88" s="4438" t="s">
        <v>5641</v>
      </c>
    </row>
    <row r="89" spans="1:12" ht="30" customHeight="1" x14ac:dyDescent="0.2">
      <c r="A89" s="7656"/>
      <c r="B89" s="7665"/>
      <c r="C89" s="7747"/>
      <c r="D89" s="4402">
        <v>15000000</v>
      </c>
      <c r="E89" s="4273">
        <v>7.0000000000000007E-2</v>
      </c>
      <c r="F89" s="4266">
        <f>D89*E89</f>
        <v>1050000</v>
      </c>
      <c r="G89" s="233"/>
      <c r="H89" s="233"/>
      <c r="I89" s="233"/>
      <c r="J89" s="233"/>
      <c r="K89" s="4267"/>
      <c r="L89" s="4438" t="s">
        <v>6080</v>
      </c>
    </row>
    <row r="90" spans="1:12" ht="30" customHeight="1" x14ac:dyDescent="0.2">
      <c r="A90" s="7656"/>
      <c r="B90" s="7665"/>
      <c r="C90" s="7747"/>
      <c r="D90" s="4402">
        <v>5000000</v>
      </c>
      <c r="E90" s="4406">
        <v>7.0000000000000007E-2</v>
      </c>
      <c r="F90" s="4402">
        <f t="shared" ref="F90:F91" si="14">D90*E90</f>
        <v>350000.00000000006</v>
      </c>
      <c r="G90" s="233"/>
      <c r="H90" s="233"/>
      <c r="I90" s="233"/>
      <c r="J90" s="233"/>
      <c r="K90" s="4267"/>
      <c r="L90" s="4438" t="s">
        <v>6157</v>
      </c>
    </row>
    <row r="91" spans="1:12" ht="30" customHeight="1" x14ac:dyDescent="0.2">
      <c r="A91" s="7656"/>
      <c r="B91" s="7665"/>
      <c r="C91" s="7747"/>
      <c r="D91" s="4266">
        <v>10000000</v>
      </c>
      <c r="E91" s="4273">
        <v>7.0000000000000007E-2</v>
      </c>
      <c r="F91" s="4402">
        <f t="shared" si="14"/>
        <v>700000.00000000012</v>
      </c>
      <c r="G91" s="4400"/>
      <c r="H91" s="4400"/>
      <c r="I91" s="4400"/>
      <c r="J91" s="4400"/>
      <c r="K91" s="4267"/>
      <c r="L91" s="4438" t="s">
        <v>6156</v>
      </c>
    </row>
    <row r="92" spans="1:12" ht="30" customHeight="1" x14ac:dyDescent="0.2">
      <c r="A92" s="7655"/>
      <c r="B92" s="7653"/>
      <c r="C92" s="7724"/>
      <c r="D92" s="4433">
        <f>D86+D87+D89+D90+D91</f>
        <v>2270000000</v>
      </c>
      <c r="E92" s="4435">
        <v>7.0000000000000007E-2</v>
      </c>
      <c r="F92" s="4433">
        <f>F86+F87+F89+F90+F91</f>
        <v>158900000</v>
      </c>
      <c r="G92" s="4400"/>
      <c r="H92" s="4400"/>
      <c r="I92" s="4400"/>
      <c r="J92" s="4400"/>
      <c r="K92" s="4403"/>
      <c r="L92" s="4438" t="s">
        <v>6249</v>
      </c>
    </row>
    <row r="93" spans="1:12" ht="30" customHeight="1" x14ac:dyDescent="0.2">
      <c r="A93" s="7654">
        <v>46</v>
      </c>
      <c r="B93" s="7652" t="s">
        <v>186</v>
      </c>
      <c r="C93" s="7723" t="s">
        <v>4105</v>
      </c>
      <c r="D93" s="5270">
        <v>1000000000</v>
      </c>
      <c r="E93" s="5275">
        <v>0.09</v>
      </c>
      <c r="F93" s="5270">
        <f>D93*E93</f>
        <v>90000000</v>
      </c>
      <c r="G93" s="5273"/>
      <c r="H93" s="5273"/>
      <c r="I93" s="5273"/>
      <c r="J93" s="5273"/>
      <c r="K93" s="5270"/>
      <c r="L93" s="4418" t="s">
        <v>6928</v>
      </c>
    </row>
    <row r="94" spans="1:12" ht="30" customHeight="1" x14ac:dyDescent="0.2">
      <c r="A94" s="7655"/>
      <c r="B94" s="7653"/>
      <c r="C94" s="7724"/>
      <c r="D94" s="5270">
        <v>240000000</v>
      </c>
      <c r="E94" s="5275"/>
      <c r="F94" s="5270"/>
      <c r="G94" s="7954" t="s">
        <v>6927</v>
      </c>
      <c r="H94" s="7955"/>
      <c r="I94" s="7955"/>
      <c r="J94" s="7956"/>
      <c r="K94" s="5270"/>
      <c r="L94" s="5283"/>
    </row>
    <row r="95" spans="1:12" ht="30" customHeight="1" x14ac:dyDescent="0.2">
      <c r="A95" s="1028">
        <v>47</v>
      </c>
      <c r="B95" s="4426" t="s">
        <v>187</v>
      </c>
      <c r="C95" s="4425" t="s">
        <v>1080</v>
      </c>
      <c r="D95" s="4400">
        <v>20000000</v>
      </c>
      <c r="E95" s="4424">
        <v>0.05</v>
      </c>
      <c r="F95" s="4400">
        <f t="shared" si="12"/>
        <v>1000000</v>
      </c>
      <c r="G95" s="4400">
        <v>1000000</v>
      </c>
      <c r="H95" s="4400" t="s">
        <v>6125</v>
      </c>
      <c r="I95" s="4429" t="s">
        <v>4309</v>
      </c>
      <c r="J95" s="4400">
        <f>G95</f>
        <v>1000000</v>
      </c>
      <c r="K95" s="4400">
        <f>F95-J95</f>
        <v>0</v>
      </c>
      <c r="L95" s="1661" t="s">
        <v>4906</v>
      </c>
    </row>
    <row r="96" spans="1:12" ht="30" customHeight="1" x14ac:dyDescent="0.2">
      <c r="A96" s="7654">
        <v>48</v>
      </c>
      <c r="B96" s="7652" t="s">
        <v>1615</v>
      </c>
      <c r="C96" s="7723" t="s">
        <v>2849</v>
      </c>
      <c r="D96" s="4260">
        <v>100000000</v>
      </c>
      <c r="E96" s="4336">
        <v>0.05</v>
      </c>
      <c r="F96" s="4260">
        <f t="shared" si="12"/>
        <v>5000000</v>
      </c>
      <c r="G96" s="7563">
        <v>24000000</v>
      </c>
      <c r="H96" s="7563" t="s">
        <v>4491</v>
      </c>
      <c r="I96" s="7748" t="s">
        <v>6419</v>
      </c>
      <c r="J96" s="7563">
        <f>G96</f>
        <v>24000000</v>
      </c>
      <c r="K96" s="8180">
        <f>F97-J96</f>
        <v>0</v>
      </c>
      <c r="L96" s="4365" t="s">
        <v>5579</v>
      </c>
    </row>
    <row r="97" spans="1:12" ht="30" customHeight="1" x14ac:dyDescent="0.2">
      <c r="A97" s="7655"/>
      <c r="B97" s="7653"/>
      <c r="C97" s="7724"/>
      <c r="D97" s="4374">
        <v>400000000</v>
      </c>
      <c r="E97" s="896">
        <v>0.06</v>
      </c>
      <c r="F97" s="4374">
        <f>D97*E97</f>
        <v>24000000</v>
      </c>
      <c r="G97" s="7564"/>
      <c r="H97" s="7564"/>
      <c r="I97" s="7749"/>
      <c r="J97" s="7564"/>
      <c r="K97" s="7562"/>
      <c r="L97" s="4291" t="s">
        <v>5578</v>
      </c>
    </row>
    <row r="98" spans="1:12" ht="30" customHeight="1" x14ac:dyDescent="0.2">
      <c r="A98" s="1028">
        <v>49</v>
      </c>
      <c r="B98" s="19" t="s">
        <v>189</v>
      </c>
      <c r="C98" s="4337" t="s">
        <v>1295</v>
      </c>
      <c r="D98" s="4260">
        <v>230000000</v>
      </c>
      <c r="E98" s="4336">
        <v>0.05</v>
      </c>
      <c r="F98" s="4260">
        <f t="shared" si="12"/>
        <v>11500000</v>
      </c>
      <c r="G98" s="4260">
        <v>11500000</v>
      </c>
      <c r="H98" s="4260" t="s">
        <v>6220</v>
      </c>
      <c r="I98" s="4333" t="s">
        <v>1052</v>
      </c>
      <c r="J98" s="4260">
        <f>G98</f>
        <v>11500000</v>
      </c>
      <c r="K98" s="4260">
        <f>F98-J98</f>
        <v>0</v>
      </c>
      <c r="L98" s="4387"/>
    </row>
    <row r="99" spans="1:12" ht="30" customHeight="1" x14ac:dyDescent="0.2">
      <c r="A99" s="7654">
        <v>50</v>
      </c>
      <c r="B99" s="7652" t="s">
        <v>190</v>
      </c>
      <c r="C99" s="7723" t="s">
        <v>889</v>
      </c>
      <c r="D99" s="7563">
        <v>350000000</v>
      </c>
      <c r="E99" s="7659">
        <v>0.05</v>
      </c>
      <c r="F99" s="7563">
        <f t="shared" si="12"/>
        <v>17500000</v>
      </c>
      <c r="G99" s="7732" t="s">
        <v>5349</v>
      </c>
      <c r="H99" s="7733"/>
      <c r="I99" s="7733"/>
      <c r="J99" s="7733"/>
      <c r="K99" s="7734"/>
      <c r="L99" s="4365"/>
    </row>
    <row r="100" spans="1:12" ht="30" customHeight="1" x14ac:dyDescent="0.2">
      <c r="A100" s="7655"/>
      <c r="B100" s="7653"/>
      <c r="C100" s="7724"/>
      <c r="D100" s="7564"/>
      <c r="E100" s="7660"/>
      <c r="F100" s="7564"/>
      <c r="G100" s="4260">
        <v>17000000</v>
      </c>
      <c r="H100" s="4260" t="s">
        <v>6125</v>
      </c>
      <c r="I100" s="4260" t="s">
        <v>1054</v>
      </c>
      <c r="J100" s="4260">
        <f>G100</f>
        <v>17000000</v>
      </c>
      <c r="K100" s="4260">
        <f>F99-J100</f>
        <v>500000</v>
      </c>
      <c r="L100" s="4387"/>
    </row>
    <row r="101" spans="1:12" ht="30" customHeight="1" x14ac:dyDescent="0.2">
      <c r="A101" s="4459">
        <v>51</v>
      </c>
      <c r="B101" s="4460" t="s">
        <v>191</v>
      </c>
      <c r="C101" s="4461" t="s">
        <v>889</v>
      </c>
      <c r="D101" s="4440">
        <v>260000000</v>
      </c>
      <c r="E101" s="4458">
        <f>F101/D101</f>
        <v>5.5769230769230772E-2</v>
      </c>
      <c r="F101" s="4440">
        <v>14500000</v>
      </c>
      <c r="G101" s="4260">
        <v>14500000</v>
      </c>
      <c r="H101" s="4260" t="s">
        <v>6152</v>
      </c>
      <c r="I101" s="4260" t="s">
        <v>3500</v>
      </c>
      <c r="J101" s="4260">
        <f>G101</f>
        <v>14500000</v>
      </c>
      <c r="K101" s="4260">
        <f>F101-J101</f>
        <v>0</v>
      </c>
      <c r="L101" s="1388"/>
    </row>
    <row r="102" spans="1:12" ht="30" customHeight="1" x14ac:dyDescent="0.2">
      <c r="A102" s="8123"/>
      <c r="B102" s="7652" t="s">
        <v>192</v>
      </c>
      <c r="C102" s="7723" t="s">
        <v>889</v>
      </c>
      <c r="D102" s="4266">
        <v>100000000</v>
      </c>
      <c r="E102" s="4273">
        <v>7.0000000000000007E-2</v>
      </c>
      <c r="F102" s="4266">
        <f>D102*E102</f>
        <v>7000000.0000000009</v>
      </c>
      <c r="G102" s="7563">
        <v>9500000</v>
      </c>
      <c r="H102" s="7563" t="s">
        <v>6152</v>
      </c>
      <c r="I102" s="7563" t="s">
        <v>2540</v>
      </c>
      <c r="J102" s="7563">
        <f>G102</f>
        <v>9500000</v>
      </c>
      <c r="K102" s="7563">
        <f>(F102+F103+F104)-J102</f>
        <v>0</v>
      </c>
      <c r="L102" s="7757"/>
    </row>
    <row r="103" spans="1:12" ht="30" customHeight="1" x14ac:dyDescent="0.2">
      <c r="A103" s="8200"/>
      <c r="B103" s="7665"/>
      <c r="C103" s="7747"/>
      <c r="D103" s="4266">
        <v>49500000</v>
      </c>
      <c r="E103" s="4273">
        <v>0.05</v>
      </c>
      <c r="F103" s="4266">
        <f>D103*E103</f>
        <v>2475000</v>
      </c>
      <c r="G103" s="7586"/>
      <c r="H103" s="7586"/>
      <c r="I103" s="7586"/>
      <c r="J103" s="7586"/>
      <c r="K103" s="7586"/>
      <c r="L103" s="8037"/>
    </row>
    <row r="104" spans="1:12" ht="30" customHeight="1" x14ac:dyDescent="0.2">
      <c r="A104" s="8124"/>
      <c r="B104" s="7653"/>
      <c r="C104" s="7724"/>
      <c r="D104" s="4266">
        <v>500000</v>
      </c>
      <c r="E104" s="4273">
        <v>0.05</v>
      </c>
      <c r="F104" s="4266">
        <f>D104*E104</f>
        <v>25000</v>
      </c>
      <c r="G104" s="7564"/>
      <c r="H104" s="7564"/>
      <c r="I104" s="7564"/>
      <c r="J104" s="7564"/>
      <c r="K104" s="7564"/>
      <c r="L104" s="4304"/>
    </row>
    <row r="105" spans="1:12" ht="30" customHeight="1" x14ac:dyDescent="0.2">
      <c r="A105" s="7654"/>
      <c r="B105" s="7652" t="s">
        <v>193</v>
      </c>
      <c r="C105" s="7723" t="s">
        <v>1287</v>
      </c>
      <c r="D105" s="7563">
        <v>850000000</v>
      </c>
      <c r="E105" s="7659">
        <v>7.0000000000000007E-2</v>
      </c>
      <c r="F105" s="7563">
        <f>D105*E105</f>
        <v>59500000.000000007</v>
      </c>
      <c r="G105" s="4260">
        <v>30000000</v>
      </c>
      <c r="H105" s="4260" t="s">
        <v>6512</v>
      </c>
      <c r="I105" s="4260" t="s">
        <v>6520</v>
      </c>
      <c r="J105" s="7563">
        <f>G105+G106+G107</f>
        <v>71333000</v>
      </c>
      <c r="K105" s="7482"/>
      <c r="L105" s="1388" t="s">
        <v>3725</v>
      </c>
    </row>
    <row r="106" spans="1:12" ht="30" customHeight="1" x14ac:dyDescent="0.2">
      <c r="A106" s="7656"/>
      <c r="B106" s="7665"/>
      <c r="C106" s="7747"/>
      <c r="D106" s="7564"/>
      <c r="E106" s="7660"/>
      <c r="F106" s="7564"/>
      <c r="G106" s="4260">
        <v>18000000</v>
      </c>
      <c r="H106" s="4260" t="s">
        <v>3634</v>
      </c>
      <c r="I106" s="4768" t="s">
        <v>6520</v>
      </c>
      <c r="J106" s="7586"/>
      <c r="K106" s="7482"/>
      <c r="L106" s="4387" t="s">
        <v>4488</v>
      </c>
    </row>
    <row r="107" spans="1:12" ht="30" customHeight="1" x14ac:dyDescent="0.2">
      <c r="A107" s="7656"/>
      <c r="B107" s="7665"/>
      <c r="C107" s="7747"/>
      <c r="D107" s="7470" t="s">
        <v>6087</v>
      </c>
      <c r="E107" s="7510"/>
      <c r="F107" s="4268">
        <v>2000000</v>
      </c>
      <c r="G107" s="4260">
        <v>23333000</v>
      </c>
      <c r="H107" s="4260" t="s">
        <v>6577</v>
      </c>
      <c r="I107" s="4260" t="s">
        <v>5017</v>
      </c>
      <c r="J107" s="7564"/>
      <c r="K107" s="7482"/>
      <c r="L107" s="4387" t="s">
        <v>6007</v>
      </c>
    </row>
    <row r="108" spans="1:12" ht="30" customHeight="1" x14ac:dyDescent="0.2">
      <c r="A108" s="7656"/>
      <c r="B108" s="7665"/>
      <c r="C108" s="7747"/>
      <c r="D108" s="4268">
        <v>200000000</v>
      </c>
      <c r="E108" s="4274">
        <v>7.0000000000000007E-2</v>
      </c>
      <c r="F108" s="4268">
        <f>D108*E108</f>
        <v>14000000.000000002</v>
      </c>
      <c r="G108" s="233"/>
      <c r="H108" s="233"/>
      <c r="I108" s="233"/>
      <c r="J108" s="233"/>
      <c r="K108" s="4267"/>
      <c r="L108" s="4387" t="s">
        <v>6070</v>
      </c>
    </row>
    <row r="109" spans="1:12" ht="30" customHeight="1" x14ac:dyDescent="0.2">
      <c r="A109" s="7655"/>
      <c r="B109" s="7653"/>
      <c r="C109" s="7724"/>
      <c r="D109" s="4283">
        <f>D105+D108</f>
        <v>1050000000</v>
      </c>
      <c r="E109" s="4296">
        <v>7.0000000000000007E-2</v>
      </c>
      <c r="F109" s="4283">
        <f>D109*E109</f>
        <v>73500000</v>
      </c>
      <c r="G109" s="4260"/>
      <c r="H109" s="4260"/>
      <c r="I109" s="4260"/>
      <c r="J109" s="4260"/>
      <c r="K109" s="4267"/>
      <c r="L109" s="4387" t="s">
        <v>6109</v>
      </c>
    </row>
    <row r="110" spans="1:12" ht="30" customHeight="1" x14ac:dyDescent="0.2">
      <c r="A110" s="7654">
        <v>54</v>
      </c>
      <c r="B110" s="7652" t="s">
        <v>1060</v>
      </c>
      <c r="C110" s="7723"/>
      <c r="D110" s="4268">
        <v>35000000</v>
      </c>
      <c r="E110" s="4274">
        <v>7.1999999999999995E-2</v>
      </c>
      <c r="F110" s="4268">
        <v>2500000</v>
      </c>
      <c r="G110" s="7924">
        <v>3500000</v>
      </c>
      <c r="H110" s="7924" t="s">
        <v>6192</v>
      </c>
      <c r="I110" s="7926" t="s">
        <v>3412</v>
      </c>
      <c r="J110" s="7924">
        <f>G110</f>
        <v>3500000</v>
      </c>
      <c r="K110" s="7924">
        <f>(F110+F111)-J110</f>
        <v>0</v>
      </c>
      <c r="L110" s="7703"/>
    </row>
    <row r="111" spans="1:12" ht="30" customHeight="1" x14ac:dyDescent="0.2">
      <c r="A111" s="7656"/>
      <c r="B111" s="7653"/>
      <c r="C111" s="7724"/>
      <c r="D111" s="4268">
        <v>13000000</v>
      </c>
      <c r="E111" s="4336">
        <v>7.6999999999999999E-2</v>
      </c>
      <c r="F111" s="4268">
        <v>1000000</v>
      </c>
      <c r="G111" s="7925"/>
      <c r="H111" s="7925"/>
      <c r="I111" s="7927"/>
      <c r="J111" s="7925"/>
      <c r="K111" s="7925"/>
      <c r="L111" s="7705"/>
    </row>
    <row r="112" spans="1:12" ht="30" customHeight="1" x14ac:dyDescent="0.2">
      <c r="A112" s="7654">
        <v>55</v>
      </c>
      <c r="B112" s="7652" t="s">
        <v>1247</v>
      </c>
      <c r="C112" s="7723" t="s">
        <v>1295</v>
      </c>
      <c r="D112" s="4260">
        <v>175000000</v>
      </c>
      <c r="E112" s="4336">
        <v>0.52</v>
      </c>
      <c r="F112" s="4260">
        <v>9000000</v>
      </c>
      <c r="G112" s="7563">
        <v>18250000</v>
      </c>
      <c r="H112" s="7561" t="s">
        <v>6152</v>
      </c>
      <c r="I112" s="7857" t="s">
        <v>1063</v>
      </c>
      <c r="J112" s="7563">
        <f>G112</f>
        <v>18250000</v>
      </c>
      <c r="K112" s="7482">
        <f>(F112+F113+F114)-J112</f>
        <v>0</v>
      </c>
      <c r="L112" s="7713"/>
    </row>
    <row r="113" spans="1:12" ht="30" customHeight="1" x14ac:dyDescent="0.2">
      <c r="A113" s="7656"/>
      <c r="B113" s="7665"/>
      <c r="C113" s="7747"/>
      <c r="D113" s="4266">
        <f>85000000+20000000</f>
        <v>105000000</v>
      </c>
      <c r="E113" s="4273">
        <v>7.0000000000000007E-2</v>
      </c>
      <c r="F113" s="4266">
        <v>7500000</v>
      </c>
      <c r="G113" s="7586"/>
      <c r="H113" s="7672"/>
      <c r="I113" s="7857"/>
      <c r="J113" s="7586"/>
      <c r="K113" s="7482"/>
      <c r="L113" s="7797"/>
    </row>
    <row r="114" spans="1:12" ht="30" customHeight="1" x14ac:dyDescent="0.2">
      <c r="A114" s="7655"/>
      <c r="B114" s="7653"/>
      <c r="C114" s="7724"/>
      <c r="D114" s="4260">
        <v>35000000</v>
      </c>
      <c r="E114" s="4336">
        <v>0.05</v>
      </c>
      <c r="F114" s="4260">
        <f>D114*E114</f>
        <v>1750000</v>
      </c>
      <c r="G114" s="7564"/>
      <c r="H114" s="7562"/>
      <c r="I114" s="7857"/>
      <c r="J114" s="7564"/>
      <c r="K114" s="7482"/>
      <c r="L114" s="7714"/>
    </row>
    <row r="115" spans="1:12" ht="30" customHeight="1" x14ac:dyDescent="0.2">
      <c r="A115" s="7654">
        <v>56</v>
      </c>
      <c r="B115" s="7652" t="s">
        <v>35</v>
      </c>
      <c r="C115" s="7723" t="s">
        <v>1295</v>
      </c>
      <c r="D115" s="7563">
        <v>3284000000</v>
      </c>
      <c r="E115" s="7659">
        <v>7.0000000000000007E-2</v>
      </c>
      <c r="F115" s="7563">
        <v>229880000</v>
      </c>
      <c r="G115" s="4268">
        <v>29880000</v>
      </c>
      <c r="H115" s="4268" t="s">
        <v>6192</v>
      </c>
      <c r="I115" s="4376" t="s">
        <v>4945</v>
      </c>
      <c r="J115" s="7924">
        <f>G115+G116</f>
        <v>229880000</v>
      </c>
      <c r="K115" s="7563">
        <f>F115-J115</f>
        <v>0</v>
      </c>
      <c r="L115" s="637"/>
    </row>
    <row r="116" spans="1:12" ht="30" customHeight="1" x14ac:dyDescent="0.2">
      <c r="A116" s="7656"/>
      <c r="B116" s="7665"/>
      <c r="C116" s="7747"/>
      <c r="D116" s="7586"/>
      <c r="E116" s="7676"/>
      <c r="F116" s="7586"/>
      <c r="G116" s="4260">
        <v>200000000</v>
      </c>
      <c r="H116" s="4260" t="s">
        <v>3807</v>
      </c>
      <c r="I116" s="4260" t="s">
        <v>4945</v>
      </c>
      <c r="J116" s="7925"/>
      <c r="K116" s="7564"/>
      <c r="L116" s="180" t="s">
        <v>6073</v>
      </c>
    </row>
    <row r="117" spans="1:12" ht="30" customHeight="1" x14ac:dyDescent="0.2">
      <c r="A117" s="7656"/>
      <c r="B117" s="7665"/>
      <c r="C117" s="7723" t="s">
        <v>1306</v>
      </c>
      <c r="D117" s="4265">
        <f>1891929000+151354320+22190000-320</f>
        <v>2065473000</v>
      </c>
      <c r="E117" s="4388">
        <v>0.08</v>
      </c>
      <c r="F117" s="4265">
        <f t="shared" ref="F117:F123" si="15">D117*E117</f>
        <v>165237840</v>
      </c>
      <c r="G117" s="4260">
        <v>50000000</v>
      </c>
      <c r="H117" s="4260" t="s">
        <v>6622</v>
      </c>
      <c r="I117" s="4260" t="s">
        <v>4945</v>
      </c>
      <c r="J117" s="7563">
        <f>G117+G118+G119+G120+G121+G122</f>
        <v>80000000</v>
      </c>
      <c r="K117" s="7563">
        <f>F122-J117</f>
        <v>116095907.20000002</v>
      </c>
      <c r="L117" s="1611" t="s">
        <v>6074</v>
      </c>
    </row>
    <row r="118" spans="1:12" ht="30" customHeight="1" x14ac:dyDescent="0.2">
      <c r="A118" s="7656"/>
      <c r="B118" s="7665"/>
      <c r="C118" s="7747"/>
      <c r="D118" s="4260">
        <v>189880000</v>
      </c>
      <c r="E118" s="4336">
        <v>0.08</v>
      </c>
      <c r="F118" s="4260">
        <f t="shared" si="15"/>
        <v>15190400</v>
      </c>
      <c r="G118" s="4260">
        <v>30000000</v>
      </c>
      <c r="H118" s="4260" t="s">
        <v>6762</v>
      </c>
      <c r="I118" s="4260" t="s">
        <v>4945</v>
      </c>
      <c r="J118" s="7586"/>
      <c r="K118" s="7586"/>
      <c r="L118" s="1611" t="s">
        <v>4955</v>
      </c>
    </row>
    <row r="119" spans="1:12" ht="30" customHeight="1" x14ac:dyDescent="0.2">
      <c r="A119" s="7656"/>
      <c r="B119" s="7665"/>
      <c r="C119" s="7747"/>
      <c r="D119" s="4260">
        <v>8418000</v>
      </c>
      <c r="E119" s="4336">
        <v>0.08</v>
      </c>
      <c r="F119" s="4260">
        <f t="shared" si="15"/>
        <v>673440</v>
      </c>
      <c r="G119" s="4260"/>
      <c r="H119" s="4260"/>
      <c r="I119" s="4260"/>
      <c r="J119" s="7586"/>
      <c r="K119" s="7586"/>
      <c r="L119" s="1611" t="s">
        <v>6078</v>
      </c>
    </row>
    <row r="120" spans="1:12" ht="30" customHeight="1" x14ac:dyDescent="0.2">
      <c r="A120" s="7656"/>
      <c r="B120" s="7665"/>
      <c r="C120" s="7747"/>
      <c r="D120" s="4260">
        <v>165237840</v>
      </c>
      <c r="E120" s="4336">
        <v>0.08</v>
      </c>
      <c r="F120" s="4260">
        <f t="shared" si="15"/>
        <v>13219027.200000001</v>
      </c>
      <c r="G120" s="4260"/>
      <c r="H120" s="4260"/>
      <c r="I120" s="4260"/>
      <c r="J120" s="7586"/>
      <c r="K120" s="7586"/>
      <c r="L120" s="1611" t="s">
        <v>6079</v>
      </c>
    </row>
    <row r="121" spans="1:12" ht="30" customHeight="1" x14ac:dyDescent="0.2">
      <c r="A121" s="7656"/>
      <c r="B121" s="7665"/>
      <c r="C121" s="7747"/>
      <c r="D121" s="4260">
        <v>22190000</v>
      </c>
      <c r="E121" s="4336">
        <v>0.08</v>
      </c>
      <c r="F121" s="4260">
        <f t="shared" si="15"/>
        <v>1775200</v>
      </c>
      <c r="G121" s="4260"/>
      <c r="H121" s="4260"/>
      <c r="I121" s="4260"/>
      <c r="J121" s="7586"/>
      <c r="K121" s="7586"/>
      <c r="L121" s="1611" t="s">
        <v>6076</v>
      </c>
    </row>
    <row r="122" spans="1:12" ht="30" customHeight="1" x14ac:dyDescent="0.2">
      <c r="A122" s="7656"/>
      <c r="B122" s="7653"/>
      <c r="C122" s="7724"/>
      <c r="D122" s="4265">
        <f>SUM(D117:D121)</f>
        <v>2451198840</v>
      </c>
      <c r="E122" s="4388">
        <v>0.08</v>
      </c>
      <c r="F122" s="4265">
        <f t="shared" si="15"/>
        <v>196095907.20000002</v>
      </c>
      <c r="G122" s="4260"/>
      <c r="H122" s="4260"/>
      <c r="I122" s="4260"/>
      <c r="J122" s="7564"/>
      <c r="K122" s="7564"/>
      <c r="L122" s="1611" t="s">
        <v>6077</v>
      </c>
    </row>
    <row r="123" spans="1:12" ht="30" customHeight="1" x14ac:dyDescent="0.2">
      <c r="A123" s="4341">
        <v>57</v>
      </c>
      <c r="B123" s="4338" t="s">
        <v>1077</v>
      </c>
      <c r="C123" s="4337" t="s">
        <v>1298</v>
      </c>
      <c r="D123" s="4260">
        <v>317000000</v>
      </c>
      <c r="E123" s="4336">
        <v>7.0000000000000007E-2</v>
      </c>
      <c r="F123" s="4260">
        <f t="shared" si="15"/>
        <v>22190000.000000004</v>
      </c>
      <c r="G123" s="4260"/>
      <c r="H123" s="4260"/>
      <c r="I123" s="4260"/>
      <c r="J123" s="4260"/>
      <c r="K123" s="4260"/>
      <c r="L123" s="162" t="s">
        <v>6075</v>
      </c>
    </row>
    <row r="124" spans="1:12" ht="30" customHeight="1" x14ac:dyDescent="0.2">
      <c r="A124" s="7654"/>
      <c r="B124" s="7652" t="s">
        <v>5903</v>
      </c>
      <c r="C124" s="7723"/>
      <c r="D124" s="4268">
        <v>27000000</v>
      </c>
      <c r="E124" s="4274"/>
      <c r="F124" s="4268"/>
      <c r="G124" s="7563">
        <v>3500000</v>
      </c>
      <c r="H124" s="7563" t="s">
        <v>6386</v>
      </c>
      <c r="I124" s="7563" t="s">
        <v>6391</v>
      </c>
      <c r="J124" s="7563">
        <f>G124</f>
        <v>3500000</v>
      </c>
      <c r="K124" s="7563">
        <f>F126-J124</f>
        <v>500000</v>
      </c>
      <c r="L124" s="1611" t="s">
        <v>5904</v>
      </c>
    </row>
    <row r="125" spans="1:12" ht="30" customHeight="1" x14ac:dyDescent="0.2">
      <c r="A125" s="7656"/>
      <c r="B125" s="7665"/>
      <c r="C125" s="7747"/>
      <c r="D125" s="4268">
        <v>23000000</v>
      </c>
      <c r="E125" s="4274"/>
      <c r="F125" s="4268"/>
      <c r="G125" s="7586"/>
      <c r="H125" s="7586"/>
      <c r="I125" s="7586"/>
      <c r="J125" s="7586"/>
      <c r="K125" s="7586"/>
      <c r="L125" s="1611" t="s">
        <v>5905</v>
      </c>
    </row>
    <row r="126" spans="1:12" ht="30" customHeight="1" x14ac:dyDescent="0.2">
      <c r="A126" s="7655"/>
      <c r="B126" s="7665"/>
      <c r="C126" s="7747"/>
      <c r="D126" s="4353">
        <f>SUM(D124:D125)</f>
        <v>50000000</v>
      </c>
      <c r="E126" s="4369">
        <v>0.08</v>
      </c>
      <c r="F126" s="4353">
        <f>D126*E126</f>
        <v>4000000</v>
      </c>
      <c r="G126" s="7564"/>
      <c r="H126" s="7564"/>
      <c r="I126" s="7564"/>
      <c r="J126" s="7564"/>
      <c r="K126" s="7564"/>
      <c r="L126" s="4081" t="s">
        <v>7254</v>
      </c>
    </row>
    <row r="127" spans="1:12" ht="30" customHeight="1" x14ac:dyDescent="0.2">
      <c r="A127" s="7654"/>
      <c r="B127" s="7652" t="s">
        <v>6673</v>
      </c>
      <c r="C127" s="7723" t="s">
        <v>1796</v>
      </c>
      <c r="D127" s="4260">
        <v>56000000</v>
      </c>
      <c r="E127" s="4336">
        <v>7.0000000000000007E-2</v>
      </c>
      <c r="F127" s="4260">
        <f>D127*E127</f>
        <v>3920000.0000000005</v>
      </c>
      <c r="G127" s="7563">
        <v>10920000</v>
      </c>
      <c r="H127" s="7563" t="s">
        <v>6125</v>
      </c>
      <c r="I127" s="7563" t="s">
        <v>4263</v>
      </c>
      <c r="J127" s="7563">
        <f>G127</f>
        <v>10920000</v>
      </c>
      <c r="K127" s="7563">
        <f>(F127+F128)-J127</f>
        <v>0</v>
      </c>
      <c r="L127" s="736" t="s">
        <v>5279</v>
      </c>
    </row>
    <row r="128" spans="1:12" ht="30" customHeight="1" x14ac:dyDescent="0.2">
      <c r="A128" s="7656"/>
      <c r="B128" s="7665"/>
      <c r="C128" s="7747"/>
      <c r="D128" s="4260">
        <v>100000000</v>
      </c>
      <c r="E128" s="4336">
        <v>7.0000000000000007E-2</v>
      </c>
      <c r="F128" s="4260">
        <f>D128*E128</f>
        <v>7000000.0000000009</v>
      </c>
      <c r="G128" s="7564"/>
      <c r="H128" s="7564"/>
      <c r="I128" s="7564"/>
      <c r="J128" s="7564"/>
      <c r="K128" s="7564"/>
      <c r="L128" s="162"/>
    </row>
    <row r="129" spans="1:12" ht="30" customHeight="1" x14ac:dyDescent="0.2">
      <c r="A129" s="7656"/>
      <c r="B129" s="7665"/>
      <c r="C129" s="7747"/>
      <c r="D129" s="4922">
        <v>56000000</v>
      </c>
      <c r="E129" s="4930">
        <v>7.0000000000000007E-2</v>
      </c>
      <c r="F129" s="4922">
        <f>D129*E129</f>
        <v>3920000.0000000005</v>
      </c>
      <c r="G129" s="7563">
        <v>10920000</v>
      </c>
      <c r="H129" s="7563" t="s">
        <v>6762</v>
      </c>
      <c r="I129" s="7563" t="s">
        <v>4263</v>
      </c>
      <c r="J129" s="7563">
        <f>G129</f>
        <v>10920000</v>
      </c>
      <c r="K129" s="7563">
        <f>(F129+F130)-J129</f>
        <v>0</v>
      </c>
      <c r="L129" s="162"/>
    </row>
    <row r="130" spans="1:12" ht="30" customHeight="1" x14ac:dyDescent="0.2">
      <c r="A130" s="7655"/>
      <c r="B130" s="7653"/>
      <c r="C130" s="7724"/>
      <c r="D130" s="4922">
        <v>100000000</v>
      </c>
      <c r="E130" s="4930">
        <v>7.0000000000000007E-2</v>
      </c>
      <c r="F130" s="4922">
        <f>D130*E130</f>
        <v>7000000.0000000009</v>
      </c>
      <c r="G130" s="7564"/>
      <c r="H130" s="7564"/>
      <c r="I130" s="7564"/>
      <c r="J130" s="7564"/>
      <c r="K130" s="7564"/>
      <c r="L130" s="162"/>
    </row>
    <row r="131" spans="1:12" ht="30" customHeight="1" x14ac:dyDescent="0.2">
      <c r="A131" s="7654">
        <v>58</v>
      </c>
      <c r="B131" s="7652" t="s">
        <v>1064</v>
      </c>
      <c r="C131" s="7723" t="s">
        <v>889</v>
      </c>
      <c r="D131" s="4268">
        <v>11000000</v>
      </c>
      <c r="E131" s="4336">
        <v>7.0000000000000007E-2</v>
      </c>
      <c r="F131" s="4268">
        <v>700000</v>
      </c>
      <c r="G131" s="7563">
        <v>3500000</v>
      </c>
      <c r="H131" s="7563" t="s">
        <v>6220</v>
      </c>
      <c r="I131" s="7775" t="s">
        <v>1066</v>
      </c>
      <c r="J131" s="7563">
        <f>G131</f>
        <v>3500000</v>
      </c>
      <c r="K131" s="7563"/>
      <c r="L131" s="4338"/>
    </row>
    <row r="132" spans="1:12" ht="30" customHeight="1" x14ac:dyDescent="0.2">
      <c r="A132" s="7656"/>
      <c r="B132" s="7665"/>
      <c r="C132" s="7747"/>
      <c r="D132" s="4268">
        <v>20000000</v>
      </c>
      <c r="E132" s="4336">
        <v>7.0000000000000007E-2</v>
      </c>
      <c r="F132" s="4268">
        <f>D132*E132</f>
        <v>1400000.0000000002</v>
      </c>
      <c r="G132" s="7586"/>
      <c r="H132" s="7586"/>
      <c r="I132" s="7776"/>
      <c r="J132" s="7586"/>
      <c r="K132" s="7586"/>
      <c r="L132" s="4365"/>
    </row>
    <row r="133" spans="1:12" ht="30" customHeight="1" x14ac:dyDescent="0.2">
      <c r="A133" s="7655"/>
      <c r="B133" s="7653"/>
      <c r="C133" s="7724"/>
      <c r="D133" s="4268">
        <v>30000000</v>
      </c>
      <c r="E133" s="4336">
        <v>7.0000000000000007E-2</v>
      </c>
      <c r="F133" s="4268">
        <f>D133*E133</f>
        <v>2100000</v>
      </c>
      <c r="G133" s="7564"/>
      <c r="H133" s="7564"/>
      <c r="I133" s="7777"/>
      <c r="J133" s="7564"/>
      <c r="K133" s="7564"/>
      <c r="L133" s="4291" t="s">
        <v>6110</v>
      </c>
    </row>
    <row r="134" spans="1:12" ht="30" customHeight="1" x14ac:dyDescent="0.2">
      <c r="A134" s="7654"/>
      <c r="B134" s="7652" t="s">
        <v>194</v>
      </c>
      <c r="C134" s="7723" t="s">
        <v>1295</v>
      </c>
      <c r="D134" s="4268">
        <v>100000000</v>
      </c>
      <c r="E134" s="4336">
        <v>5.1999999999999998E-2</v>
      </c>
      <c r="F134" s="4268">
        <f t="shared" si="12"/>
        <v>5200000</v>
      </c>
      <c r="G134" s="7563">
        <v>8300000</v>
      </c>
      <c r="H134" s="7563" t="s">
        <v>6192</v>
      </c>
      <c r="I134" s="7563" t="s">
        <v>6193</v>
      </c>
      <c r="J134" s="7563">
        <f>G134</f>
        <v>8300000</v>
      </c>
      <c r="K134" s="7563">
        <f>F139-J134</f>
        <v>0</v>
      </c>
      <c r="L134" s="637" t="s">
        <v>6336</v>
      </c>
    </row>
    <row r="135" spans="1:12" ht="30" customHeight="1" x14ac:dyDescent="0.2">
      <c r="A135" s="7656"/>
      <c r="B135" s="7665"/>
      <c r="C135" s="7747"/>
      <c r="D135" s="4268">
        <v>15000000</v>
      </c>
      <c r="E135" s="4336">
        <v>5.5E-2</v>
      </c>
      <c r="F135" s="4268">
        <v>800000</v>
      </c>
      <c r="G135" s="7586"/>
      <c r="H135" s="7586"/>
      <c r="I135" s="7586"/>
      <c r="J135" s="7586"/>
      <c r="K135" s="7586"/>
      <c r="L135" s="180"/>
    </row>
    <row r="136" spans="1:12" ht="30" customHeight="1" x14ac:dyDescent="0.2">
      <c r="A136" s="7656"/>
      <c r="B136" s="7665"/>
      <c r="C136" s="7747"/>
      <c r="D136" s="4268">
        <v>29000000</v>
      </c>
      <c r="E136" s="4336">
        <v>5.1999999999999998E-2</v>
      </c>
      <c r="F136" s="4268">
        <v>1500000</v>
      </c>
      <c r="G136" s="7586"/>
      <c r="H136" s="7586"/>
      <c r="I136" s="7586"/>
      <c r="J136" s="7586"/>
      <c r="K136" s="7586"/>
      <c r="L136" s="180"/>
    </row>
    <row r="137" spans="1:12" ht="30" customHeight="1" x14ac:dyDescent="0.2">
      <c r="A137" s="7656"/>
      <c r="B137" s="7665"/>
      <c r="C137" s="7747"/>
      <c r="D137" s="4268">
        <v>6000000</v>
      </c>
      <c r="E137" s="4336">
        <v>5.1999999999999998E-2</v>
      </c>
      <c r="F137" s="4268">
        <v>300000</v>
      </c>
      <c r="G137" s="7586"/>
      <c r="H137" s="7586"/>
      <c r="I137" s="7586"/>
      <c r="J137" s="7586"/>
      <c r="K137" s="7586"/>
      <c r="L137" s="180"/>
    </row>
    <row r="138" spans="1:12" ht="30" customHeight="1" x14ac:dyDescent="0.2">
      <c r="A138" s="7656"/>
      <c r="B138" s="7665"/>
      <c r="C138" s="7747"/>
      <c r="D138" s="4268">
        <v>10000000</v>
      </c>
      <c r="E138" s="4336">
        <v>0.05</v>
      </c>
      <c r="F138" s="4268">
        <f>E138*D138</f>
        <v>500000</v>
      </c>
      <c r="G138" s="7586"/>
      <c r="H138" s="7586"/>
      <c r="I138" s="7586"/>
      <c r="J138" s="7586"/>
      <c r="K138" s="7586"/>
      <c r="L138" s="180"/>
    </row>
    <row r="139" spans="1:12" ht="30" customHeight="1" x14ac:dyDescent="0.2">
      <c r="A139" s="7655"/>
      <c r="B139" s="7653"/>
      <c r="C139" s="7724"/>
      <c r="D139" s="4283">
        <v>160000000</v>
      </c>
      <c r="E139" s="4388">
        <v>5.1999999999999998E-2</v>
      </c>
      <c r="F139" s="4283">
        <v>8300000</v>
      </c>
      <c r="G139" s="7564"/>
      <c r="H139" s="7564"/>
      <c r="I139" s="7564"/>
      <c r="J139" s="7564"/>
      <c r="K139" s="7564"/>
      <c r="L139" s="180"/>
    </row>
    <row r="140" spans="1:12" ht="30" customHeight="1" x14ac:dyDescent="0.2">
      <c r="A140" s="4341">
        <v>60</v>
      </c>
      <c r="B140" s="4338" t="s">
        <v>1498</v>
      </c>
      <c r="C140" s="4300" t="s">
        <v>889</v>
      </c>
      <c r="D140" s="4268"/>
      <c r="E140" s="4336"/>
      <c r="F140" s="4268">
        <f t="shared" si="12"/>
        <v>0</v>
      </c>
      <c r="G140" s="4268">
        <v>10000000</v>
      </c>
      <c r="H140" s="4268" t="s">
        <v>6152</v>
      </c>
      <c r="I140" s="4376" t="s">
        <v>1810</v>
      </c>
      <c r="J140" s="4268">
        <f>G140</f>
        <v>10000000</v>
      </c>
      <c r="K140" s="4268">
        <f>F140-J140</f>
        <v>-10000000</v>
      </c>
      <c r="L140" s="4338"/>
    </row>
    <row r="141" spans="1:12" ht="30" customHeight="1" x14ac:dyDescent="0.2">
      <c r="A141" s="4272">
        <v>61</v>
      </c>
      <c r="B141" s="4338" t="s">
        <v>196</v>
      </c>
      <c r="C141" s="4300"/>
      <c r="D141" s="4268">
        <v>100000000</v>
      </c>
      <c r="E141" s="4336">
        <v>7.0000000000000007E-2</v>
      </c>
      <c r="F141" s="4268">
        <f t="shared" si="12"/>
        <v>7000000.0000000009</v>
      </c>
      <c r="G141" s="4268">
        <v>7000000</v>
      </c>
      <c r="H141" s="4268" t="s">
        <v>6223</v>
      </c>
      <c r="I141" s="4376" t="s">
        <v>3466</v>
      </c>
      <c r="J141" s="4268">
        <f>G141</f>
        <v>7000000</v>
      </c>
      <c r="K141" s="4268">
        <f>F141-J141</f>
        <v>0</v>
      </c>
      <c r="L141" s="4338"/>
    </row>
    <row r="142" spans="1:12" ht="30" customHeight="1" x14ac:dyDescent="0.2">
      <c r="A142" s="7654">
        <v>62</v>
      </c>
      <c r="B142" s="7703" t="s">
        <v>197</v>
      </c>
      <c r="C142" s="7723"/>
      <c r="D142" s="4876">
        <v>125000000</v>
      </c>
      <c r="E142" s="4879">
        <v>5.1999999999999998E-2</v>
      </c>
      <c r="F142" s="4876">
        <f t="shared" si="12"/>
        <v>6500000</v>
      </c>
      <c r="G142" s="4866">
        <v>4950000</v>
      </c>
      <c r="H142" s="4866" t="s">
        <v>6622</v>
      </c>
      <c r="I142" s="4866" t="s">
        <v>1251</v>
      </c>
      <c r="J142" s="4866">
        <f>G142</f>
        <v>4950000</v>
      </c>
      <c r="K142" s="4866">
        <f>F142-J142</f>
        <v>1550000</v>
      </c>
      <c r="L142" s="4881" t="s">
        <v>6006</v>
      </c>
    </row>
    <row r="143" spans="1:12" ht="30" customHeight="1" x14ac:dyDescent="0.2">
      <c r="A143" s="7655"/>
      <c r="B143" s="7705"/>
      <c r="C143" s="7724"/>
      <c r="D143" s="7470" t="s">
        <v>6674</v>
      </c>
      <c r="E143" s="7493"/>
      <c r="F143" s="7510"/>
      <c r="G143" s="4867"/>
      <c r="H143" s="4867"/>
      <c r="I143" s="4867"/>
      <c r="J143" s="4867"/>
      <c r="K143" s="4867"/>
      <c r="L143" s="4897"/>
    </row>
    <row r="144" spans="1:12" ht="30" customHeight="1" x14ac:dyDescent="0.2">
      <c r="A144" s="7879"/>
      <c r="B144" s="7652" t="s">
        <v>198</v>
      </c>
      <c r="C144" s="7723" t="s">
        <v>889</v>
      </c>
      <c r="D144" s="3829">
        <v>2000000000</v>
      </c>
      <c r="E144" s="4336">
        <v>7.0000000000000007E-2</v>
      </c>
      <c r="F144" s="4260">
        <f t="shared" ref="F144:F149" si="16">D144*E144</f>
        <v>140000000</v>
      </c>
      <c r="G144" s="7563">
        <v>47000000</v>
      </c>
      <c r="H144" s="8428" t="s">
        <v>6220</v>
      </c>
      <c r="I144" s="8428" t="s">
        <v>3724</v>
      </c>
      <c r="J144" s="7563">
        <f>G144</f>
        <v>47000000</v>
      </c>
      <c r="K144" s="7563"/>
      <c r="L144" s="637" t="s">
        <v>6749</v>
      </c>
    </row>
    <row r="145" spans="1:12" ht="30" customHeight="1" x14ac:dyDescent="0.2">
      <c r="A145" s="7879"/>
      <c r="B145" s="7665"/>
      <c r="C145" s="7747"/>
      <c r="D145" s="3829">
        <v>100000000</v>
      </c>
      <c r="E145" s="4274">
        <v>7.0000000000000007E-2</v>
      </c>
      <c r="F145" s="4260">
        <f t="shared" si="16"/>
        <v>7000000.0000000009</v>
      </c>
      <c r="G145" s="7564"/>
      <c r="H145" s="8429"/>
      <c r="I145" s="8429"/>
      <c r="J145" s="7564"/>
      <c r="K145" s="7564"/>
      <c r="L145" s="180"/>
    </row>
    <row r="146" spans="1:12" ht="30" customHeight="1" x14ac:dyDescent="0.2">
      <c r="A146" s="7879"/>
      <c r="B146" s="7665"/>
      <c r="C146" s="7747"/>
      <c r="D146" s="940">
        <v>100000000</v>
      </c>
      <c r="E146" s="4485">
        <v>7.0000000000000007E-2</v>
      </c>
      <c r="F146" s="4482">
        <f t="shared" si="16"/>
        <v>7000000.0000000009</v>
      </c>
      <c r="G146" s="7732" t="s">
        <v>6235</v>
      </c>
      <c r="H146" s="7733"/>
      <c r="I146" s="7733"/>
      <c r="J146" s="7734"/>
      <c r="K146" s="4481"/>
      <c r="L146" s="4496"/>
    </row>
    <row r="147" spans="1:12" ht="30" customHeight="1" x14ac:dyDescent="0.2">
      <c r="A147" s="7879"/>
      <c r="B147" s="7665"/>
      <c r="C147" s="7747"/>
      <c r="D147" s="4352">
        <v>300000000</v>
      </c>
      <c r="E147" s="4274">
        <v>7.0000000000000007E-2</v>
      </c>
      <c r="F147" s="4268">
        <f t="shared" si="16"/>
        <v>21000000.000000004</v>
      </c>
      <c r="G147" s="7563">
        <v>30800000</v>
      </c>
      <c r="H147" s="7563" t="s">
        <v>6192</v>
      </c>
      <c r="I147" s="8180" t="s">
        <v>6196</v>
      </c>
      <c r="J147" s="7563">
        <f>G147</f>
        <v>30800000</v>
      </c>
      <c r="K147" s="7563"/>
      <c r="L147" s="7797" t="s">
        <v>5581</v>
      </c>
    </row>
    <row r="148" spans="1:12" ht="30" customHeight="1" x14ac:dyDescent="0.2">
      <c r="A148" s="7879"/>
      <c r="B148" s="7665"/>
      <c r="C148" s="7747"/>
      <c r="D148" s="4351">
        <v>150000000</v>
      </c>
      <c r="E148" s="4285">
        <v>7.0000000000000007E-2</v>
      </c>
      <c r="F148" s="4266">
        <f t="shared" si="16"/>
        <v>10500000.000000002</v>
      </c>
      <c r="G148" s="7564"/>
      <c r="H148" s="7564"/>
      <c r="I148" s="8183"/>
      <c r="J148" s="7564"/>
      <c r="K148" s="7564"/>
      <c r="L148" s="7714"/>
    </row>
    <row r="149" spans="1:12" ht="30" customHeight="1" x14ac:dyDescent="0.2">
      <c r="A149" s="4874"/>
      <c r="B149" s="4872"/>
      <c r="C149" s="4884"/>
      <c r="D149" s="4908">
        <v>50000000</v>
      </c>
      <c r="E149" s="4888">
        <v>7.0000000000000007E-2</v>
      </c>
      <c r="F149" s="4867">
        <f t="shared" si="16"/>
        <v>3500000.0000000005</v>
      </c>
      <c r="G149" s="7732" t="s">
        <v>6750</v>
      </c>
      <c r="H149" s="7733"/>
      <c r="I149" s="7733"/>
      <c r="J149" s="7734"/>
      <c r="K149" s="4869"/>
      <c r="L149" s="4897" t="s">
        <v>6751</v>
      </c>
    </row>
    <row r="150" spans="1:12" ht="30" customHeight="1" x14ac:dyDescent="0.2">
      <c r="A150" s="4272">
        <v>64</v>
      </c>
      <c r="B150" s="4338" t="s">
        <v>1336</v>
      </c>
      <c r="C150" s="4337" t="s">
        <v>889</v>
      </c>
      <c r="D150" s="4260">
        <v>200000000</v>
      </c>
      <c r="E150" s="4336">
        <v>5.5E-2</v>
      </c>
      <c r="F150" s="4260">
        <f t="shared" si="12"/>
        <v>11000000</v>
      </c>
      <c r="G150" s="4268">
        <v>11000000</v>
      </c>
      <c r="H150" s="4268" t="s">
        <v>6192</v>
      </c>
      <c r="I150" s="4376" t="s">
        <v>3925</v>
      </c>
      <c r="J150" s="4268">
        <f>G150</f>
        <v>11000000</v>
      </c>
      <c r="K150" s="4268">
        <f t="shared" ref="K150:K163" si="17">F150-J150</f>
        <v>0</v>
      </c>
      <c r="L150" s="4365"/>
    </row>
    <row r="151" spans="1:12" ht="30" customHeight="1" x14ac:dyDescent="0.2">
      <c r="A151" s="7654"/>
      <c r="B151" s="7652" t="s">
        <v>4816</v>
      </c>
      <c r="C151" s="7723" t="s">
        <v>262</v>
      </c>
      <c r="D151" s="4260">
        <v>534000000</v>
      </c>
      <c r="E151" s="4336">
        <v>6.2E-2</v>
      </c>
      <c r="F151" s="4260">
        <v>32880000</v>
      </c>
      <c r="G151" s="7732" t="s">
        <v>5859</v>
      </c>
      <c r="H151" s="7733"/>
      <c r="I151" s="7733"/>
      <c r="J151" s="7734"/>
      <c r="K151" s="4260"/>
      <c r="L151" s="4291" t="s">
        <v>6111</v>
      </c>
    </row>
    <row r="152" spans="1:12" ht="30" customHeight="1" x14ac:dyDescent="0.2">
      <c r="A152" s="7656"/>
      <c r="B152" s="7665"/>
      <c r="C152" s="7747"/>
      <c r="D152" s="4260">
        <v>20000000</v>
      </c>
      <c r="E152" s="4336">
        <v>7.0000000000000007E-2</v>
      </c>
      <c r="F152" s="4260">
        <f>D152*E152</f>
        <v>1400000.0000000002</v>
      </c>
      <c r="G152" s="7732" t="s">
        <v>5860</v>
      </c>
      <c r="H152" s="7733"/>
      <c r="I152" s="7733"/>
      <c r="J152" s="7734"/>
      <c r="K152" s="4260"/>
      <c r="L152" s="4291" t="s">
        <v>5855</v>
      </c>
    </row>
    <row r="153" spans="1:12" ht="30" customHeight="1" x14ac:dyDescent="0.2">
      <c r="A153" s="7656"/>
      <c r="B153" s="7665"/>
      <c r="C153" s="7747"/>
      <c r="D153" s="4260">
        <v>30000000</v>
      </c>
      <c r="E153" s="4336">
        <v>7.0000000000000007E-2</v>
      </c>
      <c r="F153" s="4260">
        <f>D153*E153</f>
        <v>2100000</v>
      </c>
      <c r="G153" s="7732" t="s">
        <v>5861</v>
      </c>
      <c r="H153" s="7733"/>
      <c r="I153" s="7733"/>
      <c r="J153" s="7734"/>
      <c r="K153" s="4260"/>
      <c r="L153" s="4291" t="s">
        <v>5856</v>
      </c>
    </row>
    <row r="154" spans="1:12" ht="30" customHeight="1" x14ac:dyDescent="0.2">
      <c r="A154" s="7656"/>
      <c r="B154" s="7665"/>
      <c r="C154" s="7747"/>
      <c r="D154" s="4260">
        <v>20000000</v>
      </c>
      <c r="E154" s="4336">
        <v>7.0000000000000007E-2</v>
      </c>
      <c r="F154" s="4260">
        <f>D154*E154</f>
        <v>1400000.0000000002</v>
      </c>
      <c r="G154" s="7732" t="s">
        <v>5861</v>
      </c>
      <c r="H154" s="7733"/>
      <c r="I154" s="7733"/>
      <c r="J154" s="7734"/>
      <c r="K154" s="4260"/>
      <c r="L154" s="4291" t="s">
        <v>5857</v>
      </c>
    </row>
    <row r="155" spans="1:12" ht="30" customHeight="1" x14ac:dyDescent="0.2">
      <c r="A155" s="7656"/>
      <c r="B155" s="7665"/>
      <c r="C155" s="7747"/>
      <c r="D155" s="4260">
        <v>20000000</v>
      </c>
      <c r="E155" s="4336">
        <v>7.0000000000000007E-2</v>
      </c>
      <c r="F155" s="4260">
        <f>D155*E155</f>
        <v>1400000.0000000002</v>
      </c>
      <c r="G155" s="7732" t="s">
        <v>5863</v>
      </c>
      <c r="H155" s="7733"/>
      <c r="I155" s="7733"/>
      <c r="J155" s="7734"/>
      <c r="K155" s="4260"/>
      <c r="L155" s="4291" t="s">
        <v>5862</v>
      </c>
    </row>
    <row r="156" spans="1:12" ht="30" customHeight="1" x14ac:dyDescent="0.2">
      <c r="A156" s="7656"/>
      <c r="B156" s="7665"/>
      <c r="C156" s="7747"/>
      <c r="D156" s="8026">
        <f>SUM(D151:D155)</f>
        <v>624000000</v>
      </c>
      <c r="E156" s="8028"/>
      <c r="F156" s="8026">
        <f>SUM(F151:F155)</f>
        <v>39180000</v>
      </c>
      <c r="G156" s="4260">
        <v>30000000</v>
      </c>
      <c r="H156" s="4260" t="s">
        <v>6368</v>
      </c>
      <c r="I156" s="4333" t="s">
        <v>6387</v>
      </c>
      <c r="J156" s="7563">
        <f>G156+G157</f>
        <v>48669000</v>
      </c>
      <c r="K156" s="4260"/>
      <c r="L156" s="4291" t="s">
        <v>5858</v>
      </c>
    </row>
    <row r="157" spans="1:12" ht="30" customHeight="1" x14ac:dyDescent="0.2">
      <c r="A157" s="7655"/>
      <c r="B157" s="7653"/>
      <c r="C157" s="7724"/>
      <c r="D157" s="8027"/>
      <c r="E157" s="8029"/>
      <c r="F157" s="8027"/>
      <c r="G157" s="4620">
        <v>18669000</v>
      </c>
      <c r="H157" s="4620" t="s">
        <v>6386</v>
      </c>
      <c r="I157" s="4624" t="s">
        <v>3501</v>
      </c>
      <c r="J157" s="7564"/>
      <c r="K157" s="4620"/>
      <c r="L157" s="4622"/>
    </row>
    <row r="158" spans="1:12" ht="30" customHeight="1" x14ac:dyDescent="0.2">
      <c r="A158" s="4271">
        <v>68</v>
      </c>
      <c r="B158" s="4338" t="s">
        <v>202</v>
      </c>
      <c r="C158" s="4337" t="s">
        <v>1295</v>
      </c>
      <c r="D158" s="4260">
        <v>150000000</v>
      </c>
      <c r="E158" s="4336">
        <v>0.05</v>
      </c>
      <c r="F158" s="4260">
        <f t="shared" si="12"/>
        <v>7500000</v>
      </c>
      <c r="G158" s="4260">
        <v>7500000</v>
      </c>
      <c r="H158" s="4260" t="s">
        <v>6152</v>
      </c>
      <c r="I158" s="1538" t="s">
        <v>3926</v>
      </c>
      <c r="J158" s="4260">
        <f t="shared" ref="J158:J160" si="18">G158</f>
        <v>7500000</v>
      </c>
      <c r="K158" s="4260">
        <f t="shared" si="17"/>
        <v>0</v>
      </c>
      <c r="L158" s="4314"/>
    </row>
    <row r="159" spans="1:12" ht="30" customHeight="1" x14ac:dyDescent="0.2">
      <c r="A159" s="4284"/>
      <c r="B159" s="4287" t="s">
        <v>5399</v>
      </c>
      <c r="C159" s="4301"/>
      <c r="D159" s="4260">
        <v>450000000</v>
      </c>
      <c r="E159" s="4485">
        <v>7.0000000000000007E-2</v>
      </c>
      <c r="F159" s="4260">
        <f>D159*E159</f>
        <v>31500000.000000004</v>
      </c>
      <c r="G159" s="4266">
        <v>31500000</v>
      </c>
      <c r="H159" s="4266" t="s">
        <v>6220</v>
      </c>
      <c r="I159" s="4312" t="s">
        <v>6224</v>
      </c>
      <c r="J159" s="4266">
        <f>G159</f>
        <v>31500000</v>
      </c>
      <c r="K159" s="4266">
        <f>F159-J159</f>
        <v>0</v>
      </c>
      <c r="L159" s="736" t="s">
        <v>5400</v>
      </c>
    </row>
    <row r="160" spans="1:12" ht="30" customHeight="1" x14ac:dyDescent="0.2">
      <c r="A160" s="7654"/>
      <c r="B160" s="7652" t="s">
        <v>205</v>
      </c>
      <c r="C160" s="7723" t="s">
        <v>889</v>
      </c>
      <c r="D160" s="4268">
        <v>30000000</v>
      </c>
      <c r="E160" s="4274">
        <v>0.05</v>
      </c>
      <c r="F160" s="4268">
        <f t="shared" si="12"/>
        <v>1500000</v>
      </c>
      <c r="G160" s="7563">
        <v>2000000</v>
      </c>
      <c r="H160" s="7563" t="s">
        <v>6152</v>
      </c>
      <c r="I160" s="7563" t="s">
        <v>1407</v>
      </c>
      <c r="J160" s="7563">
        <f t="shared" si="18"/>
        <v>2000000</v>
      </c>
      <c r="K160" s="7563">
        <f>(F160+F161)-J160</f>
        <v>0</v>
      </c>
      <c r="L160" s="4294"/>
    </row>
    <row r="161" spans="1:12" ht="30" customHeight="1" x14ac:dyDescent="0.2">
      <c r="A161" s="7656"/>
      <c r="B161" s="7665"/>
      <c r="C161" s="7747"/>
      <c r="D161" s="4267">
        <v>10000000</v>
      </c>
      <c r="E161" s="4285">
        <v>0.05</v>
      </c>
      <c r="F161" s="4267">
        <f t="shared" si="12"/>
        <v>500000</v>
      </c>
      <c r="G161" s="7586"/>
      <c r="H161" s="7564"/>
      <c r="I161" s="7564"/>
      <c r="J161" s="7564"/>
      <c r="K161" s="7564"/>
      <c r="L161" s="4316"/>
    </row>
    <row r="162" spans="1:12" ht="30" customHeight="1" x14ac:dyDescent="0.2">
      <c r="A162" s="7655"/>
      <c r="B162" s="7653"/>
      <c r="C162" s="7724"/>
      <c r="D162" s="4478">
        <v>20000000</v>
      </c>
      <c r="E162" s="4507">
        <v>0.05</v>
      </c>
      <c r="F162" s="4478">
        <f t="shared" si="12"/>
        <v>1000000</v>
      </c>
      <c r="G162" s="7732" t="s">
        <v>6376</v>
      </c>
      <c r="H162" s="7733"/>
      <c r="I162" s="7733"/>
      <c r="J162" s="7734"/>
      <c r="K162" s="4481"/>
      <c r="L162" s="4496" t="s">
        <v>6236</v>
      </c>
    </row>
    <row r="163" spans="1:12" ht="30" customHeight="1" x14ac:dyDescent="0.2">
      <c r="A163" s="7654">
        <v>72</v>
      </c>
      <c r="B163" s="7703" t="s">
        <v>1023</v>
      </c>
      <c r="C163" s="7723" t="s">
        <v>1718</v>
      </c>
      <c r="D163" s="7563">
        <v>1685000000</v>
      </c>
      <c r="E163" s="7659">
        <v>0.06</v>
      </c>
      <c r="F163" s="7563">
        <f t="shared" si="12"/>
        <v>101100000</v>
      </c>
      <c r="G163" s="4268"/>
      <c r="H163" s="4268"/>
      <c r="I163" s="4376"/>
      <c r="J163" s="7563">
        <f>G163+G164</f>
        <v>0</v>
      </c>
      <c r="K163" s="7563">
        <f t="shared" si="17"/>
        <v>101100000</v>
      </c>
      <c r="L163" s="7798"/>
    </row>
    <row r="164" spans="1:12" ht="30" customHeight="1" x14ac:dyDescent="0.2">
      <c r="A164" s="7656"/>
      <c r="B164" s="7704"/>
      <c r="C164" s="7747"/>
      <c r="D164" s="7564"/>
      <c r="E164" s="7660"/>
      <c r="F164" s="7564"/>
      <c r="G164" s="4268"/>
      <c r="H164" s="4268"/>
      <c r="I164" s="4376"/>
      <c r="J164" s="7564"/>
      <c r="K164" s="7564"/>
      <c r="L164" s="7800"/>
    </row>
    <row r="165" spans="1:12" ht="30" customHeight="1" x14ac:dyDescent="0.2">
      <c r="A165" s="7656"/>
      <c r="B165" s="7704"/>
      <c r="C165" s="7747"/>
      <c r="D165" s="7482" t="s">
        <v>6001</v>
      </c>
      <c r="E165" s="7482"/>
      <c r="F165" s="7482"/>
      <c r="G165" s="4268">
        <v>50000000</v>
      </c>
      <c r="H165" s="4268" t="s">
        <v>6152</v>
      </c>
      <c r="I165" s="4376" t="s">
        <v>3067</v>
      </c>
      <c r="J165" s="7563">
        <f>G165+G166</f>
        <v>85000000</v>
      </c>
      <c r="K165" s="7563">
        <f>85000000-J165</f>
        <v>0</v>
      </c>
      <c r="L165" s="4318"/>
    </row>
    <row r="166" spans="1:12" ht="30" customHeight="1" x14ac:dyDescent="0.2">
      <c r="A166" s="7656"/>
      <c r="B166" s="7704"/>
      <c r="C166" s="7747"/>
      <c r="D166" s="7482"/>
      <c r="E166" s="7482"/>
      <c r="F166" s="7482"/>
      <c r="G166" s="4268">
        <v>35000000</v>
      </c>
      <c r="H166" s="4268" t="s">
        <v>6192</v>
      </c>
      <c r="I166" s="4376" t="s">
        <v>3067</v>
      </c>
      <c r="J166" s="7586"/>
      <c r="K166" s="7586"/>
      <c r="L166" s="4318"/>
    </row>
    <row r="167" spans="1:12" ht="30" customHeight="1" x14ac:dyDescent="0.2">
      <c r="A167" s="7656"/>
      <c r="B167" s="7704"/>
      <c r="C167" s="7747"/>
      <c r="D167" s="8026">
        <f>D163-285000000</f>
        <v>1400000000</v>
      </c>
      <c r="E167" s="8028">
        <v>0.06</v>
      </c>
      <c r="F167" s="8026">
        <f>D167*E167</f>
        <v>84000000</v>
      </c>
      <c r="G167" s="4268">
        <v>34000000</v>
      </c>
      <c r="H167" s="4268" t="s">
        <v>6386</v>
      </c>
      <c r="I167" s="4376" t="s">
        <v>3067</v>
      </c>
      <c r="J167" s="7563">
        <f>G167+G168</f>
        <v>84000000</v>
      </c>
      <c r="K167" s="7563">
        <f>F167-J167</f>
        <v>0</v>
      </c>
      <c r="L167" s="4318"/>
    </row>
    <row r="168" spans="1:12" ht="30" customHeight="1" x14ac:dyDescent="0.2">
      <c r="A168" s="7655"/>
      <c r="B168" s="7705"/>
      <c r="C168" s="7724"/>
      <c r="D168" s="8027"/>
      <c r="E168" s="8029"/>
      <c r="F168" s="8027"/>
      <c r="G168" s="4645">
        <v>50000000</v>
      </c>
      <c r="H168" s="4645" t="s">
        <v>4491</v>
      </c>
      <c r="I168" s="4661" t="s">
        <v>3067</v>
      </c>
      <c r="J168" s="7564"/>
      <c r="K168" s="7564"/>
      <c r="L168" s="4652"/>
    </row>
    <row r="169" spans="1:12" ht="30" customHeight="1" x14ac:dyDescent="0.2">
      <c r="A169" s="4272">
        <v>73</v>
      </c>
      <c r="B169" s="4338" t="s">
        <v>206</v>
      </c>
      <c r="C169" s="4300" t="s">
        <v>1293</v>
      </c>
      <c r="D169" s="4268">
        <v>20000000</v>
      </c>
      <c r="E169" s="4336">
        <v>0.05</v>
      </c>
      <c r="F169" s="4268">
        <f t="shared" si="12"/>
        <v>1000000</v>
      </c>
      <c r="G169" s="4268">
        <v>1000000</v>
      </c>
      <c r="H169" s="4268" t="s">
        <v>6220</v>
      </c>
      <c r="I169" s="4376" t="s">
        <v>4899</v>
      </c>
      <c r="J169" s="4268">
        <f>G169</f>
        <v>1000000</v>
      </c>
      <c r="K169" s="4268">
        <f>F169-J169</f>
        <v>0</v>
      </c>
      <c r="L169" s="4338"/>
    </row>
    <row r="170" spans="1:12" ht="30" customHeight="1" x14ac:dyDescent="0.2">
      <c r="A170" s="7654">
        <v>74</v>
      </c>
      <c r="B170" s="7652" t="s">
        <v>4203</v>
      </c>
      <c r="C170" s="7723" t="s">
        <v>2644</v>
      </c>
      <c r="D170" s="4268">
        <v>125000000</v>
      </c>
      <c r="E170" s="4336">
        <v>0.04</v>
      </c>
      <c r="F170" s="4268">
        <f t="shared" si="12"/>
        <v>5000000</v>
      </c>
      <c r="G170" s="7563">
        <v>10000000</v>
      </c>
      <c r="H170" s="7563" t="s">
        <v>6192</v>
      </c>
      <c r="I170" s="7563" t="s">
        <v>3067</v>
      </c>
      <c r="J170" s="7563">
        <f>G170</f>
        <v>10000000</v>
      </c>
      <c r="K170" s="7563">
        <f>(F170+F171+F172)-J170</f>
        <v>0</v>
      </c>
      <c r="L170" s="637"/>
    </row>
    <row r="171" spans="1:12" ht="30" customHeight="1" x14ac:dyDescent="0.2">
      <c r="A171" s="7656"/>
      <c r="B171" s="7665"/>
      <c r="C171" s="7747"/>
      <c r="D171" s="4268">
        <v>90000000</v>
      </c>
      <c r="E171" s="4336">
        <v>0.05</v>
      </c>
      <c r="F171" s="4268">
        <f t="shared" si="12"/>
        <v>4500000</v>
      </c>
      <c r="G171" s="7586"/>
      <c r="H171" s="7586"/>
      <c r="I171" s="7586"/>
      <c r="J171" s="7586"/>
      <c r="K171" s="7586"/>
      <c r="L171" s="180"/>
    </row>
    <row r="172" spans="1:12" ht="30" customHeight="1" x14ac:dyDescent="0.2">
      <c r="A172" s="7655"/>
      <c r="B172" s="7653"/>
      <c r="C172" s="7724"/>
      <c r="D172" s="4268">
        <v>10000000</v>
      </c>
      <c r="E172" s="4336">
        <v>0.05</v>
      </c>
      <c r="F172" s="4268">
        <f t="shared" si="12"/>
        <v>500000</v>
      </c>
      <c r="G172" s="7564"/>
      <c r="H172" s="7564"/>
      <c r="I172" s="7564"/>
      <c r="J172" s="7564"/>
      <c r="K172" s="7564"/>
      <c r="L172" s="29"/>
    </row>
    <row r="173" spans="1:12" ht="30" customHeight="1" x14ac:dyDescent="0.2">
      <c r="A173" s="4341"/>
      <c r="B173" s="4338" t="s">
        <v>4205</v>
      </c>
      <c r="C173" s="4300" t="s">
        <v>262</v>
      </c>
      <c r="D173" s="4268">
        <v>200000000</v>
      </c>
      <c r="E173" s="4336">
        <v>0.05</v>
      </c>
      <c r="F173" s="4268">
        <f t="shared" si="12"/>
        <v>10000000</v>
      </c>
      <c r="G173" s="4268">
        <v>10000000</v>
      </c>
      <c r="H173" s="4268" t="s">
        <v>6368</v>
      </c>
      <c r="I173" s="4308" t="s">
        <v>4461</v>
      </c>
      <c r="J173" s="4268">
        <f>G173</f>
        <v>10000000</v>
      </c>
      <c r="K173" s="4268">
        <f>F173-J173</f>
        <v>0</v>
      </c>
      <c r="L173" s="736"/>
    </row>
    <row r="174" spans="1:12" ht="30" customHeight="1" x14ac:dyDescent="0.2">
      <c r="A174" s="4271"/>
      <c r="B174" s="4338" t="s">
        <v>208</v>
      </c>
      <c r="C174" s="4300" t="s">
        <v>392</v>
      </c>
      <c r="D174" s="4268">
        <v>50000000</v>
      </c>
      <c r="E174" s="4336">
        <v>0.05</v>
      </c>
      <c r="F174" s="4268">
        <f t="shared" si="12"/>
        <v>2500000</v>
      </c>
      <c r="G174" s="4268">
        <v>2500000</v>
      </c>
      <c r="H174" s="4268" t="s">
        <v>6220</v>
      </c>
      <c r="I174" s="4308" t="s">
        <v>5417</v>
      </c>
      <c r="J174" s="4268">
        <f>G174</f>
        <v>2500000</v>
      </c>
      <c r="K174" s="4268">
        <f>F174-J174</f>
        <v>0</v>
      </c>
      <c r="L174" s="180"/>
    </row>
    <row r="175" spans="1:12" ht="30" customHeight="1" x14ac:dyDescent="0.2">
      <c r="A175" s="8143">
        <v>76</v>
      </c>
      <c r="B175" s="8132" t="s">
        <v>3462</v>
      </c>
      <c r="C175" s="8134" t="s">
        <v>1293</v>
      </c>
      <c r="D175" s="4812">
        <v>150000000</v>
      </c>
      <c r="E175" s="2549">
        <v>0.05</v>
      </c>
      <c r="F175" s="4812">
        <f t="shared" si="12"/>
        <v>7500000</v>
      </c>
      <c r="G175" s="4812">
        <v>7500000</v>
      </c>
      <c r="H175" s="4812" t="s">
        <v>6251</v>
      </c>
      <c r="I175" s="287" t="s">
        <v>4863</v>
      </c>
      <c r="J175" s="4812">
        <f>G175</f>
        <v>7500000</v>
      </c>
      <c r="K175" s="4812">
        <f>F175-J175</f>
        <v>0</v>
      </c>
      <c r="L175" s="4840"/>
    </row>
    <row r="176" spans="1:12" ht="30" customHeight="1" x14ac:dyDescent="0.2">
      <c r="A176" s="8144"/>
      <c r="B176" s="8133"/>
      <c r="C176" s="8135"/>
      <c r="D176" s="8139" t="s">
        <v>2045</v>
      </c>
      <c r="E176" s="8140"/>
      <c r="F176" s="8141"/>
      <c r="G176" s="4811">
        <v>150000000</v>
      </c>
      <c r="H176" s="4811" t="s">
        <v>6354</v>
      </c>
      <c r="I176" s="3357" t="s">
        <v>6615</v>
      </c>
      <c r="J176" s="4811">
        <f>G176</f>
        <v>150000000</v>
      </c>
      <c r="K176" s="4811"/>
      <c r="L176" s="4840"/>
    </row>
    <row r="177" spans="1:16" ht="30" customHeight="1" x14ac:dyDescent="0.2">
      <c r="A177" s="7654">
        <v>77</v>
      </c>
      <c r="B177" s="7652" t="s">
        <v>210</v>
      </c>
      <c r="C177" s="7723" t="s">
        <v>1717</v>
      </c>
      <c r="D177" s="4268">
        <v>30000000</v>
      </c>
      <c r="E177" s="4336">
        <v>7.0000000000000007E-2</v>
      </c>
      <c r="F177" s="4268">
        <f t="shared" si="12"/>
        <v>2100000</v>
      </c>
      <c r="G177" s="7563">
        <v>3675000</v>
      </c>
      <c r="H177" s="7563" t="s">
        <v>6192</v>
      </c>
      <c r="I177" s="7561" t="s">
        <v>4871</v>
      </c>
      <c r="J177" s="7563">
        <f>G177</f>
        <v>3675000</v>
      </c>
      <c r="K177" s="7563">
        <f>(F177+F178)-J177</f>
        <v>0</v>
      </c>
      <c r="L177" s="7713"/>
    </row>
    <row r="178" spans="1:16" ht="30" customHeight="1" x14ac:dyDescent="0.2">
      <c r="A178" s="7656"/>
      <c r="B178" s="7665"/>
      <c r="C178" s="7747"/>
      <c r="D178" s="4268">
        <v>35000000</v>
      </c>
      <c r="E178" s="4336">
        <v>4.4999999999999998E-2</v>
      </c>
      <c r="F178" s="4268">
        <f t="shared" si="12"/>
        <v>1575000</v>
      </c>
      <c r="G178" s="7564"/>
      <c r="H178" s="7564"/>
      <c r="I178" s="7562"/>
      <c r="J178" s="7564"/>
      <c r="K178" s="7564"/>
      <c r="L178" s="7714"/>
    </row>
    <row r="179" spans="1:16" ht="30" customHeight="1" x14ac:dyDescent="0.2">
      <c r="A179" s="7656"/>
      <c r="B179" s="7665"/>
      <c r="C179" s="7747"/>
      <c r="D179" s="7563">
        <v>60000000</v>
      </c>
      <c r="E179" s="7659">
        <v>5.5E-2</v>
      </c>
      <c r="F179" s="7563">
        <f t="shared" si="12"/>
        <v>3300000</v>
      </c>
      <c r="G179" s="7732" t="s">
        <v>6418</v>
      </c>
      <c r="H179" s="7733"/>
      <c r="I179" s="7733"/>
      <c r="J179" s="7734"/>
      <c r="K179" s="4645"/>
      <c r="L179" s="4656" t="s">
        <v>6417</v>
      </c>
    </row>
    <row r="180" spans="1:16" ht="30" customHeight="1" x14ac:dyDescent="0.2">
      <c r="A180" s="7656"/>
      <c r="B180" s="7665"/>
      <c r="C180" s="7747"/>
      <c r="D180" s="7586"/>
      <c r="E180" s="7676"/>
      <c r="F180" s="7586"/>
      <c r="G180" s="7732" t="s">
        <v>6642</v>
      </c>
      <c r="H180" s="7733"/>
      <c r="I180" s="7733"/>
      <c r="J180" s="7734"/>
      <c r="K180" s="4819"/>
      <c r="L180" s="4833"/>
    </row>
    <row r="181" spans="1:16" ht="30" customHeight="1" x14ac:dyDescent="0.2">
      <c r="A181" s="7656"/>
      <c r="B181" s="7665"/>
      <c r="C181" s="7747"/>
      <c r="D181" s="7586"/>
      <c r="E181" s="7676"/>
      <c r="F181" s="7586"/>
      <c r="G181" s="7732" t="s">
        <v>6640</v>
      </c>
      <c r="H181" s="7733"/>
      <c r="I181" s="7733"/>
      <c r="J181" s="7734"/>
      <c r="K181" s="4819"/>
      <c r="L181" s="4833"/>
    </row>
    <row r="182" spans="1:16" ht="30" customHeight="1" x14ac:dyDescent="0.2">
      <c r="A182" s="7655"/>
      <c r="B182" s="7653"/>
      <c r="C182" s="7724"/>
      <c r="D182" s="7564"/>
      <c r="E182" s="7660"/>
      <c r="F182" s="7564"/>
      <c r="G182" s="7732" t="s">
        <v>6641</v>
      </c>
      <c r="H182" s="7733"/>
      <c r="I182" s="7733"/>
      <c r="J182" s="7734"/>
      <c r="K182" s="4819"/>
      <c r="L182" s="4833"/>
    </row>
    <row r="183" spans="1:16" ht="30" customHeight="1" x14ac:dyDescent="0.2">
      <c r="A183" s="4341">
        <v>78</v>
      </c>
      <c r="B183" s="4338" t="s">
        <v>211</v>
      </c>
      <c r="C183" s="4300" t="s">
        <v>2644</v>
      </c>
      <c r="D183" s="4268">
        <v>45000000</v>
      </c>
      <c r="E183" s="4336">
        <v>4.2000000000000003E-2</v>
      </c>
      <c r="F183" s="4268">
        <v>1900000</v>
      </c>
      <c r="G183" s="4268">
        <v>1900000</v>
      </c>
      <c r="H183" s="4268" t="s">
        <v>6220</v>
      </c>
      <c r="I183" s="4346" t="s">
        <v>1259</v>
      </c>
      <c r="J183" s="4268">
        <f t="shared" ref="J183:J191" si="19">G183</f>
        <v>1900000</v>
      </c>
      <c r="K183" s="4268">
        <f t="shared" ref="K183:K190" si="20">F183-J183</f>
        <v>0</v>
      </c>
      <c r="L183" s="4338"/>
    </row>
    <row r="184" spans="1:16" ht="30" customHeight="1" x14ac:dyDescent="0.2">
      <c r="A184" s="7654">
        <v>80</v>
      </c>
      <c r="B184" s="7652" t="s">
        <v>182</v>
      </c>
      <c r="C184" s="7723" t="s">
        <v>1293</v>
      </c>
      <c r="D184" s="4268">
        <v>145000000</v>
      </c>
      <c r="E184" s="4336">
        <v>4.4999999999999998E-2</v>
      </c>
      <c r="F184" s="4268">
        <v>6775000</v>
      </c>
      <c r="G184" s="4268">
        <v>6775000</v>
      </c>
      <c r="H184" s="4268" t="s">
        <v>6192</v>
      </c>
      <c r="I184" s="4260" t="s">
        <v>3928</v>
      </c>
      <c r="J184" s="4268">
        <f t="shared" si="19"/>
        <v>6775000</v>
      </c>
      <c r="K184" s="4268">
        <f t="shared" si="20"/>
        <v>0</v>
      </c>
      <c r="L184" s="4463" t="s">
        <v>6212</v>
      </c>
      <c r="M184" s="366"/>
      <c r="N184" s="366"/>
      <c r="O184" s="366"/>
      <c r="P184" s="366"/>
    </row>
    <row r="185" spans="1:16" ht="30" customHeight="1" x14ac:dyDescent="0.2">
      <c r="A185" s="7655"/>
      <c r="B185" s="7653"/>
      <c r="C185" s="7724"/>
      <c r="D185" s="7470" t="s">
        <v>6614</v>
      </c>
      <c r="E185" s="7493"/>
      <c r="F185" s="7510"/>
      <c r="G185" s="4774">
        <v>45000000</v>
      </c>
      <c r="H185" s="4774" t="s">
        <v>6440</v>
      </c>
      <c r="I185" s="4791" t="s">
        <v>3928</v>
      </c>
      <c r="J185" s="4774">
        <f>G185</f>
        <v>45000000</v>
      </c>
      <c r="K185" s="4774"/>
      <c r="L185" s="4799"/>
      <c r="M185" s="366"/>
      <c r="N185" s="366"/>
      <c r="O185" s="366"/>
      <c r="P185" s="366"/>
    </row>
    <row r="186" spans="1:16" ht="30" customHeight="1" x14ac:dyDescent="0.2">
      <c r="A186" s="4341">
        <v>81</v>
      </c>
      <c r="B186" s="4338" t="s">
        <v>213</v>
      </c>
      <c r="C186" s="4300"/>
      <c r="D186" s="4268">
        <v>5000000</v>
      </c>
      <c r="E186" s="4336">
        <v>0.04</v>
      </c>
      <c r="F186" s="4268">
        <f t="shared" si="12"/>
        <v>200000</v>
      </c>
      <c r="G186" s="4268">
        <v>200000</v>
      </c>
      <c r="H186" s="4268" t="s">
        <v>6223</v>
      </c>
      <c r="I186" s="4376" t="s">
        <v>1363</v>
      </c>
      <c r="J186" s="4268">
        <f t="shared" si="19"/>
        <v>200000</v>
      </c>
      <c r="K186" s="4268">
        <f t="shared" si="20"/>
        <v>0</v>
      </c>
      <c r="L186" s="4338"/>
      <c r="M186" s="366"/>
      <c r="N186" s="366"/>
      <c r="O186" s="366"/>
      <c r="P186" s="366"/>
    </row>
    <row r="187" spans="1:16" ht="30" customHeight="1" x14ac:dyDescent="0.2">
      <c r="A187" s="4459">
        <v>82</v>
      </c>
      <c r="B187" s="4460" t="s">
        <v>214</v>
      </c>
      <c r="C187" s="4461" t="s">
        <v>2644</v>
      </c>
      <c r="D187" s="4268">
        <v>16000000</v>
      </c>
      <c r="E187" s="4336">
        <v>0.05</v>
      </c>
      <c r="F187" s="4268">
        <f t="shared" si="12"/>
        <v>800000</v>
      </c>
      <c r="G187" s="4268">
        <v>11000000</v>
      </c>
      <c r="H187" s="4268" t="s">
        <v>6192</v>
      </c>
      <c r="I187" s="4346" t="s">
        <v>5734</v>
      </c>
      <c r="J187" s="4268">
        <f t="shared" si="19"/>
        <v>11000000</v>
      </c>
      <c r="K187" s="4268">
        <f t="shared" si="20"/>
        <v>-10200000</v>
      </c>
      <c r="L187" s="4463" t="s">
        <v>1983</v>
      </c>
      <c r="M187" s="366"/>
      <c r="N187" s="366"/>
      <c r="O187" s="366"/>
      <c r="P187" s="366"/>
    </row>
    <row r="188" spans="1:16" ht="30" customHeight="1" x14ac:dyDescent="0.2">
      <c r="A188" s="7654">
        <v>83</v>
      </c>
      <c r="B188" s="7652" t="s">
        <v>215</v>
      </c>
      <c r="C188" s="7723" t="s">
        <v>889</v>
      </c>
      <c r="D188" s="7563">
        <v>160000000</v>
      </c>
      <c r="E188" s="7659">
        <v>0.05</v>
      </c>
      <c r="F188" s="7563">
        <f>D188*E188</f>
        <v>8000000</v>
      </c>
      <c r="G188" s="4268"/>
      <c r="H188" s="4268"/>
      <c r="I188" s="4260" t="s">
        <v>3982</v>
      </c>
      <c r="J188" s="4268">
        <f t="shared" si="19"/>
        <v>0</v>
      </c>
      <c r="K188" s="4268">
        <f t="shared" si="20"/>
        <v>8000000</v>
      </c>
      <c r="L188" s="29"/>
      <c r="M188" s="366"/>
      <c r="N188" s="366"/>
      <c r="O188" s="366"/>
      <c r="P188" s="366"/>
    </row>
    <row r="189" spans="1:16" ht="30" customHeight="1" x14ac:dyDescent="0.2">
      <c r="A189" s="7655"/>
      <c r="B189" s="7653"/>
      <c r="C189" s="7724"/>
      <c r="D189" s="7564"/>
      <c r="E189" s="7660"/>
      <c r="F189" s="7564"/>
      <c r="G189" s="4268"/>
      <c r="H189" s="4268"/>
      <c r="I189" s="4260" t="s">
        <v>3982</v>
      </c>
      <c r="J189" s="4268">
        <f>G189</f>
        <v>0</v>
      </c>
      <c r="K189" s="4268">
        <f>F188-J189</f>
        <v>8000000</v>
      </c>
      <c r="L189" s="29"/>
      <c r="M189" s="366"/>
      <c r="N189" s="366"/>
      <c r="O189" s="366"/>
      <c r="P189" s="366"/>
    </row>
    <row r="190" spans="1:16" ht="30" customHeight="1" x14ac:dyDescent="0.2">
      <c r="A190" s="4341">
        <v>84</v>
      </c>
      <c r="B190" s="4338" t="s">
        <v>216</v>
      </c>
      <c r="C190" s="4300"/>
      <c r="D190" s="4268">
        <v>400000000</v>
      </c>
      <c r="E190" s="4336">
        <v>6.0999999999999999E-2</v>
      </c>
      <c r="F190" s="4268">
        <f t="shared" si="12"/>
        <v>24400000</v>
      </c>
      <c r="G190" s="4268">
        <v>24400000</v>
      </c>
      <c r="H190" s="4268" t="s">
        <v>6220</v>
      </c>
      <c r="I190" s="4346" t="s">
        <v>1553</v>
      </c>
      <c r="J190" s="4268">
        <f t="shared" si="19"/>
        <v>24400000</v>
      </c>
      <c r="K190" s="4268">
        <f t="shared" si="20"/>
        <v>0</v>
      </c>
      <c r="L190" s="4338"/>
      <c r="M190" s="366"/>
      <c r="N190" s="366"/>
      <c r="O190" s="366"/>
      <c r="P190" s="366"/>
    </row>
    <row r="191" spans="1:16" ht="30" customHeight="1" x14ac:dyDescent="0.2">
      <c r="A191" s="7654"/>
      <c r="B191" s="7652" t="s">
        <v>975</v>
      </c>
      <c r="C191" s="7723" t="s">
        <v>889</v>
      </c>
      <c r="D191" s="4260">
        <v>850000000</v>
      </c>
      <c r="E191" s="4336">
        <v>0.06</v>
      </c>
      <c r="F191" s="4260">
        <v>52400000</v>
      </c>
      <c r="G191" s="4260"/>
      <c r="H191" s="4260"/>
      <c r="I191" s="4260" t="s">
        <v>4150</v>
      </c>
      <c r="J191" s="4260">
        <f t="shared" si="19"/>
        <v>0</v>
      </c>
      <c r="K191" s="4260">
        <f>F191-J191</f>
        <v>52400000</v>
      </c>
      <c r="L191" s="4299"/>
      <c r="M191" s="366"/>
      <c r="N191" s="366"/>
      <c r="O191" s="366"/>
      <c r="P191" s="366"/>
    </row>
    <row r="192" spans="1:16" ht="30" customHeight="1" x14ac:dyDescent="0.2">
      <c r="A192" s="7656"/>
      <c r="B192" s="7665"/>
      <c r="C192" s="7747"/>
      <c r="D192" s="4260">
        <v>90000000</v>
      </c>
      <c r="E192" s="4336">
        <v>0.06</v>
      </c>
      <c r="F192" s="4260">
        <f>D192*E192</f>
        <v>5400000</v>
      </c>
      <c r="G192" s="7470"/>
      <c r="H192" s="7493"/>
      <c r="I192" s="7493"/>
      <c r="J192" s="7510"/>
      <c r="K192" s="4260"/>
      <c r="L192" s="4331" t="s">
        <v>5405</v>
      </c>
      <c r="M192" s="366"/>
      <c r="N192" s="366"/>
      <c r="O192" s="366"/>
      <c r="P192" s="366"/>
    </row>
    <row r="193" spans="1:16" ht="30" customHeight="1" x14ac:dyDescent="0.2">
      <c r="A193" s="7656"/>
      <c r="B193" s="7665"/>
      <c r="C193" s="7747"/>
      <c r="D193" s="4265">
        <v>940000000</v>
      </c>
      <c r="E193" s="4388">
        <f>F193/D193</f>
        <v>6.1489361702127661E-2</v>
      </c>
      <c r="F193" s="4265">
        <f>SUM(F191:F192)</f>
        <v>57800000</v>
      </c>
      <c r="G193" s="7732"/>
      <c r="H193" s="7733"/>
      <c r="I193" s="7733"/>
      <c r="J193" s="7734"/>
      <c r="K193" s="4260"/>
      <c r="L193" s="4331" t="s">
        <v>6205</v>
      </c>
      <c r="M193" s="366"/>
      <c r="N193" s="366"/>
      <c r="O193" s="366"/>
      <c r="P193" s="366"/>
    </row>
    <row r="194" spans="1:16" ht="30" customHeight="1" x14ac:dyDescent="0.2">
      <c r="A194" s="7656"/>
      <c r="B194" s="7665"/>
      <c r="C194" s="7747"/>
      <c r="D194" s="4440">
        <v>57800000</v>
      </c>
      <c r="E194" s="4458"/>
      <c r="F194" s="4440"/>
      <c r="G194" s="4449"/>
      <c r="H194" s="4450"/>
      <c r="I194" s="4450"/>
      <c r="J194" s="4451"/>
      <c r="K194" s="4440"/>
      <c r="L194" s="735" t="s">
        <v>6206</v>
      </c>
      <c r="M194" s="366"/>
      <c r="N194" s="366"/>
      <c r="O194" s="366"/>
      <c r="P194" s="366"/>
    </row>
    <row r="195" spans="1:16" ht="30" customHeight="1" x14ac:dyDescent="0.2">
      <c r="A195" s="7656"/>
      <c r="B195" s="7665"/>
      <c r="C195" s="7747"/>
      <c r="D195" s="4440">
        <v>40000000</v>
      </c>
      <c r="E195" s="4458"/>
      <c r="F195" s="4440"/>
      <c r="G195" s="4449"/>
      <c r="H195" s="4450"/>
      <c r="I195" s="4450"/>
      <c r="J195" s="4451"/>
      <c r="K195" s="4440"/>
      <c r="L195" s="378" t="s">
        <v>6218</v>
      </c>
      <c r="M195" s="366"/>
      <c r="N195" s="366"/>
      <c r="O195" s="366"/>
      <c r="P195" s="366"/>
    </row>
    <row r="196" spans="1:16" ht="30" customHeight="1" x14ac:dyDescent="0.2">
      <c r="A196" s="7656"/>
      <c r="B196" s="7665"/>
      <c r="C196" s="7747"/>
      <c r="D196" s="4440">
        <v>14200000</v>
      </c>
      <c r="E196" s="4458"/>
      <c r="F196" s="4440"/>
      <c r="G196" s="4449"/>
      <c r="H196" s="4450"/>
      <c r="I196" s="4450"/>
      <c r="J196" s="4451"/>
      <c r="K196" s="4440"/>
      <c r="L196" s="735" t="s">
        <v>6207</v>
      </c>
      <c r="M196" s="366"/>
      <c r="N196" s="366"/>
      <c r="O196" s="366"/>
      <c r="P196" s="366"/>
    </row>
    <row r="197" spans="1:16" ht="30" customHeight="1" x14ac:dyDescent="0.2">
      <c r="A197" s="7656"/>
      <c r="B197" s="7665"/>
      <c r="C197" s="7747"/>
      <c r="D197" s="4440">
        <v>28000000</v>
      </c>
      <c r="E197" s="4458"/>
      <c r="F197" s="4440"/>
      <c r="G197" s="4449"/>
      <c r="H197" s="4450"/>
      <c r="I197" s="4450"/>
      <c r="J197" s="4451"/>
      <c r="K197" s="4440"/>
      <c r="L197" s="4463" t="s">
        <v>6204</v>
      </c>
      <c r="M197" s="366"/>
      <c r="N197" s="366"/>
      <c r="O197" s="366"/>
      <c r="P197" s="366"/>
    </row>
    <row r="198" spans="1:16" ht="30" customHeight="1" x14ac:dyDescent="0.2">
      <c r="A198" s="7655"/>
      <c r="B198" s="7653"/>
      <c r="C198" s="7724"/>
      <c r="D198" s="4441">
        <v>1080000000</v>
      </c>
      <c r="E198" s="4474">
        <v>7.0000000000000007E-2</v>
      </c>
      <c r="F198" s="4441">
        <f>D198*E198</f>
        <v>75600000</v>
      </c>
      <c r="G198" s="7732"/>
      <c r="H198" s="7733"/>
      <c r="I198" s="7733"/>
      <c r="J198" s="7734"/>
      <c r="K198" s="4260"/>
      <c r="L198" s="4331"/>
      <c r="M198" s="366"/>
      <c r="N198" s="366"/>
      <c r="O198" s="366"/>
      <c r="P198" s="366"/>
    </row>
    <row r="199" spans="1:16" ht="30" customHeight="1" x14ac:dyDescent="0.2">
      <c r="A199" s="7654">
        <v>86</v>
      </c>
      <c r="B199" s="7652" t="s">
        <v>217</v>
      </c>
      <c r="C199" s="7723" t="s">
        <v>889</v>
      </c>
      <c r="D199" s="4260">
        <v>131000000</v>
      </c>
      <c r="E199" s="4336">
        <v>0.05</v>
      </c>
      <c r="F199" s="4260">
        <f t="shared" ref="F199" si="21">D199*E199</f>
        <v>6550000</v>
      </c>
      <c r="G199" s="4260">
        <v>3550000</v>
      </c>
      <c r="H199" s="4260" t="s">
        <v>6152</v>
      </c>
      <c r="I199" s="4260" t="s">
        <v>3971</v>
      </c>
      <c r="J199" s="4260">
        <f>G199</f>
        <v>3550000</v>
      </c>
      <c r="K199" s="4260"/>
      <c r="L199" s="180"/>
      <c r="M199" s="366"/>
      <c r="N199" s="366"/>
      <c r="O199" s="366"/>
      <c r="P199" s="366"/>
    </row>
    <row r="200" spans="1:16" ht="30" customHeight="1" x14ac:dyDescent="0.2">
      <c r="A200" s="7655"/>
      <c r="B200" s="7653"/>
      <c r="C200" s="7724"/>
      <c r="D200" s="4404">
        <v>3000000</v>
      </c>
      <c r="E200" s="4407"/>
      <c r="F200" s="4404"/>
      <c r="G200" s="7732" t="s">
        <v>6153</v>
      </c>
      <c r="H200" s="7733"/>
      <c r="I200" s="7733"/>
      <c r="J200" s="7734"/>
      <c r="K200" s="4400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4338" t="s">
        <v>174</v>
      </c>
      <c r="C201" s="4337" t="s">
        <v>889</v>
      </c>
      <c r="D201" s="4268">
        <v>793000000</v>
      </c>
      <c r="E201" s="4274">
        <v>6.6000000000000003E-2</v>
      </c>
      <c r="F201" s="4268">
        <v>52300000</v>
      </c>
      <c r="G201" s="4260">
        <v>52300000</v>
      </c>
      <c r="H201" s="4260" t="s">
        <v>6220</v>
      </c>
      <c r="I201" s="4260" t="s">
        <v>3061</v>
      </c>
      <c r="J201" s="4260">
        <f>G201</f>
        <v>52300000</v>
      </c>
      <c r="K201" s="4260">
        <f>F201-J201</f>
        <v>0</v>
      </c>
      <c r="L201" s="4339"/>
      <c r="M201" s="2927"/>
      <c r="N201" s="2927"/>
      <c r="O201" s="2927"/>
      <c r="P201" s="2299"/>
    </row>
    <row r="202" spans="1:16" ht="30" customHeight="1" x14ac:dyDescent="0.2">
      <c r="A202" s="4341">
        <v>88</v>
      </c>
      <c r="B202" s="4338" t="s">
        <v>218</v>
      </c>
      <c r="C202" s="4300" t="s">
        <v>1295</v>
      </c>
      <c r="D202" s="4268">
        <v>100000000</v>
      </c>
      <c r="E202" s="4336">
        <v>0.06</v>
      </c>
      <c r="F202" s="4268">
        <f>D202*E202</f>
        <v>6000000</v>
      </c>
      <c r="G202" s="4268">
        <v>6000000</v>
      </c>
      <c r="H202" s="4268" t="s">
        <v>6152</v>
      </c>
      <c r="I202" s="18" t="s">
        <v>4866</v>
      </c>
      <c r="J202" s="4268">
        <f>G202</f>
        <v>6000000</v>
      </c>
      <c r="K202" s="4268">
        <f>F202-J202</f>
        <v>0</v>
      </c>
      <c r="L202" s="4338"/>
      <c r="M202" s="366"/>
      <c r="N202" s="366"/>
      <c r="O202" s="366"/>
      <c r="P202" s="366"/>
    </row>
    <row r="203" spans="1:16" ht="30" customHeight="1" x14ac:dyDescent="0.2">
      <c r="A203" s="7654">
        <v>89</v>
      </c>
      <c r="B203" s="7652" t="s">
        <v>219</v>
      </c>
      <c r="C203" s="7723" t="s">
        <v>1293</v>
      </c>
      <c r="D203" s="4260">
        <v>93000000</v>
      </c>
      <c r="E203" s="4336">
        <v>7.0000000000000007E-2</v>
      </c>
      <c r="F203" s="4260">
        <v>6500000</v>
      </c>
      <c r="G203" s="7924">
        <v>40200000</v>
      </c>
      <c r="H203" s="7924" t="s">
        <v>6220</v>
      </c>
      <c r="I203" s="7924" t="s">
        <v>2666</v>
      </c>
      <c r="J203" s="7924">
        <f>G203</f>
        <v>40200000</v>
      </c>
      <c r="K203" s="7563">
        <f>F208-J203</f>
        <v>0</v>
      </c>
      <c r="L203" s="29"/>
      <c r="M203" s="366"/>
      <c r="N203" s="366"/>
      <c r="O203" s="366"/>
      <c r="P203" s="366"/>
    </row>
    <row r="204" spans="1:16" ht="30" customHeight="1" x14ac:dyDescent="0.2">
      <c r="A204" s="7656"/>
      <c r="B204" s="7665"/>
      <c r="C204" s="7747"/>
      <c r="D204" s="4260">
        <v>450000000</v>
      </c>
      <c r="E204" s="4336">
        <v>5.1999999999999998E-2</v>
      </c>
      <c r="F204" s="4268">
        <v>23500000</v>
      </c>
      <c r="G204" s="8234"/>
      <c r="H204" s="8234"/>
      <c r="I204" s="8234"/>
      <c r="J204" s="8234"/>
      <c r="K204" s="7586"/>
      <c r="L204" s="29" t="s">
        <v>6003</v>
      </c>
      <c r="M204" s="366"/>
      <c r="N204" s="366"/>
      <c r="O204" s="366"/>
      <c r="P204" s="366"/>
    </row>
    <row r="205" spans="1:16" ht="30" customHeight="1" x14ac:dyDescent="0.2">
      <c r="A205" s="7656"/>
      <c r="B205" s="7665"/>
      <c r="C205" s="7747"/>
      <c r="D205" s="7470" t="s">
        <v>5866</v>
      </c>
      <c r="E205" s="7510"/>
      <c r="F205" s="4268">
        <v>1200000</v>
      </c>
      <c r="G205" s="8234"/>
      <c r="H205" s="8234"/>
      <c r="I205" s="8234"/>
      <c r="J205" s="8234"/>
      <c r="K205" s="7586"/>
      <c r="L205" s="29" t="s">
        <v>6004</v>
      </c>
      <c r="M205" s="366"/>
      <c r="N205" s="366"/>
      <c r="O205" s="366"/>
      <c r="P205" s="366"/>
    </row>
    <row r="206" spans="1:16" ht="30" customHeight="1" x14ac:dyDescent="0.2">
      <c r="A206" s="7656"/>
      <c r="B206" s="7665"/>
      <c r="C206" s="7747"/>
      <c r="D206" s="4268">
        <v>100000000</v>
      </c>
      <c r="E206" s="4336">
        <v>0.06</v>
      </c>
      <c r="F206" s="4268">
        <f>D206*E206</f>
        <v>6000000</v>
      </c>
      <c r="G206" s="8234"/>
      <c r="H206" s="8234"/>
      <c r="I206" s="8234"/>
      <c r="J206" s="8234"/>
      <c r="K206" s="7586"/>
      <c r="L206" s="29"/>
      <c r="M206" s="366"/>
      <c r="N206" s="366"/>
      <c r="O206" s="366"/>
      <c r="P206" s="366"/>
    </row>
    <row r="207" spans="1:16" ht="30" customHeight="1" x14ac:dyDescent="0.2">
      <c r="A207" s="7656"/>
      <c r="B207" s="7665"/>
      <c r="C207" s="7747"/>
      <c r="D207" s="4268">
        <v>50000000</v>
      </c>
      <c r="E207" s="4336">
        <v>0.06</v>
      </c>
      <c r="F207" s="4268">
        <f>D207*E207</f>
        <v>3000000</v>
      </c>
      <c r="G207" s="8234"/>
      <c r="H207" s="8234"/>
      <c r="I207" s="8234"/>
      <c r="J207" s="8234"/>
      <c r="K207" s="7586"/>
      <c r="L207" s="180"/>
      <c r="M207" s="366"/>
      <c r="N207" s="366"/>
      <c r="O207" s="366"/>
      <c r="P207" s="366"/>
    </row>
    <row r="208" spans="1:16" ht="30" customHeight="1" x14ac:dyDescent="0.2">
      <c r="A208" s="7655"/>
      <c r="B208" s="7653"/>
      <c r="C208" s="7724"/>
      <c r="D208" s="4357">
        <f>D203+D204+D206+D207</f>
        <v>693000000</v>
      </c>
      <c r="E208" s="896"/>
      <c r="F208" s="4357">
        <f>SUM(F203:F207)</f>
        <v>40200000</v>
      </c>
      <c r="G208" s="7925"/>
      <c r="H208" s="7925"/>
      <c r="I208" s="7925"/>
      <c r="J208" s="7925"/>
      <c r="K208" s="7564"/>
      <c r="L208" s="180"/>
      <c r="M208" s="366"/>
      <c r="N208" s="366"/>
      <c r="O208" s="366"/>
      <c r="P208" s="366"/>
    </row>
    <row r="209" spans="1:16" ht="30" customHeight="1" x14ac:dyDescent="0.2">
      <c r="A209" s="7654">
        <v>90</v>
      </c>
      <c r="B209" s="7703" t="s">
        <v>220</v>
      </c>
      <c r="C209" s="7723" t="s">
        <v>1172</v>
      </c>
      <c r="D209" s="4268">
        <v>130000000</v>
      </c>
      <c r="E209" s="4336">
        <v>7.0000000000000007E-2</v>
      </c>
      <c r="F209" s="4268">
        <f>D209*E209</f>
        <v>9100000</v>
      </c>
      <c r="G209" s="8105" t="s">
        <v>6206</v>
      </c>
      <c r="H209" s="8106"/>
      <c r="I209" s="8106"/>
      <c r="J209" s="8107"/>
      <c r="K209" s="7563">
        <f>(F209+F210)-J209</f>
        <v>14460000</v>
      </c>
      <c r="L209" s="345" t="s">
        <v>6741</v>
      </c>
      <c r="M209" s="366"/>
      <c r="N209" s="366"/>
      <c r="O209" s="366"/>
      <c r="P209" s="366"/>
    </row>
    <row r="210" spans="1:16" ht="30" customHeight="1" x14ac:dyDescent="0.2">
      <c r="A210" s="7656"/>
      <c r="B210" s="7704"/>
      <c r="C210" s="7747"/>
      <c r="D210" s="4268">
        <v>100000000</v>
      </c>
      <c r="E210" s="4336">
        <v>5.3999999999999999E-2</v>
      </c>
      <c r="F210" s="4268">
        <v>5360000</v>
      </c>
      <c r="G210" s="8111"/>
      <c r="H210" s="8112"/>
      <c r="I210" s="8112"/>
      <c r="J210" s="8113"/>
      <c r="K210" s="7564"/>
      <c r="L210" s="710" t="s">
        <v>6742</v>
      </c>
      <c r="M210" s="366"/>
      <c r="N210" s="366"/>
      <c r="O210" s="366"/>
      <c r="P210" s="366"/>
    </row>
    <row r="211" spans="1:16" ht="30" customHeight="1" x14ac:dyDescent="0.2">
      <c r="A211" s="7655"/>
      <c r="B211" s="7705"/>
      <c r="C211" s="7724"/>
      <c r="D211" s="5161">
        <v>14460000</v>
      </c>
      <c r="E211" s="5174">
        <v>0.06</v>
      </c>
      <c r="F211" s="5161">
        <f>D211*E211</f>
        <v>867600</v>
      </c>
      <c r="G211" s="5160"/>
      <c r="H211" s="5160"/>
      <c r="I211" s="5162"/>
      <c r="J211" s="5160"/>
      <c r="K211" s="5160"/>
      <c r="L211" s="735"/>
      <c r="M211" s="366"/>
      <c r="N211" s="366"/>
      <c r="O211" s="366"/>
      <c r="P211" s="366"/>
    </row>
    <row r="212" spans="1:16" ht="30" customHeight="1" x14ac:dyDescent="0.2">
      <c r="A212" s="7654">
        <v>91</v>
      </c>
      <c r="B212" s="7652" t="s">
        <v>4466</v>
      </c>
      <c r="C212" s="7723"/>
      <c r="D212" s="4268">
        <v>50000000</v>
      </c>
      <c r="E212" s="4336">
        <v>0.05</v>
      </c>
      <c r="F212" s="4268">
        <f t="shared" si="12"/>
        <v>2500000</v>
      </c>
      <c r="G212" s="7563">
        <v>14000000</v>
      </c>
      <c r="H212" s="7563" t="s">
        <v>6251</v>
      </c>
      <c r="I212" s="7772" t="s">
        <v>4464</v>
      </c>
      <c r="J212" s="7563">
        <f>G212</f>
        <v>14000000</v>
      </c>
      <c r="K212" s="7563">
        <f>(F212+F213+F214)-J212</f>
        <v>0</v>
      </c>
      <c r="L212" s="7713"/>
      <c r="M212" s="366"/>
      <c r="N212" s="366"/>
      <c r="O212" s="366"/>
      <c r="P212" s="366"/>
    </row>
    <row r="213" spans="1:16" ht="30" customHeight="1" x14ac:dyDescent="0.2">
      <c r="A213" s="7656"/>
      <c r="B213" s="7665"/>
      <c r="C213" s="7747"/>
      <c r="D213" s="4268">
        <v>30000000</v>
      </c>
      <c r="E213" s="4336">
        <v>0.05</v>
      </c>
      <c r="F213" s="4268">
        <f t="shared" ref="F213:F219" si="22">D213*E213</f>
        <v>1500000</v>
      </c>
      <c r="G213" s="7586"/>
      <c r="H213" s="7586"/>
      <c r="I213" s="8185"/>
      <c r="J213" s="7586"/>
      <c r="K213" s="7586"/>
      <c r="L213" s="7797"/>
      <c r="M213" s="366"/>
      <c r="N213" s="366"/>
      <c r="O213" s="366"/>
      <c r="P213" s="366"/>
    </row>
    <row r="214" spans="1:16" ht="30" customHeight="1" x14ac:dyDescent="0.2">
      <c r="A214" s="7655"/>
      <c r="B214" s="7653"/>
      <c r="C214" s="7724"/>
      <c r="D214" s="4268">
        <v>200000000</v>
      </c>
      <c r="E214" s="4336">
        <v>0.05</v>
      </c>
      <c r="F214" s="4268">
        <f t="shared" si="22"/>
        <v>10000000</v>
      </c>
      <c r="G214" s="7564"/>
      <c r="H214" s="7564"/>
      <c r="I214" s="7773"/>
      <c r="J214" s="7564"/>
      <c r="K214" s="7564"/>
      <c r="L214" s="7714"/>
      <c r="M214" s="366"/>
      <c r="N214" s="366"/>
      <c r="O214" s="366"/>
      <c r="P214" s="366"/>
    </row>
    <row r="215" spans="1:16" ht="30" customHeight="1" x14ac:dyDescent="0.2">
      <c r="A215" s="7654">
        <v>92</v>
      </c>
      <c r="B215" s="7652" t="s">
        <v>749</v>
      </c>
      <c r="C215" s="7723" t="s">
        <v>889</v>
      </c>
      <c r="D215" s="4260">
        <v>50000000</v>
      </c>
      <c r="E215" s="4336">
        <v>7.0000000000000007E-2</v>
      </c>
      <c r="F215" s="4260">
        <f t="shared" si="22"/>
        <v>3500000.0000000005</v>
      </c>
      <c r="G215" s="7563">
        <v>18350000</v>
      </c>
      <c r="H215" s="7563" t="s">
        <v>6152</v>
      </c>
      <c r="I215" s="7561" t="s">
        <v>3009</v>
      </c>
      <c r="J215" s="7563">
        <f>G215</f>
        <v>18350000</v>
      </c>
      <c r="K215" s="7563"/>
      <c r="L215" s="4334"/>
      <c r="M215" s="366"/>
      <c r="N215" s="366"/>
      <c r="O215" s="366"/>
      <c r="P215" s="366"/>
    </row>
    <row r="216" spans="1:16" ht="30" customHeight="1" x14ac:dyDescent="0.2">
      <c r="A216" s="7656"/>
      <c r="B216" s="7665"/>
      <c r="C216" s="7747"/>
      <c r="D216" s="4578">
        <v>270000000</v>
      </c>
      <c r="E216" s="4579">
        <v>0.05</v>
      </c>
      <c r="F216" s="4577">
        <f t="shared" si="22"/>
        <v>13500000</v>
      </c>
      <c r="G216" s="7586"/>
      <c r="H216" s="7586"/>
      <c r="I216" s="7672"/>
      <c r="J216" s="7586"/>
      <c r="K216" s="7586"/>
      <c r="L216" s="4580"/>
      <c r="M216" s="366"/>
      <c r="N216" s="366"/>
      <c r="O216" s="366"/>
      <c r="P216" s="366"/>
    </row>
    <row r="217" spans="1:16" ht="30" customHeight="1" x14ac:dyDescent="0.2">
      <c r="A217" s="7656"/>
      <c r="B217" s="7665"/>
      <c r="C217" s="7747"/>
      <c r="D217" s="4557">
        <v>30000000</v>
      </c>
      <c r="E217" s="4559">
        <v>0.05</v>
      </c>
      <c r="F217" s="4549">
        <f t="shared" si="22"/>
        <v>1500000</v>
      </c>
      <c r="G217" s="7564"/>
      <c r="H217" s="7564"/>
      <c r="I217" s="7562"/>
      <c r="J217" s="7564"/>
      <c r="K217" s="7564"/>
      <c r="L217" s="2013" t="s">
        <v>5871</v>
      </c>
      <c r="M217" s="366"/>
      <c r="N217" s="366"/>
      <c r="O217" s="366"/>
      <c r="P217" s="366"/>
    </row>
    <row r="218" spans="1:16" ht="30" customHeight="1" x14ac:dyDescent="0.2">
      <c r="A218" s="7656"/>
      <c r="B218" s="7665"/>
      <c r="C218" s="7747"/>
      <c r="D218" s="4546">
        <v>20000000</v>
      </c>
      <c r="E218" s="4554">
        <v>0.05</v>
      </c>
      <c r="F218" s="4546">
        <f t="shared" si="22"/>
        <v>1000000</v>
      </c>
      <c r="G218" s="4545"/>
      <c r="H218" s="4545"/>
      <c r="I218" s="4553"/>
      <c r="J218" s="4545"/>
      <c r="K218" s="4545"/>
      <c r="L218" s="2013" t="s">
        <v>6326</v>
      </c>
      <c r="M218" s="366"/>
      <c r="N218" s="366"/>
      <c r="O218" s="366"/>
      <c r="P218" s="366"/>
    </row>
    <row r="219" spans="1:16" ht="30" customHeight="1" x14ac:dyDescent="0.2">
      <c r="A219" s="7656"/>
      <c r="B219" s="7665"/>
      <c r="C219" s="7724"/>
      <c r="D219" s="4546">
        <v>150000000</v>
      </c>
      <c r="E219" s="4554">
        <v>0.05</v>
      </c>
      <c r="F219" s="4546">
        <f t="shared" si="22"/>
        <v>7500000</v>
      </c>
      <c r="G219" s="4545"/>
      <c r="H219" s="4545"/>
      <c r="I219" s="4553"/>
      <c r="J219" s="4545"/>
      <c r="K219" s="4545"/>
      <c r="L219" s="2013" t="s">
        <v>6325</v>
      </c>
      <c r="M219" s="366"/>
      <c r="N219" s="366"/>
      <c r="O219" s="366"/>
      <c r="P219" s="366"/>
    </row>
    <row r="220" spans="1:16" ht="30" customHeight="1" x14ac:dyDescent="0.2">
      <c r="A220" s="7656"/>
      <c r="B220" s="7665"/>
      <c r="C220" s="7723" t="s">
        <v>1287</v>
      </c>
      <c r="D220" s="4268">
        <v>273000000</v>
      </c>
      <c r="E220" s="4274">
        <f>F220/D220</f>
        <v>5.4615384615384614E-2</v>
      </c>
      <c r="F220" s="4268">
        <v>14910000</v>
      </c>
      <c r="G220" s="7563">
        <v>19910000</v>
      </c>
      <c r="H220" s="7563" t="s">
        <v>6512</v>
      </c>
      <c r="I220" s="7563" t="s">
        <v>3009</v>
      </c>
      <c r="J220" s="7563">
        <f>G220</f>
        <v>19910000</v>
      </c>
      <c r="K220" s="7563">
        <f>(F220+F221)-J220</f>
        <v>0</v>
      </c>
      <c r="L220" s="180"/>
      <c r="M220" s="366"/>
      <c r="N220" s="366"/>
      <c r="O220" s="366"/>
      <c r="P220" s="366"/>
    </row>
    <row r="221" spans="1:16" ht="30" customHeight="1" x14ac:dyDescent="0.2">
      <c r="A221" s="7656"/>
      <c r="B221" s="7665"/>
      <c r="C221" s="7747"/>
      <c r="D221" s="4816">
        <v>100000000</v>
      </c>
      <c r="E221" s="4830">
        <v>0.05</v>
      </c>
      <c r="F221" s="4816">
        <f>D221*E221</f>
        <v>5000000</v>
      </c>
      <c r="G221" s="7564"/>
      <c r="H221" s="7586"/>
      <c r="I221" s="7586"/>
      <c r="J221" s="7564"/>
      <c r="K221" s="7564"/>
      <c r="L221" s="180"/>
      <c r="M221" s="366"/>
      <c r="N221" s="366"/>
      <c r="O221" s="366"/>
      <c r="P221" s="366"/>
    </row>
    <row r="222" spans="1:16" ht="30" customHeight="1" x14ac:dyDescent="0.2">
      <c r="A222" s="7655"/>
      <c r="B222" s="7653"/>
      <c r="C222" s="7724"/>
      <c r="D222" s="4831">
        <v>10000000</v>
      </c>
      <c r="E222" s="4825"/>
      <c r="F222" s="4818"/>
      <c r="G222" s="4819"/>
      <c r="H222" s="4816"/>
      <c r="I222" s="4816"/>
      <c r="J222" s="4819"/>
      <c r="K222" s="4819"/>
      <c r="L222" s="180" t="s">
        <v>6647</v>
      </c>
      <c r="M222" s="366"/>
      <c r="N222" s="366"/>
      <c r="O222" s="366"/>
      <c r="P222" s="366"/>
    </row>
    <row r="223" spans="1:16" ht="30" customHeight="1" x14ac:dyDescent="0.2">
      <c r="A223" s="4271"/>
      <c r="B223" s="4278" t="s">
        <v>222</v>
      </c>
      <c r="C223" s="4337" t="s">
        <v>889</v>
      </c>
      <c r="D223" s="4260">
        <v>40000000</v>
      </c>
      <c r="E223" s="4336">
        <v>5.5E-2</v>
      </c>
      <c r="F223" s="4260">
        <f>D223*E223</f>
        <v>2200000</v>
      </c>
      <c r="G223" s="4260">
        <v>2200000</v>
      </c>
      <c r="H223" s="4260" t="s">
        <v>6152</v>
      </c>
      <c r="I223" s="4260" t="s">
        <v>4582</v>
      </c>
      <c r="J223" s="4260">
        <f>F223</f>
        <v>2200000</v>
      </c>
      <c r="K223" s="4260">
        <f>F223-J223</f>
        <v>0</v>
      </c>
      <c r="L223" s="2013"/>
      <c r="M223" s="366"/>
      <c r="N223" s="366"/>
      <c r="O223" s="366"/>
      <c r="P223" s="366"/>
    </row>
    <row r="224" spans="1:16" ht="30" customHeight="1" x14ac:dyDescent="0.2">
      <c r="A224" s="4341">
        <v>94</v>
      </c>
      <c r="B224" s="4338" t="s">
        <v>1144</v>
      </c>
      <c r="C224" s="4300"/>
      <c r="D224" s="4268">
        <v>25000000</v>
      </c>
      <c r="E224" s="4336">
        <v>0.04</v>
      </c>
      <c r="F224" s="4268">
        <f>D224*E224</f>
        <v>1000000</v>
      </c>
      <c r="G224" s="4268">
        <v>1000000</v>
      </c>
      <c r="H224" s="4268" t="s">
        <v>6223</v>
      </c>
      <c r="I224" s="4376" t="s">
        <v>1146</v>
      </c>
      <c r="J224" s="4268">
        <f>G224</f>
        <v>1000000</v>
      </c>
      <c r="K224" s="4268">
        <f t="shared" ref="K224:K226" si="23">F224-J224</f>
        <v>0</v>
      </c>
      <c r="L224" s="4338"/>
      <c r="M224" s="366"/>
      <c r="N224" s="366"/>
      <c r="O224" s="366"/>
      <c r="P224" s="366"/>
    </row>
    <row r="225" spans="1:16" ht="30" customHeight="1" x14ac:dyDescent="0.2">
      <c r="A225" s="4272"/>
      <c r="B225" s="19" t="s">
        <v>223</v>
      </c>
      <c r="C225" s="4337" t="s">
        <v>1172</v>
      </c>
      <c r="D225" s="4260">
        <v>355000000</v>
      </c>
      <c r="E225" s="4336">
        <v>0.05</v>
      </c>
      <c r="F225" s="4260">
        <v>17800000</v>
      </c>
      <c r="G225" s="4260">
        <v>17800000</v>
      </c>
      <c r="H225" s="4260" t="s">
        <v>6251</v>
      </c>
      <c r="I225" s="4333" t="s">
        <v>3431</v>
      </c>
      <c r="J225" s="4260">
        <f>G225</f>
        <v>17800000</v>
      </c>
      <c r="K225" s="4260">
        <f t="shared" si="23"/>
        <v>0</v>
      </c>
      <c r="L225" s="378"/>
      <c r="M225" s="366"/>
      <c r="N225" s="366"/>
      <c r="O225" s="366"/>
      <c r="P225" s="366"/>
    </row>
    <row r="226" spans="1:16" ht="30" customHeight="1" x14ac:dyDescent="0.2">
      <c r="A226" s="4341">
        <v>100</v>
      </c>
      <c r="B226" s="4338" t="s">
        <v>228</v>
      </c>
      <c r="C226" s="4300" t="s">
        <v>392</v>
      </c>
      <c r="D226" s="4268">
        <v>101000000</v>
      </c>
      <c r="E226" s="4336">
        <v>5.0999999999999997E-2</v>
      </c>
      <c r="F226" s="4268">
        <v>5100000</v>
      </c>
      <c r="G226" s="4268">
        <v>5100000</v>
      </c>
      <c r="H226" s="4268" t="s">
        <v>6220</v>
      </c>
      <c r="I226" s="4376" t="s">
        <v>2860</v>
      </c>
      <c r="J226" s="4268">
        <f>G226</f>
        <v>5100000</v>
      </c>
      <c r="K226" s="4268">
        <f t="shared" si="23"/>
        <v>0</v>
      </c>
      <c r="L226" s="4338"/>
      <c r="M226" s="366"/>
      <c r="N226" s="366"/>
      <c r="O226" s="366"/>
      <c r="P226" s="366"/>
    </row>
    <row r="227" spans="1:16" ht="30" customHeight="1" x14ac:dyDescent="0.2">
      <c r="A227" s="7795"/>
      <c r="B227" s="7652" t="s">
        <v>177</v>
      </c>
      <c r="C227" s="7723" t="s">
        <v>1080</v>
      </c>
      <c r="D227" s="4260">
        <v>100000000</v>
      </c>
      <c r="E227" s="4336">
        <v>0.06</v>
      </c>
      <c r="F227" s="4260">
        <f>D227*E227</f>
        <v>6000000</v>
      </c>
      <c r="G227" s="7563">
        <v>7890000</v>
      </c>
      <c r="H227" s="7563" t="s">
        <v>6125</v>
      </c>
      <c r="I227" s="7563" t="s">
        <v>3345</v>
      </c>
      <c r="J227" s="7563">
        <f>G227</f>
        <v>7890000</v>
      </c>
      <c r="K227" s="7563"/>
      <c r="L227" s="4337" t="s">
        <v>5350</v>
      </c>
      <c r="M227" s="366"/>
      <c r="N227" s="366"/>
      <c r="O227" s="366"/>
      <c r="P227" s="366"/>
    </row>
    <row r="228" spans="1:16" ht="30" customHeight="1" x14ac:dyDescent="0.2">
      <c r="A228" s="7796"/>
      <c r="B228" s="7653"/>
      <c r="C228" s="7724"/>
      <c r="D228" s="4402">
        <v>35000000</v>
      </c>
      <c r="E228" s="4406">
        <v>0.06</v>
      </c>
      <c r="F228" s="4402">
        <f>D228*E228</f>
        <v>2100000</v>
      </c>
      <c r="G228" s="7564"/>
      <c r="H228" s="7564"/>
      <c r="I228" s="7564"/>
      <c r="J228" s="7564"/>
      <c r="K228" s="7564"/>
      <c r="L228" s="2013" t="s">
        <v>6140</v>
      </c>
      <c r="M228" s="366"/>
      <c r="N228" s="366"/>
      <c r="O228" s="366"/>
      <c r="P228" s="366"/>
    </row>
    <row r="229" spans="1:16" ht="30" customHeight="1" x14ac:dyDescent="0.2">
      <c r="A229" s="7703"/>
      <c r="B229" s="8291" t="s">
        <v>6067</v>
      </c>
      <c r="C229" s="7723"/>
      <c r="D229" s="7563">
        <v>350000000</v>
      </c>
      <c r="E229" s="7659"/>
      <c r="F229" s="7563"/>
      <c r="G229" s="4268"/>
      <c r="H229" s="4268"/>
      <c r="I229" s="4268"/>
      <c r="J229" s="4268"/>
      <c r="K229" s="4268"/>
      <c r="L229" s="2013" t="s">
        <v>6068</v>
      </c>
      <c r="M229" s="366"/>
      <c r="N229" s="366"/>
      <c r="O229" s="366"/>
      <c r="P229" s="366"/>
    </row>
    <row r="230" spans="1:16" ht="30" customHeight="1" x14ac:dyDescent="0.2">
      <c r="A230" s="7705"/>
      <c r="B230" s="8293"/>
      <c r="C230" s="7724"/>
      <c r="D230" s="7564"/>
      <c r="E230" s="7660"/>
      <c r="F230" s="7564"/>
      <c r="G230" s="4268"/>
      <c r="H230" s="4268"/>
      <c r="I230" s="4268"/>
      <c r="J230" s="4268"/>
      <c r="K230" s="4268"/>
      <c r="L230" s="2013" t="s">
        <v>6069</v>
      </c>
      <c r="M230" s="366"/>
      <c r="N230" s="366"/>
      <c r="O230" s="366"/>
      <c r="P230" s="366"/>
    </row>
    <row r="231" spans="1:16" s="1539" customFormat="1" ht="30" customHeight="1" x14ac:dyDescent="0.2">
      <c r="A231" s="4286"/>
      <c r="B231" s="4338" t="s">
        <v>230</v>
      </c>
      <c r="C231" s="4337" t="s">
        <v>1172</v>
      </c>
      <c r="D231" s="4260">
        <v>37000000</v>
      </c>
      <c r="E231" s="4336">
        <v>5.5E-2</v>
      </c>
      <c r="F231" s="4260">
        <v>2000000</v>
      </c>
      <c r="G231" s="4260">
        <v>2000000</v>
      </c>
      <c r="H231" s="4260" t="s">
        <v>6223</v>
      </c>
      <c r="I231" s="4260" t="s">
        <v>4262</v>
      </c>
      <c r="J231" s="4260">
        <f>G231</f>
        <v>2000000</v>
      </c>
      <c r="K231" s="4260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4272">
        <v>104</v>
      </c>
      <c r="B232" s="4279" t="s">
        <v>231</v>
      </c>
      <c r="C232" s="4300" t="s">
        <v>1172</v>
      </c>
      <c r="D232" s="4268">
        <v>20000000</v>
      </c>
      <c r="E232" s="4274">
        <v>0.05</v>
      </c>
      <c r="F232" s="4268">
        <f t="shared" si="12"/>
        <v>1000000</v>
      </c>
      <c r="G232" s="4268">
        <v>1000000</v>
      </c>
      <c r="H232" s="4268" t="s">
        <v>6354</v>
      </c>
      <c r="I232" s="4376" t="s">
        <v>3437</v>
      </c>
      <c r="J232" s="4268">
        <f>G232</f>
        <v>1000000</v>
      </c>
      <c r="K232" s="4268">
        <f>F232-J232</f>
        <v>0</v>
      </c>
      <c r="L232" s="4279"/>
      <c r="M232" s="366"/>
      <c r="N232" s="366"/>
      <c r="O232" s="366"/>
      <c r="P232" s="366"/>
    </row>
    <row r="233" spans="1:16" ht="30" customHeight="1" x14ac:dyDescent="0.2">
      <c r="A233" s="4271">
        <v>105</v>
      </c>
      <c r="B233" s="62" t="s">
        <v>232</v>
      </c>
      <c r="C233" s="4337"/>
      <c r="D233" s="4269"/>
      <c r="E233" s="2519"/>
      <c r="F233" s="4269">
        <f t="shared" ref="F233:F268" si="24">D233*E233</f>
        <v>0</v>
      </c>
      <c r="G233" s="4260">
        <v>2000000</v>
      </c>
      <c r="H233" s="4260" t="s">
        <v>6192</v>
      </c>
      <c r="I233" s="4333" t="s">
        <v>3548</v>
      </c>
      <c r="J233" s="4260">
        <f>G233</f>
        <v>2000000</v>
      </c>
      <c r="K233" s="4269">
        <f>F233-J233</f>
        <v>-2000000</v>
      </c>
      <c r="L233" s="4292" t="s">
        <v>3549</v>
      </c>
    </row>
    <row r="234" spans="1:16" ht="30" customHeight="1" x14ac:dyDescent="0.2">
      <c r="A234" s="7654">
        <v>108</v>
      </c>
      <c r="B234" s="7652" t="s">
        <v>235</v>
      </c>
      <c r="C234" s="7723" t="s">
        <v>1172</v>
      </c>
      <c r="D234" s="4260">
        <v>1430000000</v>
      </c>
      <c r="E234" s="4336">
        <v>5.5E-2</v>
      </c>
      <c r="F234" s="4260">
        <f t="shared" si="24"/>
        <v>78650000</v>
      </c>
      <c r="G234" s="4333"/>
      <c r="H234" s="4333"/>
      <c r="I234" s="4333"/>
      <c r="J234" s="4333"/>
      <c r="K234" s="4260">
        <v>0</v>
      </c>
      <c r="L234" s="4337"/>
    </row>
    <row r="235" spans="1:16" ht="30" customHeight="1" x14ac:dyDescent="0.2">
      <c r="A235" s="7656"/>
      <c r="B235" s="7665"/>
      <c r="C235" s="7747"/>
      <c r="D235" s="4268">
        <v>150000000</v>
      </c>
      <c r="E235" s="4274">
        <v>5.5E-2</v>
      </c>
      <c r="F235" s="4268">
        <f>D235*E235</f>
        <v>8250000</v>
      </c>
      <c r="G235" s="4260"/>
      <c r="H235" s="4260"/>
      <c r="I235" s="4260"/>
      <c r="J235" s="4260"/>
      <c r="K235" s="4268"/>
      <c r="L235" s="4292" t="s">
        <v>4647</v>
      </c>
    </row>
    <row r="236" spans="1:16" ht="30" customHeight="1" x14ac:dyDescent="0.2">
      <c r="A236" s="7656"/>
      <c r="B236" s="7665"/>
      <c r="C236" s="7747"/>
      <c r="D236" s="4260">
        <v>30000000</v>
      </c>
      <c r="E236" s="4336">
        <v>5.5E-2</v>
      </c>
      <c r="F236" s="4260">
        <f>D236*E236</f>
        <v>1650000</v>
      </c>
      <c r="G236" s="4260"/>
      <c r="H236" s="4260"/>
      <c r="I236" s="4260"/>
      <c r="J236" s="4260"/>
      <c r="K236" s="4268"/>
      <c r="L236" s="4292" t="s">
        <v>5041</v>
      </c>
    </row>
    <row r="237" spans="1:16" ht="30" customHeight="1" x14ac:dyDescent="0.2">
      <c r="A237" s="7656"/>
      <c r="B237" s="7665"/>
      <c r="C237" s="7747"/>
      <c r="D237" s="2653">
        <f>SUM(D234:D236)</f>
        <v>1610000000</v>
      </c>
      <c r="E237" s="2652">
        <v>5.5E-2</v>
      </c>
      <c r="F237" s="2653">
        <f>D237*E237</f>
        <v>88550000</v>
      </c>
      <c r="G237" s="4260"/>
      <c r="H237" s="4260"/>
      <c r="I237" s="4260"/>
      <c r="J237" s="4260"/>
      <c r="K237" s="4268"/>
      <c r="L237" s="4292" t="s">
        <v>5134</v>
      </c>
    </row>
    <row r="238" spans="1:16" ht="30" customHeight="1" x14ac:dyDescent="0.2">
      <c r="A238" s="7656"/>
      <c r="B238" s="7665"/>
      <c r="C238" s="7747"/>
      <c r="D238" s="8230" t="s">
        <v>5194</v>
      </c>
      <c r="E238" s="8230"/>
      <c r="F238" s="8230"/>
      <c r="G238" s="4268"/>
      <c r="H238" s="4268"/>
      <c r="I238" s="4308"/>
      <c r="J238" s="4268"/>
      <c r="K238" s="4268"/>
      <c r="L238" s="4292"/>
    </row>
    <row r="239" spans="1:16" ht="30" customHeight="1" x14ac:dyDescent="0.2">
      <c r="A239" s="7655"/>
      <c r="B239" s="7653"/>
      <c r="C239" s="7724"/>
      <c r="D239" s="4357">
        <f>D237-200000000</f>
        <v>1410000000</v>
      </c>
      <c r="E239" s="2652">
        <v>5.5E-2</v>
      </c>
      <c r="F239" s="2653">
        <f>D239*E239</f>
        <v>77550000</v>
      </c>
      <c r="G239" s="4268"/>
      <c r="H239" s="4268"/>
      <c r="I239" s="4308"/>
      <c r="J239" s="4268"/>
      <c r="K239" s="4268"/>
      <c r="L239" s="4292"/>
    </row>
    <row r="240" spans="1:16" ht="30" customHeight="1" x14ac:dyDescent="0.2">
      <c r="A240" s="1028">
        <v>109</v>
      </c>
      <c r="B240" s="4338" t="s">
        <v>236</v>
      </c>
      <c r="C240" s="4337" t="s">
        <v>889</v>
      </c>
      <c r="D240" s="4260">
        <v>1000000000</v>
      </c>
      <c r="E240" s="4336">
        <v>0.05</v>
      </c>
      <c r="F240" s="4260">
        <f t="shared" si="24"/>
        <v>50000000</v>
      </c>
      <c r="G240" s="4268">
        <v>50000000</v>
      </c>
      <c r="H240" s="4268" t="s">
        <v>6220</v>
      </c>
      <c r="I240" s="4376" t="s">
        <v>3724</v>
      </c>
      <c r="J240" s="4268">
        <f t="shared" ref="J240:J243" si="25">G240</f>
        <v>50000000</v>
      </c>
      <c r="K240" s="4268">
        <f t="shared" ref="K240:K242" si="26">F240-J240</f>
        <v>0</v>
      </c>
      <c r="L240" s="4292"/>
    </row>
    <row r="241" spans="1:12" ht="30" customHeight="1" x14ac:dyDescent="0.2">
      <c r="A241" s="4272"/>
      <c r="B241" s="19" t="s">
        <v>237</v>
      </c>
      <c r="C241" s="4337" t="s">
        <v>392</v>
      </c>
      <c r="D241" s="4260">
        <v>30000000</v>
      </c>
      <c r="E241" s="4336">
        <v>0.05</v>
      </c>
      <c r="F241" s="4268">
        <f>D241*E241</f>
        <v>1500000</v>
      </c>
      <c r="G241" s="4260">
        <v>1500000</v>
      </c>
      <c r="H241" s="4260" t="s">
        <v>3807</v>
      </c>
      <c r="I241" s="4260" t="s">
        <v>550</v>
      </c>
      <c r="J241" s="4260">
        <f t="shared" si="25"/>
        <v>1500000</v>
      </c>
      <c r="K241" s="4268">
        <f t="shared" si="26"/>
        <v>0</v>
      </c>
      <c r="L241" s="4292"/>
    </row>
    <row r="242" spans="1:12" ht="30" customHeight="1" x14ac:dyDescent="0.2">
      <c r="A242" s="1028">
        <v>112</v>
      </c>
      <c r="B242" s="4426" t="s">
        <v>238</v>
      </c>
      <c r="C242" s="4425" t="s">
        <v>889</v>
      </c>
      <c r="D242" s="4404">
        <v>45000000</v>
      </c>
      <c r="E242" s="4424">
        <v>0.05</v>
      </c>
      <c r="F242" s="4404">
        <f t="shared" si="24"/>
        <v>2250000</v>
      </c>
      <c r="G242" s="4404">
        <v>2250000</v>
      </c>
      <c r="H242" s="4430" t="s">
        <v>6152</v>
      </c>
      <c r="I242" s="4430" t="s">
        <v>781</v>
      </c>
      <c r="J242" s="4430">
        <f>G242</f>
        <v>2250000</v>
      </c>
      <c r="K242" s="4404">
        <f t="shared" si="26"/>
        <v>0</v>
      </c>
      <c r="L242" s="2013"/>
    </row>
    <row r="243" spans="1:12" ht="30" customHeight="1" x14ac:dyDescent="0.2">
      <c r="A243" s="4272"/>
      <c r="B243" s="4278" t="s">
        <v>6160</v>
      </c>
      <c r="C243" s="7723" t="s">
        <v>1176</v>
      </c>
      <c r="D243" s="4268">
        <v>250000000</v>
      </c>
      <c r="E243" s="4336">
        <v>0.05</v>
      </c>
      <c r="F243" s="4268">
        <f>D243*E243</f>
        <v>12500000</v>
      </c>
      <c r="G243" s="7563">
        <v>20267000</v>
      </c>
      <c r="H243" s="7563" t="s">
        <v>3807</v>
      </c>
      <c r="I243" s="7563" t="s">
        <v>6264</v>
      </c>
      <c r="J243" s="7563">
        <f t="shared" si="25"/>
        <v>20267000</v>
      </c>
      <c r="K243" s="7563"/>
      <c r="L243" s="4292" t="s">
        <v>5469</v>
      </c>
    </row>
    <row r="244" spans="1:12" ht="30" customHeight="1" x14ac:dyDescent="0.2">
      <c r="A244" s="7654"/>
      <c r="B244" s="7652" t="s">
        <v>5469</v>
      </c>
      <c r="C244" s="7747"/>
      <c r="D244" s="4268">
        <v>120000000</v>
      </c>
      <c r="E244" s="4336">
        <v>0.05</v>
      </c>
      <c r="F244" s="4268">
        <f>D244*E244</f>
        <v>6000000</v>
      </c>
      <c r="G244" s="7586"/>
      <c r="H244" s="7586"/>
      <c r="I244" s="7586"/>
      <c r="J244" s="7586"/>
      <c r="K244" s="7586"/>
      <c r="L244" s="4292" t="s">
        <v>5560</v>
      </c>
    </row>
    <row r="245" spans="1:12" ht="30" customHeight="1" x14ac:dyDescent="0.2">
      <c r="A245" s="7656"/>
      <c r="B245" s="7665"/>
      <c r="C245" s="7747"/>
      <c r="D245" s="4268">
        <v>460000000</v>
      </c>
      <c r="E245" s="4336">
        <v>0.05</v>
      </c>
      <c r="F245" s="4268">
        <f>D245*E245</f>
        <v>23000000</v>
      </c>
      <c r="G245" s="7564"/>
      <c r="H245" s="7564"/>
      <c r="I245" s="7564"/>
      <c r="J245" s="7564"/>
      <c r="K245" s="7564"/>
      <c r="L245" s="4292" t="s">
        <v>5802</v>
      </c>
    </row>
    <row r="246" spans="1:12" ht="30" customHeight="1" x14ac:dyDescent="0.2">
      <c r="A246" s="7656"/>
      <c r="B246" s="7665"/>
      <c r="C246" s="7747"/>
      <c r="D246" s="4434">
        <f>SUM(D243:D245)</f>
        <v>830000000</v>
      </c>
      <c r="E246" s="896">
        <v>0.08</v>
      </c>
      <c r="F246" s="4434">
        <f>D246*E246</f>
        <v>66400000</v>
      </c>
      <c r="G246" s="7732" t="s">
        <v>6159</v>
      </c>
      <c r="H246" s="7733"/>
      <c r="I246" s="7733"/>
      <c r="J246" s="7734"/>
      <c r="K246" s="4268"/>
      <c r="L246" s="4292" t="s">
        <v>6263</v>
      </c>
    </row>
    <row r="247" spans="1:12" ht="30" customHeight="1" x14ac:dyDescent="0.2">
      <c r="A247" s="7655"/>
      <c r="B247" s="7653"/>
      <c r="C247" s="7724"/>
      <c r="D247" s="4740">
        <v>1170000000</v>
      </c>
      <c r="E247" s="2519"/>
      <c r="F247" s="4740"/>
      <c r="G247" s="7850" t="s">
        <v>6165</v>
      </c>
      <c r="H247" s="7851"/>
      <c r="I247" s="7851"/>
      <c r="J247" s="7852"/>
      <c r="K247" s="4740"/>
      <c r="L247" s="4746" t="s">
        <v>6560</v>
      </c>
    </row>
    <row r="248" spans="1:12" ht="30" customHeight="1" x14ac:dyDescent="0.2">
      <c r="A248" s="4341">
        <v>114</v>
      </c>
      <c r="B248" s="4338" t="s">
        <v>240</v>
      </c>
      <c r="C248" s="4300"/>
      <c r="D248" s="4268">
        <v>100000000</v>
      </c>
      <c r="E248" s="4336">
        <v>4.4999999999999998E-2</v>
      </c>
      <c r="F248" s="4268">
        <f t="shared" si="24"/>
        <v>4500000</v>
      </c>
      <c r="G248" s="4268"/>
      <c r="H248" s="4268"/>
      <c r="I248" s="84"/>
      <c r="J248" s="4268">
        <f>G248</f>
        <v>0</v>
      </c>
      <c r="K248" s="4268">
        <f>F248-J248</f>
        <v>4500000</v>
      </c>
      <c r="L248" s="4338"/>
    </row>
    <row r="249" spans="1:12" ht="30" customHeight="1" x14ac:dyDescent="0.2">
      <c r="A249" s="1028"/>
      <c r="B249" s="19" t="s">
        <v>243</v>
      </c>
      <c r="C249" s="4337" t="s">
        <v>889</v>
      </c>
      <c r="D249" s="4260">
        <v>445000000</v>
      </c>
      <c r="E249" s="4336">
        <v>4.4999999999999998E-2</v>
      </c>
      <c r="F249" s="4260">
        <v>20000000</v>
      </c>
      <c r="G249" s="4268">
        <v>20000000</v>
      </c>
      <c r="H249" s="4268" t="s">
        <v>6152</v>
      </c>
      <c r="I249" s="84" t="s">
        <v>2646</v>
      </c>
      <c r="J249" s="4268">
        <f>G249</f>
        <v>20000000</v>
      </c>
      <c r="K249" s="4268">
        <f>F249-J249</f>
        <v>0</v>
      </c>
      <c r="L249" s="4365"/>
    </row>
    <row r="250" spans="1:12" ht="30" customHeight="1" x14ac:dyDescent="0.2">
      <c r="A250" s="7654">
        <v>118</v>
      </c>
      <c r="B250" s="7652" t="s">
        <v>244</v>
      </c>
      <c r="C250" s="7723" t="s">
        <v>4223</v>
      </c>
      <c r="D250" s="7563">
        <v>33000000</v>
      </c>
      <c r="E250" s="7659">
        <v>0.05</v>
      </c>
      <c r="F250" s="7563">
        <f>D250*E250</f>
        <v>1650000</v>
      </c>
      <c r="G250" s="7563">
        <v>1650000</v>
      </c>
      <c r="H250" s="7563" t="s">
        <v>6386</v>
      </c>
      <c r="I250" s="8148" t="s">
        <v>611</v>
      </c>
      <c r="J250" s="7563">
        <f>G250</f>
        <v>1650000</v>
      </c>
      <c r="K250" s="7563">
        <f>F250-J250</f>
        <v>0</v>
      </c>
      <c r="L250" s="4365"/>
    </row>
    <row r="251" spans="1:12" ht="30" customHeight="1" x14ac:dyDescent="0.2">
      <c r="A251" s="7656"/>
      <c r="B251" s="7665"/>
      <c r="C251" s="7724"/>
      <c r="D251" s="7564"/>
      <c r="E251" s="7660"/>
      <c r="F251" s="7564"/>
      <c r="G251" s="7564"/>
      <c r="H251" s="7564"/>
      <c r="I251" s="8149"/>
      <c r="J251" s="7564"/>
      <c r="K251" s="7564"/>
      <c r="L251" s="4365"/>
    </row>
    <row r="252" spans="1:12" ht="30" customHeight="1" x14ac:dyDescent="0.2">
      <c r="A252" s="7654">
        <v>120</v>
      </c>
      <c r="B252" s="7652" t="s">
        <v>246</v>
      </c>
      <c r="C252" s="7723" t="s">
        <v>371</v>
      </c>
      <c r="D252" s="4260">
        <v>617000000</v>
      </c>
      <c r="E252" s="4336">
        <v>7.0000000000000007E-2</v>
      </c>
      <c r="F252" s="4260">
        <v>43200000</v>
      </c>
      <c r="G252" s="8105" t="s">
        <v>6170</v>
      </c>
      <c r="H252" s="8106"/>
      <c r="I252" s="8106"/>
      <c r="J252" s="8107"/>
      <c r="K252" s="4260">
        <f>F252-J252</f>
        <v>43200000</v>
      </c>
      <c r="L252" s="2013"/>
    </row>
    <row r="253" spans="1:12" ht="30" customHeight="1" x14ac:dyDescent="0.2">
      <c r="A253" s="7655"/>
      <c r="B253" s="7653"/>
      <c r="C253" s="7724"/>
      <c r="D253" s="4268"/>
      <c r="E253" s="4274"/>
      <c r="F253" s="4268"/>
      <c r="G253" s="8111"/>
      <c r="H253" s="8112"/>
      <c r="I253" s="8112"/>
      <c r="J253" s="8113"/>
      <c r="K253" s="4268"/>
      <c r="L253" s="4334"/>
    </row>
    <row r="254" spans="1:12" ht="30" customHeight="1" x14ac:dyDescent="0.2">
      <c r="A254" s="4341">
        <v>122</v>
      </c>
      <c r="B254" s="4279" t="s">
        <v>248</v>
      </c>
      <c r="C254" s="4300"/>
      <c r="D254" s="4268">
        <v>50000000</v>
      </c>
      <c r="E254" s="4274">
        <v>4.4999999999999998E-2</v>
      </c>
      <c r="F254" s="4404">
        <f t="shared" si="24"/>
        <v>2250000</v>
      </c>
      <c r="G254" s="4268">
        <v>2250000</v>
      </c>
      <c r="H254" s="4268" t="s">
        <v>6354</v>
      </c>
      <c r="I254" s="4311" t="s">
        <v>6359</v>
      </c>
      <c r="J254" s="4268">
        <f>G254</f>
        <v>2250000</v>
      </c>
      <c r="K254" s="4268">
        <f>F254-J254</f>
        <v>0</v>
      </c>
      <c r="L254" s="4338"/>
    </row>
    <row r="255" spans="1:12" ht="30" customHeight="1" x14ac:dyDescent="0.2">
      <c r="A255" s="7654">
        <v>123</v>
      </c>
      <c r="B255" s="7652" t="s">
        <v>1650</v>
      </c>
      <c r="C255" s="7723" t="s">
        <v>1176</v>
      </c>
      <c r="D255" s="4260">
        <v>60000000</v>
      </c>
      <c r="E255" s="4336">
        <v>0.05</v>
      </c>
      <c r="F255" s="4260">
        <f t="shared" si="24"/>
        <v>3000000</v>
      </c>
      <c r="G255" s="7563">
        <v>7000000</v>
      </c>
      <c r="H255" s="7563" t="s">
        <v>4491</v>
      </c>
      <c r="I255" s="7561" t="s">
        <v>2776</v>
      </c>
      <c r="J255" s="7563">
        <f>G255</f>
        <v>7000000</v>
      </c>
      <c r="K255" s="7563">
        <f>(F255+F256+F257)-G255</f>
        <v>0</v>
      </c>
      <c r="L255" s="7703"/>
    </row>
    <row r="256" spans="1:12" ht="30" customHeight="1" x14ac:dyDescent="0.2">
      <c r="A256" s="7656"/>
      <c r="B256" s="7665"/>
      <c r="C256" s="7747"/>
      <c r="D256" s="4260">
        <v>20000000</v>
      </c>
      <c r="E256" s="4336">
        <v>7.0000000000000007E-2</v>
      </c>
      <c r="F256" s="4260">
        <f t="shared" si="24"/>
        <v>1400000.0000000002</v>
      </c>
      <c r="G256" s="7586"/>
      <c r="H256" s="7586"/>
      <c r="I256" s="7672"/>
      <c r="J256" s="7586"/>
      <c r="K256" s="7586"/>
      <c r="L256" s="7704"/>
    </row>
    <row r="257" spans="1:12" ht="30" customHeight="1" x14ac:dyDescent="0.2">
      <c r="A257" s="7656"/>
      <c r="B257" s="7653"/>
      <c r="C257" s="7724"/>
      <c r="D257" s="4260">
        <v>52000000</v>
      </c>
      <c r="E257" s="4336">
        <v>0.05</v>
      </c>
      <c r="F257" s="4260">
        <f>D257*E257</f>
        <v>2600000</v>
      </c>
      <c r="G257" s="7564"/>
      <c r="H257" s="7564"/>
      <c r="I257" s="7562"/>
      <c r="J257" s="7564"/>
      <c r="K257" s="7564"/>
      <c r="L257" s="4292"/>
    </row>
    <row r="258" spans="1:12" ht="30" customHeight="1" x14ac:dyDescent="0.2">
      <c r="A258" s="4271">
        <v>124</v>
      </c>
      <c r="B258" s="4334" t="s">
        <v>250</v>
      </c>
      <c r="C258" s="4299" t="s">
        <v>392</v>
      </c>
      <c r="D258" s="4267">
        <v>800000000</v>
      </c>
      <c r="E258" s="4285">
        <v>6.2E-2</v>
      </c>
      <c r="F258" s="4267">
        <v>50000000</v>
      </c>
      <c r="G258" s="4266">
        <v>50000000</v>
      </c>
      <c r="H258" s="4266" t="s">
        <v>6251</v>
      </c>
      <c r="I258" s="4310" t="s">
        <v>5605</v>
      </c>
      <c r="J258" s="4266">
        <f t="shared" ref="J258:J275" si="27">G258</f>
        <v>50000000</v>
      </c>
      <c r="K258" s="4266">
        <f>F258-J258</f>
        <v>0</v>
      </c>
      <c r="L258" s="4324" t="s">
        <v>5659</v>
      </c>
    </row>
    <row r="259" spans="1:12" ht="30" customHeight="1" x14ac:dyDescent="0.2">
      <c r="A259" s="7654">
        <v>125</v>
      </c>
      <c r="B259" s="7652" t="s">
        <v>251</v>
      </c>
      <c r="C259" s="4337" t="s">
        <v>392</v>
      </c>
      <c r="D259" s="4260">
        <v>200000000</v>
      </c>
      <c r="E259" s="4336">
        <v>0.06</v>
      </c>
      <c r="F259" s="4260">
        <f>D259*E259</f>
        <v>12000000</v>
      </c>
      <c r="G259" s="4478">
        <v>12000000</v>
      </c>
      <c r="H259" s="4478" t="s">
        <v>6223</v>
      </c>
      <c r="I259" s="4504" t="s">
        <v>1630</v>
      </c>
      <c r="J259" s="4478">
        <f t="shared" si="27"/>
        <v>12000000</v>
      </c>
      <c r="K259" s="4478">
        <f t="shared" ref="K259:K275" si="28">F259-J259</f>
        <v>0</v>
      </c>
      <c r="L259" s="2013"/>
    </row>
    <row r="260" spans="1:12" ht="30" customHeight="1" x14ac:dyDescent="0.2">
      <c r="A260" s="7656"/>
      <c r="B260" s="7665"/>
      <c r="C260" s="4337" t="s">
        <v>1287</v>
      </c>
      <c r="D260" s="4260">
        <v>100000000</v>
      </c>
      <c r="E260" s="4336">
        <v>0.06</v>
      </c>
      <c r="F260" s="4260">
        <f>D260*E260</f>
        <v>6000000</v>
      </c>
      <c r="G260" s="4260">
        <v>6000000</v>
      </c>
      <c r="H260" s="4725" t="s">
        <v>6512</v>
      </c>
      <c r="I260" s="4729" t="s">
        <v>1630</v>
      </c>
      <c r="J260" s="4260">
        <f>G260</f>
        <v>6000000</v>
      </c>
      <c r="K260" s="4260">
        <f>F260-J260</f>
        <v>0</v>
      </c>
      <c r="L260" s="4338"/>
    </row>
    <row r="261" spans="1:12" ht="30" customHeight="1" x14ac:dyDescent="0.2">
      <c r="A261" s="7656"/>
      <c r="B261" s="7665"/>
      <c r="C261" s="7723" t="s">
        <v>1081</v>
      </c>
      <c r="D261" s="7563">
        <v>1500000000</v>
      </c>
      <c r="E261" s="7659">
        <v>0.08</v>
      </c>
      <c r="F261" s="7563">
        <f>D261*E261</f>
        <v>120000000</v>
      </c>
      <c r="G261" s="7732" t="s">
        <v>6732</v>
      </c>
      <c r="H261" s="7733"/>
      <c r="I261" s="7733"/>
      <c r="J261" s="7734"/>
      <c r="K261" s="4869"/>
      <c r="L261" s="2013" t="s">
        <v>6687</v>
      </c>
    </row>
    <row r="262" spans="1:12" ht="30" customHeight="1" x14ac:dyDescent="0.2">
      <c r="A262" s="7656"/>
      <c r="B262" s="7665"/>
      <c r="C262" s="7747"/>
      <c r="D262" s="7586"/>
      <c r="E262" s="7676"/>
      <c r="F262" s="7586"/>
      <c r="G262" s="7732" t="s">
        <v>6733</v>
      </c>
      <c r="H262" s="7733"/>
      <c r="I262" s="7733"/>
      <c r="J262" s="7734"/>
      <c r="K262" s="4869"/>
      <c r="L262" s="7818" t="s">
        <v>6722</v>
      </c>
    </row>
    <row r="263" spans="1:12" ht="30" customHeight="1" x14ac:dyDescent="0.2">
      <c r="A263" s="7656"/>
      <c r="B263" s="7665"/>
      <c r="C263" s="7747"/>
      <c r="D263" s="7586"/>
      <c r="E263" s="7676"/>
      <c r="F263" s="7586"/>
      <c r="G263" s="7732" t="s">
        <v>6734</v>
      </c>
      <c r="H263" s="7733"/>
      <c r="I263" s="7733"/>
      <c r="J263" s="7734"/>
      <c r="K263" s="4869"/>
      <c r="L263" s="7855"/>
    </row>
    <row r="264" spans="1:12" ht="30" customHeight="1" x14ac:dyDescent="0.2">
      <c r="A264" s="7655"/>
      <c r="B264" s="7653"/>
      <c r="C264" s="7724"/>
      <c r="D264" s="7564"/>
      <c r="E264" s="7660"/>
      <c r="F264" s="7564"/>
      <c r="G264" s="7732" t="s">
        <v>6735</v>
      </c>
      <c r="H264" s="7733"/>
      <c r="I264" s="7733"/>
      <c r="J264" s="7734"/>
      <c r="K264" s="4869"/>
      <c r="L264" s="7819"/>
    </row>
    <row r="265" spans="1:12" ht="30" customHeight="1" x14ac:dyDescent="0.2">
      <c r="A265" s="4298"/>
      <c r="B265" s="4335" t="s">
        <v>4853</v>
      </c>
      <c r="C265" s="4300"/>
      <c r="D265" s="4281">
        <v>100000000</v>
      </c>
      <c r="E265" s="4290"/>
      <c r="F265" s="4281"/>
      <c r="G265" s="233"/>
      <c r="H265" s="233"/>
      <c r="I265" s="233"/>
      <c r="J265" s="233"/>
      <c r="K265" s="4268"/>
      <c r="L265" s="4325"/>
    </row>
    <row r="266" spans="1:12" ht="30" customHeight="1" x14ac:dyDescent="0.2">
      <c r="A266" s="4873"/>
      <c r="B266" s="4871" t="s">
        <v>5492</v>
      </c>
      <c r="C266" s="4882"/>
      <c r="D266" s="4260">
        <v>250000000</v>
      </c>
      <c r="E266" s="4336">
        <v>0.06</v>
      </c>
      <c r="F266" s="4478">
        <f>D266*E266</f>
        <v>15000000</v>
      </c>
      <c r="G266" s="4478">
        <v>15000000</v>
      </c>
      <c r="H266" s="4478" t="s">
        <v>3807</v>
      </c>
      <c r="I266" s="4478" t="s">
        <v>4926</v>
      </c>
      <c r="J266" s="4478">
        <f>G266</f>
        <v>15000000</v>
      </c>
      <c r="K266" s="4482">
        <f>F266-J266</f>
        <v>0</v>
      </c>
      <c r="L266" s="4324" t="s">
        <v>5493</v>
      </c>
    </row>
    <row r="267" spans="1:12" ht="30" customHeight="1" x14ac:dyDescent="0.2">
      <c r="A267" s="4271">
        <v>127</v>
      </c>
      <c r="B267" s="4334" t="s">
        <v>253</v>
      </c>
      <c r="C267" s="4337" t="s">
        <v>889</v>
      </c>
      <c r="D267" s="4260">
        <v>800000000</v>
      </c>
      <c r="E267" s="4336">
        <v>0.05</v>
      </c>
      <c r="F267" s="4260">
        <f t="shared" si="24"/>
        <v>40000000</v>
      </c>
      <c r="G267" s="4260">
        <v>40000000</v>
      </c>
      <c r="H267" s="4260" t="s">
        <v>6192</v>
      </c>
      <c r="I267" s="4333" t="s">
        <v>2540</v>
      </c>
      <c r="J267" s="4260">
        <f t="shared" si="27"/>
        <v>40000000</v>
      </c>
      <c r="K267" s="4260">
        <f t="shared" si="28"/>
        <v>0</v>
      </c>
      <c r="L267" s="4466" t="s">
        <v>6198</v>
      </c>
    </row>
    <row r="268" spans="1:12" ht="30" customHeight="1" x14ac:dyDescent="0.2">
      <c r="A268" s="4341">
        <v>128</v>
      </c>
      <c r="B268" s="4338" t="s">
        <v>254</v>
      </c>
      <c r="C268" s="4300"/>
      <c r="D268" s="4281"/>
      <c r="E268" s="4290"/>
      <c r="F268" s="4281">
        <f t="shared" si="24"/>
        <v>0</v>
      </c>
      <c r="G268" s="4268"/>
      <c r="H268" s="4268"/>
      <c r="I268" s="4376"/>
      <c r="J268" s="4268">
        <f t="shared" si="27"/>
        <v>0</v>
      </c>
      <c r="K268" s="4281">
        <f t="shared" si="28"/>
        <v>0</v>
      </c>
      <c r="L268" s="4338"/>
    </row>
    <row r="269" spans="1:12" ht="30" customHeight="1" x14ac:dyDescent="0.2">
      <c r="A269" s="4297"/>
      <c r="B269" s="4334" t="s">
        <v>5214</v>
      </c>
      <c r="C269" s="345"/>
      <c r="D269" s="4260">
        <v>270000000</v>
      </c>
      <c r="E269" s="4336">
        <v>0.06</v>
      </c>
      <c r="F269" s="4260">
        <v>16000000</v>
      </c>
      <c r="G269" s="4266">
        <v>16000000</v>
      </c>
      <c r="H269" s="4266" t="s">
        <v>6723</v>
      </c>
      <c r="I269" s="4270" t="s">
        <v>5314</v>
      </c>
      <c r="J269" s="4266">
        <f>G269</f>
        <v>16000000</v>
      </c>
      <c r="K269" s="4266">
        <f>F269-J269</f>
        <v>0</v>
      </c>
      <c r="L269" s="4291"/>
    </row>
    <row r="270" spans="1:12" ht="30" customHeight="1" x14ac:dyDescent="0.2">
      <c r="A270" s="7885"/>
      <c r="B270" s="7652" t="s">
        <v>1171</v>
      </c>
      <c r="C270" s="7723" t="s">
        <v>1299</v>
      </c>
      <c r="D270" s="4260">
        <v>150000000</v>
      </c>
      <c r="E270" s="4336">
        <v>0.05</v>
      </c>
      <c r="F270" s="4260">
        <f>D270*E270</f>
        <v>7500000</v>
      </c>
      <c r="G270" s="4260">
        <v>7500000</v>
      </c>
      <c r="H270" s="4260" t="s">
        <v>6435</v>
      </c>
      <c r="I270" s="4260" t="s">
        <v>1840</v>
      </c>
      <c r="J270" s="4260">
        <f t="shared" si="27"/>
        <v>7500000</v>
      </c>
      <c r="K270" s="4260">
        <f t="shared" si="28"/>
        <v>0</v>
      </c>
      <c r="L270" s="4381"/>
    </row>
    <row r="271" spans="1:12" ht="30" customHeight="1" x14ac:dyDescent="0.2">
      <c r="A271" s="8424"/>
      <c r="B271" s="7665"/>
      <c r="C271" s="7747"/>
      <c r="D271" s="7494" t="s">
        <v>1236</v>
      </c>
      <c r="E271" s="7495"/>
      <c r="F271" s="7768"/>
      <c r="G271" s="5159">
        <v>10000000</v>
      </c>
      <c r="H271" s="5159" t="s">
        <v>6756</v>
      </c>
      <c r="I271" s="5159" t="s">
        <v>6757</v>
      </c>
      <c r="J271" s="7563">
        <f>G271+G272+G273</f>
        <v>50000000</v>
      </c>
      <c r="K271" s="7563"/>
      <c r="L271" s="5170"/>
    </row>
    <row r="272" spans="1:12" ht="30" customHeight="1" x14ac:dyDescent="0.2">
      <c r="A272" s="8424"/>
      <c r="B272" s="7665"/>
      <c r="C272" s="7747"/>
      <c r="D272" s="7877"/>
      <c r="E272" s="7524"/>
      <c r="F272" s="7878"/>
      <c r="G272" s="5159">
        <v>20000000</v>
      </c>
      <c r="H272" s="5159" t="s">
        <v>6756</v>
      </c>
      <c r="I272" s="5159" t="s">
        <v>6758</v>
      </c>
      <c r="J272" s="7586"/>
      <c r="K272" s="7586"/>
      <c r="L272" s="5170"/>
    </row>
    <row r="273" spans="1:12" ht="30" customHeight="1" x14ac:dyDescent="0.2">
      <c r="A273" s="8424"/>
      <c r="B273" s="7665"/>
      <c r="C273" s="7747"/>
      <c r="D273" s="7769"/>
      <c r="E273" s="7805"/>
      <c r="F273" s="7770"/>
      <c r="G273" s="5159">
        <v>20000000</v>
      </c>
      <c r="H273" s="5159" t="s">
        <v>6762</v>
      </c>
      <c r="I273" s="5159" t="s">
        <v>6758</v>
      </c>
      <c r="J273" s="7564"/>
      <c r="K273" s="7564"/>
      <c r="L273" s="5170"/>
    </row>
    <row r="274" spans="1:12" ht="30" customHeight="1" x14ac:dyDescent="0.2">
      <c r="A274" s="7886"/>
      <c r="B274" s="7653"/>
      <c r="C274" s="7724"/>
      <c r="D274" s="5158">
        <f>D270-50000000</f>
        <v>100000000</v>
      </c>
      <c r="E274" s="5163">
        <v>0.05</v>
      </c>
      <c r="F274" s="5158">
        <f>D274*E274</f>
        <v>5000000</v>
      </c>
      <c r="G274" s="5159"/>
      <c r="H274" s="5159"/>
      <c r="I274" s="5159"/>
      <c r="J274" s="5159"/>
      <c r="K274" s="5159"/>
      <c r="L274" s="5170"/>
    </row>
    <row r="275" spans="1:12" ht="30" customHeight="1" x14ac:dyDescent="0.2">
      <c r="A275" s="4271">
        <v>131</v>
      </c>
      <c r="B275" s="4334" t="s">
        <v>256</v>
      </c>
      <c r="C275" s="4299"/>
      <c r="D275" s="4266">
        <v>400000000</v>
      </c>
      <c r="E275" s="4273">
        <v>0.05</v>
      </c>
      <c r="F275" s="4266">
        <f>D275*E275</f>
        <v>20000000</v>
      </c>
      <c r="G275" s="4266">
        <v>20000000</v>
      </c>
      <c r="H275" s="4266" t="s">
        <v>6251</v>
      </c>
      <c r="I275" s="4266" t="s">
        <v>3436</v>
      </c>
      <c r="J275" s="4266">
        <f t="shared" si="27"/>
        <v>20000000</v>
      </c>
      <c r="K275" s="4266">
        <f t="shared" si="28"/>
        <v>0</v>
      </c>
      <c r="L275" s="4316" t="s">
        <v>4013</v>
      </c>
    </row>
    <row r="276" spans="1:12" ht="30" customHeight="1" x14ac:dyDescent="0.2">
      <c r="A276" s="1028"/>
      <c r="B276" s="19" t="s">
        <v>1218</v>
      </c>
      <c r="C276" s="4337" t="s">
        <v>1652</v>
      </c>
      <c r="D276" s="4260">
        <v>490000000</v>
      </c>
      <c r="E276" s="4336">
        <v>0.06</v>
      </c>
      <c r="F276" s="4260">
        <f>D276*E276</f>
        <v>29400000</v>
      </c>
      <c r="G276" s="4260">
        <v>29400000</v>
      </c>
      <c r="H276" s="4260" t="s">
        <v>6251</v>
      </c>
      <c r="I276" s="4260" t="s">
        <v>4897</v>
      </c>
      <c r="J276" s="4260">
        <f>G276</f>
        <v>29400000</v>
      </c>
      <c r="K276" s="4260">
        <f>F276-J276</f>
        <v>0</v>
      </c>
      <c r="L276" s="4291"/>
    </row>
    <row r="277" spans="1:12" ht="30" customHeight="1" x14ac:dyDescent="0.2">
      <c r="A277" s="4341">
        <v>133</v>
      </c>
      <c r="B277" s="4279" t="s">
        <v>175</v>
      </c>
      <c r="C277" s="4300" t="s">
        <v>1718</v>
      </c>
      <c r="D277" s="4268">
        <v>100000000</v>
      </c>
      <c r="E277" s="4274">
        <v>0.05</v>
      </c>
      <c r="F277" s="4268">
        <f t="shared" ref="F277:F365" si="29">D277*E277</f>
        <v>5000000</v>
      </c>
      <c r="G277" s="4268">
        <v>5000000</v>
      </c>
      <c r="H277" s="4268" t="s">
        <v>3807</v>
      </c>
      <c r="I277" s="4376" t="s">
        <v>4412</v>
      </c>
      <c r="J277" s="4268">
        <f>G277</f>
        <v>5000000</v>
      </c>
      <c r="K277" s="4268">
        <f>F277-J277</f>
        <v>0</v>
      </c>
      <c r="L277" s="4291"/>
    </row>
    <row r="278" spans="1:12" ht="30" customHeight="1" x14ac:dyDescent="0.2">
      <c r="A278" s="4271">
        <v>134</v>
      </c>
      <c r="B278" s="4334" t="s">
        <v>166</v>
      </c>
      <c r="C278" s="4337" t="s">
        <v>1652</v>
      </c>
      <c r="D278" s="4260">
        <v>110000000</v>
      </c>
      <c r="E278" s="4336">
        <v>0.04</v>
      </c>
      <c r="F278" s="4260">
        <f t="shared" si="29"/>
        <v>4400000</v>
      </c>
      <c r="G278" s="4268">
        <v>4400000</v>
      </c>
      <c r="H278" s="4268" t="s">
        <v>6354</v>
      </c>
      <c r="I278" s="4376" t="s">
        <v>4099</v>
      </c>
      <c r="J278" s="4581">
        <f>G278</f>
        <v>4400000</v>
      </c>
      <c r="K278" s="4266">
        <f>F278-J278</f>
        <v>0</v>
      </c>
      <c r="L278" s="4314"/>
    </row>
    <row r="279" spans="1:12" ht="30" customHeight="1" x14ac:dyDescent="0.2">
      <c r="A279" s="7654">
        <v>135</v>
      </c>
      <c r="B279" s="7652" t="s">
        <v>4363</v>
      </c>
      <c r="C279" s="4337" t="s">
        <v>1299</v>
      </c>
      <c r="D279" s="4268">
        <v>124000000</v>
      </c>
      <c r="E279" s="4336">
        <v>4.9000000000000002E-2</v>
      </c>
      <c r="F279" s="4268">
        <v>6000000</v>
      </c>
      <c r="G279" s="8410" t="s">
        <v>6540</v>
      </c>
      <c r="H279" s="8411"/>
      <c r="I279" s="8411"/>
      <c r="J279" s="8412"/>
      <c r="K279" s="4260">
        <f>F279-J279</f>
        <v>6000000</v>
      </c>
      <c r="L279" s="4505"/>
    </row>
    <row r="280" spans="1:12" ht="30" customHeight="1" x14ac:dyDescent="0.2">
      <c r="A280" s="7656"/>
      <c r="B280" s="7665"/>
      <c r="C280" s="4337" t="s">
        <v>392</v>
      </c>
      <c r="D280" s="4260">
        <v>100000000</v>
      </c>
      <c r="E280" s="4336">
        <v>0.05</v>
      </c>
      <c r="F280" s="4260">
        <f>D280*E280</f>
        <v>5000000</v>
      </c>
      <c r="G280" s="7563">
        <v>10000000</v>
      </c>
      <c r="H280" s="7563" t="s">
        <v>6220</v>
      </c>
      <c r="I280" s="8115" t="s">
        <v>1549</v>
      </c>
      <c r="J280" s="7563">
        <f>G280</f>
        <v>10000000</v>
      </c>
      <c r="K280" s="7563">
        <f>(F280+F281)-J280</f>
        <v>0</v>
      </c>
      <c r="L280" s="4506"/>
    </row>
    <row r="281" spans="1:12" ht="30" customHeight="1" x14ac:dyDescent="0.2">
      <c r="A281" s="7656"/>
      <c r="B281" s="7665"/>
      <c r="C281" s="4337" t="s">
        <v>392</v>
      </c>
      <c r="D281" s="4260">
        <v>100000000</v>
      </c>
      <c r="E281" s="4336">
        <v>0.05</v>
      </c>
      <c r="F281" s="4260">
        <f>D281*E281</f>
        <v>5000000</v>
      </c>
      <c r="G281" s="7564"/>
      <c r="H281" s="7564"/>
      <c r="I281" s="8116"/>
      <c r="J281" s="7564"/>
      <c r="K281" s="7564"/>
      <c r="L281" s="4496" t="s">
        <v>6542</v>
      </c>
    </row>
    <row r="282" spans="1:12" ht="30" customHeight="1" x14ac:dyDescent="0.2">
      <c r="A282" s="7655"/>
      <c r="B282" s="7653"/>
      <c r="C282" s="4755" t="s">
        <v>392</v>
      </c>
      <c r="D282" s="4736">
        <v>50000000</v>
      </c>
      <c r="E282" s="4754">
        <v>0.05</v>
      </c>
      <c r="F282" s="4736">
        <f>D282*E282</f>
        <v>2500000</v>
      </c>
      <c r="G282" s="7732" t="s">
        <v>6541</v>
      </c>
      <c r="H282" s="7733"/>
      <c r="I282" s="7733"/>
      <c r="J282" s="7734"/>
      <c r="K282" s="4738"/>
      <c r="L282" s="4746" t="s">
        <v>6543</v>
      </c>
    </row>
    <row r="283" spans="1:12" ht="30" customHeight="1" x14ac:dyDescent="0.2">
      <c r="A283" s="4297">
        <v>136</v>
      </c>
      <c r="B283" s="4338" t="s">
        <v>4002</v>
      </c>
      <c r="C283" s="4337"/>
      <c r="D283" s="4269"/>
      <c r="E283" s="2519"/>
      <c r="F283" s="4269">
        <f t="shared" si="29"/>
        <v>0</v>
      </c>
      <c r="G283" s="4260"/>
      <c r="H283" s="4260"/>
      <c r="I283" s="4277" t="s">
        <v>3968</v>
      </c>
      <c r="J283" s="4260">
        <f>G283</f>
        <v>0</v>
      </c>
      <c r="K283" s="4269">
        <f>F283-J283</f>
        <v>0</v>
      </c>
      <c r="L283" s="4291"/>
    </row>
    <row r="284" spans="1:12" ht="30" customHeight="1" x14ac:dyDescent="0.2">
      <c r="A284" s="4271"/>
      <c r="B284" s="4278" t="s">
        <v>257</v>
      </c>
      <c r="C284" s="4301" t="s">
        <v>1652</v>
      </c>
      <c r="D284" s="4268">
        <v>100000000</v>
      </c>
      <c r="E284" s="4336">
        <v>0.05</v>
      </c>
      <c r="F284" s="4268">
        <f>D284*E284</f>
        <v>5000000</v>
      </c>
      <c r="G284" s="4267">
        <v>5000000</v>
      </c>
      <c r="H284" s="4267" t="s">
        <v>6251</v>
      </c>
      <c r="I284" s="1610" t="s">
        <v>4003</v>
      </c>
      <c r="J284" s="4267">
        <f>G284</f>
        <v>5000000</v>
      </c>
      <c r="K284" s="4267">
        <f>F284-J284</f>
        <v>0</v>
      </c>
      <c r="L284" s="4316"/>
    </row>
    <row r="285" spans="1:12" ht="30" customHeight="1" x14ac:dyDescent="0.2">
      <c r="A285" s="7654"/>
      <c r="B285" s="7652" t="s">
        <v>179</v>
      </c>
      <c r="C285" s="7723" t="s">
        <v>1176</v>
      </c>
      <c r="D285" s="4260">
        <v>80000000</v>
      </c>
      <c r="E285" s="4336">
        <v>0.05</v>
      </c>
      <c r="F285" s="4260">
        <f>D285*E285</f>
        <v>4000000</v>
      </c>
      <c r="G285" s="7563">
        <v>6100000</v>
      </c>
      <c r="H285" s="7563" t="s">
        <v>6354</v>
      </c>
      <c r="I285" s="7563" t="s">
        <v>1711</v>
      </c>
      <c r="J285" s="7563">
        <f>G285</f>
        <v>6100000</v>
      </c>
      <c r="K285" s="7563">
        <f>(F285+F286)-J285</f>
        <v>0</v>
      </c>
      <c r="L285" s="7713"/>
    </row>
    <row r="286" spans="1:12" ht="30" customHeight="1" x14ac:dyDescent="0.2">
      <c r="A286" s="7655"/>
      <c r="B286" s="7653"/>
      <c r="C286" s="7724"/>
      <c r="D286" s="4266">
        <v>30000000</v>
      </c>
      <c r="E286" s="4273">
        <v>7.0000000000000007E-2</v>
      </c>
      <c r="F286" s="4266">
        <f>D286*E286</f>
        <v>2100000</v>
      </c>
      <c r="G286" s="7564"/>
      <c r="H286" s="7564"/>
      <c r="I286" s="7564"/>
      <c r="J286" s="7564"/>
      <c r="K286" s="7564"/>
      <c r="L286" s="7714"/>
    </row>
    <row r="287" spans="1:12" ht="30" customHeight="1" x14ac:dyDescent="0.2">
      <c r="A287" s="7879">
        <v>138</v>
      </c>
      <c r="B287" s="7717" t="s">
        <v>259</v>
      </c>
      <c r="C287" s="7873" t="s">
        <v>1172</v>
      </c>
      <c r="D287" s="7482">
        <v>1500000000</v>
      </c>
      <c r="E287" s="7659">
        <v>7.0000000000000007E-2</v>
      </c>
      <c r="F287" s="7563">
        <f>D287*E287</f>
        <v>105000000.00000001</v>
      </c>
      <c r="G287" s="4260">
        <v>43000000</v>
      </c>
      <c r="H287" s="4260" t="s">
        <v>6251</v>
      </c>
      <c r="I287" s="4260" t="s">
        <v>529</v>
      </c>
      <c r="J287" s="7563">
        <f>G287+G288</f>
        <v>105000000</v>
      </c>
      <c r="K287" s="7563">
        <f>F287-J287</f>
        <v>0</v>
      </c>
      <c r="L287" s="180"/>
    </row>
    <row r="288" spans="1:12" ht="30" customHeight="1" x14ac:dyDescent="0.2">
      <c r="A288" s="7879"/>
      <c r="B288" s="7717"/>
      <c r="C288" s="7873"/>
      <c r="D288" s="7482"/>
      <c r="E288" s="7660"/>
      <c r="F288" s="7564"/>
      <c r="G288" s="4260">
        <v>62000000</v>
      </c>
      <c r="H288" s="4260" t="s">
        <v>6354</v>
      </c>
      <c r="I288" s="4260" t="s">
        <v>529</v>
      </c>
      <c r="J288" s="7564"/>
      <c r="K288" s="7564"/>
      <c r="L288" s="180" t="s">
        <v>4811</v>
      </c>
    </row>
    <row r="289" spans="1:12" ht="30" customHeight="1" x14ac:dyDescent="0.2">
      <c r="A289" s="4341">
        <v>139</v>
      </c>
      <c r="B289" s="19" t="s">
        <v>160</v>
      </c>
      <c r="C289" s="4300" t="s">
        <v>1718</v>
      </c>
      <c r="D289" s="4260">
        <v>110000000</v>
      </c>
      <c r="E289" s="4336">
        <v>0.05</v>
      </c>
      <c r="F289" s="4260">
        <f t="shared" si="29"/>
        <v>5500000</v>
      </c>
      <c r="G289" s="4268">
        <v>5500000</v>
      </c>
      <c r="H289" s="4268" t="s">
        <v>3807</v>
      </c>
      <c r="I289" s="26" t="s">
        <v>2757</v>
      </c>
      <c r="J289" s="4260">
        <f>G289</f>
        <v>5500000</v>
      </c>
      <c r="K289" s="4260">
        <f>F289-J289</f>
        <v>0</v>
      </c>
      <c r="L289" s="19"/>
    </row>
    <row r="290" spans="1:12" ht="30" customHeight="1" x14ac:dyDescent="0.2">
      <c r="A290" s="4341"/>
      <c r="B290" s="19" t="s">
        <v>2270</v>
      </c>
      <c r="C290" s="4300" t="s">
        <v>262</v>
      </c>
      <c r="D290" s="4260">
        <v>50000000</v>
      </c>
      <c r="E290" s="4336">
        <v>0.05</v>
      </c>
      <c r="F290" s="4260">
        <f>D290*E290</f>
        <v>2500000</v>
      </c>
      <c r="G290" s="4268">
        <v>2500000</v>
      </c>
      <c r="H290" s="4268" t="s">
        <v>6368</v>
      </c>
      <c r="I290" s="26" t="s">
        <v>2757</v>
      </c>
      <c r="J290" s="4260">
        <f>G290</f>
        <v>2500000</v>
      </c>
      <c r="K290" s="4260">
        <f>F290-J290</f>
        <v>0</v>
      </c>
      <c r="L290" s="19"/>
    </row>
    <row r="291" spans="1:12" ht="30" customHeight="1" x14ac:dyDescent="0.2">
      <c r="A291" s="4341">
        <v>140</v>
      </c>
      <c r="B291" s="19" t="s">
        <v>533</v>
      </c>
      <c r="C291" s="4337" t="s">
        <v>372</v>
      </c>
      <c r="D291" s="4260">
        <v>150000000</v>
      </c>
      <c r="E291" s="4336">
        <v>0.04</v>
      </c>
      <c r="F291" s="4260">
        <f t="shared" si="29"/>
        <v>6000000</v>
      </c>
      <c r="G291" s="4268">
        <v>5000000</v>
      </c>
      <c r="H291" s="4268" t="s">
        <v>6368</v>
      </c>
      <c r="I291" s="18" t="s">
        <v>2682</v>
      </c>
      <c r="J291" s="4268">
        <f>G291</f>
        <v>5000000</v>
      </c>
      <c r="K291" s="4268">
        <f>F291-J291</f>
        <v>1000000</v>
      </c>
      <c r="L291" s="4365" t="s">
        <v>6112</v>
      </c>
    </row>
    <row r="292" spans="1:12" ht="30" customHeight="1" x14ac:dyDescent="0.2">
      <c r="A292" s="1028">
        <v>141</v>
      </c>
      <c r="B292" s="19" t="s">
        <v>7</v>
      </c>
      <c r="C292" s="4337"/>
      <c r="D292" s="4260">
        <v>30000000</v>
      </c>
      <c r="E292" s="4336">
        <v>0.05</v>
      </c>
      <c r="F292" s="4260">
        <f t="shared" si="29"/>
        <v>1500000</v>
      </c>
      <c r="G292" s="4268"/>
      <c r="H292" s="4268"/>
      <c r="I292" s="4376" t="s">
        <v>535</v>
      </c>
      <c r="J292" s="4268">
        <f>G292</f>
        <v>0</v>
      </c>
      <c r="K292" s="4268">
        <f>F292-J292</f>
        <v>1500000</v>
      </c>
      <c r="L292" s="4291"/>
    </row>
    <row r="293" spans="1:12" ht="30" customHeight="1" x14ac:dyDescent="0.2">
      <c r="A293" s="7654">
        <v>142</v>
      </c>
      <c r="B293" s="7652" t="s">
        <v>8</v>
      </c>
      <c r="C293" s="7723"/>
      <c r="D293" s="7563">
        <v>2000000000</v>
      </c>
      <c r="E293" s="7659">
        <v>0.08</v>
      </c>
      <c r="F293" s="7563">
        <f>D293*E293</f>
        <v>160000000</v>
      </c>
      <c r="G293" s="4768">
        <v>30000000</v>
      </c>
      <c r="H293" s="4768" t="s">
        <v>6354</v>
      </c>
      <c r="I293" s="4768" t="s">
        <v>6356</v>
      </c>
      <c r="J293" s="7482">
        <f>G293+G294</f>
        <v>70000000</v>
      </c>
      <c r="K293" s="7482">
        <f>F293-J293</f>
        <v>90000000</v>
      </c>
      <c r="L293" s="637"/>
    </row>
    <row r="294" spans="1:12" ht="30" customHeight="1" x14ac:dyDescent="0.2">
      <c r="A294" s="7656"/>
      <c r="B294" s="7665"/>
      <c r="C294" s="7747"/>
      <c r="D294" s="7586"/>
      <c r="E294" s="7676"/>
      <c r="F294" s="7586"/>
      <c r="G294" s="4768">
        <v>40000000</v>
      </c>
      <c r="H294" s="4768" t="s">
        <v>6414</v>
      </c>
      <c r="I294" s="4768" t="s">
        <v>1937</v>
      </c>
      <c r="J294" s="7482"/>
      <c r="K294" s="7482"/>
      <c r="L294" s="180"/>
    </row>
    <row r="295" spans="1:12" ht="30" customHeight="1" x14ac:dyDescent="0.2">
      <c r="A295" s="7656"/>
      <c r="B295" s="7665"/>
      <c r="C295" s="7747"/>
      <c r="D295" s="7586"/>
      <c r="E295" s="7676"/>
      <c r="F295" s="7586"/>
      <c r="G295" s="4807">
        <v>28000000</v>
      </c>
      <c r="H295" s="4807" t="s">
        <v>6435</v>
      </c>
      <c r="I295" s="4841" t="s">
        <v>1937</v>
      </c>
      <c r="J295" s="7563"/>
      <c r="K295" s="7563"/>
      <c r="L295" s="180"/>
    </row>
    <row r="296" spans="1:12" ht="30" customHeight="1" x14ac:dyDescent="0.2">
      <c r="A296" s="7656"/>
      <c r="B296" s="7665"/>
      <c r="C296" s="7747"/>
      <c r="D296" s="7586"/>
      <c r="E296" s="7676"/>
      <c r="F296" s="7586"/>
      <c r="G296" s="4836">
        <v>10000000</v>
      </c>
      <c r="H296" s="4836" t="s">
        <v>6435</v>
      </c>
      <c r="I296" s="4858" t="s">
        <v>6639</v>
      </c>
      <c r="J296" s="7586"/>
      <c r="K296" s="7586"/>
      <c r="L296" s="180"/>
    </row>
    <row r="297" spans="1:12" ht="30" customHeight="1" x14ac:dyDescent="0.2">
      <c r="A297" s="7656"/>
      <c r="B297" s="7665"/>
      <c r="C297" s="7747"/>
      <c r="D297" s="7586"/>
      <c r="E297" s="7676"/>
      <c r="F297" s="7586"/>
      <c r="G297" s="4807">
        <v>16500000</v>
      </c>
      <c r="H297" s="4807" t="s">
        <v>6594</v>
      </c>
      <c r="I297" s="1455" t="s">
        <v>6356</v>
      </c>
      <c r="J297" s="7586"/>
      <c r="K297" s="7586"/>
      <c r="L297" s="180" t="s">
        <v>6621</v>
      </c>
    </row>
    <row r="298" spans="1:12" ht="30" customHeight="1" x14ac:dyDescent="0.2">
      <c r="A298" s="7656"/>
      <c r="B298" s="7665"/>
      <c r="C298" s="7747"/>
      <c r="D298" s="7586"/>
      <c r="E298" s="7676"/>
      <c r="F298" s="7586"/>
      <c r="G298" s="4807">
        <v>50000000</v>
      </c>
      <c r="H298" s="4807" t="s">
        <v>6594</v>
      </c>
      <c r="I298" s="1455" t="s">
        <v>6356</v>
      </c>
      <c r="J298" s="7586"/>
      <c r="K298" s="7586"/>
      <c r="L298" s="4795"/>
    </row>
    <row r="299" spans="1:12" ht="30" customHeight="1" x14ac:dyDescent="0.2">
      <c r="A299" s="7655"/>
      <c r="B299" s="7653"/>
      <c r="C299" s="7724"/>
      <c r="D299" s="7564"/>
      <c r="E299" s="7660"/>
      <c r="F299" s="7564"/>
      <c r="G299" s="4807">
        <v>14500000</v>
      </c>
      <c r="H299" s="4807" t="s">
        <v>6693</v>
      </c>
      <c r="I299" s="1455" t="s">
        <v>1937</v>
      </c>
      <c r="J299" s="7564"/>
      <c r="K299" s="7564"/>
      <c r="L299" s="4795"/>
    </row>
    <row r="300" spans="1:12" ht="30" customHeight="1" x14ac:dyDescent="0.2">
      <c r="A300" s="4341">
        <v>143</v>
      </c>
      <c r="B300" s="4338" t="s">
        <v>4146</v>
      </c>
      <c r="C300" s="4337"/>
      <c r="D300" s="4260">
        <v>50000000</v>
      </c>
      <c r="E300" s="4336">
        <v>0.04</v>
      </c>
      <c r="F300" s="4260">
        <f t="shared" si="29"/>
        <v>2000000</v>
      </c>
      <c r="G300" s="4260">
        <v>2000000</v>
      </c>
      <c r="H300" s="4260" t="s">
        <v>6220</v>
      </c>
      <c r="I300" s="26" t="s">
        <v>6231</v>
      </c>
      <c r="J300" s="4260">
        <f>G300</f>
        <v>2000000</v>
      </c>
      <c r="K300" s="4260">
        <f t="shared" ref="K300:K316" si="30">F300-J300</f>
        <v>0</v>
      </c>
      <c r="L300" s="4365" t="s">
        <v>4925</v>
      </c>
    </row>
    <row r="301" spans="1:12" ht="30" customHeight="1" x14ac:dyDescent="0.2">
      <c r="A301" s="4341">
        <v>144</v>
      </c>
      <c r="B301" s="4338" t="s">
        <v>514</v>
      </c>
      <c r="C301" s="4300"/>
      <c r="D301" s="4268">
        <v>5000000</v>
      </c>
      <c r="E301" s="4336">
        <v>0.05</v>
      </c>
      <c r="F301" s="4268">
        <f t="shared" si="29"/>
        <v>250000</v>
      </c>
      <c r="G301" s="7954" t="s">
        <v>6777</v>
      </c>
      <c r="H301" s="7955"/>
      <c r="I301" s="7955"/>
      <c r="J301" s="7956"/>
      <c r="K301" s="4268">
        <f t="shared" si="30"/>
        <v>250000</v>
      </c>
      <c r="L301" s="4338"/>
    </row>
    <row r="302" spans="1:12" ht="30" customHeight="1" x14ac:dyDescent="0.2">
      <c r="A302" s="4341">
        <v>145</v>
      </c>
      <c r="B302" s="4338" t="s">
        <v>10</v>
      </c>
      <c r="C302" s="4300" t="s">
        <v>1172</v>
      </c>
      <c r="D302" s="4268">
        <v>100000000</v>
      </c>
      <c r="E302" s="4336">
        <v>0.05</v>
      </c>
      <c r="F302" s="4268">
        <f t="shared" si="29"/>
        <v>5000000</v>
      </c>
      <c r="G302" s="4268">
        <v>5000000</v>
      </c>
      <c r="H302" s="4268" t="s">
        <v>6251</v>
      </c>
      <c r="I302" s="18" t="s">
        <v>3525</v>
      </c>
      <c r="J302" s="4268">
        <f>G302</f>
        <v>5000000</v>
      </c>
      <c r="K302" s="4268">
        <f t="shared" si="30"/>
        <v>0</v>
      </c>
      <c r="L302" s="4338"/>
    </row>
    <row r="303" spans="1:12" ht="30" customHeight="1" x14ac:dyDescent="0.2">
      <c r="A303" s="4341">
        <v>146</v>
      </c>
      <c r="B303" s="4338" t="s">
        <v>11</v>
      </c>
      <c r="C303" s="4300"/>
      <c r="D303" s="4268">
        <v>50000000</v>
      </c>
      <c r="E303" s="4336">
        <v>4.4999999999999998E-2</v>
      </c>
      <c r="F303" s="4268">
        <f t="shared" si="29"/>
        <v>2250000</v>
      </c>
      <c r="G303" s="4268"/>
      <c r="H303" s="4268"/>
      <c r="I303" s="4376"/>
      <c r="J303" s="4268"/>
      <c r="K303" s="4268">
        <f t="shared" si="30"/>
        <v>2250000</v>
      </c>
      <c r="L303" s="4338"/>
    </row>
    <row r="304" spans="1:12" ht="30" customHeight="1" x14ac:dyDescent="0.2">
      <c r="A304" s="7654">
        <v>147</v>
      </c>
      <c r="B304" s="7652" t="s">
        <v>12</v>
      </c>
      <c r="C304" s="7723" t="s">
        <v>1295</v>
      </c>
      <c r="D304" s="4268">
        <v>60000000</v>
      </c>
      <c r="E304" s="4336">
        <v>0.05</v>
      </c>
      <c r="F304" s="4268">
        <f t="shared" si="29"/>
        <v>3000000</v>
      </c>
      <c r="G304" s="7563">
        <v>6500000</v>
      </c>
      <c r="H304" s="7563" t="s">
        <v>6152</v>
      </c>
      <c r="I304" s="8115" t="s">
        <v>4843</v>
      </c>
      <c r="J304" s="7563">
        <f>G304</f>
        <v>6500000</v>
      </c>
      <c r="K304" s="7563">
        <f>(F304+F305)-G304</f>
        <v>0</v>
      </c>
      <c r="L304" s="4364"/>
    </row>
    <row r="305" spans="1:16" ht="30" customHeight="1" x14ac:dyDescent="0.2">
      <c r="A305" s="7655"/>
      <c r="B305" s="7653"/>
      <c r="C305" s="7724"/>
      <c r="D305" s="4268">
        <v>70000000</v>
      </c>
      <c r="E305" s="4336">
        <v>0.05</v>
      </c>
      <c r="F305" s="4268">
        <f t="shared" si="29"/>
        <v>3500000</v>
      </c>
      <c r="G305" s="7564"/>
      <c r="H305" s="7564"/>
      <c r="I305" s="8116"/>
      <c r="J305" s="7564"/>
      <c r="K305" s="7564"/>
      <c r="L305" s="2013"/>
    </row>
    <row r="306" spans="1:16" ht="30" customHeight="1" x14ac:dyDescent="0.2">
      <c r="A306" s="4271">
        <v>148</v>
      </c>
      <c r="B306" s="4334" t="s">
        <v>13</v>
      </c>
      <c r="C306" s="4337" t="s">
        <v>371</v>
      </c>
      <c r="D306" s="4260">
        <v>50000000</v>
      </c>
      <c r="E306" s="4336">
        <v>0.05</v>
      </c>
      <c r="F306" s="4260">
        <f t="shared" si="29"/>
        <v>2500000</v>
      </c>
      <c r="G306" s="4260">
        <v>2500000</v>
      </c>
      <c r="H306" s="4260" t="s">
        <v>6395</v>
      </c>
      <c r="I306" s="4333" t="s">
        <v>1401</v>
      </c>
      <c r="J306" s="4260">
        <f t="shared" ref="J306:J315" si="31">G306</f>
        <v>2500000</v>
      </c>
      <c r="K306" s="4260">
        <f t="shared" si="30"/>
        <v>0</v>
      </c>
      <c r="L306" s="2013"/>
    </row>
    <row r="307" spans="1:16" ht="30" customHeight="1" x14ac:dyDescent="0.2">
      <c r="A307" s="4733">
        <v>149</v>
      </c>
      <c r="B307" s="4732" t="s">
        <v>14</v>
      </c>
      <c r="C307" s="4731" t="s">
        <v>1291</v>
      </c>
      <c r="D307" s="4725">
        <v>80000000</v>
      </c>
      <c r="E307" s="4730">
        <v>0.05</v>
      </c>
      <c r="F307" s="4725">
        <f t="shared" si="29"/>
        <v>4000000</v>
      </c>
      <c r="G307" s="4725">
        <v>4000000</v>
      </c>
      <c r="H307" s="4725" t="s">
        <v>6512</v>
      </c>
      <c r="I307" s="26" t="s">
        <v>2580</v>
      </c>
      <c r="J307" s="4725">
        <f t="shared" si="31"/>
        <v>4000000</v>
      </c>
      <c r="K307" s="4725">
        <f t="shared" si="30"/>
        <v>0</v>
      </c>
      <c r="L307" s="2013"/>
    </row>
    <row r="308" spans="1:16" ht="30" customHeight="1" x14ac:dyDescent="0.2">
      <c r="A308" s="4341">
        <v>150</v>
      </c>
      <c r="B308" s="4338" t="s">
        <v>15</v>
      </c>
      <c r="C308" s="4300" t="s">
        <v>1294</v>
      </c>
      <c r="D308" s="4268">
        <v>160000000</v>
      </c>
      <c r="E308" s="4336">
        <v>0.04</v>
      </c>
      <c r="F308" s="4268">
        <f t="shared" si="29"/>
        <v>6400000</v>
      </c>
      <c r="G308" s="4268">
        <v>6400000</v>
      </c>
      <c r="H308" s="4268" t="s">
        <v>6512</v>
      </c>
      <c r="I308" s="4376" t="s">
        <v>2986</v>
      </c>
      <c r="J308" s="4268">
        <f t="shared" si="31"/>
        <v>6400000</v>
      </c>
      <c r="K308" s="4268">
        <f t="shared" si="30"/>
        <v>0</v>
      </c>
      <c r="L308" s="4291"/>
    </row>
    <row r="309" spans="1:16" ht="30" customHeight="1" x14ac:dyDescent="0.2">
      <c r="A309" s="7654">
        <v>151</v>
      </c>
      <c r="B309" s="7652" t="s">
        <v>16</v>
      </c>
      <c r="C309" s="7723" t="s">
        <v>3390</v>
      </c>
      <c r="D309" s="4268">
        <v>180000000</v>
      </c>
      <c r="E309" s="4336">
        <v>0.05</v>
      </c>
      <c r="F309" s="4268">
        <f t="shared" si="29"/>
        <v>9000000</v>
      </c>
      <c r="G309" s="8105" t="s">
        <v>6557</v>
      </c>
      <c r="H309" s="8106"/>
      <c r="I309" s="8106"/>
      <c r="J309" s="8107"/>
      <c r="K309" s="4268">
        <f t="shared" si="30"/>
        <v>9000000</v>
      </c>
      <c r="L309" s="4338"/>
    </row>
    <row r="310" spans="1:16" ht="30" customHeight="1" x14ac:dyDescent="0.2">
      <c r="A310" s="7656"/>
      <c r="B310" s="7665"/>
      <c r="C310" s="7747"/>
      <c r="D310" s="4738">
        <v>9000000</v>
      </c>
      <c r="E310" s="4754">
        <v>0.05</v>
      </c>
      <c r="F310" s="4738">
        <f t="shared" si="29"/>
        <v>450000</v>
      </c>
      <c r="G310" s="8111"/>
      <c r="H310" s="8112"/>
      <c r="I310" s="8112"/>
      <c r="J310" s="8113"/>
      <c r="K310" s="4738">
        <f t="shared" si="30"/>
        <v>450000</v>
      </c>
      <c r="L310" s="4741"/>
    </row>
    <row r="311" spans="1:16" ht="30" customHeight="1" x14ac:dyDescent="0.2">
      <c r="A311" s="7656"/>
      <c r="B311" s="7665"/>
      <c r="C311" s="7747"/>
      <c r="D311" s="4738">
        <v>10000000</v>
      </c>
      <c r="E311" s="4754">
        <v>0.05</v>
      </c>
      <c r="F311" s="4738">
        <f t="shared" si="29"/>
        <v>500000</v>
      </c>
      <c r="G311" s="7732" t="s">
        <v>6558</v>
      </c>
      <c r="H311" s="7733"/>
      <c r="I311" s="7733"/>
      <c r="J311" s="7734"/>
      <c r="K311" s="4738">
        <f t="shared" si="30"/>
        <v>500000</v>
      </c>
      <c r="L311" s="4741"/>
    </row>
    <row r="312" spans="1:16" ht="30" customHeight="1" x14ac:dyDescent="0.2">
      <c r="A312" s="7656"/>
      <c r="B312" s="7665"/>
      <c r="C312" s="7747"/>
      <c r="D312" s="4738">
        <v>1000000</v>
      </c>
      <c r="E312" s="4754">
        <v>0.05</v>
      </c>
      <c r="F312" s="4738">
        <f t="shared" si="29"/>
        <v>50000</v>
      </c>
      <c r="G312" s="4761"/>
      <c r="H312" s="4762"/>
      <c r="I312" s="4762"/>
      <c r="J312" s="4763"/>
      <c r="K312" s="4738">
        <f t="shared" si="30"/>
        <v>50000</v>
      </c>
      <c r="L312" s="4741"/>
    </row>
    <row r="313" spans="1:16" ht="30" customHeight="1" x14ac:dyDescent="0.2">
      <c r="A313" s="7655"/>
      <c r="B313" s="7653"/>
      <c r="C313" s="7724"/>
      <c r="D313" s="4748">
        <v>200000000</v>
      </c>
      <c r="E313" s="4767">
        <v>0.05</v>
      </c>
      <c r="F313" s="4748">
        <f>D313*E313</f>
        <v>10000000</v>
      </c>
      <c r="G313" s="4268"/>
      <c r="H313" s="4268"/>
      <c r="I313" s="4376"/>
      <c r="J313" s="4268"/>
      <c r="K313" s="4268"/>
      <c r="L313" s="2013" t="s">
        <v>5595</v>
      </c>
    </row>
    <row r="314" spans="1:16" ht="30" customHeight="1" x14ac:dyDescent="0.2">
      <c r="A314" s="4341">
        <v>153</v>
      </c>
      <c r="B314" s="4338" t="s">
        <v>17</v>
      </c>
      <c r="C314" s="4300" t="s">
        <v>1299</v>
      </c>
      <c r="D314" s="4268">
        <v>30000000</v>
      </c>
      <c r="E314" s="4336">
        <v>0.05</v>
      </c>
      <c r="F314" s="4268">
        <f t="shared" si="29"/>
        <v>1500000</v>
      </c>
      <c r="G314" s="4268">
        <v>1500000</v>
      </c>
      <c r="H314" s="4268" t="s">
        <v>6440</v>
      </c>
      <c r="I314" s="4376" t="s">
        <v>1143</v>
      </c>
      <c r="J314" s="4268">
        <f t="shared" si="31"/>
        <v>1500000</v>
      </c>
      <c r="K314" s="4268">
        <f t="shared" si="30"/>
        <v>0</v>
      </c>
      <c r="L314" s="4338"/>
    </row>
    <row r="315" spans="1:16" ht="30" customHeight="1" x14ac:dyDescent="0.2">
      <c r="A315" s="4341">
        <v>154</v>
      </c>
      <c r="B315" s="4338" t="s">
        <v>18</v>
      </c>
      <c r="C315" s="4300" t="s">
        <v>1796</v>
      </c>
      <c r="D315" s="4268">
        <v>15000000</v>
      </c>
      <c r="E315" s="4336">
        <v>7.0000000000000007E-2</v>
      </c>
      <c r="F315" s="4268">
        <f t="shared" si="29"/>
        <v>1050000</v>
      </c>
      <c r="G315" s="4268">
        <v>1050000</v>
      </c>
      <c r="H315" s="4268" t="s">
        <v>3284</v>
      </c>
      <c r="I315" s="4376" t="s">
        <v>1278</v>
      </c>
      <c r="J315" s="4268">
        <f t="shared" si="31"/>
        <v>1050000</v>
      </c>
      <c r="K315" s="4268">
        <f t="shared" si="30"/>
        <v>0</v>
      </c>
      <c r="L315" s="4338"/>
    </row>
    <row r="316" spans="1:16" ht="30" customHeight="1" x14ac:dyDescent="0.2">
      <c r="A316" s="4341">
        <v>155</v>
      </c>
      <c r="B316" s="4338" t="s">
        <v>19</v>
      </c>
      <c r="C316" s="4300"/>
      <c r="D316" s="4281"/>
      <c r="E316" s="2519"/>
      <c r="F316" s="4281">
        <f t="shared" si="29"/>
        <v>0</v>
      </c>
      <c r="G316" s="4268"/>
      <c r="H316" s="4268"/>
      <c r="I316" s="4376"/>
      <c r="J316" s="4268"/>
      <c r="K316" s="4281">
        <f t="shared" si="30"/>
        <v>0</v>
      </c>
      <c r="L316" s="4338"/>
    </row>
    <row r="317" spans="1:16" ht="30" customHeight="1" x14ac:dyDescent="0.2">
      <c r="A317" s="4271">
        <v>156</v>
      </c>
      <c r="B317" s="4334" t="s">
        <v>20</v>
      </c>
      <c r="C317" s="4642" t="s">
        <v>1287</v>
      </c>
      <c r="D317" s="4260">
        <v>50000000</v>
      </c>
      <c r="E317" s="4336">
        <v>0.04</v>
      </c>
      <c r="F317" s="4260">
        <f t="shared" si="29"/>
        <v>2000000</v>
      </c>
      <c r="G317" s="4268">
        <v>2000000</v>
      </c>
      <c r="H317" s="4268" t="s">
        <v>6512</v>
      </c>
      <c r="I317" s="18" t="s">
        <v>5120</v>
      </c>
      <c r="J317" s="4260">
        <f>G317</f>
        <v>2000000</v>
      </c>
      <c r="K317" s="4260">
        <f>F317-J317</f>
        <v>0</v>
      </c>
      <c r="L317" s="4291"/>
      <c r="M317" s="366"/>
      <c r="N317" s="366"/>
      <c r="O317" s="366"/>
      <c r="P317" s="366"/>
    </row>
    <row r="318" spans="1:16" ht="30" customHeight="1" x14ac:dyDescent="0.2">
      <c r="A318" s="7654">
        <v>157</v>
      </c>
      <c r="B318" s="7652" t="s">
        <v>21</v>
      </c>
      <c r="C318" s="7723" t="s">
        <v>1294</v>
      </c>
      <c r="D318" s="4268">
        <v>20000000</v>
      </c>
      <c r="E318" s="4274">
        <v>0.05</v>
      </c>
      <c r="F318" s="4268">
        <f t="shared" si="29"/>
        <v>1000000</v>
      </c>
      <c r="G318" s="4422"/>
      <c r="H318" s="4422"/>
      <c r="I318" s="4422"/>
      <c r="J318" s="4422"/>
      <c r="K318" s="4268">
        <f>F318-J318</f>
        <v>1000000</v>
      </c>
      <c r="L318" s="388" t="s">
        <v>6146</v>
      </c>
      <c r="M318" s="366"/>
      <c r="N318" s="366"/>
      <c r="O318" s="366"/>
      <c r="P318" s="366"/>
    </row>
    <row r="319" spans="1:16" ht="30" customHeight="1" x14ac:dyDescent="0.2">
      <c r="A319" s="7656"/>
      <c r="B319" s="7665"/>
      <c r="C319" s="7747"/>
      <c r="D319" s="4404">
        <v>30000000</v>
      </c>
      <c r="E319" s="4407">
        <v>0.05</v>
      </c>
      <c r="F319" s="4404">
        <f t="shared" si="29"/>
        <v>1500000</v>
      </c>
      <c r="G319" s="7954" t="s">
        <v>6148</v>
      </c>
      <c r="H319" s="7955"/>
      <c r="I319" s="7955"/>
      <c r="J319" s="7956"/>
      <c r="K319" s="4725"/>
      <c r="L319" s="388" t="s">
        <v>6147</v>
      </c>
      <c r="M319" s="366"/>
      <c r="N319" s="366"/>
      <c r="O319" s="366"/>
      <c r="P319" s="366"/>
    </row>
    <row r="320" spans="1:16" ht="30" customHeight="1" x14ac:dyDescent="0.2">
      <c r="A320" s="7656"/>
      <c r="B320" s="7665"/>
      <c r="C320" s="7747"/>
      <c r="D320" s="7563">
        <v>10000000</v>
      </c>
      <c r="E320" s="7659">
        <v>0.05</v>
      </c>
      <c r="F320" s="7563">
        <f>D320*E320</f>
        <v>500000</v>
      </c>
      <c r="G320" s="8425" t="s">
        <v>6151</v>
      </c>
      <c r="H320" s="8426"/>
      <c r="I320" s="8426"/>
      <c r="J320" s="8427"/>
      <c r="K320" s="4725"/>
      <c r="L320" s="388" t="s">
        <v>6149</v>
      </c>
      <c r="M320" s="366"/>
      <c r="N320" s="366"/>
      <c r="O320" s="366"/>
      <c r="P320" s="366"/>
    </row>
    <row r="321" spans="1:16" ht="30" customHeight="1" x14ac:dyDescent="0.2">
      <c r="A321" s="7655"/>
      <c r="B321" s="7653"/>
      <c r="C321" s="7724"/>
      <c r="D321" s="7564"/>
      <c r="E321" s="7660"/>
      <c r="F321" s="7564"/>
      <c r="G321" s="4726">
        <v>2250000</v>
      </c>
      <c r="H321" s="4729" t="s">
        <v>6512</v>
      </c>
      <c r="I321" s="4729" t="s">
        <v>6528</v>
      </c>
      <c r="J321" s="4726">
        <f>G321</f>
        <v>2250000</v>
      </c>
      <c r="K321" s="4725"/>
      <c r="L321" s="388" t="s">
        <v>6150</v>
      </c>
      <c r="M321" s="366"/>
      <c r="N321" s="366"/>
      <c r="O321" s="366"/>
      <c r="P321" s="366"/>
    </row>
    <row r="322" spans="1:16" ht="30" customHeight="1" x14ac:dyDescent="0.2">
      <c r="A322" s="7654"/>
      <c r="B322" s="7652" t="s">
        <v>822</v>
      </c>
      <c r="C322" s="7723" t="s">
        <v>1306</v>
      </c>
      <c r="D322" s="4268">
        <v>160000000</v>
      </c>
      <c r="E322" s="4336">
        <v>0.05</v>
      </c>
      <c r="F322" s="4268">
        <f>D322*E322</f>
        <v>8000000</v>
      </c>
      <c r="G322" s="7563">
        <v>10700000</v>
      </c>
      <c r="H322" s="7563" t="s">
        <v>6577</v>
      </c>
      <c r="I322" s="7563" t="s">
        <v>3129</v>
      </c>
      <c r="J322" s="7563">
        <f>G322</f>
        <v>10700000</v>
      </c>
      <c r="K322" s="7563">
        <f>(F322+F323)-J322</f>
        <v>0</v>
      </c>
      <c r="L322" s="233"/>
      <c r="M322" s="233"/>
      <c r="N322" s="233"/>
      <c r="O322" s="233"/>
      <c r="P322" s="233"/>
    </row>
    <row r="323" spans="1:16" ht="30" customHeight="1" x14ac:dyDescent="0.2">
      <c r="A323" s="7656"/>
      <c r="B323" s="7653"/>
      <c r="C323" s="7724"/>
      <c r="D323" s="4268">
        <f>22000000+9200000+13800000</f>
        <v>45000000</v>
      </c>
      <c r="E323" s="4336">
        <v>0.06</v>
      </c>
      <c r="F323" s="4268">
        <f>D323*E323</f>
        <v>2700000</v>
      </c>
      <c r="G323" s="7564"/>
      <c r="H323" s="7564"/>
      <c r="I323" s="7564"/>
      <c r="J323" s="7564"/>
      <c r="K323" s="7564"/>
      <c r="L323" s="4338"/>
      <c r="M323" s="366"/>
      <c r="N323" s="366"/>
      <c r="O323" s="366"/>
      <c r="P323" s="366"/>
    </row>
    <row r="324" spans="1:16" ht="30" customHeight="1" x14ac:dyDescent="0.2">
      <c r="A324" s="4341">
        <v>159</v>
      </c>
      <c r="B324" s="4338" t="s">
        <v>22</v>
      </c>
      <c r="C324" s="4300" t="s">
        <v>1300</v>
      </c>
      <c r="D324" s="4268">
        <v>25000000</v>
      </c>
      <c r="E324" s="4336">
        <v>0.05</v>
      </c>
      <c r="F324" s="4268">
        <f t="shared" si="29"/>
        <v>1250000</v>
      </c>
      <c r="G324" s="4268">
        <v>1250000</v>
      </c>
      <c r="H324" s="4268" t="s">
        <v>4491</v>
      </c>
      <c r="I324" s="4376" t="s">
        <v>6406</v>
      </c>
      <c r="J324" s="4268">
        <f t="shared" ref="J324:J326" si="32">G324</f>
        <v>1250000</v>
      </c>
      <c r="K324" s="4268">
        <f t="shared" ref="K324:K339" si="33">F324-J324</f>
        <v>0</v>
      </c>
      <c r="L324" s="388"/>
      <c r="M324" s="366"/>
      <c r="N324" s="366"/>
      <c r="O324" s="366"/>
      <c r="P324" s="366"/>
    </row>
    <row r="325" spans="1:16" ht="30" customHeight="1" x14ac:dyDescent="0.2">
      <c r="A325" s="4341">
        <v>160</v>
      </c>
      <c r="B325" s="4338" t="s">
        <v>23</v>
      </c>
      <c r="C325" s="4300"/>
      <c r="D325" s="4268">
        <v>55000000</v>
      </c>
      <c r="E325" s="4336">
        <v>0.05</v>
      </c>
      <c r="F325" s="4268">
        <f t="shared" si="29"/>
        <v>2750000</v>
      </c>
      <c r="G325" s="4268"/>
      <c r="H325" s="4268"/>
      <c r="I325" s="4376"/>
      <c r="J325" s="4268">
        <f t="shared" si="32"/>
        <v>0</v>
      </c>
      <c r="K325" s="4268">
        <f t="shared" si="33"/>
        <v>2750000</v>
      </c>
      <c r="L325" s="4338"/>
      <c r="M325" s="366"/>
      <c r="N325" s="366"/>
      <c r="O325" s="366"/>
      <c r="P325" s="366"/>
    </row>
    <row r="326" spans="1:16" ht="30" customHeight="1" x14ac:dyDescent="0.2">
      <c r="A326" s="4341">
        <v>161</v>
      </c>
      <c r="B326" s="4334" t="s">
        <v>24</v>
      </c>
      <c r="C326" s="4337" t="s">
        <v>1306</v>
      </c>
      <c r="D326" s="4268">
        <v>20000000</v>
      </c>
      <c r="E326" s="4336">
        <v>4.4999999999999998E-2</v>
      </c>
      <c r="F326" s="4268">
        <f t="shared" si="29"/>
        <v>900000</v>
      </c>
      <c r="G326" s="4268">
        <v>900000</v>
      </c>
      <c r="H326" s="4268" t="s">
        <v>6577</v>
      </c>
      <c r="I326" s="4376" t="s">
        <v>721</v>
      </c>
      <c r="J326" s="4268">
        <f t="shared" si="32"/>
        <v>900000</v>
      </c>
      <c r="K326" s="4268">
        <f t="shared" si="33"/>
        <v>0</v>
      </c>
      <c r="L326" s="4338"/>
      <c r="M326" s="366"/>
      <c r="N326" s="366"/>
      <c r="O326" s="366"/>
      <c r="P326" s="366"/>
    </row>
    <row r="327" spans="1:16" ht="30" customHeight="1" x14ac:dyDescent="0.2">
      <c r="A327" s="7654">
        <v>162</v>
      </c>
      <c r="B327" s="7652" t="s">
        <v>25</v>
      </c>
      <c r="C327" s="7723" t="s">
        <v>262</v>
      </c>
      <c r="D327" s="4268">
        <v>180000000</v>
      </c>
      <c r="E327" s="4336">
        <v>0.05</v>
      </c>
      <c r="F327" s="4268">
        <f t="shared" si="29"/>
        <v>9000000</v>
      </c>
      <c r="G327" s="7563">
        <v>13500000</v>
      </c>
      <c r="H327" s="7563" t="s">
        <v>6368</v>
      </c>
      <c r="I327" s="7561" t="s">
        <v>4576</v>
      </c>
      <c r="J327" s="7563">
        <f>G327</f>
        <v>13500000</v>
      </c>
      <c r="K327" s="7563">
        <f>(F327+F328)-J327</f>
        <v>0</v>
      </c>
      <c r="L327" s="388" t="s">
        <v>6113</v>
      </c>
      <c r="M327" s="366"/>
      <c r="N327" s="366"/>
      <c r="O327" s="366"/>
      <c r="P327" s="366"/>
    </row>
    <row r="328" spans="1:16" ht="30" customHeight="1" x14ac:dyDescent="0.2">
      <c r="A328" s="7655"/>
      <c r="B328" s="7653"/>
      <c r="C328" s="7724"/>
      <c r="D328" s="4268">
        <v>90000000</v>
      </c>
      <c r="E328" s="4336">
        <v>0.05</v>
      </c>
      <c r="F328" s="4268">
        <f t="shared" si="29"/>
        <v>4500000</v>
      </c>
      <c r="G328" s="7564"/>
      <c r="H328" s="7564"/>
      <c r="I328" s="7562"/>
      <c r="J328" s="7564"/>
      <c r="K328" s="7564"/>
      <c r="L328" s="388" t="s">
        <v>5501</v>
      </c>
      <c r="M328" s="366"/>
      <c r="N328" s="366"/>
      <c r="O328" s="366"/>
      <c r="P328" s="366"/>
    </row>
    <row r="329" spans="1:16" ht="30" customHeight="1" x14ac:dyDescent="0.2">
      <c r="A329" s="7654">
        <v>163</v>
      </c>
      <c r="B329" s="7652" t="s">
        <v>828</v>
      </c>
      <c r="C329" s="7723" t="s">
        <v>1306</v>
      </c>
      <c r="D329" s="4283">
        <v>200000000</v>
      </c>
      <c r="E329" s="4388">
        <v>0.06</v>
      </c>
      <c r="F329" s="4283">
        <f t="shared" si="29"/>
        <v>12000000</v>
      </c>
      <c r="G329" s="7563">
        <v>22500000</v>
      </c>
      <c r="H329" s="7563" t="s">
        <v>6594</v>
      </c>
      <c r="I329" s="7561" t="s">
        <v>3732</v>
      </c>
      <c r="J329" s="7563">
        <f>G329</f>
        <v>22500000</v>
      </c>
      <c r="K329" s="7563">
        <f>(F329+F330+F331)-J329</f>
        <v>0</v>
      </c>
      <c r="L329" s="388"/>
      <c r="M329" s="366"/>
      <c r="N329" s="366"/>
      <c r="O329" s="366"/>
      <c r="P329" s="366"/>
    </row>
    <row r="330" spans="1:16" ht="30" customHeight="1" x14ac:dyDescent="0.2">
      <c r="A330" s="7656"/>
      <c r="B330" s="7665"/>
      <c r="C330" s="7747"/>
      <c r="D330" s="4283">
        <v>50000000</v>
      </c>
      <c r="E330" s="4388">
        <v>7.0000000000000007E-2</v>
      </c>
      <c r="F330" s="4283">
        <f t="shared" si="29"/>
        <v>3500000.0000000005</v>
      </c>
      <c r="G330" s="7586"/>
      <c r="H330" s="7586"/>
      <c r="I330" s="7672"/>
      <c r="J330" s="7586"/>
      <c r="K330" s="7586"/>
      <c r="L330" s="388"/>
      <c r="M330" s="366"/>
      <c r="N330" s="366"/>
      <c r="O330" s="366"/>
      <c r="P330" s="366"/>
    </row>
    <row r="331" spans="1:16" ht="30" customHeight="1" x14ac:dyDescent="0.2">
      <c r="A331" s="7655"/>
      <c r="B331" s="7653"/>
      <c r="C331" s="7724"/>
      <c r="D331" s="4283">
        <v>100000000</v>
      </c>
      <c r="E331" s="4388">
        <v>7.0000000000000007E-2</v>
      </c>
      <c r="F331" s="4283">
        <f t="shared" si="29"/>
        <v>7000000.0000000009</v>
      </c>
      <c r="G331" s="7564"/>
      <c r="H331" s="7564"/>
      <c r="I331" s="7562"/>
      <c r="J331" s="7564"/>
      <c r="K331" s="7564"/>
      <c r="L331" s="388"/>
      <c r="M331" s="366"/>
      <c r="N331" s="366"/>
      <c r="O331" s="366"/>
      <c r="P331" s="366"/>
    </row>
    <row r="332" spans="1:16" ht="30" customHeight="1" x14ac:dyDescent="0.2">
      <c r="A332" s="4341">
        <v>164</v>
      </c>
      <c r="B332" s="4338" t="s">
        <v>26</v>
      </c>
      <c r="C332" s="4300" t="s">
        <v>1306</v>
      </c>
      <c r="D332" s="4268">
        <v>50000000</v>
      </c>
      <c r="E332" s="4336">
        <v>0.05</v>
      </c>
      <c r="F332" s="4268">
        <f t="shared" si="29"/>
        <v>2500000</v>
      </c>
      <c r="G332" s="4268">
        <v>2500000</v>
      </c>
      <c r="H332" s="4268" t="s">
        <v>6577</v>
      </c>
      <c r="I332" s="4376" t="s">
        <v>741</v>
      </c>
      <c r="J332" s="4268">
        <f t="shared" ref="J332:J342" si="34">G332</f>
        <v>2500000</v>
      </c>
      <c r="K332" s="4268">
        <f t="shared" si="33"/>
        <v>0</v>
      </c>
      <c r="L332" s="4338"/>
      <c r="M332" s="366"/>
      <c r="N332" s="366"/>
      <c r="O332" s="366"/>
      <c r="P332" s="366"/>
    </row>
    <row r="333" spans="1:16" ht="30" customHeight="1" x14ac:dyDescent="0.2">
      <c r="A333" s="4341">
        <v>166</v>
      </c>
      <c r="B333" s="4338" t="s">
        <v>28</v>
      </c>
      <c r="C333" s="4300" t="s">
        <v>551</v>
      </c>
      <c r="D333" s="4268">
        <v>100000000</v>
      </c>
      <c r="E333" s="4336">
        <v>0.05</v>
      </c>
      <c r="F333" s="4268">
        <f t="shared" si="29"/>
        <v>5000000</v>
      </c>
      <c r="G333" s="4268">
        <v>5000000</v>
      </c>
      <c r="H333" s="4268" t="s">
        <v>6435</v>
      </c>
      <c r="I333" s="26" t="s">
        <v>4123</v>
      </c>
      <c r="J333" s="4268">
        <f t="shared" si="34"/>
        <v>5000000</v>
      </c>
      <c r="K333" s="4268">
        <f t="shared" si="33"/>
        <v>0</v>
      </c>
      <c r="L333" s="4338"/>
      <c r="M333" s="366"/>
      <c r="N333" s="366"/>
      <c r="O333" s="366"/>
      <c r="P333" s="366"/>
    </row>
    <row r="334" spans="1:16" ht="30" customHeight="1" x14ac:dyDescent="0.2">
      <c r="A334" s="7654">
        <v>167</v>
      </c>
      <c r="B334" s="7652" t="s">
        <v>737</v>
      </c>
      <c r="C334" s="7723" t="s">
        <v>1306</v>
      </c>
      <c r="D334" s="4268">
        <v>50000000</v>
      </c>
      <c r="E334" s="4336">
        <v>0.05</v>
      </c>
      <c r="F334" s="4268">
        <f t="shared" si="29"/>
        <v>2500000</v>
      </c>
      <c r="G334" s="4268">
        <v>2500000</v>
      </c>
      <c r="H334" s="4268" t="s">
        <v>3634</v>
      </c>
      <c r="I334" s="4376" t="s">
        <v>739</v>
      </c>
      <c r="J334" s="4268">
        <f t="shared" si="34"/>
        <v>2500000</v>
      </c>
      <c r="K334" s="4268">
        <f t="shared" si="33"/>
        <v>0</v>
      </c>
      <c r="L334" s="4338"/>
      <c r="M334" s="366"/>
      <c r="N334" s="366"/>
      <c r="O334" s="366"/>
      <c r="P334" s="366"/>
    </row>
    <row r="335" spans="1:16" ht="30" customHeight="1" x14ac:dyDescent="0.2">
      <c r="A335" s="7655"/>
      <c r="B335" s="7653"/>
      <c r="C335" s="7724"/>
      <c r="D335" s="7470" t="s">
        <v>6636</v>
      </c>
      <c r="E335" s="7493"/>
      <c r="F335" s="7510"/>
      <c r="G335" s="4774">
        <v>8000000</v>
      </c>
      <c r="H335" s="4774" t="s">
        <v>6622</v>
      </c>
      <c r="I335" s="4814" t="s">
        <v>6637</v>
      </c>
      <c r="J335" s="4774">
        <f>G335</f>
        <v>8000000</v>
      </c>
      <c r="K335" s="4774"/>
      <c r="L335" s="4786"/>
      <c r="M335" s="366"/>
      <c r="N335" s="366"/>
      <c r="O335" s="366"/>
      <c r="P335" s="366"/>
    </row>
    <row r="336" spans="1:16" ht="30" customHeight="1" x14ac:dyDescent="0.2">
      <c r="A336" s="7654">
        <v>168</v>
      </c>
      <c r="B336" s="7710" t="s">
        <v>818</v>
      </c>
      <c r="C336" s="7813" t="s">
        <v>1306</v>
      </c>
      <c r="D336" s="4281">
        <v>50000000</v>
      </c>
      <c r="E336" s="2519">
        <v>7.0000000000000007E-2</v>
      </c>
      <c r="F336" s="4281">
        <f t="shared" si="29"/>
        <v>3500000.0000000005</v>
      </c>
      <c r="G336" s="4281"/>
      <c r="H336" s="4281"/>
      <c r="I336" s="56" t="s">
        <v>4908</v>
      </c>
      <c r="J336" s="4281">
        <f>G336</f>
        <v>0</v>
      </c>
      <c r="K336" s="909">
        <f t="shared" si="33"/>
        <v>3500000.0000000005</v>
      </c>
      <c r="L336" s="4389" t="s">
        <v>5215</v>
      </c>
      <c r="M336" s="366"/>
      <c r="N336" s="366"/>
      <c r="O336" s="366"/>
      <c r="P336" s="366"/>
    </row>
    <row r="337" spans="1:16" ht="30" customHeight="1" x14ac:dyDescent="0.2">
      <c r="A337" s="7656"/>
      <c r="B337" s="7711"/>
      <c r="C337" s="7814"/>
      <c r="D337" s="4281">
        <v>48000000</v>
      </c>
      <c r="E337" s="2519"/>
      <c r="F337" s="4281"/>
      <c r="G337" s="7594" t="s">
        <v>4856</v>
      </c>
      <c r="H337" s="8422"/>
      <c r="I337" s="8422"/>
      <c r="J337" s="8422"/>
      <c r="K337" s="8423"/>
      <c r="L337" s="4390" t="s">
        <v>5988</v>
      </c>
      <c r="M337" s="366"/>
      <c r="N337" s="366"/>
      <c r="O337" s="366"/>
      <c r="P337" s="366"/>
    </row>
    <row r="338" spans="1:16" ht="30" customHeight="1" x14ac:dyDescent="0.2">
      <c r="A338" s="7655"/>
      <c r="B338" s="7712"/>
      <c r="C338" s="7815"/>
      <c r="D338" s="4281">
        <v>70000000</v>
      </c>
      <c r="E338" s="2519"/>
      <c r="F338" s="4281"/>
      <c r="G338" s="909"/>
      <c r="H338" s="909"/>
      <c r="I338" s="909"/>
      <c r="J338" s="909"/>
      <c r="K338" s="4391"/>
      <c r="L338" s="4392" t="s">
        <v>5989</v>
      </c>
      <c r="M338" s="366"/>
      <c r="N338" s="366"/>
      <c r="O338" s="366"/>
      <c r="P338" s="366"/>
    </row>
    <row r="339" spans="1:16" ht="30" customHeight="1" x14ac:dyDescent="0.2">
      <c r="A339" s="4298"/>
      <c r="B339" s="4334" t="s">
        <v>29</v>
      </c>
      <c r="C339" s="4300" t="s">
        <v>1107</v>
      </c>
      <c r="D339" s="4268">
        <v>20000000</v>
      </c>
      <c r="E339" s="4336">
        <v>0.05</v>
      </c>
      <c r="F339" s="4268">
        <f>D339*E339</f>
        <v>1000000</v>
      </c>
      <c r="G339" s="4268">
        <v>1000000</v>
      </c>
      <c r="H339" s="4268" t="s">
        <v>6577</v>
      </c>
      <c r="I339" s="4268" t="s">
        <v>848</v>
      </c>
      <c r="J339" s="4268">
        <f t="shared" si="34"/>
        <v>1000000</v>
      </c>
      <c r="K339" s="4268">
        <f t="shared" si="33"/>
        <v>0</v>
      </c>
      <c r="L339" s="7732"/>
      <c r="M339" s="7733"/>
      <c r="N339" s="7733"/>
      <c r="O339" s="7733"/>
      <c r="P339" s="7734"/>
    </row>
    <row r="340" spans="1:16" ht="30" customHeight="1" x14ac:dyDescent="0.2">
      <c r="A340" s="4341">
        <v>170</v>
      </c>
      <c r="B340" s="4338" t="s">
        <v>30</v>
      </c>
      <c r="C340" s="4300" t="s">
        <v>1107</v>
      </c>
      <c r="D340" s="4268">
        <v>70000000</v>
      </c>
      <c r="E340" s="4336">
        <v>5.2999999999999999E-2</v>
      </c>
      <c r="F340" s="4268">
        <v>3700000</v>
      </c>
      <c r="G340" s="4268">
        <v>3700000</v>
      </c>
      <c r="H340" s="4268" t="s">
        <v>6594</v>
      </c>
      <c r="I340" s="4376" t="s">
        <v>4138</v>
      </c>
      <c r="J340" s="4268">
        <f t="shared" si="34"/>
        <v>3700000</v>
      </c>
      <c r="K340" s="4268">
        <f>F340-J340</f>
        <v>0</v>
      </c>
      <c r="L340" s="4338"/>
      <c r="M340" s="366"/>
      <c r="N340" s="366"/>
      <c r="O340" s="366"/>
      <c r="P340" s="366"/>
    </row>
    <row r="341" spans="1:16" ht="30" customHeight="1" x14ac:dyDescent="0.2">
      <c r="A341" s="4341">
        <v>171</v>
      </c>
      <c r="B341" s="4338" t="s">
        <v>31</v>
      </c>
      <c r="C341" s="4300" t="s">
        <v>1293</v>
      </c>
      <c r="D341" s="4268">
        <v>10000000</v>
      </c>
      <c r="E341" s="4336">
        <v>0.04</v>
      </c>
      <c r="F341" s="4268">
        <f>D341*E341</f>
        <v>400000</v>
      </c>
      <c r="G341" s="4268">
        <v>400000</v>
      </c>
      <c r="H341" s="4268" t="s">
        <v>6192</v>
      </c>
      <c r="I341" s="4376" t="s">
        <v>670</v>
      </c>
      <c r="J341" s="4268">
        <f t="shared" si="34"/>
        <v>400000</v>
      </c>
      <c r="K341" s="4268">
        <f>F341-J341</f>
        <v>0</v>
      </c>
      <c r="L341" s="4365"/>
    </row>
    <row r="342" spans="1:16" ht="30" customHeight="1" x14ac:dyDescent="0.2">
      <c r="A342" s="4271">
        <v>172</v>
      </c>
      <c r="B342" s="4334" t="s">
        <v>32</v>
      </c>
      <c r="C342" s="4337" t="s">
        <v>989</v>
      </c>
      <c r="D342" s="4268">
        <v>5000000</v>
      </c>
      <c r="E342" s="4336">
        <v>0.06</v>
      </c>
      <c r="F342" s="4268">
        <f t="shared" si="29"/>
        <v>300000</v>
      </c>
      <c r="G342" s="4268">
        <v>300000</v>
      </c>
      <c r="H342" s="4268" t="s">
        <v>6594</v>
      </c>
      <c r="I342" s="4376" t="s">
        <v>632</v>
      </c>
      <c r="J342" s="4268">
        <f t="shared" si="34"/>
        <v>300000</v>
      </c>
      <c r="K342" s="4268">
        <f>F342-J342</f>
        <v>0</v>
      </c>
      <c r="L342" s="388"/>
    </row>
    <row r="343" spans="1:16" ht="30" customHeight="1" x14ac:dyDescent="0.2">
      <c r="A343" s="4341">
        <v>173</v>
      </c>
      <c r="B343" s="4338" t="s">
        <v>33</v>
      </c>
      <c r="C343" s="4337" t="s">
        <v>1306</v>
      </c>
      <c r="D343" s="4260">
        <v>50000000</v>
      </c>
      <c r="E343" s="4336">
        <v>0.05</v>
      </c>
      <c r="F343" s="4260">
        <f t="shared" si="29"/>
        <v>2500000</v>
      </c>
      <c r="G343" s="4260">
        <v>2500000</v>
      </c>
      <c r="H343" s="4260" t="s">
        <v>6577</v>
      </c>
      <c r="I343" s="4333" t="s">
        <v>838</v>
      </c>
      <c r="J343" s="4260">
        <f>G343</f>
        <v>2500000</v>
      </c>
      <c r="K343" s="4260">
        <f>F343-J343</f>
        <v>0</v>
      </c>
      <c r="L343" s="4393"/>
    </row>
    <row r="344" spans="1:16" ht="30" customHeight="1" x14ac:dyDescent="0.2">
      <c r="A344" s="7654"/>
      <c r="B344" s="7703" t="s">
        <v>4266</v>
      </c>
      <c r="C344" s="7723" t="s">
        <v>1287</v>
      </c>
      <c r="D344" s="4870">
        <v>5730000000</v>
      </c>
      <c r="E344" s="2519">
        <v>0.08</v>
      </c>
      <c r="F344" s="4870">
        <f>D344*E344</f>
        <v>458400000</v>
      </c>
      <c r="G344" s="7732" t="s">
        <v>6439</v>
      </c>
      <c r="H344" s="7733"/>
      <c r="I344" s="7733"/>
      <c r="J344" s="7734"/>
      <c r="K344" s="233"/>
      <c r="L344" s="1661" t="s">
        <v>6696</v>
      </c>
    </row>
    <row r="345" spans="1:16" ht="30" customHeight="1" x14ac:dyDescent="0.2">
      <c r="A345" s="7656"/>
      <c r="B345" s="7704"/>
      <c r="C345" s="7747"/>
      <c r="D345" s="4911">
        <v>10000000000</v>
      </c>
      <c r="E345" s="896">
        <v>8.5000000000000006E-2</v>
      </c>
      <c r="F345" s="4911">
        <f>D345*E345</f>
        <v>850000000.00000012</v>
      </c>
      <c r="G345" s="7732" t="s">
        <v>6698</v>
      </c>
      <c r="H345" s="7733"/>
      <c r="I345" s="7733"/>
      <c r="J345" s="7734"/>
      <c r="K345" s="178"/>
      <c r="L345" s="1661" t="s">
        <v>6697</v>
      </c>
    </row>
    <row r="346" spans="1:16" ht="30" customHeight="1" x14ac:dyDescent="0.2">
      <c r="A346" s="7655"/>
      <c r="B346" s="7705"/>
      <c r="C346" s="7724"/>
      <c r="D346" s="7470" t="s">
        <v>6699</v>
      </c>
      <c r="E346" s="7493"/>
      <c r="F346" s="7510"/>
      <c r="G346" s="4903"/>
      <c r="H346" s="4904"/>
      <c r="I346" s="4880"/>
      <c r="J346" s="4905"/>
      <c r="K346" s="178"/>
      <c r="L346" s="1661" t="s">
        <v>6700</v>
      </c>
    </row>
    <row r="347" spans="1:16" ht="30" customHeight="1" x14ac:dyDescent="0.2">
      <c r="A347" s="4341">
        <v>175</v>
      </c>
      <c r="B347" s="4338" t="s">
        <v>36</v>
      </c>
      <c r="C347" s="4300" t="s">
        <v>1306</v>
      </c>
      <c r="D347" s="4268">
        <v>200000000</v>
      </c>
      <c r="E347" s="4274">
        <v>0.05</v>
      </c>
      <c r="F347" s="4268">
        <f t="shared" si="29"/>
        <v>10000000</v>
      </c>
      <c r="G347" s="4268">
        <v>10000000</v>
      </c>
      <c r="H347" s="4268" t="s">
        <v>6577</v>
      </c>
      <c r="I347" s="18" t="s">
        <v>3738</v>
      </c>
      <c r="J347" s="4268">
        <f>G347</f>
        <v>10000000</v>
      </c>
      <c r="K347" s="4260">
        <f t="shared" ref="K347:K352" si="35">F347-J347</f>
        <v>0</v>
      </c>
      <c r="L347" s="4338"/>
    </row>
    <row r="348" spans="1:16" ht="30" customHeight="1" x14ac:dyDescent="0.2">
      <c r="A348" s="4341">
        <v>176</v>
      </c>
      <c r="B348" s="4338" t="s">
        <v>37</v>
      </c>
      <c r="C348" s="4300" t="s">
        <v>1107</v>
      </c>
      <c r="D348" s="4268">
        <v>150000000</v>
      </c>
      <c r="E348" s="4336">
        <v>7.0000000000000007E-2</v>
      </c>
      <c r="F348" s="4268">
        <f t="shared" si="29"/>
        <v>10500000.000000002</v>
      </c>
      <c r="G348" s="4268">
        <v>10500000</v>
      </c>
      <c r="H348" s="4268" t="s">
        <v>6594</v>
      </c>
      <c r="I348" s="4376" t="s">
        <v>3223</v>
      </c>
      <c r="J348" s="4268">
        <f t="shared" ref="J348:J357" si="36">G348</f>
        <v>10500000</v>
      </c>
      <c r="K348" s="4268">
        <f t="shared" si="35"/>
        <v>0</v>
      </c>
      <c r="L348" s="4338"/>
    </row>
    <row r="349" spans="1:16" ht="30" customHeight="1" x14ac:dyDescent="0.2">
      <c r="A349" s="4341">
        <v>177</v>
      </c>
      <c r="B349" s="4338" t="s">
        <v>5177</v>
      </c>
      <c r="C349" s="4300" t="s">
        <v>1299</v>
      </c>
      <c r="D349" s="4268">
        <v>25000000</v>
      </c>
      <c r="E349" s="4336">
        <v>0.05</v>
      </c>
      <c r="F349" s="4268">
        <f t="shared" si="29"/>
        <v>1250000</v>
      </c>
      <c r="G349" s="4268">
        <v>1250000</v>
      </c>
      <c r="H349" s="4268" t="s">
        <v>6440</v>
      </c>
      <c r="I349" s="18" t="s">
        <v>746</v>
      </c>
      <c r="J349" s="4268">
        <f t="shared" si="36"/>
        <v>1250000</v>
      </c>
      <c r="K349" s="4268">
        <f t="shared" si="35"/>
        <v>0</v>
      </c>
      <c r="L349" s="4338"/>
    </row>
    <row r="350" spans="1:16" ht="30" customHeight="1" x14ac:dyDescent="0.2">
      <c r="A350" s="4341">
        <v>178</v>
      </c>
      <c r="B350" s="4338" t="s">
        <v>39</v>
      </c>
      <c r="C350" s="4300" t="s">
        <v>1299</v>
      </c>
      <c r="D350" s="4268">
        <v>90000000</v>
      </c>
      <c r="E350" s="4336">
        <v>0.05</v>
      </c>
      <c r="F350" s="4268">
        <f>D350*E350</f>
        <v>4500000</v>
      </c>
      <c r="G350" s="4268">
        <v>4500000</v>
      </c>
      <c r="H350" s="4268" t="s">
        <v>6440</v>
      </c>
      <c r="I350" s="4376" t="s">
        <v>6566</v>
      </c>
      <c r="J350" s="4268">
        <f t="shared" si="36"/>
        <v>4500000</v>
      </c>
      <c r="K350" s="4268">
        <f t="shared" si="35"/>
        <v>0</v>
      </c>
      <c r="L350" s="4338"/>
    </row>
    <row r="351" spans="1:16" ht="30" customHeight="1" x14ac:dyDescent="0.2">
      <c r="A351" s="4297">
        <v>179</v>
      </c>
      <c r="B351" s="4334" t="s">
        <v>40</v>
      </c>
      <c r="C351" s="4299" t="s">
        <v>1306</v>
      </c>
      <c r="D351" s="4266">
        <v>320000000</v>
      </c>
      <c r="E351" s="4273">
        <v>0.06</v>
      </c>
      <c r="F351" s="4266">
        <f t="shared" si="29"/>
        <v>19200000</v>
      </c>
      <c r="G351" s="4268">
        <v>19200000</v>
      </c>
      <c r="H351" s="4268" t="s">
        <v>3634</v>
      </c>
      <c r="I351" s="4376" t="s">
        <v>1090</v>
      </c>
      <c r="J351" s="4266">
        <f t="shared" si="36"/>
        <v>19200000</v>
      </c>
      <c r="K351" s="4266">
        <f t="shared" si="35"/>
        <v>0</v>
      </c>
      <c r="L351" s="4314"/>
    </row>
    <row r="352" spans="1:16" ht="30" customHeight="1" x14ac:dyDescent="0.2">
      <c r="A352" s="4271">
        <v>180</v>
      </c>
      <c r="B352" s="19" t="s">
        <v>41</v>
      </c>
      <c r="C352" s="4381" t="s">
        <v>2403</v>
      </c>
      <c r="D352" s="4260">
        <v>300000000</v>
      </c>
      <c r="E352" s="4336">
        <v>5.7000000000000002E-2</v>
      </c>
      <c r="F352" s="4260">
        <v>17000000</v>
      </c>
      <c r="G352" s="4260">
        <v>17000000</v>
      </c>
      <c r="H352" s="4260" t="s">
        <v>6577</v>
      </c>
      <c r="I352" s="4333" t="s">
        <v>2260</v>
      </c>
      <c r="J352" s="4260">
        <f t="shared" si="36"/>
        <v>17000000</v>
      </c>
      <c r="K352" s="4260">
        <f t="shared" si="35"/>
        <v>0</v>
      </c>
      <c r="L352" s="4348"/>
    </row>
    <row r="353" spans="1:12" ht="30" customHeight="1" x14ac:dyDescent="0.2">
      <c r="A353" s="7654">
        <v>181</v>
      </c>
      <c r="B353" s="7652" t="s">
        <v>42</v>
      </c>
      <c r="C353" s="7723" t="s">
        <v>989</v>
      </c>
      <c r="D353" s="7563">
        <v>50000000</v>
      </c>
      <c r="E353" s="7659">
        <v>0.05</v>
      </c>
      <c r="F353" s="7563">
        <f t="shared" si="29"/>
        <v>2500000</v>
      </c>
      <c r="G353" s="4922">
        <v>2500000</v>
      </c>
      <c r="H353" s="4922" t="s">
        <v>3284</v>
      </c>
      <c r="I353" s="4376" t="s">
        <v>3193</v>
      </c>
      <c r="J353" s="7563">
        <f>G353+G354</f>
        <v>3000000</v>
      </c>
      <c r="K353" s="7563">
        <f>F353-J353</f>
        <v>-500000</v>
      </c>
      <c r="L353" s="4279"/>
    </row>
    <row r="354" spans="1:12" ht="30" customHeight="1" x14ac:dyDescent="0.2">
      <c r="A354" s="7656"/>
      <c r="B354" s="7665"/>
      <c r="C354" s="7747"/>
      <c r="D354" s="7564"/>
      <c r="E354" s="7660"/>
      <c r="F354" s="7564"/>
      <c r="G354" s="4922">
        <v>500000</v>
      </c>
      <c r="H354" s="4922" t="s">
        <v>3284</v>
      </c>
      <c r="I354" s="4941" t="s">
        <v>3193</v>
      </c>
      <c r="J354" s="7564"/>
      <c r="K354" s="7564"/>
      <c r="L354" s="4933" t="s">
        <v>6754</v>
      </c>
    </row>
    <row r="355" spans="1:12" ht="30" customHeight="1" x14ac:dyDescent="0.2">
      <c r="A355" s="7656"/>
      <c r="B355" s="7665"/>
      <c r="C355" s="7747"/>
      <c r="D355" s="4774">
        <v>50000000</v>
      </c>
      <c r="E355" s="4776">
        <v>0.05</v>
      </c>
      <c r="F355" s="4774">
        <f t="shared" si="29"/>
        <v>2500000</v>
      </c>
      <c r="G355" s="233"/>
      <c r="H355" s="4768"/>
      <c r="I355" s="4814"/>
      <c r="J355" s="4774"/>
      <c r="K355" s="4774"/>
      <c r="L355" s="4796" t="s">
        <v>6616</v>
      </c>
    </row>
    <row r="356" spans="1:12" ht="30" customHeight="1" x14ac:dyDescent="0.2">
      <c r="A356" s="7655"/>
      <c r="B356" s="7653"/>
      <c r="C356" s="7724"/>
      <c r="D356" s="4748">
        <v>100000000</v>
      </c>
      <c r="E356" s="4747">
        <v>0.05</v>
      </c>
      <c r="F356" s="4748">
        <f t="shared" si="29"/>
        <v>5000000</v>
      </c>
      <c r="G356" s="233"/>
      <c r="H356" s="4737"/>
      <c r="I356" s="4766"/>
      <c r="J356" s="4738"/>
      <c r="K356" s="4738"/>
      <c r="L356" s="4796" t="s">
        <v>6563</v>
      </c>
    </row>
    <row r="357" spans="1:12" ht="30" customHeight="1" x14ac:dyDescent="0.2">
      <c r="A357" s="4275"/>
      <c r="B357" s="4278" t="s">
        <v>43</v>
      </c>
      <c r="C357" s="4299" t="s">
        <v>1287</v>
      </c>
      <c r="D357" s="4774">
        <v>126200000</v>
      </c>
      <c r="E357" s="4776">
        <v>0.05</v>
      </c>
      <c r="F357" s="4774">
        <f>D357*E357</f>
        <v>6310000</v>
      </c>
      <c r="G357" s="4266">
        <v>6310000</v>
      </c>
      <c r="H357" s="4266" t="s">
        <v>6512</v>
      </c>
      <c r="I357" s="4260" t="s">
        <v>3716</v>
      </c>
      <c r="J357" s="4260">
        <f t="shared" si="36"/>
        <v>6310000</v>
      </c>
      <c r="K357" s="4260" t="e">
        <f>#REF!-J357</f>
        <v>#REF!</v>
      </c>
      <c r="L357" s="4317" t="s">
        <v>6114</v>
      </c>
    </row>
    <row r="358" spans="1:12" ht="30" customHeight="1" x14ac:dyDescent="0.2">
      <c r="A358" s="4297">
        <v>183</v>
      </c>
      <c r="B358" s="4334" t="s">
        <v>4148</v>
      </c>
      <c r="C358" s="378" t="s">
        <v>1100</v>
      </c>
      <c r="D358" s="4260">
        <v>50000000</v>
      </c>
      <c r="E358" s="4336">
        <v>0.05</v>
      </c>
      <c r="F358" s="4260">
        <f t="shared" si="29"/>
        <v>2500000</v>
      </c>
      <c r="G358" s="4260">
        <v>2500000</v>
      </c>
      <c r="H358" s="4260" t="s">
        <v>3284</v>
      </c>
      <c r="I358" s="4376" t="s">
        <v>5951</v>
      </c>
      <c r="J358" s="4268">
        <f t="shared" ref="J358:J363" si="37">G358</f>
        <v>2500000</v>
      </c>
      <c r="K358" s="4268">
        <f t="shared" ref="K358:K361" si="38">F358-J358</f>
        <v>0</v>
      </c>
      <c r="L358" s="2013"/>
    </row>
    <row r="359" spans="1:12" ht="30" customHeight="1" x14ac:dyDescent="0.2">
      <c r="A359" s="4341">
        <v>184</v>
      </c>
      <c r="B359" s="4338" t="s">
        <v>45</v>
      </c>
      <c r="C359" s="4300" t="s">
        <v>989</v>
      </c>
      <c r="D359" s="4268">
        <v>20000000</v>
      </c>
      <c r="E359" s="4274">
        <v>0.05</v>
      </c>
      <c r="F359" s="4268">
        <f t="shared" si="29"/>
        <v>1000000</v>
      </c>
      <c r="G359" s="4268">
        <v>1000000</v>
      </c>
      <c r="H359" s="4268" t="s">
        <v>6693</v>
      </c>
      <c r="I359" s="4376" t="s">
        <v>4505</v>
      </c>
      <c r="J359" s="4268">
        <f t="shared" si="37"/>
        <v>1000000</v>
      </c>
      <c r="K359" s="4268">
        <f t="shared" si="38"/>
        <v>0</v>
      </c>
      <c r="L359" s="4365" t="s">
        <v>5693</v>
      </c>
    </row>
    <row r="360" spans="1:12" ht="30" customHeight="1" x14ac:dyDescent="0.2">
      <c r="A360" s="4341">
        <v>186</v>
      </c>
      <c r="B360" s="4338" t="s">
        <v>47</v>
      </c>
      <c r="C360" s="4300" t="s">
        <v>1107</v>
      </c>
      <c r="D360" s="4268">
        <v>8000000</v>
      </c>
      <c r="E360" s="4336">
        <v>0.04</v>
      </c>
      <c r="F360" s="4268">
        <f t="shared" si="29"/>
        <v>320000</v>
      </c>
      <c r="G360" s="4268">
        <v>320000</v>
      </c>
      <c r="H360" s="4268" t="s">
        <v>6594</v>
      </c>
      <c r="I360" s="4376" t="s">
        <v>5275</v>
      </c>
      <c r="J360" s="4268">
        <f t="shared" si="37"/>
        <v>320000</v>
      </c>
      <c r="K360" s="4268">
        <f t="shared" si="38"/>
        <v>0</v>
      </c>
      <c r="L360" s="4338"/>
    </row>
    <row r="361" spans="1:12" ht="30" customHeight="1" x14ac:dyDescent="0.2">
      <c r="A361" s="1028">
        <v>187</v>
      </c>
      <c r="B361" s="19" t="s">
        <v>2470</v>
      </c>
      <c r="C361" s="4337" t="s">
        <v>1138</v>
      </c>
      <c r="D361" s="4260">
        <v>200000000</v>
      </c>
      <c r="E361" s="4336">
        <v>0.05</v>
      </c>
      <c r="F361" s="4260">
        <f t="shared" si="29"/>
        <v>10000000</v>
      </c>
      <c r="G361" s="4260">
        <v>10000000</v>
      </c>
      <c r="H361" s="4260" t="s">
        <v>6223</v>
      </c>
      <c r="I361" s="4333" t="s">
        <v>3331</v>
      </c>
      <c r="J361" s="4260">
        <f t="shared" si="37"/>
        <v>10000000</v>
      </c>
      <c r="K361" s="4260">
        <f t="shared" si="38"/>
        <v>0</v>
      </c>
      <c r="L361" s="4365"/>
    </row>
    <row r="362" spans="1:12" ht="30" customHeight="1" x14ac:dyDescent="0.2">
      <c r="A362" s="4341">
        <v>188</v>
      </c>
      <c r="B362" s="4338" t="s">
        <v>49</v>
      </c>
      <c r="C362" s="4337" t="s">
        <v>1107</v>
      </c>
      <c r="D362" s="4268">
        <v>500000000</v>
      </c>
      <c r="E362" s="4274">
        <v>0.05</v>
      </c>
      <c r="F362" s="4268">
        <f t="shared" si="29"/>
        <v>25000000</v>
      </c>
      <c r="G362" s="4266">
        <v>25000000</v>
      </c>
      <c r="H362" s="4266" t="s">
        <v>6622</v>
      </c>
      <c r="I362" s="4270" t="s">
        <v>5921</v>
      </c>
      <c r="J362" s="4266">
        <f t="shared" si="37"/>
        <v>25000000</v>
      </c>
      <c r="K362" s="4266">
        <f>F362-J362</f>
        <v>0</v>
      </c>
      <c r="L362" s="1661" t="s">
        <v>5224</v>
      </c>
    </row>
    <row r="363" spans="1:12" ht="30" customHeight="1" x14ac:dyDescent="0.2">
      <c r="A363" s="7654">
        <v>190</v>
      </c>
      <c r="B363" s="7652" t="s">
        <v>51</v>
      </c>
      <c r="C363" s="4300" t="s">
        <v>1100</v>
      </c>
      <c r="D363" s="4268">
        <v>80000000</v>
      </c>
      <c r="E363" s="4336">
        <v>0.05</v>
      </c>
      <c r="F363" s="4268">
        <f t="shared" si="29"/>
        <v>4000000</v>
      </c>
      <c r="G363" s="7563">
        <v>14000000</v>
      </c>
      <c r="H363" s="7563" t="s">
        <v>3284</v>
      </c>
      <c r="I363" s="7561" t="s">
        <v>2967</v>
      </c>
      <c r="J363" s="7563">
        <f t="shared" si="37"/>
        <v>14000000</v>
      </c>
      <c r="K363" s="7563">
        <f>(F363+F364)-J363</f>
        <v>0</v>
      </c>
      <c r="L363" s="7703"/>
    </row>
    <row r="364" spans="1:12" ht="30" customHeight="1" x14ac:dyDescent="0.2">
      <c r="A364" s="7656"/>
      <c r="B364" s="7665"/>
      <c r="C364" s="4300" t="s">
        <v>1100</v>
      </c>
      <c r="D364" s="4268">
        <v>200000000</v>
      </c>
      <c r="E364" s="4336">
        <v>0.05</v>
      </c>
      <c r="F364" s="4268">
        <f t="shared" si="29"/>
        <v>10000000</v>
      </c>
      <c r="G364" s="7564"/>
      <c r="H364" s="7564"/>
      <c r="I364" s="7562"/>
      <c r="J364" s="7564"/>
      <c r="K364" s="7564"/>
      <c r="L364" s="7705"/>
    </row>
    <row r="365" spans="1:12" ht="30" customHeight="1" x14ac:dyDescent="0.2">
      <c r="A365" s="7655"/>
      <c r="B365" s="7653"/>
      <c r="C365" s="4301" t="s">
        <v>262</v>
      </c>
      <c r="D365" s="4267">
        <v>220000000</v>
      </c>
      <c r="E365" s="4273">
        <v>0.05</v>
      </c>
      <c r="F365" s="4267">
        <f t="shared" si="29"/>
        <v>11000000</v>
      </c>
      <c r="G365" s="4268">
        <v>11000000</v>
      </c>
      <c r="H365" s="4268" t="s">
        <v>6368</v>
      </c>
      <c r="I365" s="4376" t="s">
        <v>2967</v>
      </c>
      <c r="J365" s="4267">
        <f>G365</f>
        <v>11000000</v>
      </c>
      <c r="K365" s="4267">
        <f>F365-J365</f>
        <v>0</v>
      </c>
      <c r="L365" s="4329"/>
    </row>
    <row r="366" spans="1:12" ht="30" customHeight="1" x14ac:dyDescent="0.2">
      <c r="A366" s="7654">
        <v>191</v>
      </c>
      <c r="B366" s="7652" t="s">
        <v>52</v>
      </c>
      <c r="C366" s="7723" t="s">
        <v>262</v>
      </c>
      <c r="D366" s="7563">
        <v>700000000</v>
      </c>
      <c r="E366" s="7659">
        <v>7.6999999999999999E-2</v>
      </c>
      <c r="F366" s="7563">
        <v>54000000</v>
      </c>
      <c r="G366" s="4260">
        <v>44000000</v>
      </c>
      <c r="H366" s="4260" t="s">
        <v>6368</v>
      </c>
      <c r="I366" s="4333" t="s">
        <v>678</v>
      </c>
      <c r="J366" s="7563">
        <f>G366+G367+G368</f>
        <v>54000000</v>
      </c>
      <c r="K366" s="7563">
        <f>F366-J366</f>
        <v>0</v>
      </c>
      <c r="L366" s="7873"/>
    </row>
    <row r="367" spans="1:12" ht="30" customHeight="1" x14ac:dyDescent="0.2">
      <c r="A367" s="7656"/>
      <c r="B367" s="7665"/>
      <c r="C367" s="7747"/>
      <c r="D367" s="7586"/>
      <c r="E367" s="7676"/>
      <c r="F367" s="7586"/>
      <c r="G367" s="4643">
        <v>7500000</v>
      </c>
      <c r="H367" s="4643" t="s">
        <v>6395</v>
      </c>
      <c r="I367" s="4658" t="s">
        <v>678</v>
      </c>
      <c r="J367" s="7586"/>
      <c r="K367" s="7586"/>
      <c r="L367" s="7873"/>
    </row>
    <row r="368" spans="1:12" ht="30" customHeight="1" x14ac:dyDescent="0.2">
      <c r="A368" s="7655"/>
      <c r="B368" s="7653"/>
      <c r="C368" s="7724"/>
      <c r="D368" s="7564"/>
      <c r="E368" s="7660"/>
      <c r="F368" s="7564"/>
      <c r="G368" s="4643">
        <v>2500000</v>
      </c>
      <c r="H368" s="4643" t="s">
        <v>4491</v>
      </c>
      <c r="I368" s="4658" t="s">
        <v>678</v>
      </c>
      <c r="J368" s="7564"/>
      <c r="K368" s="7564"/>
      <c r="L368" s="7873"/>
    </row>
    <row r="369" spans="1:16" ht="30" customHeight="1" x14ac:dyDescent="0.2">
      <c r="A369" s="7654">
        <v>192</v>
      </c>
      <c r="B369" s="7652" t="s">
        <v>53</v>
      </c>
      <c r="C369" s="7723" t="s">
        <v>1287</v>
      </c>
      <c r="D369" s="7563">
        <v>1400000000</v>
      </c>
      <c r="E369" s="7659">
        <v>7.0000000000000007E-2</v>
      </c>
      <c r="F369" s="7563">
        <f>D369*E369</f>
        <v>98000000.000000015</v>
      </c>
      <c r="G369" s="4260">
        <v>50000000</v>
      </c>
      <c r="H369" s="4260" t="s">
        <v>6512</v>
      </c>
      <c r="I369" s="4260" t="s">
        <v>6553</v>
      </c>
      <c r="J369" s="7563">
        <f>G369+G370+G371</f>
        <v>98000000</v>
      </c>
      <c r="K369" s="7563">
        <f>F369-J369</f>
        <v>0</v>
      </c>
      <c r="L369" s="8463" t="s">
        <v>5482</v>
      </c>
    </row>
    <row r="370" spans="1:16" ht="30" customHeight="1" x14ac:dyDescent="0.2">
      <c r="A370" s="7656"/>
      <c r="B370" s="7665"/>
      <c r="C370" s="7747"/>
      <c r="D370" s="7586"/>
      <c r="E370" s="7676"/>
      <c r="F370" s="7586"/>
      <c r="G370" s="4736">
        <v>45000000</v>
      </c>
      <c r="H370" s="4736" t="s">
        <v>6440</v>
      </c>
      <c r="I370" s="4736" t="s">
        <v>6553</v>
      </c>
      <c r="J370" s="7586"/>
      <c r="K370" s="7586"/>
      <c r="L370" s="8463"/>
    </row>
    <row r="371" spans="1:16" ht="30" customHeight="1" x14ac:dyDescent="0.2">
      <c r="A371" s="7656"/>
      <c r="B371" s="7665"/>
      <c r="C371" s="7724"/>
      <c r="D371" s="7564"/>
      <c r="E371" s="7660"/>
      <c r="F371" s="7564"/>
      <c r="G371" s="4736">
        <v>3000000</v>
      </c>
      <c r="H371" s="7563" t="s">
        <v>6594</v>
      </c>
      <c r="I371" s="7563" t="s">
        <v>861</v>
      </c>
      <c r="J371" s="7564"/>
      <c r="K371" s="7564"/>
      <c r="L371" s="8463"/>
    </row>
    <row r="372" spans="1:16" ht="30" customHeight="1" x14ac:dyDescent="0.2">
      <c r="A372" s="7656"/>
      <c r="B372" s="7665"/>
      <c r="C372" s="7723"/>
      <c r="D372" s="7494" t="s">
        <v>6595</v>
      </c>
      <c r="E372" s="7495"/>
      <c r="F372" s="7768"/>
      <c r="G372" s="4736">
        <v>47000000</v>
      </c>
      <c r="H372" s="7564"/>
      <c r="I372" s="7564"/>
      <c r="J372" s="7563">
        <f>G372+G373+G374</f>
        <v>109300000</v>
      </c>
      <c r="K372" s="7563"/>
      <c r="L372" s="4757"/>
    </row>
    <row r="373" spans="1:16" ht="30" customHeight="1" x14ac:dyDescent="0.2">
      <c r="A373" s="7656"/>
      <c r="B373" s="7665"/>
      <c r="C373" s="7747"/>
      <c r="D373" s="7877"/>
      <c r="E373" s="7524"/>
      <c r="F373" s="7878"/>
      <c r="G373" s="4866">
        <v>5300000</v>
      </c>
      <c r="H373" s="4869" t="s">
        <v>6622</v>
      </c>
      <c r="I373" s="4869" t="s">
        <v>6553</v>
      </c>
      <c r="J373" s="7586"/>
      <c r="K373" s="7586"/>
      <c r="L373" s="4891" t="s">
        <v>6690</v>
      </c>
    </row>
    <row r="374" spans="1:16" ht="30" customHeight="1" x14ac:dyDescent="0.2">
      <c r="A374" s="7655"/>
      <c r="B374" s="7653"/>
      <c r="C374" s="7724"/>
      <c r="D374" s="7769"/>
      <c r="E374" s="7805"/>
      <c r="F374" s="7770"/>
      <c r="G374" s="4866">
        <v>57000000</v>
      </c>
      <c r="H374" s="4869" t="s">
        <v>6622</v>
      </c>
      <c r="I374" s="4869" t="s">
        <v>6553</v>
      </c>
      <c r="J374" s="7564"/>
      <c r="K374" s="7564"/>
      <c r="L374" s="4891"/>
    </row>
    <row r="375" spans="1:16" ht="30" customHeight="1" x14ac:dyDescent="0.2">
      <c r="A375" s="7654">
        <v>193</v>
      </c>
      <c r="B375" s="7652" t="s">
        <v>54</v>
      </c>
      <c r="C375" s="7723" t="s">
        <v>1306</v>
      </c>
      <c r="D375" s="4268">
        <v>75000000</v>
      </c>
      <c r="E375" s="4274">
        <v>0.05</v>
      </c>
      <c r="F375" s="4268">
        <f>D375*E375</f>
        <v>3750000</v>
      </c>
      <c r="G375" s="4260">
        <v>3750000</v>
      </c>
      <c r="H375" s="4260" t="s">
        <v>3284</v>
      </c>
      <c r="I375" s="4260" t="s">
        <v>4136</v>
      </c>
      <c r="J375" s="4266">
        <f>G375</f>
        <v>3750000</v>
      </c>
      <c r="K375" s="4266">
        <f>F375-J375</f>
        <v>0</v>
      </c>
      <c r="L375" s="4338"/>
    </row>
    <row r="376" spans="1:16" ht="30" customHeight="1" x14ac:dyDescent="0.2">
      <c r="A376" s="7655"/>
      <c r="B376" s="7653"/>
      <c r="C376" s="7724"/>
      <c r="D376" s="4869">
        <v>50000000</v>
      </c>
      <c r="E376" s="4875">
        <v>0.05</v>
      </c>
      <c r="F376" s="4869">
        <f>D376*E376</f>
        <v>2500000</v>
      </c>
      <c r="G376" s="7732" t="s">
        <v>6736</v>
      </c>
      <c r="H376" s="7733"/>
      <c r="I376" s="7733"/>
      <c r="J376" s="7734"/>
      <c r="K376" s="4867"/>
      <c r="L376" s="736" t="s">
        <v>6730</v>
      </c>
    </row>
    <row r="377" spans="1:16" ht="30" customHeight="1" x14ac:dyDescent="0.2">
      <c r="A377" s="4271">
        <v>194</v>
      </c>
      <c r="B377" s="4338" t="s">
        <v>55</v>
      </c>
      <c r="C377" s="4337" t="s">
        <v>1287</v>
      </c>
      <c r="D377" s="4260">
        <v>160000000</v>
      </c>
      <c r="E377" s="1027">
        <v>0.05</v>
      </c>
      <c r="F377" s="4260">
        <f>D377*E377</f>
        <v>8000000</v>
      </c>
      <c r="G377" s="4260">
        <v>8000000</v>
      </c>
      <c r="H377" s="4333" t="s">
        <v>6440</v>
      </c>
      <c r="I377" s="4333" t="s">
        <v>3184</v>
      </c>
      <c r="J377" s="4260">
        <f>G377</f>
        <v>8000000</v>
      </c>
      <c r="K377" s="4260">
        <f>J377-J377</f>
        <v>0</v>
      </c>
      <c r="L377" s="4365"/>
    </row>
    <row r="378" spans="1:16" ht="30" customHeight="1" x14ac:dyDescent="0.2">
      <c r="A378" s="4341">
        <v>195</v>
      </c>
      <c r="B378" s="4279" t="s">
        <v>56</v>
      </c>
      <c r="C378" s="4300" t="s">
        <v>990</v>
      </c>
      <c r="D378" s="4268">
        <v>10000000</v>
      </c>
      <c r="E378" s="4274">
        <v>0.05</v>
      </c>
      <c r="F378" s="4268">
        <f t="shared" ref="F378:F477" si="39">D378*E378</f>
        <v>500000</v>
      </c>
      <c r="G378" s="4268">
        <v>500000</v>
      </c>
      <c r="H378" s="4268" t="s">
        <v>3284</v>
      </c>
      <c r="I378" s="4376" t="s">
        <v>1121</v>
      </c>
      <c r="J378" s="4268">
        <f t="shared" ref="J378:J393" si="40">G378</f>
        <v>500000</v>
      </c>
      <c r="K378" s="4268">
        <f t="shared" ref="K378:K392" si="41">F378-J378</f>
        <v>0</v>
      </c>
      <c r="L378" s="4338"/>
    </row>
    <row r="379" spans="1:16" ht="30" customHeight="1" x14ac:dyDescent="0.2">
      <c r="A379" s="7654">
        <v>196</v>
      </c>
      <c r="B379" s="7652" t="s">
        <v>57</v>
      </c>
      <c r="C379" s="7723" t="s">
        <v>1107</v>
      </c>
      <c r="D379" s="4268">
        <v>20000000</v>
      </c>
      <c r="E379" s="4336">
        <v>0.04</v>
      </c>
      <c r="F379" s="4268">
        <f t="shared" si="39"/>
        <v>800000</v>
      </c>
      <c r="G379" s="7563">
        <v>2950000</v>
      </c>
      <c r="H379" s="7563" t="s">
        <v>6594</v>
      </c>
      <c r="I379" s="7561" t="s">
        <v>3761</v>
      </c>
      <c r="J379" s="7563">
        <f t="shared" si="40"/>
        <v>2950000</v>
      </c>
      <c r="K379" s="7563"/>
      <c r="L379" s="736" t="s">
        <v>5957</v>
      </c>
    </row>
    <row r="380" spans="1:16" ht="30" customHeight="1" x14ac:dyDescent="0.2">
      <c r="A380" s="7656"/>
      <c r="B380" s="7665"/>
      <c r="C380" s="7747"/>
      <c r="D380" s="4268">
        <v>30000000</v>
      </c>
      <c r="E380" s="4336">
        <v>0.05</v>
      </c>
      <c r="F380" s="4268">
        <f t="shared" si="39"/>
        <v>1500000</v>
      </c>
      <c r="G380" s="7586"/>
      <c r="H380" s="7586"/>
      <c r="I380" s="7672"/>
      <c r="J380" s="7586"/>
      <c r="K380" s="7586"/>
      <c r="L380" s="4365" t="s">
        <v>6101</v>
      </c>
    </row>
    <row r="381" spans="1:16" ht="30" customHeight="1" x14ac:dyDescent="0.2">
      <c r="A381" s="7656"/>
      <c r="B381" s="7665"/>
      <c r="C381" s="7747"/>
      <c r="D381" s="4268">
        <v>10000000</v>
      </c>
      <c r="E381" s="4336">
        <v>0.05</v>
      </c>
      <c r="F381" s="4268">
        <f t="shared" si="39"/>
        <v>500000</v>
      </c>
      <c r="G381" s="7586"/>
      <c r="H381" s="7586"/>
      <c r="I381" s="7672"/>
      <c r="J381" s="7586"/>
      <c r="K381" s="7586"/>
      <c r="L381" s="4365" t="s">
        <v>5956</v>
      </c>
    </row>
    <row r="382" spans="1:16" ht="30" customHeight="1" x14ac:dyDescent="0.2">
      <c r="A382" s="7655"/>
      <c r="B382" s="7653"/>
      <c r="C382" s="7724"/>
      <c r="D382" s="4283">
        <v>60000000</v>
      </c>
      <c r="E382" s="4388">
        <v>0.05</v>
      </c>
      <c r="F382" s="4283">
        <f t="shared" si="39"/>
        <v>3000000</v>
      </c>
      <c r="G382" s="7564"/>
      <c r="H382" s="7564"/>
      <c r="I382" s="7562"/>
      <c r="J382" s="7564"/>
      <c r="K382" s="7564"/>
      <c r="L382" s="4365" t="s">
        <v>6115</v>
      </c>
    </row>
    <row r="383" spans="1:16" ht="30" customHeight="1" x14ac:dyDescent="0.2">
      <c r="A383" s="7654">
        <v>197</v>
      </c>
      <c r="B383" s="7717" t="s">
        <v>4151</v>
      </c>
      <c r="C383" s="7723" t="s">
        <v>1134</v>
      </c>
      <c r="D383" s="4260">
        <v>100000000</v>
      </c>
      <c r="E383" s="4336">
        <v>0.05</v>
      </c>
      <c r="F383" s="4260">
        <f t="shared" si="39"/>
        <v>5000000</v>
      </c>
      <c r="G383" s="7563">
        <v>12000000</v>
      </c>
      <c r="H383" s="7563" t="s">
        <v>6577</v>
      </c>
      <c r="I383" s="7563" t="s">
        <v>4152</v>
      </c>
      <c r="J383" s="7563">
        <f t="shared" si="40"/>
        <v>12000000</v>
      </c>
      <c r="K383" s="7563">
        <f>(F383+F384)-J383</f>
        <v>0</v>
      </c>
      <c r="L383" s="736"/>
      <c r="M383" s="366"/>
      <c r="N383" s="366"/>
      <c r="O383" s="366"/>
      <c r="P383" s="366"/>
    </row>
    <row r="384" spans="1:16" ht="30" customHeight="1" x14ac:dyDescent="0.2">
      <c r="A384" s="7655"/>
      <c r="B384" s="7717"/>
      <c r="C384" s="7724"/>
      <c r="D384" s="4268">
        <v>100000000</v>
      </c>
      <c r="E384" s="4274">
        <v>7.0000000000000007E-2</v>
      </c>
      <c r="F384" s="4268">
        <f t="shared" si="39"/>
        <v>7000000.0000000009</v>
      </c>
      <c r="G384" s="7564"/>
      <c r="H384" s="7564"/>
      <c r="I384" s="7564"/>
      <c r="J384" s="7564"/>
      <c r="K384" s="7564"/>
      <c r="L384" s="637" t="s">
        <v>5161</v>
      </c>
      <c r="M384" s="366"/>
      <c r="N384" s="366"/>
      <c r="O384" s="366"/>
      <c r="P384" s="366"/>
    </row>
    <row r="385" spans="1:16" ht="30" customHeight="1" x14ac:dyDescent="0.2">
      <c r="A385" s="7654">
        <v>198</v>
      </c>
      <c r="B385" s="7665" t="s">
        <v>59</v>
      </c>
      <c r="C385" s="4337" t="s">
        <v>1796</v>
      </c>
      <c r="D385" s="4268">
        <v>30000000</v>
      </c>
      <c r="E385" s="4274">
        <v>8.5000000000000006E-2</v>
      </c>
      <c r="F385" s="4268">
        <v>2500000</v>
      </c>
      <c r="G385" s="233">
        <v>2500000</v>
      </c>
      <c r="H385" s="4268" t="s">
        <v>6756</v>
      </c>
      <c r="I385" s="4268" t="s">
        <v>4137</v>
      </c>
      <c r="J385" s="4268">
        <f t="shared" si="40"/>
        <v>2500000</v>
      </c>
      <c r="K385" s="4268">
        <f t="shared" si="41"/>
        <v>0</v>
      </c>
      <c r="L385" s="7713" t="s">
        <v>4607</v>
      </c>
      <c r="M385" s="366"/>
      <c r="N385" s="366"/>
      <c r="O385" s="366"/>
      <c r="P385" s="366"/>
    </row>
    <row r="386" spans="1:16" ht="30" customHeight="1" x14ac:dyDescent="0.2">
      <c r="A386" s="7655"/>
      <c r="B386" s="7653"/>
      <c r="C386" s="4337" t="s">
        <v>1718</v>
      </c>
      <c r="D386" s="4268">
        <v>100000000</v>
      </c>
      <c r="E386" s="4336">
        <v>7.0000000000000007E-2</v>
      </c>
      <c r="F386" s="4268">
        <f>D386*E386</f>
        <v>7000000.0000000009</v>
      </c>
      <c r="G386" s="4260">
        <v>7000000</v>
      </c>
      <c r="H386" s="4268" t="s">
        <v>6354</v>
      </c>
      <c r="I386" s="4268" t="s">
        <v>4137</v>
      </c>
      <c r="J386" s="4268">
        <f>G386</f>
        <v>7000000</v>
      </c>
      <c r="K386" s="4268">
        <f>F386-J386</f>
        <v>0</v>
      </c>
      <c r="L386" s="7714"/>
      <c r="M386" s="366"/>
      <c r="N386" s="366"/>
      <c r="O386" s="366"/>
      <c r="P386" s="366"/>
    </row>
    <row r="387" spans="1:16" ht="30" customHeight="1" x14ac:dyDescent="0.2">
      <c r="A387" s="4341">
        <v>199</v>
      </c>
      <c r="B387" s="4338" t="s">
        <v>60</v>
      </c>
      <c r="C387" s="4300" t="s">
        <v>1100</v>
      </c>
      <c r="D387" s="4268">
        <v>50000000</v>
      </c>
      <c r="E387" s="4336">
        <v>0.05</v>
      </c>
      <c r="F387" s="4268">
        <f t="shared" si="39"/>
        <v>2500000</v>
      </c>
      <c r="G387" s="4268">
        <v>2500000</v>
      </c>
      <c r="H387" s="4268" t="s">
        <v>6756</v>
      </c>
      <c r="I387" s="4260" t="s">
        <v>4776</v>
      </c>
      <c r="J387" s="4268">
        <f t="shared" si="40"/>
        <v>2500000</v>
      </c>
      <c r="K387" s="4268">
        <f t="shared" si="41"/>
        <v>0</v>
      </c>
      <c r="L387" s="4338"/>
      <c r="M387" s="366"/>
      <c r="N387" s="366"/>
      <c r="O387" s="366"/>
      <c r="P387" s="366"/>
    </row>
    <row r="388" spans="1:16" ht="30" customHeight="1" x14ac:dyDescent="0.2">
      <c r="A388" s="4271">
        <v>200</v>
      </c>
      <c r="B388" s="4338" t="s">
        <v>61</v>
      </c>
      <c r="C388" s="4337" t="s">
        <v>1081</v>
      </c>
      <c r="D388" s="4260">
        <v>350000000</v>
      </c>
      <c r="E388" s="4336">
        <v>7.0000000000000007E-2</v>
      </c>
      <c r="F388" s="4260">
        <f t="shared" si="39"/>
        <v>24500000.000000004</v>
      </c>
      <c r="G388" s="4268">
        <v>24500000</v>
      </c>
      <c r="H388" s="4268" t="s">
        <v>6759</v>
      </c>
      <c r="I388" s="4376" t="s">
        <v>1574</v>
      </c>
      <c r="J388" s="4268">
        <f>G388</f>
        <v>24500000</v>
      </c>
      <c r="K388" s="4268">
        <f t="shared" si="41"/>
        <v>0</v>
      </c>
      <c r="L388" s="2013"/>
      <c r="M388" s="366"/>
      <c r="N388" s="366"/>
      <c r="O388" s="366"/>
      <c r="P388" s="366"/>
    </row>
    <row r="389" spans="1:16" ht="30" customHeight="1" x14ac:dyDescent="0.2">
      <c r="A389" s="4341">
        <v>201</v>
      </c>
      <c r="B389" s="4338" t="s">
        <v>62</v>
      </c>
      <c r="C389" s="4300"/>
      <c r="D389" s="4268">
        <v>60000000</v>
      </c>
      <c r="E389" s="4336">
        <v>7.0000000000000007E-2</v>
      </c>
      <c r="F389" s="4268">
        <v>4500000</v>
      </c>
      <c r="G389" s="4268"/>
      <c r="H389" s="4268"/>
      <c r="I389" s="4346" t="s">
        <v>3900</v>
      </c>
      <c r="J389" s="4268">
        <f t="shared" si="40"/>
        <v>0</v>
      </c>
      <c r="K389" s="4268">
        <f t="shared" si="41"/>
        <v>4500000</v>
      </c>
      <c r="L389" s="4338"/>
      <c r="M389" s="366"/>
      <c r="N389" s="366"/>
      <c r="O389" s="366"/>
      <c r="P389" s="366"/>
    </row>
    <row r="390" spans="1:16" ht="30" customHeight="1" x14ac:dyDescent="0.2">
      <c r="A390" s="3316">
        <v>202</v>
      </c>
      <c r="B390" s="4338" t="s">
        <v>63</v>
      </c>
      <c r="C390" s="4337" t="s">
        <v>1081</v>
      </c>
      <c r="D390" s="4260">
        <v>100000000</v>
      </c>
      <c r="E390" s="4336">
        <v>0.05</v>
      </c>
      <c r="F390" s="4260">
        <f t="shared" si="39"/>
        <v>5000000</v>
      </c>
      <c r="G390" s="4260">
        <v>5000000</v>
      </c>
      <c r="H390" s="4268" t="s">
        <v>6756</v>
      </c>
      <c r="I390" s="4376" t="s">
        <v>3889</v>
      </c>
      <c r="J390" s="4268">
        <f t="shared" si="40"/>
        <v>5000000</v>
      </c>
      <c r="K390" s="4268">
        <f t="shared" si="41"/>
        <v>0</v>
      </c>
      <c r="L390" s="4365" t="s">
        <v>5478</v>
      </c>
      <c r="M390" s="366"/>
      <c r="N390" s="366"/>
      <c r="O390" s="366"/>
      <c r="P390" s="366"/>
    </row>
    <row r="391" spans="1:16" ht="30" customHeight="1" x14ac:dyDescent="0.2">
      <c r="A391" s="4341">
        <v>203</v>
      </c>
      <c r="B391" s="4279" t="s">
        <v>1244</v>
      </c>
      <c r="C391" s="4300" t="s">
        <v>1081</v>
      </c>
      <c r="D391" s="4268">
        <v>60000000</v>
      </c>
      <c r="E391" s="4274">
        <v>0.05</v>
      </c>
      <c r="F391" s="4268">
        <f t="shared" si="39"/>
        <v>3000000</v>
      </c>
      <c r="G391" s="4268">
        <v>3000000</v>
      </c>
      <c r="H391" s="4268" t="s">
        <v>6759</v>
      </c>
      <c r="I391" s="4376" t="s">
        <v>1154</v>
      </c>
      <c r="J391" s="4268">
        <f t="shared" si="40"/>
        <v>3000000</v>
      </c>
      <c r="K391" s="4268">
        <f t="shared" si="41"/>
        <v>0</v>
      </c>
      <c r="L391" s="4338"/>
    </row>
    <row r="392" spans="1:16" ht="30" customHeight="1" x14ac:dyDescent="0.2">
      <c r="A392" s="4341">
        <v>205</v>
      </c>
      <c r="B392" s="4338" t="s">
        <v>65</v>
      </c>
      <c r="C392" s="4300" t="s">
        <v>3245</v>
      </c>
      <c r="D392" s="4268">
        <v>15000000</v>
      </c>
      <c r="E392" s="4336">
        <v>0.04</v>
      </c>
      <c r="F392" s="4268">
        <f t="shared" si="39"/>
        <v>600000</v>
      </c>
      <c r="G392" s="4268">
        <v>600000</v>
      </c>
      <c r="H392" s="4268" t="s">
        <v>3284</v>
      </c>
      <c r="I392" s="4376" t="s">
        <v>3244</v>
      </c>
      <c r="J392" s="4268">
        <f t="shared" si="40"/>
        <v>600000</v>
      </c>
      <c r="K392" s="4268">
        <f t="shared" si="41"/>
        <v>0</v>
      </c>
      <c r="L392" s="4338"/>
    </row>
    <row r="393" spans="1:16" ht="30" customHeight="1" x14ac:dyDescent="0.2">
      <c r="A393" s="4297">
        <v>207</v>
      </c>
      <c r="B393" s="4334" t="s">
        <v>2676</v>
      </c>
      <c r="C393" s="4299" t="s">
        <v>681</v>
      </c>
      <c r="D393" s="4268">
        <v>150000000</v>
      </c>
      <c r="E393" s="4336">
        <v>0.04</v>
      </c>
      <c r="F393" s="4268">
        <f t="shared" si="39"/>
        <v>6000000</v>
      </c>
      <c r="G393" s="4266">
        <v>6000000</v>
      </c>
      <c r="H393" s="4266" t="s">
        <v>6577</v>
      </c>
      <c r="I393" s="4270" t="s">
        <v>3739</v>
      </c>
      <c r="J393" s="4266">
        <f t="shared" si="40"/>
        <v>6000000</v>
      </c>
      <c r="K393" s="4266">
        <f>F393-J393</f>
        <v>0</v>
      </c>
      <c r="L393" s="4291"/>
    </row>
    <row r="394" spans="1:16" ht="30" customHeight="1" x14ac:dyDescent="0.2">
      <c r="A394" s="4271">
        <v>208</v>
      </c>
      <c r="B394" s="19" t="s">
        <v>69</v>
      </c>
      <c r="C394" s="4864" t="s">
        <v>1100</v>
      </c>
      <c r="D394" s="4260">
        <v>15000000</v>
      </c>
      <c r="E394" s="4336">
        <v>0.04</v>
      </c>
      <c r="F394" s="4260">
        <f t="shared" si="39"/>
        <v>600000</v>
      </c>
      <c r="G394" s="4260">
        <v>600000</v>
      </c>
      <c r="H394" s="4260" t="s">
        <v>6759</v>
      </c>
      <c r="I394" s="4333" t="s">
        <v>1099</v>
      </c>
      <c r="J394" s="4260">
        <f t="shared" ref="J394:J408" si="42">G394</f>
        <v>600000</v>
      </c>
      <c r="K394" s="4260">
        <f t="shared" ref="K394:K411" si="43">F394-J394</f>
        <v>0</v>
      </c>
      <c r="L394" s="2013"/>
    </row>
    <row r="395" spans="1:16" ht="30" customHeight="1" x14ac:dyDescent="0.2">
      <c r="A395" s="4341">
        <v>210</v>
      </c>
      <c r="B395" s="4338" t="s">
        <v>72</v>
      </c>
      <c r="C395" s="7723" t="s">
        <v>392</v>
      </c>
      <c r="D395" s="4268">
        <v>50000000</v>
      </c>
      <c r="E395" s="4336">
        <v>7.0000000000000007E-2</v>
      </c>
      <c r="F395" s="4268">
        <f t="shared" si="39"/>
        <v>3500000.0000000005</v>
      </c>
      <c r="G395" s="7563">
        <v>7000000</v>
      </c>
      <c r="H395" s="7563" t="s">
        <v>6251</v>
      </c>
      <c r="I395" s="7561" t="s">
        <v>4892</v>
      </c>
      <c r="J395" s="7563">
        <f t="shared" si="42"/>
        <v>7000000</v>
      </c>
      <c r="K395" s="7563">
        <f>(F395+F396)-J395</f>
        <v>0</v>
      </c>
      <c r="L395" s="4338"/>
    </row>
    <row r="396" spans="1:16" ht="30" customHeight="1" x14ac:dyDescent="0.2">
      <c r="A396" s="4341"/>
      <c r="B396" s="4338" t="s">
        <v>4821</v>
      </c>
      <c r="C396" s="7724"/>
      <c r="D396" s="4268">
        <v>50000000</v>
      </c>
      <c r="E396" s="4336">
        <v>7.0000000000000007E-2</v>
      </c>
      <c r="F396" s="4268">
        <f t="shared" si="39"/>
        <v>3500000.0000000005</v>
      </c>
      <c r="G396" s="7564"/>
      <c r="H396" s="7564"/>
      <c r="I396" s="7562"/>
      <c r="J396" s="7564"/>
      <c r="K396" s="7564"/>
      <c r="L396" s="4338"/>
    </row>
    <row r="397" spans="1:16" ht="30" customHeight="1" x14ac:dyDescent="0.2">
      <c r="A397" s="7654">
        <v>211</v>
      </c>
      <c r="B397" s="7652" t="s">
        <v>73</v>
      </c>
      <c r="C397" s="7723" t="s">
        <v>1295</v>
      </c>
      <c r="D397" s="4268">
        <v>100000000</v>
      </c>
      <c r="E397" s="4336">
        <v>0.05</v>
      </c>
      <c r="F397" s="4268">
        <f t="shared" si="39"/>
        <v>5000000</v>
      </c>
      <c r="G397" s="4268">
        <v>5000000</v>
      </c>
      <c r="H397" s="4268" t="s">
        <v>6152</v>
      </c>
      <c r="I397" s="4376" t="s">
        <v>4001</v>
      </c>
      <c r="J397" s="4268">
        <f t="shared" si="42"/>
        <v>5000000</v>
      </c>
      <c r="K397" s="4268">
        <f t="shared" si="43"/>
        <v>0</v>
      </c>
      <c r="L397" s="4326" t="s">
        <v>6012</v>
      </c>
    </row>
    <row r="398" spans="1:16" ht="30" customHeight="1" x14ac:dyDescent="0.2">
      <c r="A398" s="7655"/>
      <c r="B398" s="7653"/>
      <c r="C398" s="7724"/>
      <c r="D398" s="4268">
        <v>100000000</v>
      </c>
      <c r="E398" s="4336"/>
      <c r="F398" s="4268"/>
      <c r="G398" s="233"/>
      <c r="H398" s="233"/>
      <c r="I398" s="233"/>
      <c r="J398" s="233"/>
      <c r="K398" s="4267"/>
      <c r="L398" s="4326" t="s">
        <v>6117</v>
      </c>
    </row>
    <row r="399" spans="1:16" ht="30" customHeight="1" x14ac:dyDescent="0.2">
      <c r="A399" s="7654">
        <v>212</v>
      </c>
      <c r="B399" s="7652" t="s">
        <v>74</v>
      </c>
      <c r="C399" s="7723" t="s">
        <v>889</v>
      </c>
      <c r="D399" s="4268">
        <v>30000000</v>
      </c>
      <c r="E399" s="4336">
        <v>0.05</v>
      </c>
      <c r="F399" s="4268">
        <f t="shared" si="39"/>
        <v>1500000</v>
      </c>
      <c r="G399" s="7563">
        <v>2000000</v>
      </c>
      <c r="H399" s="7563" t="s">
        <v>6152</v>
      </c>
      <c r="I399" s="7561" t="s">
        <v>1275</v>
      </c>
      <c r="J399" s="7563">
        <f t="shared" si="42"/>
        <v>2000000</v>
      </c>
      <c r="K399" s="7563">
        <f>(F399+F400)-J399</f>
        <v>0</v>
      </c>
      <c r="L399" s="4338"/>
    </row>
    <row r="400" spans="1:16" ht="30" customHeight="1" x14ac:dyDescent="0.2">
      <c r="A400" s="7656"/>
      <c r="B400" s="7665"/>
      <c r="C400" s="7747"/>
      <c r="D400" s="4268">
        <v>10000000</v>
      </c>
      <c r="E400" s="4336">
        <v>0.05</v>
      </c>
      <c r="F400" s="4268">
        <f t="shared" si="39"/>
        <v>500000</v>
      </c>
      <c r="G400" s="7564"/>
      <c r="H400" s="7564"/>
      <c r="I400" s="7562"/>
      <c r="J400" s="7564"/>
      <c r="K400" s="7564"/>
      <c r="L400" s="4338"/>
    </row>
    <row r="401" spans="1:12" ht="30" customHeight="1" x14ac:dyDescent="0.2">
      <c r="A401" s="7656"/>
      <c r="B401" s="7665"/>
      <c r="C401" s="7747"/>
      <c r="D401" s="7563">
        <v>20000000</v>
      </c>
      <c r="E401" s="7659">
        <v>0.06</v>
      </c>
      <c r="F401" s="7563">
        <f t="shared" si="39"/>
        <v>1200000</v>
      </c>
      <c r="G401" s="7732" t="s">
        <v>6534</v>
      </c>
      <c r="H401" s="7733"/>
      <c r="I401" s="7733"/>
      <c r="J401" s="7734"/>
      <c r="K401" s="4738"/>
      <c r="L401" s="4758" t="s">
        <v>6533</v>
      </c>
    </row>
    <row r="402" spans="1:12" ht="30" customHeight="1" x14ac:dyDescent="0.2">
      <c r="A402" s="7655"/>
      <c r="B402" s="7653"/>
      <c r="C402" s="7724"/>
      <c r="D402" s="7564"/>
      <c r="E402" s="7660"/>
      <c r="F402" s="7564"/>
      <c r="G402" s="7732" t="s">
        <v>7386</v>
      </c>
      <c r="H402" s="7733"/>
      <c r="I402" s="7733"/>
      <c r="J402" s="7734"/>
      <c r="K402" s="4738"/>
      <c r="L402" s="4758" t="s">
        <v>6535</v>
      </c>
    </row>
    <row r="403" spans="1:12" ht="30" customHeight="1" x14ac:dyDescent="0.2">
      <c r="A403" s="4341">
        <v>213</v>
      </c>
      <c r="B403" s="4338" t="s">
        <v>5115</v>
      </c>
      <c r="C403" s="4300" t="s">
        <v>889</v>
      </c>
      <c r="D403" s="4268">
        <v>15000000</v>
      </c>
      <c r="E403" s="4336">
        <v>4.7E-2</v>
      </c>
      <c r="F403" s="4268">
        <v>700000</v>
      </c>
      <c r="G403" s="4268">
        <v>700000</v>
      </c>
      <c r="H403" s="4268" t="s">
        <v>6152</v>
      </c>
      <c r="I403" s="4376" t="s">
        <v>325</v>
      </c>
      <c r="J403" s="4268">
        <f t="shared" si="42"/>
        <v>700000</v>
      </c>
      <c r="K403" s="4268">
        <f t="shared" si="43"/>
        <v>0</v>
      </c>
      <c r="L403" s="4338"/>
    </row>
    <row r="404" spans="1:12" ht="30" customHeight="1" x14ac:dyDescent="0.2">
      <c r="A404" s="4341">
        <v>214</v>
      </c>
      <c r="B404" s="4338" t="s">
        <v>937</v>
      </c>
      <c r="C404" s="4300"/>
      <c r="D404" s="4268">
        <v>200000000</v>
      </c>
      <c r="E404" s="4336">
        <v>5.5E-2</v>
      </c>
      <c r="F404" s="4268">
        <f t="shared" si="39"/>
        <v>11000000</v>
      </c>
      <c r="G404" s="4268">
        <v>11000000</v>
      </c>
      <c r="H404" s="4268" t="s">
        <v>6152</v>
      </c>
      <c r="I404" s="4376" t="s">
        <v>5498</v>
      </c>
      <c r="J404" s="4268">
        <f t="shared" si="42"/>
        <v>11000000</v>
      </c>
      <c r="K404" s="4268">
        <f t="shared" si="43"/>
        <v>0</v>
      </c>
      <c r="L404" s="4338"/>
    </row>
    <row r="405" spans="1:12" ht="30" customHeight="1" x14ac:dyDescent="0.2">
      <c r="A405" s="4297">
        <v>216</v>
      </c>
      <c r="B405" s="4334" t="s">
        <v>77</v>
      </c>
      <c r="C405" s="4299" t="s">
        <v>889</v>
      </c>
      <c r="D405" s="4268">
        <v>460000000</v>
      </c>
      <c r="E405" s="4336">
        <v>0.05</v>
      </c>
      <c r="F405" s="4268">
        <f t="shared" si="39"/>
        <v>23000000</v>
      </c>
      <c r="G405" s="4443">
        <v>23000000</v>
      </c>
      <c r="H405" s="4443" t="s">
        <v>6152</v>
      </c>
      <c r="I405" s="4473" t="s">
        <v>3401</v>
      </c>
      <c r="J405" s="4442">
        <f>G405</f>
        <v>23000000</v>
      </c>
      <c r="K405" s="4268">
        <f t="shared" si="43"/>
        <v>0</v>
      </c>
      <c r="L405" s="4338"/>
    </row>
    <row r="406" spans="1:12" ht="30" customHeight="1" x14ac:dyDescent="0.2">
      <c r="A406" s="4271">
        <v>217</v>
      </c>
      <c r="B406" s="4338" t="s">
        <v>79</v>
      </c>
      <c r="C406" s="4337"/>
      <c r="D406" s="4260">
        <v>160000000</v>
      </c>
      <c r="E406" s="4336">
        <v>0.05</v>
      </c>
      <c r="F406" s="4260">
        <f t="shared" si="39"/>
        <v>8000000</v>
      </c>
      <c r="G406" s="4443"/>
      <c r="H406" s="4443"/>
      <c r="I406" s="4473"/>
      <c r="J406" s="4442">
        <f t="shared" si="42"/>
        <v>0</v>
      </c>
      <c r="K406" s="4260">
        <f t="shared" si="43"/>
        <v>8000000</v>
      </c>
      <c r="L406" s="4291"/>
    </row>
    <row r="407" spans="1:12" ht="30" customHeight="1" x14ac:dyDescent="0.2">
      <c r="A407" s="7654">
        <v>218</v>
      </c>
      <c r="B407" s="7710" t="s">
        <v>80</v>
      </c>
      <c r="C407" s="7813"/>
      <c r="D407" s="7677">
        <v>45000000</v>
      </c>
      <c r="E407" s="7691">
        <v>0.04</v>
      </c>
      <c r="F407" s="7677">
        <f t="shared" si="39"/>
        <v>1800000</v>
      </c>
      <c r="G407" s="4281"/>
      <c r="H407" s="4281"/>
      <c r="I407" s="3026" t="s">
        <v>1695</v>
      </c>
      <c r="J407" s="4281">
        <f t="shared" si="42"/>
        <v>0</v>
      </c>
      <c r="K407" s="4281">
        <f t="shared" si="43"/>
        <v>1800000</v>
      </c>
      <c r="L407" s="4338"/>
    </row>
    <row r="408" spans="1:12" ht="30" customHeight="1" x14ac:dyDescent="0.2">
      <c r="A408" s="7655"/>
      <c r="B408" s="7712"/>
      <c r="C408" s="7815"/>
      <c r="D408" s="7678"/>
      <c r="E408" s="7693"/>
      <c r="F408" s="7678"/>
      <c r="G408" s="4281"/>
      <c r="H408" s="4281"/>
      <c r="I408" s="3026" t="s">
        <v>3561</v>
      </c>
      <c r="J408" s="4281">
        <f t="shared" si="42"/>
        <v>0</v>
      </c>
      <c r="K408" s="4281"/>
      <c r="L408" s="2013"/>
    </row>
    <row r="409" spans="1:12" ht="30" customHeight="1" x14ac:dyDescent="0.2">
      <c r="A409" s="4341">
        <v>219</v>
      </c>
      <c r="B409" s="4338" t="s">
        <v>1791</v>
      </c>
      <c r="C409" s="4300"/>
      <c r="D409" s="4281"/>
      <c r="E409" s="2519"/>
      <c r="F409" s="4281">
        <f t="shared" si="39"/>
        <v>0</v>
      </c>
      <c r="G409" s="4268"/>
      <c r="H409" s="4268"/>
      <c r="I409" s="4376"/>
      <c r="J409" s="4268"/>
      <c r="K409" s="4281">
        <f t="shared" si="43"/>
        <v>0</v>
      </c>
      <c r="L409" s="4338"/>
    </row>
    <row r="410" spans="1:12" ht="30" customHeight="1" x14ac:dyDescent="0.2">
      <c r="A410" s="3428">
        <v>220</v>
      </c>
      <c r="B410" s="3827" t="s">
        <v>81</v>
      </c>
      <c r="C410" s="4515" t="s">
        <v>889</v>
      </c>
      <c r="D410" s="4516">
        <v>203000000</v>
      </c>
      <c r="E410" s="3356">
        <v>0.05</v>
      </c>
      <c r="F410" s="4516">
        <f t="shared" si="39"/>
        <v>10150000</v>
      </c>
      <c r="G410" s="4517">
        <v>10150000</v>
      </c>
      <c r="H410" s="4517" t="s">
        <v>6152</v>
      </c>
      <c r="I410" s="287" t="s">
        <v>3409</v>
      </c>
      <c r="J410" s="4516">
        <f>G410</f>
        <v>10150000</v>
      </c>
      <c r="K410" s="4516">
        <f t="shared" si="43"/>
        <v>0</v>
      </c>
      <c r="L410" s="3828" t="s">
        <v>6242</v>
      </c>
    </row>
    <row r="411" spans="1:12" ht="30" customHeight="1" x14ac:dyDescent="0.2">
      <c r="A411" s="4341">
        <v>221</v>
      </c>
      <c r="B411" s="4334" t="s">
        <v>326</v>
      </c>
      <c r="C411" s="4299" t="s">
        <v>1652</v>
      </c>
      <c r="D411" s="4266">
        <v>275000000</v>
      </c>
      <c r="E411" s="4273">
        <v>4.2000000000000003E-2</v>
      </c>
      <c r="F411" s="4266">
        <f>D411*E411</f>
        <v>11550000</v>
      </c>
      <c r="G411" s="4267">
        <v>11550000</v>
      </c>
      <c r="H411" s="4267" t="s">
        <v>6362</v>
      </c>
      <c r="I411" s="4375" t="s">
        <v>6363</v>
      </c>
      <c r="J411" s="4266">
        <f>G411</f>
        <v>11550000</v>
      </c>
      <c r="K411" s="4266">
        <f t="shared" si="43"/>
        <v>0</v>
      </c>
      <c r="L411" s="4314"/>
    </row>
    <row r="412" spans="1:12" ht="30" customHeight="1" x14ac:dyDescent="0.2">
      <c r="A412" s="4341">
        <v>222</v>
      </c>
      <c r="B412" s="4338" t="s">
        <v>1818</v>
      </c>
      <c r="C412" s="4337" t="s">
        <v>1287</v>
      </c>
      <c r="D412" s="4260">
        <v>700000000</v>
      </c>
      <c r="E412" s="4336">
        <v>0.06</v>
      </c>
      <c r="F412" s="4260">
        <f>D412*E412</f>
        <v>42000000</v>
      </c>
      <c r="G412" s="4260">
        <v>42000000</v>
      </c>
      <c r="H412" s="4260" t="s">
        <v>6440</v>
      </c>
      <c r="I412" s="4333" t="s">
        <v>3724</v>
      </c>
      <c r="J412" s="4260">
        <f>G412</f>
        <v>42000000</v>
      </c>
      <c r="K412" s="4260">
        <f>F412-J412</f>
        <v>0</v>
      </c>
      <c r="L412" s="4337"/>
    </row>
    <row r="413" spans="1:12" ht="30" customHeight="1" x14ac:dyDescent="0.2">
      <c r="A413" s="1028">
        <v>224</v>
      </c>
      <c r="B413" s="19" t="s">
        <v>2623</v>
      </c>
      <c r="C413" s="4337"/>
      <c r="D413" s="4260">
        <v>10000000</v>
      </c>
      <c r="E413" s="4336">
        <v>0.05</v>
      </c>
      <c r="F413" s="4260">
        <f t="shared" si="39"/>
        <v>500000</v>
      </c>
      <c r="G413" s="4268"/>
      <c r="H413" s="4268"/>
      <c r="I413" s="4376" t="s">
        <v>3934</v>
      </c>
      <c r="J413" s="4268">
        <f t="shared" ref="J413:J418" si="44">G413</f>
        <v>0</v>
      </c>
      <c r="K413" s="4268">
        <f t="shared" ref="K413:K418" si="45">F413-J413</f>
        <v>500000</v>
      </c>
      <c r="L413" s="4338"/>
    </row>
    <row r="414" spans="1:12" ht="30" customHeight="1" x14ac:dyDescent="0.2">
      <c r="A414" s="7654">
        <v>226</v>
      </c>
      <c r="B414" s="7652" t="s">
        <v>86</v>
      </c>
      <c r="C414" s="7723" t="s">
        <v>889</v>
      </c>
      <c r="D414" s="4260">
        <v>410000000</v>
      </c>
      <c r="E414" s="4336">
        <v>0.06</v>
      </c>
      <c r="F414" s="4260">
        <f>D414*E414</f>
        <v>24600000</v>
      </c>
      <c r="G414" s="7563">
        <v>28080000</v>
      </c>
      <c r="H414" s="7563" t="s">
        <v>6192</v>
      </c>
      <c r="I414" s="7563" t="s">
        <v>2391</v>
      </c>
      <c r="J414" s="7563">
        <f t="shared" si="44"/>
        <v>28080000</v>
      </c>
      <c r="K414" s="7563"/>
      <c r="L414" s="4292"/>
    </row>
    <row r="415" spans="1:12" ht="30" customHeight="1" x14ac:dyDescent="0.2">
      <c r="A415" s="7656"/>
      <c r="B415" s="7665"/>
      <c r="C415" s="7747"/>
      <c r="D415" s="4260">
        <v>60000000</v>
      </c>
      <c r="E415" s="4336">
        <v>0.06</v>
      </c>
      <c r="F415" s="4260">
        <f>D415*E415</f>
        <v>3600000</v>
      </c>
      <c r="G415" s="7586"/>
      <c r="H415" s="7586"/>
      <c r="I415" s="7586"/>
      <c r="J415" s="7586"/>
      <c r="K415" s="7586"/>
      <c r="L415" s="4292" t="s">
        <v>5653</v>
      </c>
    </row>
    <row r="416" spans="1:12" ht="30" customHeight="1" x14ac:dyDescent="0.2">
      <c r="A416" s="7656"/>
      <c r="B416" s="7665"/>
      <c r="C416" s="7747"/>
      <c r="D416" s="4260">
        <v>30000000</v>
      </c>
      <c r="E416" s="4336">
        <v>0.06</v>
      </c>
      <c r="F416" s="4260">
        <f>D416*E416</f>
        <v>1800000</v>
      </c>
      <c r="G416" s="7586"/>
      <c r="H416" s="7586"/>
      <c r="I416" s="7586"/>
      <c r="J416" s="7586"/>
      <c r="K416" s="7586"/>
      <c r="L416" s="4292"/>
    </row>
    <row r="417" spans="1:12" ht="30" customHeight="1" x14ac:dyDescent="0.2">
      <c r="A417" s="7655"/>
      <c r="B417" s="7653"/>
      <c r="C417" s="7724"/>
      <c r="D417" s="4374">
        <f>SUM(D414:D416)</f>
        <v>500000000</v>
      </c>
      <c r="E417" s="896">
        <v>0.06</v>
      </c>
      <c r="F417" s="4374">
        <f>D417*E417</f>
        <v>30000000</v>
      </c>
      <c r="G417" s="7564"/>
      <c r="H417" s="7564"/>
      <c r="I417" s="7564"/>
      <c r="J417" s="7564"/>
      <c r="K417" s="7564"/>
      <c r="L417" s="4292"/>
    </row>
    <row r="418" spans="1:12" ht="30" customHeight="1" x14ac:dyDescent="0.2">
      <c r="A418" s="4341">
        <v>228</v>
      </c>
      <c r="B418" s="4338" t="s">
        <v>88</v>
      </c>
      <c r="C418" s="4300" t="s">
        <v>1176</v>
      </c>
      <c r="D418" s="4268">
        <v>10000000</v>
      </c>
      <c r="E418" s="4336">
        <v>0.04</v>
      </c>
      <c r="F418" s="4268">
        <f t="shared" si="39"/>
        <v>400000</v>
      </c>
      <c r="G418" s="4268">
        <v>400000</v>
      </c>
      <c r="H418" s="4268" t="s">
        <v>6368</v>
      </c>
      <c r="I418" s="26" t="s">
        <v>417</v>
      </c>
      <c r="J418" s="4268">
        <f t="shared" si="44"/>
        <v>400000</v>
      </c>
      <c r="K418" s="4268">
        <f t="shared" si="45"/>
        <v>0</v>
      </c>
      <c r="L418" s="4338"/>
    </row>
    <row r="419" spans="1:12" ht="30" customHeight="1" x14ac:dyDescent="0.2">
      <c r="A419" s="7654"/>
      <c r="B419" s="7652" t="s">
        <v>89</v>
      </c>
      <c r="C419" s="7723" t="s">
        <v>942</v>
      </c>
      <c r="D419" s="4268">
        <v>180000000</v>
      </c>
      <c r="E419" s="4336">
        <v>0.05</v>
      </c>
      <c r="F419" s="4268">
        <f>D419*E419</f>
        <v>9000000</v>
      </c>
      <c r="G419" s="7563">
        <v>14500000</v>
      </c>
      <c r="H419" s="7563" t="s">
        <v>6759</v>
      </c>
      <c r="I419" s="7563" t="s">
        <v>3969</v>
      </c>
      <c r="J419" s="7563">
        <f>G419</f>
        <v>14500000</v>
      </c>
      <c r="K419" s="7563"/>
      <c r="L419" s="4326" t="s">
        <v>6026</v>
      </c>
    </row>
    <row r="420" spans="1:12" ht="30" customHeight="1" x14ac:dyDescent="0.2">
      <c r="A420" s="7655"/>
      <c r="B420" s="7653"/>
      <c r="C420" s="7724"/>
      <c r="D420" s="4524">
        <v>150000000</v>
      </c>
      <c r="E420" s="4528">
        <v>0.05</v>
      </c>
      <c r="F420" s="4524">
        <f>D420*E420</f>
        <v>7500000</v>
      </c>
      <c r="G420" s="7564"/>
      <c r="H420" s="7564"/>
      <c r="I420" s="7564"/>
      <c r="J420" s="7564"/>
      <c r="K420" s="7564"/>
      <c r="L420" s="4530" t="s">
        <v>6332</v>
      </c>
    </row>
    <row r="421" spans="1:12" ht="30" customHeight="1" x14ac:dyDescent="0.2">
      <c r="A421" s="1028"/>
      <c r="B421" s="19" t="s">
        <v>5008</v>
      </c>
      <c r="C421" s="4337" t="s">
        <v>1718</v>
      </c>
      <c r="D421" s="4260">
        <v>50000000</v>
      </c>
      <c r="E421" s="4336">
        <v>0.05</v>
      </c>
      <c r="F421" s="4260">
        <f t="shared" si="39"/>
        <v>2500000</v>
      </c>
      <c r="G421" s="4440">
        <v>2500000</v>
      </c>
      <c r="H421" s="4440" t="s">
        <v>3807</v>
      </c>
      <c r="I421" s="4440" t="s">
        <v>6265</v>
      </c>
      <c r="J421" s="4440">
        <f>G421</f>
        <v>2500000</v>
      </c>
      <c r="K421" s="4440">
        <v>0</v>
      </c>
      <c r="L421" s="1661"/>
    </row>
    <row r="422" spans="1:12" ht="30" customHeight="1" x14ac:dyDescent="0.2">
      <c r="A422" s="4271">
        <v>231</v>
      </c>
      <c r="B422" s="4334" t="s">
        <v>91</v>
      </c>
      <c r="C422" s="4337" t="s">
        <v>1080</v>
      </c>
      <c r="D422" s="4268">
        <v>20000000</v>
      </c>
      <c r="E422" s="4274">
        <v>0.05</v>
      </c>
      <c r="F422" s="4268">
        <f t="shared" si="39"/>
        <v>1000000</v>
      </c>
      <c r="G422" s="4440">
        <v>1000000</v>
      </c>
      <c r="H422" s="4440" t="s">
        <v>6192</v>
      </c>
      <c r="I422" s="26" t="s">
        <v>298</v>
      </c>
      <c r="J422" s="4440">
        <f>G422</f>
        <v>1000000</v>
      </c>
      <c r="K422" s="4440">
        <f>F422-G422</f>
        <v>0</v>
      </c>
      <c r="L422" s="2013"/>
    </row>
    <row r="423" spans="1:12" ht="30" customHeight="1" x14ac:dyDescent="0.2">
      <c r="A423" s="7654">
        <v>232</v>
      </c>
      <c r="B423" s="7652" t="s">
        <v>1602</v>
      </c>
      <c r="C423" s="7723" t="s">
        <v>1172</v>
      </c>
      <c r="D423" s="4268">
        <v>55000000</v>
      </c>
      <c r="E423" s="4336">
        <v>5.5E-2</v>
      </c>
      <c r="F423" s="4268">
        <f t="shared" si="39"/>
        <v>3025000</v>
      </c>
      <c r="G423" s="8105" t="s">
        <v>6206</v>
      </c>
      <c r="H423" s="8106"/>
      <c r="I423" s="8106"/>
      <c r="J423" s="8107"/>
      <c r="K423" s="7563">
        <f>F423+F424</f>
        <v>4950000</v>
      </c>
      <c r="L423" s="345" t="s">
        <v>5491</v>
      </c>
    </row>
    <row r="424" spans="1:12" ht="30" customHeight="1" x14ac:dyDescent="0.2">
      <c r="A424" s="7656"/>
      <c r="B424" s="7665"/>
      <c r="C424" s="7747"/>
      <c r="D424" s="4268">
        <v>35000000</v>
      </c>
      <c r="E424" s="4336">
        <v>5.5E-2</v>
      </c>
      <c r="F424" s="4268">
        <f t="shared" si="39"/>
        <v>1925000</v>
      </c>
      <c r="G424" s="8111"/>
      <c r="H424" s="8112"/>
      <c r="I424" s="8112"/>
      <c r="J424" s="8113"/>
      <c r="K424" s="7564"/>
      <c r="L424" s="710" t="s">
        <v>5490</v>
      </c>
    </row>
    <row r="425" spans="1:12" ht="30" customHeight="1" x14ac:dyDescent="0.2">
      <c r="A425" s="7656"/>
      <c r="B425" s="7665"/>
      <c r="C425" s="7747"/>
      <c r="D425" s="5161">
        <v>4950000</v>
      </c>
      <c r="E425" s="5174"/>
      <c r="F425" s="5161"/>
      <c r="G425" s="7"/>
      <c r="H425" s="7"/>
      <c r="I425" s="1965"/>
      <c r="J425" s="7"/>
      <c r="K425" s="5161"/>
      <c r="L425" s="710"/>
    </row>
    <row r="426" spans="1:12" ht="30" customHeight="1" x14ac:dyDescent="0.2">
      <c r="A426" s="7655"/>
      <c r="B426" s="7653"/>
      <c r="C426" s="7724"/>
      <c r="D426" s="5177">
        <v>95000000</v>
      </c>
      <c r="E426" s="896">
        <v>5.5E-2</v>
      </c>
      <c r="F426" s="5177">
        <f t="shared" si="39"/>
        <v>5225000</v>
      </c>
      <c r="G426" s="7"/>
      <c r="H426" s="7"/>
      <c r="I426" s="1965"/>
      <c r="J426" s="7"/>
      <c r="K426" s="5161"/>
      <c r="L426" s="710"/>
    </row>
    <row r="427" spans="1:12" ht="30" customHeight="1" x14ac:dyDescent="0.2">
      <c r="A427" s="4341">
        <v>233</v>
      </c>
      <c r="B427" s="4338" t="s">
        <v>275</v>
      </c>
      <c r="C427" s="4300" t="s">
        <v>372</v>
      </c>
      <c r="D427" s="4268">
        <v>50000000</v>
      </c>
      <c r="E427" s="4336">
        <v>0.05</v>
      </c>
      <c r="F427" s="4268">
        <f t="shared" si="39"/>
        <v>2500000</v>
      </c>
      <c r="G427" s="4268">
        <v>2500000</v>
      </c>
      <c r="H427" s="4268" t="s">
        <v>6368</v>
      </c>
      <c r="I427" s="4376" t="s">
        <v>5699</v>
      </c>
      <c r="J427" s="4268">
        <f t="shared" ref="J427:J437" si="46">G427</f>
        <v>2500000</v>
      </c>
      <c r="K427" s="4268">
        <f t="shared" ref="K427:K436" si="47">F427-J427</f>
        <v>0</v>
      </c>
      <c r="L427" s="2013"/>
    </row>
    <row r="428" spans="1:12" ht="30" customHeight="1" x14ac:dyDescent="0.2">
      <c r="A428" s="4341">
        <v>234</v>
      </c>
      <c r="B428" s="4334" t="s">
        <v>93</v>
      </c>
      <c r="C428" s="4337" t="s">
        <v>1293</v>
      </c>
      <c r="D428" s="4260">
        <v>400000000</v>
      </c>
      <c r="E428" s="4336">
        <f>F428/D428</f>
        <v>5.2499999999999998E-2</v>
      </c>
      <c r="F428" s="4260">
        <v>21000000</v>
      </c>
      <c r="G428" s="4260">
        <v>21000000</v>
      </c>
      <c r="H428" s="4260" t="s">
        <v>6223</v>
      </c>
      <c r="I428" s="4333" t="s">
        <v>506</v>
      </c>
      <c r="J428" s="4260">
        <f t="shared" si="46"/>
        <v>21000000</v>
      </c>
      <c r="K428" s="4268">
        <f t="shared" si="47"/>
        <v>0</v>
      </c>
      <c r="L428" s="4324"/>
    </row>
    <row r="429" spans="1:12" ht="30" customHeight="1" x14ac:dyDescent="0.2">
      <c r="A429" s="4271">
        <v>235</v>
      </c>
      <c r="B429" s="4338" t="s">
        <v>94</v>
      </c>
      <c r="C429" s="4337" t="s">
        <v>1172</v>
      </c>
      <c r="D429" s="4260">
        <v>60000000</v>
      </c>
      <c r="E429" s="4336">
        <v>0.05</v>
      </c>
      <c r="F429" s="4260">
        <f t="shared" si="39"/>
        <v>3000000</v>
      </c>
      <c r="G429" s="4260">
        <v>3000000</v>
      </c>
      <c r="H429" s="4260" t="s">
        <v>3807</v>
      </c>
      <c r="I429" s="4394" t="s">
        <v>4384</v>
      </c>
      <c r="J429" s="4260">
        <f t="shared" si="46"/>
        <v>3000000</v>
      </c>
      <c r="K429" s="4260">
        <f t="shared" si="47"/>
        <v>0</v>
      </c>
      <c r="L429" s="4381"/>
    </row>
    <row r="430" spans="1:12" ht="30" customHeight="1" x14ac:dyDescent="0.2">
      <c r="A430" s="4341">
        <v>236</v>
      </c>
      <c r="B430" s="4338" t="s">
        <v>95</v>
      </c>
      <c r="C430" s="4300"/>
      <c r="D430" s="4268">
        <v>20000000</v>
      </c>
      <c r="E430" s="4336">
        <v>0.05</v>
      </c>
      <c r="F430" s="4268">
        <f>D430*E430</f>
        <v>1000000</v>
      </c>
      <c r="G430" s="4268">
        <v>1000000</v>
      </c>
      <c r="H430" s="4268" t="s">
        <v>6408</v>
      </c>
      <c r="I430" s="4311" t="s">
        <v>334</v>
      </c>
      <c r="J430" s="4268">
        <f t="shared" si="46"/>
        <v>1000000</v>
      </c>
      <c r="K430" s="4268">
        <f t="shared" si="47"/>
        <v>0</v>
      </c>
      <c r="L430" s="2013"/>
    </row>
    <row r="431" spans="1:12" ht="30" customHeight="1" x14ac:dyDescent="0.2">
      <c r="A431" s="7654"/>
      <c r="B431" s="4279" t="s">
        <v>96</v>
      </c>
      <c r="C431" s="7723" t="s">
        <v>1718</v>
      </c>
      <c r="D431" s="4268">
        <v>55000000</v>
      </c>
      <c r="E431" s="4336">
        <v>0.05</v>
      </c>
      <c r="F431" s="4268">
        <f>D431*E431</f>
        <v>2750000</v>
      </c>
      <c r="G431" s="7563">
        <v>5250000</v>
      </c>
      <c r="H431" s="7563" t="s">
        <v>6354</v>
      </c>
      <c r="I431" s="7563" t="s">
        <v>4415</v>
      </c>
      <c r="J431" s="7563">
        <f>G431</f>
        <v>5250000</v>
      </c>
      <c r="K431" s="7563">
        <f>(F431+F432)-J431</f>
        <v>0</v>
      </c>
      <c r="L431" s="4292"/>
    </row>
    <row r="432" spans="1:12" ht="30" customHeight="1" x14ac:dyDescent="0.2">
      <c r="A432" s="7655"/>
      <c r="B432" s="4279" t="s">
        <v>2011</v>
      </c>
      <c r="C432" s="7724"/>
      <c r="D432" s="4268">
        <v>50000000</v>
      </c>
      <c r="E432" s="4336">
        <v>0.05</v>
      </c>
      <c r="F432" s="4268">
        <f>D432*E432</f>
        <v>2500000</v>
      </c>
      <c r="G432" s="7564"/>
      <c r="H432" s="7564"/>
      <c r="I432" s="7564"/>
      <c r="J432" s="7564"/>
      <c r="K432" s="7564"/>
      <c r="L432" s="4292"/>
    </row>
    <row r="433" spans="1:14" ht="30" customHeight="1" x14ac:dyDescent="0.2">
      <c r="A433" s="4272"/>
      <c r="B433" s="4279" t="s">
        <v>4008</v>
      </c>
      <c r="C433" s="4300" t="s">
        <v>262</v>
      </c>
      <c r="D433" s="4268">
        <v>10000000</v>
      </c>
      <c r="E433" s="4336">
        <v>0.05</v>
      </c>
      <c r="F433" s="4268">
        <f>D433*E433</f>
        <v>500000</v>
      </c>
      <c r="G433" s="4260">
        <v>500000</v>
      </c>
      <c r="H433" s="4260" t="s">
        <v>6368</v>
      </c>
      <c r="I433" s="4260" t="s">
        <v>5086</v>
      </c>
      <c r="J433" s="4260">
        <f>G433</f>
        <v>500000</v>
      </c>
      <c r="K433" s="4268">
        <f>F433-J433</f>
        <v>0</v>
      </c>
      <c r="L433" s="4292"/>
    </row>
    <row r="434" spans="1:14" ht="30" customHeight="1" x14ac:dyDescent="0.2">
      <c r="A434" s="4341">
        <v>238</v>
      </c>
      <c r="B434" s="4338" t="s">
        <v>97</v>
      </c>
      <c r="C434" s="4300" t="s">
        <v>1176</v>
      </c>
      <c r="D434" s="4268">
        <v>100000000</v>
      </c>
      <c r="E434" s="4336">
        <v>0.05</v>
      </c>
      <c r="F434" s="4268">
        <f t="shared" si="39"/>
        <v>5000000</v>
      </c>
      <c r="G434" s="4268">
        <v>5000000</v>
      </c>
      <c r="H434" s="4268" t="s">
        <v>6354</v>
      </c>
      <c r="I434" s="18" t="s">
        <v>3492</v>
      </c>
      <c r="J434" s="4268">
        <f t="shared" si="46"/>
        <v>5000000</v>
      </c>
      <c r="K434" s="4268">
        <f t="shared" si="47"/>
        <v>0</v>
      </c>
      <c r="L434" s="4338"/>
    </row>
    <row r="435" spans="1:14" ht="30" customHeight="1" x14ac:dyDescent="0.2">
      <c r="A435" s="4341">
        <v>239</v>
      </c>
      <c r="B435" s="4338" t="s">
        <v>98</v>
      </c>
      <c r="C435" s="4300" t="s">
        <v>372</v>
      </c>
      <c r="D435" s="4268">
        <v>50000000</v>
      </c>
      <c r="E435" s="4336">
        <v>0.05</v>
      </c>
      <c r="F435" s="4268">
        <f t="shared" si="39"/>
        <v>2500000</v>
      </c>
      <c r="G435" s="4268">
        <v>2500000</v>
      </c>
      <c r="H435" s="4268" t="s">
        <v>6386</v>
      </c>
      <c r="I435" s="4376" t="s">
        <v>348</v>
      </c>
      <c r="J435" s="4268">
        <f t="shared" si="46"/>
        <v>2500000</v>
      </c>
      <c r="K435" s="4268">
        <f t="shared" si="47"/>
        <v>0</v>
      </c>
      <c r="L435" s="4292"/>
    </row>
    <row r="436" spans="1:14" ht="30" customHeight="1" x14ac:dyDescent="0.2">
      <c r="A436" s="3428">
        <v>240</v>
      </c>
      <c r="B436" s="2551" t="s">
        <v>2274</v>
      </c>
      <c r="C436" s="3024" t="s">
        <v>990</v>
      </c>
      <c r="D436" s="2548">
        <v>100000000</v>
      </c>
      <c r="E436" s="2549">
        <v>0.04</v>
      </c>
      <c r="F436" s="2548">
        <f t="shared" si="39"/>
        <v>4000000</v>
      </c>
      <c r="G436" s="8419" t="s">
        <v>6166</v>
      </c>
      <c r="H436" s="8420"/>
      <c r="I436" s="8420"/>
      <c r="J436" s="8421"/>
      <c r="K436" s="4436">
        <f t="shared" si="47"/>
        <v>4000000</v>
      </c>
      <c r="L436" s="4365"/>
    </row>
    <row r="437" spans="1:14" ht="30" customHeight="1" x14ac:dyDescent="0.2">
      <c r="A437" s="7654">
        <v>241</v>
      </c>
      <c r="B437" s="7652" t="s">
        <v>559</v>
      </c>
      <c r="C437" s="7873" t="s">
        <v>1796</v>
      </c>
      <c r="D437" s="4260">
        <v>20000000</v>
      </c>
      <c r="E437" s="4336">
        <v>7.0000000000000007E-2</v>
      </c>
      <c r="F437" s="4260">
        <f>D437*E437</f>
        <v>1400000.0000000002</v>
      </c>
      <c r="G437" s="7563">
        <v>2300000</v>
      </c>
      <c r="H437" s="7563" t="s">
        <v>6762</v>
      </c>
      <c r="I437" s="7772" t="s">
        <v>557</v>
      </c>
      <c r="J437" s="7563">
        <f t="shared" si="46"/>
        <v>2300000</v>
      </c>
      <c r="K437" s="7563">
        <f>(F437+F438)-J437</f>
        <v>0</v>
      </c>
      <c r="L437" s="8037"/>
    </row>
    <row r="438" spans="1:14" ht="30" customHeight="1" x14ac:dyDescent="0.2">
      <c r="A438" s="7656"/>
      <c r="B438" s="7653"/>
      <c r="C438" s="7873"/>
      <c r="D438" s="4260">
        <v>10000000</v>
      </c>
      <c r="E438" s="4336">
        <v>0.09</v>
      </c>
      <c r="F438" s="4260">
        <f>D438*E438</f>
        <v>900000</v>
      </c>
      <c r="G438" s="7564"/>
      <c r="H438" s="7564"/>
      <c r="I438" s="7773"/>
      <c r="J438" s="7564"/>
      <c r="K438" s="7564"/>
      <c r="L438" s="7758"/>
    </row>
    <row r="439" spans="1:14" ht="30" customHeight="1" x14ac:dyDescent="0.2">
      <c r="A439" s="4341">
        <v>242</v>
      </c>
      <c r="B439" s="4338" t="s">
        <v>100</v>
      </c>
      <c r="C439" s="4300" t="s">
        <v>1652</v>
      </c>
      <c r="D439" s="4268">
        <v>140000000</v>
      </c>
      <c r="E439" s="4274">
        <v>4.4999999999999998E-2</v>
      </c>
      <c r="F439" s="4268">
        <f t="shared" si="39"/>
        <v>6300000</v>
      </c>
      <c r="G439" s="4268">
        <v>6300000</v>
      </c>
      <c r="H439" s="4268" t="s">
        <v>3807</v>
      </c>
      <c r="I439" s="4376" t="s">
        <v>3493</v>
      </c>
      <c r="J439" s="4268">
        <f>G439</f>
        <v>6300000</v>
      </c>
      <c r="K439" s="4268">
        <f t="shared" ref="K439:K449" si="48">F439-J439</f>
        <v>0</v>
      </c>
      <c r="L439" s="4365"/>
    </row>
    <row r="440" spans="1:14" ht="30" customHeight="1" x14ac:dyDescent="0.2">
      <c r="A440" s="4341">
        <v>243</v>
      </c>
      <c r="B440" s="19" t="s">
        <v>507</v>
      </c>
      <c r="C440" s="4337" t="s">
        <v>262</v>
      </c>
      <c r="D440" s="4260">
        <v>20000000</v>
      </c>
      <c r="E440" s="4336">
        <v>0.05</v>
      </c>
      <c r="F440" s="4260">
        <f>D440*E440</f>
        <v>1000000</v>
      </c>
      <c r="G440" s="4260">
        <v>1000000</v>
      </c>
      <c r="H440" s="4260" t="s">
        <v>6368</v>
      </c>
      <c r="I440" s="4260" t="s">
        <v>296</v>
      </c>
      <c r="J440" s="4260">
        <f>G440</f>
        <v>1000000</v>
      </c>
      <c r="K440" s="4260">
        <f t="shared" si="48"/>
        <v>0</v>
      </c>
      <c r="L440" s="4365"/>
      <c r="M440" s="248"/>
      <c r="N440" s="248"/>
    </row>
    <row r="441" spans="1:14" ht="30" customHeight="1" x14ac:dyDescent="0.2">
      <c r="A441" s="1028">
        <v>244</v>
      </c>
      <c r="B441" s="19" t="s">
        <v>101</v>
      </c>
      <c r="C441" s="4337" t="s">
        <v>372</v>
      </c>
      <c r="D441" s="4260">
        <v>60000000</v>
      </c>
      <c r="E441" s="4336">
        <v>0.06</v>
      </c>
      <c r="F441" s="4268">
        <f t="shared" ref="F441" si="49">D441*E441</f>
        <v>3600000</v>
      </c>
      <c r="G441" s="4260">
        <v>3600000</v>
      </c>
      <c r="H441" s="4260" t="s">
        <v>6368</v>
      </c>
      <c r="I441" s="4333" t="s">
        <v>3530</v>
      </c>
      <c r="J441" s="4260">
        <f>G441</f>
        <v>3600000</v>
      </c>
      <c r="K441" s="4260">
        <f>F441-J441</f>
        <v>0</v>
      </c>
      <c r="L441" s="1661" t="s">
        <v>5030</v>
      </c>
    </row>
    <row r="442" spans="1:14" ht="30" customHeight="1" x14ac:dyDescent="0.2">
      <c r="A442" s="4341">
        <v>245</v>
      </c>
      <c r="B442" s="4338" t="s">
        <v>4058</v>
      </c>
      <c r="C442" s="4300" t="s">
        <v>262</v>
      </c>
      <c r="D442" s="4268">
        <v>70000000</v>
      </c>
      <c r="E442" s="4336">
        <v>0.05</v>
      </c>
      <c r="F442" s="4268">
        <f t="shared" si="39"/>
        <v>3500000</v>
      </c>
      <c r="G442" s="4268">
        <v>3500000</v>
      </c>
      <c r="H442" s="4268" t="s">
        <v>6395</v>
      </c>
      <c r="I442" s="4306" t="s">
        <v>4064</v>
      </c>
      <c r="J442" s="4268">
        <f>G442</f>
        <v>3500000</v>
      </c>
      <c r="K442" s="4268">
        <f t="shared" si="48"/>
        <v>0</v>
      </c>
      <c r="L442" s="4343"/>
    </row>
    <row r="443" spans="1:14" ht="30" customHeight="1" x14ac:dyDescent="0.2">
      <c r="A443" s="7654">
        <v>246</v>
      </c>
      <c r="B443" s="7652" t="s">
        <v>103</v>
      </c>
      <c r="C443" s="7723" t="s">
        <v>262</v>
      </c>
      <c r="D443" s="4268">
        <v>85000000</v>
      </c>
      <c r="E443" s="4336">
        <v>5.0999999999999997E-2</v>
      </c>
      <c r="F443" s="4268">
        <v>4300000</v>
      </c>
      <c r="G443" s="4268">
        <v>4300000</v>
      </c>
      <c r="H443" s="4268" t="s">
        <v>6368</v>
      </c>
      <c r="I443" s="27" t="s">
        <v>2864</v>
      </c>
      <c r="J443" s="4268">
        <f t="shared" ref="J443:J469" si="50">G443</f>
        <v>4300000</v>
      </c>
      <c r="K443" s="4268">
        <f t="shared" si="48"/>
        <v>0</v>
      </c>
      <c r="L443" s="4338"/>
    </row>
    <row r="444" spans="1:14" ht="30" customHeight="1" x14ac:dyDescent="0.2">
      <c r="A444" s="7656"/>
      <c r="B444" s="7665"/>
      <c r="C444" s="7747"/>
      <c r="D444" s="4819">
        <v>10000000</v>
      </c>
      <c r="E444" s="4830"/>
      <c r="F444" s="4819"/>
      <c r="G444" s="4819"/>
      <c r="H444" s="4819"/>
      <c r="I444" s="4860"/>
      <c r="J444" s="4819"/>
      <c r="K444" s="4819"/>
      <c r="L444" s="4834" t="s">
        <v>6663</v>
      </c>
    </row>
    <row r="445" spans="1:14" ht="30" customHeight="1" x14ac:dyDescent="0.2">
      <c r="A445" s="7656"/>
      <c r="B445" s="7665"/>
      <c r="C445" s="7747"/>
      <c r="D445" s="4819">
        <v>10000000</v>
      </c>
      <c r="E445" s="4830"/>
      <c r="F445" s="4819"/>
      <c r="G445" s="4819"/>
      <c r="H445" s="4819"/>
      <c r="I445" s="4860"/>
      <c r="J445" s="4819"/>
      <c r="K445" s="4819"/>
      <c r="L445" s="4853" t="s">
        <v>6662</v>
      </c>
    </row>
    <row r="446" spans="1:14" ht="30" customHeight="1" x14ac:dyDescent="0.2">
      <c r="A446" s="7656"/>
      <c r="B446" s="7665"/>
      <c r="C446" s="7747"/>
      <c r="D446" s="4819">
        <v>10000000</v>
      </c>
      <c r="E446" s="4830"/>
      <c r="F446" s="4819"/>
      <c r="G446" s="4819"/>
      <c r="H446" s="4819"/>
      <c r="I446" s="4860"/>
      <c r="J446" s="4819"/>
      <c r="K446" s="4819"/>
      <c r="L446" s="4853" t="s">
        <v>6664</v>
      </c>
    </row>
    <row r="447" spans="1:14" ht="30" customHeight="1" x14ac:dyDescent="0.2">
      <c r="A447" s="7656"/>
      <c r="B447" s="7665"/>
      <c r="C447" s="7747"/>
      <c r="D447" s="4819">
        <v>10000000</v>
      </c>
      <c r="E447" s="4830"/>
      <c r="F447" s="4819"/>
      <c r="G447" s="4819"/>
      <c r="H447" s="4819"/>
      <c r="I447" s="4860"/>
      <c r="J447" s="4819"/>
      <c r="K447" s="4819"/>
      <c r="L447" s="4834"/>
    </row>
    <row r="448" spans="1:14" ht="30" customHeight="1" x14ac:dyDescent="0.2">
      <c r="A448" s="7655"/>
      <c r="B448" s="7653"/>
      <c r="C448" s="7724"/>
      <c r="D448" s="4824">
        <v>125000000</v>
      </c>
      <c r="E448" s="4839">
        <v>0.05</v>
      </c>
      <c r="F448" s="4824">
        <v>6300000</v>
      </c>
      <c r="G448" s="4819"/>
      <c r="H448" s="4819"/>
      <c r="I448" s="4860"/>
      <c r="J448" s="4819"/>
      <c r="K448" s="4819"/>
      <c r="L448" s="4895" t="s">
        <v>6676</v>
      </c>
    </row>
    <row r="449" spans="1:14" ht="30" customHeight="1" x14ac:dyDescent="0.2">
      <c r="A449" s="4341">
        <v>247</v>
      </c>
      <c r="B449" s="4338" t="s">
        <v>104</v>
      </c>
      <c r="C449" s="4300" t="s">
        <v>262</v>
      </c>
      <c r="D449" s="4268">
        <v>220000000</v>
      </c>
      <c r="E449" s="4336">
        <v>7.0000000000000007E-2</v>
      </c>
      <c r="F449" s="4268">
        <f t="shared" si="39"/>
        <v>15400000.000000002</v>
      </c>
      <c r="G449" s="4268">
        <v>15400000</v>
      </c>
      <c r="H449" s="4268" t="s">
        <v>6368</v>
      </c>
      <c r="I449" s="4376" t="s">
        <v>4090</v>
      </c>
      <c r="J449" s="4268">
        <f t="shared" si="50"/>
        <v>15400000</v>
      </c>
      <c r="K449" s="4268">
        <f t="shared" si="48"/>
        <v>0</v>
      </c>
      <c r="L449" s="4365"/>
      <c r="M449" s="858"/>
      <c r="N449" s="859"/>
    </row>
    <row r="450" spans="1:14" ht="30" customHeight="1" x14ac:dyDescent="0.2">
      <c r="A450" s="7654">
        <v>250</v>
      </c>
      <c r="B450" s="7652" t="s">
        <v>107</v>
      </c>
      <c r="C450" s="7723" t="s">
        <v>1718</v>
      </c>
      <c r="D450" s="4268">
        <v>200000000</v>
      </c>
      <c r="E450" s="4336">
        <v>0.04</v>
      </c>
      <c r="F450" s="4268">
        <f t="shared" si="39"/>
        <v>8000000</v>
      </c>
      <c r="G450" s="7563">
        <v>20500000</v>
      </c>
      <c r="H450" s="7563" t="s">
        <v>3807</v>
      </c>
      <c r="I450" s="7871" t="s">
        <v>1220</v>
      </c>
      <c r="J450" s="7563">
        <f t="shared" si="50"/>
        <v>20500000</v>
      </c>
      <c r="K450" s="7563">
        <f>(F450+F451)-J450</f>
        <v>0</v>
      </c>
      <c r="L450" s="7674" t="s">
        <v>6175</v>
      </c>
    </row>
    <row r="451" spans="1:14" ht="30" customHeight="1" x14ac:dyDescent="0.2">
      <c r="A451" s="7655"/>
      <c r="B451" s="7653"/>
      <c r="C451" s="7724"/>
      <c r="D451" s="4268">
        <v>250000000</v>
      </c>
      <c r="E451" s="4336">
        <v>0.05</v>
      </c>
      <c r="F451" s="4268">
        <f t="shared" si="39"/>
        <v>12500000</v>
      </c>
      <c r="G451" s="7564"/>
      <c r="H451" s="7564"/>
      <c r="I451" s="7872"/>
      <c r="J451" s="7564"/>
      <c r="K451" s="7564"/>
      <c r="L451" s="7675"/>
    </row>
    <row r="452" spans="1:14" ht="30" customHeight="1" x14ac:dyDescent="0.2">
      <c r="A452" s="7654">
        <v>251</v>
      </c>
      <c r="B452" s="7652" t="s">
        <v>1830</v>
      </c>
      <c r="C452" s="7723" t="s">
        <v>371</v>
      </c>
      <c r="D452" s="4260">
        <v>90000000</v>
      </c>
      <c r="E452" s="4336">
        <v>0.06</v>
      </c>
      <c r="F452" s="4260">
        <f t="shared" si="39"/>
        <v>5400000</v>
      </c>
      <c r="G452" s="7482">
        <v>15200000</v>
      </c>
      <c r="H452" s="7482" t="s">
        <v>6386</v>
      </c>
      <c r="I452" s="7857" t="s">
        <v>5060</v>
      </c>
      <c r="J452" s="7482">
        <f t="shared" si="50"/>
        <v>15200000</v>
      </c>
      <c r="K452" s="7563">
        <f>(F452+F453+F454)-J452</f>
        <v>0</v>
      </c>
      <c r="L452" s="4350"/>
    </row>
    <row r="453" spans="1:14" ht="30" customHeight="1" x14ac:dyDescent="0.2">
      <c r="A453" s="7656"/>
      <c r="B453" s="7665"/>
      <c r="C453" s="7747"/>
      <c r="D453" s="4260">
        <v>100000000</v>
      </c>
      <c r="E453" s="4336">
        <v>7.0000000000000007E-2</v>
      </c>
      <c r="F453" s="4260">
        <f t="shared" si="39"/>
        <v>7000000.0000000009</v>
      </c>
      <c r="G453" s="7482"/>
      <c r="H453" s="7482"/>
      <c r="I453" s="7857"/>
      <c r="J453" s="7482"/>
      <c r="K453" s="7586"/>
      <c r="L453" s="4326"/>
    </row>
    <row r="454" spans="1:14" ht="30" customHeight="1" x14ac:dyDescent="0.2">
      <c r="A454" s="7655"/>
      <c r="B454" s="7653"/>
      <c r="C454" s="7724"/>
      <c r="D454" s="4268">
        <v>40000000</v>
      </c>
      <c r="E454" s="4274">
        <v>7.0000000000000007E-2</v>
      </c>
      <c r="F454" s="4268">
        <f t="shared" si="39"/>
        <v>2800000.0000000005</v>
      </c>
      <c r="G454" s="7482"/>
      <c r="H454" s="7482"/>
      <c r="I454" s="7857"/>
      <c r="J454" s="7482"/>
      <c r="K454" s="7564"/>
      <c r="L454" s="4326"/>
    </row>
    <row r="455" spans="1:14" ht="30" customHeight="1" x14ac:dyDescent="0.2">
      <c r="A455" s="7654"/>
      <c r="B455" s="7652" t="s">
        <v>4605</v>
      </c>
      <c r="C455" s="7723" t="s">
        <v>1293</v>
      </c>
      <c r="D455" s="4268">
        <v>150000000</v>
      </c>
      <c r="E455" s="4274">
        <v>0.06</v>
      </c>
      <c r="F455" s="4268">
        <f t="shared" si="39"/>
        <v>9000000</v>
      </c>
      <c r="G455" s="7563">
        <v>16500000</v>
      </c>
      <c r="H455" s="7563" t="s">
        <v>6220</v>
      </c>
      <c r="I455" s="7561" t="s">
        <v>6221</v>
      </c>
      <c r="J455" s="7563">
        <f>G455</f>
        <v>16500000</v>
      </c>
      <c r="K455" s="7563"/>
      <c r="L455" s="4628" t="s">
        <v>6374</v>
      </c>
    </row>
    <row r="456" spans="1:14" ht="30" customHeight="1" x14ac:dyDescent="0.2">
      <c r="A456" s="7656"/>
      <c r="B456" s="7665"/>
      <c r="C456" s="7747"/>
      <c r="D456" s="4268">
        <v>90000000</v>
      </c>
      <c r="E456" s="4598">
        <v>0.06</v>
      </c>
      <c r="F456" s="4597">
        <f t="shared" si="39"/>
        <v>5400000</v>
      </c>
      <c r="G456" s="7586"/>
      <c r="H456" s="7586"/>
      <c r="I456" s="7672"/>
      <c r="J456" s="7586"/>
      <c r="K456" s="7586"/>
      <c r="L456" s="4628" t="s">
        <v>6373</v>
      </c>
    </row>
    <row r="457" spans="1:14" ht="30" customHeight="1" x14ac:dyDescent="0.2">
      <c r="A457" s="7656"/>
      <c r="B457" s="7665"/>
      <c r="C457" s="7747"/>
      <c r="D457" s="4443">
        <v>70000000</v>
      </c>
      <c r="E457" s="4598">
        <v>0.06</v>
      </c>
      <c r="F457" s="4597">
        <f t="shared" si="39"/>
        <v>4200000</v>
      </c>
      <c r="G457" s="7586"/>
      <c r="H457" s="7586"/>
      <c r="I457" s="7672"/>
      <c r="J457" s="7586"/>
      <c r="K457" s="7564"/>
      <c r="L457" s="4628" t="s">
        <v>6219</v>
      </c>
    </row>
    <row r="458" spans="1:14" ht="30" customHeight="1" x14ac:dyDescent="0.2">
      <c r="A458" s="7656"/>
      <c r="B458" s="7665"/>
      <c r="C458" s="7747"/>
      <c r="D458" s="4595">
        <v>15000000</v>
      </c>
      <c r="E458" s="4598">
        <v>0.06</v>
      </c>
      <c r="F458" s="4597">
        <f t="shared" si="39"/>
        <v>900000</v>
      </c>
      <c r="G458" s="7586"/>
      <c r="H458" s="7586"/>
      <c r="I458" s="7672"/>
      <c r="J458" s="7586"/>
      <c r="K458" s="4595"/>
      <c r="L458" s="4628" t="s">
        <v>6383</v>
      </c>
    </row>
    <row r="459" spans="1:14" ht="30" customHeight="1" x14ac:dyDescent="0.2">
      <c r="A459" s="7655"/>
      <c r="B459" s="7653"/>
      <c r="C459" s="7724"/>
      <c r="D459" s="4636">
        <f>SUM(D455:D458)</f>
        <v>325000000</v>
      </c>
      <c r="E459" s="4635">
        <v>0.06</v>
      </c>
      <c r="F459" s="4636">
        <f t="shared" si="39"/>
        <v>19500000</v>
      </c>
      <c r="G459" s="7564"/>
      <c r="H459" s="7564"/>
      <c r="I459" s="7562"/>
      <c r="J459" s="7564"/>
      <c r="K459" s="4596"/>
      <c r="L459" s="4610"/>
    </row>
    <row r="460" spans="1:14" ht="30" customHeight="1" x14ac:dyDescent="0.2">
      <c r="A460" s="7654"/>
      <c r="B460" s="7717" t="s">
        <v>4609</v>
      </c>
      <c r="C460" s="7723" t="s">
        <v>1176</v>
      </c>
      <c r="D460" s="4268">
        <v>165000000</v>
      </c>
      <c r="E460" s="4274">
        <v>0.06</v>
      </c>
      <c r="F460" s="4268">
        <f t="shared" si="39"/>
        <v>9900000</v>
      </c>
      <c r="G460" s="7563">
        <f>F460+F461+F462</f>
        <v>18000000</v>
      </c>
      <c r="H460" s="7563" t="s">
        <v>6362</v>
      </c>
      <c r="I460" s="7561" t="s">
        <v>1810</v>
      </c>
      <c r="J460" s="7563">
        <f>G460</f>
        <v>18000000</v>
      </c>
      <c r="K460" s="7563">
        <f>(F460+F461+F462)-J460</f>
        <v>0</v>
      </c>
      <c r="L460" s="4326" t="s">
        <v>4951</v>
      </c>
    </row>
    <row r="461" spans="1:14" ht="30" customHeight="1" x14ac:dyDescent="0.2">
      <c r="A461" s="7656"/>
      <c r="B461" s="7717"/>
      <c r="C461" s="7747"/>
      <c r="D461" s="4268">
        <v>105000000</v>
      </c>
      <c r="E461" s="4274">
        <v>0.06</v>
      </c>
      <c r="F461" s="4268">
        <f t="shared" si="39"/>
        <v>6300000</v>
      </c>
      <c r="G461" s="7586"/>
      <c r="H461" s="7586"/>
      <c r="I461" s="7672"/>
      <c r="J461" s="7586"/>
      <c r="K461" s="7586"/>
      <c r="L461" s="4326" t="s">
        <v>4952</v>
      </c>
    </row>
    <row r="462" spans="1:14" ht="30" customHeight="1" x14ac:dyDescent="0.2">
      <c r="A462" s="7656"/>
      <c r="B462" s="7717"/>
      <c r="C462" s="7724"/>
      <c r="D462" s="4268">
        <v>30000000</v>
      </c>
      <c r="E462" s="4274">
        <v>0.06</v>
      </c>
      <c r="F462" s="4268">
        <f t="shared" si="39"/>
        <v>1800000</v>
      </c>
      <c r="G462" s="7564"/>
      <c r="H462" s="7564"/>
      <c r="I462" s="7562"/>
      <c r="J462" s="7564"/>
      <c r="K462" s="7564"/>
      <c r="L462" s="4326" t="s">
        <v>5658</v>
      </c>
    </row>
    <row r="463" spans="1:14" ht="30" customHeight="1" x14ac:dyDescent="0.2">
      <c r="A463" s="7654"/>
      <c r="B463" s="7652" t="s">
        <v>6274</v>
      </c>
      <c r="C463" s="7723"/>
      <c r="D463" s="7494" t="s">
        <v>6275</v>
      </c>
      <c r="E463" s="7495"/>
      <c r="F463" s="7768"/>
      <c r="G463" s="4481">
        <v>50000000</v>
      </c>
      <c r="H463" s="4481" t="s">
        <v>3807</v>
      </c>
      <c r="I463" s="4484" t="s">
        <v>6269</v>
      </c>
      <c r="J463" s="4481">
        <f>G463</f>
        <v>50000000</v>
      </c>
      <c r="K463" s="4483"/>
      <c r="L463" s="4501"/>
    </row>
    <row r="464" spans="1:14" ht="30" customHeight="1" x14ac:dyDescent="0.2">
      <c r="A464" s="7655"/>
      <c r="B464" s="7653"/>
      <c r="C464" s="7724"/>
      <c r="D464" s="7769"/>
      <c r="E464" s="7805"/>
      <c r="F464" s="7770"/>
      <c r="G464" s="7732" t="s">
        <v>6454</v>
      </c>
      <c r="H464" s="7733"/>
      <c r="I464" s="7733"/>
      <c r="J464" s="7734"/>
      <c r="K464" s="4705"/>
      <c r="L464" s="4716"/>
    </row>
    <row r="465" spans="1:15" ht="30" customHeight="1" x14ac:dyDescent="0.2">
      <c r="A465" s="4743"/>
      <c r="B465" s="4745" t="s">
        <v>2396</v>
      </c>
      <c r="C465" s="4751"/>
      <c r="D465" s="7470" t="s">
        <v>6539</v>
      </c>
      <c r="E465" s="7493"/>
      <c r="F465" s="7510"/>
      <c r="G465" s="7732" t="s">
        <v>7260</v>
      </c>
      <c r="H465" s="7733"/>
      <c r="I465" s="7733"/>
      <c r="J465" s="7734"/>
      <c r="K465" s="4739"/>
      <c r="L465" s="4758" t="s">
        <v>7261</v>
      </c>
    </row>
    <row r="466" spans="1:15" ht="30" customHeight="1" x14ac:dyDescent="0.2">
      <c r="A466" s="1028"/>
      <c r="B466" s="4334" t="s">
        <v>4893</v>
      </c>
      <c r="C466" s="4299" t="s">
        <v>1293</v>
      </c>
      <c r="D466" s="4268">
        <v>350000000</v>
      </c>
      <c r="E466" s="4274">
        <v>0.06</v>
      </c>
      <c r="F466" s="4268">
        <f>D466*E466</f>
        <v>21000000</v>
      </c>
      <c r="G466" s="4266">
        <v>21000000</v>
      </c>
      <c r="H466" s="4266" t="s">
        <v>6192</v>
      </c>
      <c r="I466" s="4270" t="s">
        <v>4894</v>
      </c>
      <c r="J466" s="4266">
        <f>G466</f>
        <v>21000000</v>
      </c>
      <c r="K466" s="4266">
        <f>F466-J466</f>
        <v>0</v>
      </c>
      <c r="L466" s="4326"/>
    </row>
    <row r="467" spans="1:15" ht="30" customHeight="1" x14ac:dyDescent="0.2">
      <c r="A467" s="7654">
        <v>252</v>
      </c>
      <c r="B467" s="7652" t="s">
        <v>109</v>
      </c>
      <c r="C467" s="7723" t="s">
        <v>262</v>
      </c>
      <c r="D467" s="4268">
        <v>270000000</v>
      </c>
      <c r="E467" s="4274">
        <v>0.05</v>
      </c>
      <c r="F467" s="4268">
        <f>D467*E467</f>
        <v>13500000</v>
      </c>
      <c r="G467" s="7563">
        <v>17000000</v>
      </c>
      <c r="H467" s="7563" t="s">
        <v>6368</v>
      </c>
      <c r="I467" s="7561" t="s">
        <v>1810</v>
      </c>
      <c r="J467" s="8180">
        <f>G467</f>
        <v>17000000</v>
      </c>
      <c r="K467" s="7563">
        <f>(F467+F468)-J467</f>
        <v>0</v>
      </c>
      <c r="L467" s="4350" t="s">
        <v>4425</v>
      </c>
    </row>
    <row r="468" spans="1:15" ht="30" customHeight="1" x14ac:dyDescent="0.2">
      <c r="A468" s="7655"/>
      <c r="B468" s="7653"/>
      <c r="C468" s="7724"/>
      <c r="D468" s="4268">
        <v>70000000</v>
      </c>
      <c r="E468" s="4274">
        <v>0.05</v>
      </c>
      <c r="F468" s="4268">
        <f>D468*E468</f>
        <v>3500000</v>
      </c>
      <c r="G468" s="7564"/>
      <c r="H468" s="7564"/>
      <c r="I468" s="7562"/>
      <c r="J468" s="7562"/>
      <c r="K468" s="7564"/>
      <c r="L468" s="4350" t="s">
        <v>4424</v>
      </c>
    </row>
    <row r="469" spans="1:15" ht="30" customHeight="1" x14ac:dyDescent="0.2">
      <c r="A469" s="7879">
        <v>253</v>
      </c>
      <c r="B469" s="7652" t="s">
        <v>110</v>
      </c>
      <c r="C469" s="7723" t="s">
        <v>262</v>
      </c>
      <c r="D469" s="4268">
        <v>20000000</v>
      </c>
      <c r="E469" s="4336">
        <v>0.05</v>
      </c>
      <c r="F469" s="4268">
        <f t="shared" si="39"/>
        <v>1000000</v>
      </c>
      <c r="G469" s="7482">
        <v>3000000</v>
      </c>
      <c r="H469" s="7482" t="s">
        <v>6386</v>
      </c>
      <c r="I469" s="7923" t="s">
        <v>810</v>
      </c>
      <c r="J469" s="7482">
        <f t="shared" si="50"/>
        <v>3000000</v>
      </c>
      <c r="K469" s="7482"/>
      <c r="L469" s="4326"/>
      <c r="M469" s="1175"/>
      <c r="N469" s="1175"/>
      <c r="O469" s="1175"/>
    </row>
    <row r="470" spans="1:15" ht="30" customHeight="1" x14ac:dyDescent="0.2">
      <c r="A470" s="7879"/>
      <c r="B470" s="7665"/>
      <c r="C470" s="7747"/>
      <c r="D470" s="4268">
        <v>20000000</v>
      </c>
      <c r="E470" s="4336">
        <v>0.05</v>
      </c>
      <c r="F470" s="4268">
        <f t="shared" si="39"/>
        <v>1000000</v>
      </c>
      <c r="G470" s="7482"/>
      <c r="H470" s="7482"/>
      <c r="I470" s="7923"/>
      <c r="J470" s="7482"/>
      <c r="K470" s="7482"/>
      <c r="L470" s="4370" t="s">
        <v>5900</v>
      </c>
      <c r="M470" s="248"/>
      <c r="N470" s="248"/>
      <c r="O470" s="248"/>
    </row>
    <row r="471" spans="1:15" ht="30" customHeight="1" x14ac:dyDescent="0.2">
      <c r="A471" s="7879"/>
      <c r="B471" s="7653"/>
      <c r="C471" s="7724"/>
      <c r="D471" s="4268">
        <v>20000000</v>
      </c>
      <c r="E471" s="4336">
        <v>0.05</v>
      </c>
      <c r="F471" s="4268">
        <f t="shared" si="39"/>
        <v>1000000</v>
      </c>
      <c r="G471" s="7482"/>
      <c r="H471" s="7482"/>
      <c r="I471" s="7923"/>
      <c r="J471" s="7482"/>
      <c r="K471" s="7482"/>
      <c r="L471" s="4327" t="s">
        <v>5335</v>
      </c>
      <c r="M471" s="248"/>
      <c r="N471" s="248"/>
      <c r="O471" s="248"/>
    </row>
    <row r="472" spans="1:15" ht="30" customHeight="1" x14ac:dyDescent="0.2">
      <c r="A472" s="7656"/>
      <c r="B472" s="7652" t="s">
        <v>1893</v>
      </c>
      <c r="C472" s="7873" t="s">
        <v>371</v>
      </c>
      <c r="D472" s="4268">
        <v>175000000</v>
      </c>
      <c r="E472" s="4336">
        <v>0.06</v>
      </c>
      <c r="F472" s="4268">
        <f t="shared" si="39"/>
        <v>10500000</v>
      </c>
      <c r="G472" s="7559">
        <f>D472+D473+F472+F473</f>
        <v>280900000</v>
      </c>
      <c r="H472" s="7563"/>
      <c r="I472" s="7563" t="s">
        <v>2946</v>
      </c>
      <c r="J472" s="7563">
        <f>G472</f>
        <v>280900000</v>
      </c>
      <c r="K472" s="7563">
        <f>(F472+F473)-J472</f>
        <v>-265000000</v>
      </c>
      <c r="L472" s="7674" t="s">
        <v>6552</v>
      </c>
      <c r="M472" s="248"/>
      <c r="N472" s="248"/>
      <c r="O472" s="248"/>
    </row>
    <row r="473" spans="1:15" ht="30" customHeight="1" x14ac:dyDescent="0.2">
      <c r="A473" s="7656"/>
      <c r="B473" s="7665"/>
      <c r="C473" s="7873"/>
      <c r="D473" s="4268">
        <v>90000000</v>
      </c>
      <c r="E473" s="4336">
        <v>0.06</v>
      </c>
      <c r="F473" s="4268">
        <f t="shared" si="39"/>
        <v>5400000</v>
      </c>
      <c r="G473" s="7560"/>
      <c r="H473" s="7564"/>
      <c r="I473" s="7564"/>
      <c r="J473" s="7564"/>
      <c r="K473" s="7564"/>
      <c r="L473" s="7675"/>
      <c r="M473" s="248"/>
      <c r="N473" s="248"/>
      <c r="O473" s="248"/>
    </row>
    <row r="474" spans="1:15" ht="30" customHeight="1" x14ac:dyDescent="0.2">
      <c r="A474" s="7654">
        <v>256</v>
      </c>
      <c r="B474" s="7652" t="s">
        <v>113</v>
      </c>
      <c r="C474" s="7723" t="s">
        <v>371</v>
      </c>
      <c r="D474" s="4268">
        <v>100000000</v>
      </c>
      <c r="E474" s="4336">
        <v>0.05</v>
      </c>
      <c r="F474" s="4268">
        <f t="shared" si="39"/>
        <v>5000000</v>
      </c>
      <c r="G474" s="7563">
        <v>8900000</v>
      </c>
      <c r="H474" s="7563" t="s">
        <v>6386</v>
      </c>
      <c r="I474" s="7772" t="s">
        <v>4453</v>
      </c>
      <c r="J474" s="7563">
        <f>G474</f>
        <v>8900000</v>
      </c>
      <c r="K474" s="7563"/>
      <c r="L474" s="4338"/>
    </row>
    <row r="475" spans="1:15" ht="30" customHeight="1" x14ac:dyDescent="0.2">
      <c r="A475" s="7655"/>
      <c r="B475" s="7653"/>
      <c r="C475" s="7724"/>
      <c r="D475" s="4268">
        <v>150000000</v>
      </c>
      <c r="E475" s="4623">
        <v>0.06</v>
      </c>
      <c r="F475" s="4621">
        <f t="shared" si="39"/>
        <v>9000000</v>
      </c>
      <c r="G475" s="7564"/>
      <c r="H475" s="7564"/>
      <c r="I475" s="7773"/>
      <c r="J475" s="7564"/>
      <c r="K475" s="7564"/>
      <c r="L475" s="4472" t="s">
        <v>6213</v>
      </c>
    </row>
    <row r="476" spans="1:15" ht="30" customHeight="1" x14ac:dyDescent="0.2">
      <c r="A476" s="4341">
        <v>257</v>
      </c>
      <c r="B476" s="4338" t="s">
        <v>114</v>
      </c>
      <c r="C476" s="4300" t="s">
        <v>1292</v>
      </c>
      <c r="D476" s="4268">
        <v>30000000</v>
      </c>
      <c r="E476" s="4336">
        <v>0.05</v>
      </c>
      <c r="F476" s="4268">
        <f t="shared" si="39"/>
        <v>1500000</v>
      </c>
      <c r="G476" s="4268">
        <v>1500000</v>
      </c>
      <c r="H476" s="4268" t="s">
        <v>6395</v>
      </c>
      <c r="I476" s="4376" t="s">
        <v>482</v>
      </c>
      <c r="J476" s="4268">
        <f>G476</f>
        <v>1500000</v>
      </c>
      <c r="K476" s="4268">
        <f>F476-J476</f>
        <v>0</v>
      </c>
      <c r="L476" s="4338"/>
    </row>
    <row r="477" spans="1:15" ht="30" customHeight="1" x14ac:dyDescent="0.2">
      <c r="A477" s="4341">
        <v>258</v>
      </c>
      <c r="B477" s="4338" t="s">
        <v>849</v>
      </c>
      <c r="C477" s="4300" t="s">
        <v>262</v>
      </c>
      <c r="D477" s="4268">
        <v>12000000</v>
      </c>
      <c r="E477" s="4336">
        <v>0.05</v>
      </c>
      <c r="F477" s="4268">
        <f t="shared" si="39"/>
        <v>600000</v>
      </c>
      <c r="G477" s="7563">
        <v>1600000</v>
      </c>
      <c r="H477" s="7563" t="s">
        <v>4491</v>
      </c>
      <c r="I477" s="7772" t="s">
        <v>475</v>
      </c>
      <c r="J477" s="7563">
        <f>G477</f>
        <v>1600000</v>
      </c>
      <c r="K477" s="7563">
        <f>(F477+F478)-J477</f>
        <v>0</v>
      </c>
      <c r="L477" s="7703"/>
    </row>
    <row r="478" spans="1:15" ht="30" customHeight="1" x14ac:dyDescent="0.2">
      <c r="A478" s="4341">
        <v>259</v>
      </c>
      <c r="B478" s="4338" t="s">
        <v>156</v>
      </c>
      <c r="C478" s="4300" t="s">
        <v>262</v>
      </c>
      <c r="D478" s="4268">
        <v>20000000</v>
      </c>
      <c r="E478" s="4336">
        <v>0.05</v>
      </c>
      <c r="F478" s="4268">
        <f>D478*E478</f>
        <v>1000000</v>
      </c>
      <c r="G478" s="7564"/>
      <c r="H478" s="7564"/>
      <c r="I478" s="7773"/>
      <c r="J478" s="7564"/>
      <c r="K478" s="7564"/>
      <c r="L478" s="7705"/>
    </row>
    <row r="479" spans="1:15" ht="30" customHeight="1" x14ac:dyDescent="0.2">
      <c r="A479" s="1028">
        <v>261</v>
      </c>
      <c r="B479" s="19" t="s">
        <v>117</v>
      </c>
      <c r="C479" s="4337" t="s">
        <v>3323</v>
      </c>
      <c r="D479" s="4260">
        <v>25500000</v>
      </c>
      <c r="E479" s="4336">
        <f>F479/D479</f>
        <v>6.1764705882352944E-2</v>
      </c>
      <c r="F479" s="4260">
        <v>1575000</v>
      </c>
      <c r="G479" s="4266">
        <v>1575000</v>
      </c>
      <c r="H479" s="4266" t="s">
        <v>6152</v>
      </c>
      <c r="I479" s="4310" t="s">
        <v>414</v>
      </c>
      <c r="J479" s="4266">
        <f t="shared" ref="J479:J481" si="51">G479</f>
        <v>1575000</v>
      </c>
      <c r="K479" s="4266">
        <v>0</v>
      </c>
      <c r="L479" s="4326"/>
    </row>
    <row r="480" spans="1:15" ht="30" customHeight="1" x14ac:dyDescent="0.2">
      <c r="A480" s="4341">
        <v>263</v>
      </c>
      <c r="B480" s="19" t="s">
        <v>572</v>
      </c>
      <c r="C480" s="4337" t="s">
        <v>1300</v>
      </c>
      <c r="D480" s="4260">
        <v>105000000</v>
      </c>
      <c r="E480" s="4336">
        <v>5.8000000000000003E-2</v>
      </c>
      <c r="F480" s="4260">
        <v>6000000</v>
      </c>
      <c r="G480" s="4260">
        <v>6000000</v>
      </c>
      <c r="H480" s="4260" t="s">
        <v>4491</v>
      </c>
      <c r="I480" s="4260" t="s">
        <v>4141</v>
      </c>
      <c r="J480" s="4260">
        <f t="shared" si="51"/>
        <v>6000000</v>
      </c>
      <c r="K480" s="4260">
        <f>F480-J480</f>
        <v>0</v>
      </c>
      <c r="L480" s="4318"/>
    </row>
    <row r="481" spans="1:15" ht="30" customHeight="1" x14ac:dyDescent="0.2">
      <c r="A481" s="4272">
        <v>264</v>
      </c>
      <c r="B481" s="4279" t="s">
        <v>119</v>
      </c>
      <c r="C481" s="4300" t="s">
        <v>262</v>
      </c>
      <c r="D481" s="4268">
        <v>50000000</v>
      </c>
      <c r="E481" s="4274">
        <f>F481/D481</f>
        <v>0.06</v>
      </c>
      <c r="F481" s="4268">
        <v>3000000</v>
      </c>
      <c r="G481" s="4268">
        <v>3000000</v>
      </c>
      <c r="H481" s="4260" t="s">
        <v>6368</v>
      </c>
      <c r="I481" s="4260" t="s">
        <v>3563</v>
      </c>
      <c r="J481" s="4268">
        <f t="shared" si="51"/>
        <v>3000000</v>
      </c>
      <c r="K481" s="4268">
        <f>F481-J481</f>
        <v>0</v>
      </c>
      <c r="L481" s="4350"/>
    </row>
    <row r="482" spans="1:15" ht="30" customHeight="1" x14ac:dyDescent="0.2">
      <c r="A482" s="1028">
        <v>265</v>
      </c>
      <c r="B482" s="19" t="s">
        <v>121</v>
      </c>
      <c r="C482" s="4337" t="s">
        <v>262</v>
      </c>
      <c r="D482" s="4260">
        <v>1000000000</v>
      </c>
      <c r="E482" s="4336">
        <v>7.0000000000000007E-2</v>
      </c>
      <c r="F482" s="4260">
        <f>D482*E482</f>
        <v>70000000</v>
      </c>
      <c r="G482" s="4260">
        <v>80000000</v>
      </c>
      <c r="H482" s="4260" t="s">
        <v>6386</v>
      </c>
      <c r="I482" s="4260" t="s">
        <v>3290</v>
      </c>
      <c r="J482" s="4260">
        <f>G482</f>
        <v>80000000</v>
      </c>
      <c r="K482" s="4260">
        <f>F482-J482</f>
        <v>-10000000</v>
      </c>
      <c r="L482" s="4318" t="s">
        <v>5561</v>
      </c>
    </row>
    <row r="483" spans="1:15" ht="30" customHeight="1" x14ac:dyDescent="0.2">
      <c r="A483" s="7654">
        <v>266</v>
      </c>
      <c r="B483" s="7652" t="s">
        <v>1918</v>
      </c>
      <c r="C483" s="7723" t="s">
        <v>371</v>
      </c>
      <c r="D483" s="4268">
        <v>80000000</v>
      </c>
      <c r="E483" s="4274">
        <v>4.4999999999999998E-2</v>
      </c>
      <c r="F483" s="4268">
        <f t="shared" ref="F483:F584" si="52">D483*E483</f>
        <v>3600000</v>
      </c>
      <c r="G483" s="4268">
        <v>3600000</v>
      </c>
      <c r="H483" s="4268" t="s">
        <v>6395</v>
      </c>
      <c r="I483" s="18" t="s">
        <v>4065</v>
      </c>
      <c r="J483" s="4268">
        <f>G483</f>
        <v>3600000</v>
      </c>
      <c r="K483" s="4268">
        <f>F483-J483</f>
        <v>0</v>
      </c>
      <c r="L483" s="4715" t="s">
        <v>6464</v>
      </c>
    </row>
    <row r="484" spans="1:15" ht="30" customHeight="1" x14ac:dyDescent="0.2">
      <c r="A484" s="7656"/>
      <c r="B484" s="7665"/>
      <c r="C484" s="7747"/>
      <c r="D484" s="4700">
        <v>80000000</v>
      </c>
      <c r="E484" s="4713"/>
      <c r="F484" s="4700"/>
      <c r="G484" s="8000" t="s">
        <v>6463</v>
      </c>
      <c r="H484" s="8000"/>
      <c r="I484" s="8000"/>
      <c r="J484" s="8000"/>
      <c r="K484" s="4701"/>
      <c r="L484" s="4704"/>
    </row>
    <row r="485" spans="1:15" ht="30" customHeight="1" x14ac:dyDescent="0.2">
      <c r="A485" s="7655"/>
      <c r="B485" s="7653"/>
      <c r="C485" s="7724"/>
      <c r="D485" s="4721">
        <v>160000000</v>
      </c>
      <c r="E485" s="896">
        <v>0.05</v>
      </c>
      <c r="F485" s="4721">
        <f>D485*E485</f>
        <v>8000000</v>
      </c>
      <c r="G485" s="4702"/>
      <c r="H485" s="4702"/>
      <c r="I485" s="4711"/>
      <c r="J485" s="4701"/>
      <c r="K485" s="4701"/>
      <c r="L485" s="4715" t="s">
        <v>6465</v>
      </c>
    </row>
    <row r="486" spans="1:15" ht="30" customHeight="1" x14ac:dyDescent="0.2">
      <c r="A486" s="7654">
        <v>267</v>
      </c>
      <c r="B486" s="7652" t="s">
        <v>497</v>
      </c>
      <c r="C486" s="7723" t="s">
        <v>371</v>
      </c>
      <c r="D486" s="7563">
        <v>300000000</v>
      </c>
      <c r="E486" s="7659">
        <v>0.04</v>
      </c>
      <c r="F486" s="7563">
        <f>D486*E486</f>
        <v>12000000</v>
      </c>
      <c r="G486" s="7563">
        <v>12000000</v>
      </c>
      <c r="H486" s="7563" t="s">
        <v>6386</v>
      </c>
      <c r="I486" s="7563" t="s">
        <v>3579</v>
      </c>
      <c r="J486" s="7563">
        <f>G486</f>
        <v>12000000</v>
      </c>
      <c r="K486" s="7563">
        <f>F486-J486</f>
        <v>0</v>
      </c>
      <c r="L486" s="4318" t="s">
        <v>2891</v>
      </c>
    </row>
    <row r="487" spans="1:15" ht="30" customHeight="1" x14ac:dyDescent="0.2">
      <c r="A487" s="7655"/>
      <c r="B487" s="7653"/>
      <c r="C487" s="7724"/>
      <c r="D487" s="7564"/>
      <c r="E487" s="7660"/>
      <c r="F487" s="7564"/>
      <c r="G487" s="7564"/>
      <c r="H487" s="7564"/>
      <c r="I487" s="7564"/>
      <c r="J487" s="7564"/>
      <c r="K487" s="7564"/>
      <c r="L487" s="4318"/>
    </row>
    <row r="488" spans="1:15" ht="30" customHeight="1" x14ac:dyDescent="0.2">
      <c r="A488" s="4341">
        <v>268</v>
      </c>
      <c r="B488" s="4338" t="s">
        <v>391</v>
      </c>
      <c r="C488" s="4300" t="s">
        <v>392</v>
      </c>
      <c r="D488" s="4268">
        <v>130000000</v>
      </c>
      <c r="E488" s="4336">
        <v>4.4999999999999998E-2</v>
      </c>
      <c r="F488" s="4268">
        <f t="shared" si="52"/>
        <v>5850000</v>
      </c>
      <c r="G488" s="4268">
        <v>5850000</v>
      </c>
      <c r="H488" s="4268" t="s">
        <v>6251</v>
      </c>
      <c r="I488" s="18" t="s">
        <v>3518</v>
      </c>
      <c r="J488" s="4268">
        <f>G488</f>
        <v>5850000</v>
      </c>
      <c r="K488" s="4268">
        <f>F488-J488</f>
        <v>0</v>
      </c>
      <c r="L488" s="4338"/>
    </row>
    <row r="489" spans="1:15" ht="30" customHeight="1" x14ac:dyDescent="0.2">
      <c r="A489" s="4271">
        <v>269</v>
      </c>
      <c r="B489" s="4334" t="s">
        <v>123</v>
      </c>
      <c r="C489" s="4337" t="s">
        <v>262</v>
      </c>
      <c r="D489" s="4268">
        <v>500000000</v>
      </c>
      <c r="E489" s="4336">
        <v>0.06</v>
      </c>
      <c r="F489" s="4268">
        <f t="shared" si="52"/>
        <v>30000000</v>
      </c>
      <c r="G489" s="4268">
        <v>30000000</v>
      </c>
      <c r="H489" s="4268" t="s">
        <v>6368</v>
      </c>
      <c r="I489" s="18" t="s">
        <v>3546</v>
      </c>
      <c r="J489" s="4268">
        <f>G489</f>
        <v>30000000</v>
      </c>
      <c r="K489" s="4268">
        <f>F489-J489</f>
        <v>0</v>
      </c>
      <c r="L489" s="4338"/>
    </row>
    <row r="490" spans="1:15" ht="30" customHeight="1" x14ac:dyDescent="0.2">
      <c r="A490" s="4341">
        <v>270</v>
      </c>
      <c r="B490" s="4338" t="s">
        <v>124</v>
      </c>
      <c r="C490" s="4300"/>
      <c r="D490" s="4268">
        <v>20000000</v>
      </c>
      <c r="E490" s="4336">
        <v>5.5E-2</v>
      </c>
      <c r="F490" s="4268">
        <f t="shared" si="52"/>
        <v>1100000</v>
      </c>
      <c r="G490" s="4268">
        <v>1100000</v>
      </c>
      <c r="H490" s="4268" t="s">
        <v>6395</v>
      </c>
      <c r="I490" s="4376" t="s">
        <v>492</v>
      </c>
      <c r="J490" s="4268">
        <f>G490</f>
        <v>1100000</v>
      </c>
      <c r="K490" s="4268">
        <f>F490-J490</f>
        <v>0</v>
      </c>
      <c r="L490" s="4365"/>
    </row>
    <row r="491" spans="1:15" ht="30" customHeight="1" x14ac:dyDescent="0.2">
      <c r="A491" s="7654">
        <v>271</v>
      </c>
      <c r="B491" s="7652" t="s">
        <v>125</v>
      </c>
      <c r="C491" s="4337" t="s">
        <v>359</v>
      </c>
      <c r="D491" s="4260">
        <v>40000000</v>
      </c>
      <c r="E491" s="4336">
        <v>5.5E-2</v>
      </c>
      <c r="F491" s="4260">
        <f t="shared" si="52"/>
        <v>2200000</v>
      </c>
      <c r="G491" s="7563">
        <v>6585000</v>
      </c>
      <c r="H491" s="7563" t="s">
        <v>6220</v>
      </c>
      <c r="I491" s="7772" t="s">
        <v>4459</v>
      </c>
      <c r="J491" s="7563">
        <f>G491</f>
        <v>6585000</v>
      </c>
      <c r="K491" s="7563"/>
      <c r="L491" s="4501" t="s">
        <v>6226</v>
      </c>
    </row>
    <row r="492" spans="1:15" ht="30" customHeight="1" x14ac:dyDescent="0.2">
      <c r="A492" s="7656"/>
      <c r="B492" s="7665"/>
      <c r="C492" s="7723" t="s">
        <v>1796</v>
      </c>
      <c r="D492" s="4268">
        <v>10000000</v>
      </c>
      <c r="E492" s="4274">
        <v>0.05</v>
      </c>
      <c r="F492" s="4268">
        <f t="shared" si="52"/>
        <v>500000</v>
      </c>
      <c r="G492" s="7586"/>
      <c r="H492" s="7586"/>
      <c r="I492" s="8185"/>
      <c r="J492" s="7586"/>
      <c r="K492" s="7586"/>
      <c r="L492" s="8000" t="s">
        <v>4823</v>
      </c>
      <c r="M492" s="2058"/>
      <c r="N492" s="2058"/>
      <c r="O492" s="2058"/>
    </row>
    <row r="493" spans="1:15" ht="30" customHeight="1" x14ac:dyDescent="0.2">
      <c r="A493" s="7656"/>
      <c r="B493" s="7665"/>
      <c r="C493" s="7724"/>
      <c r="D493" s="4268">
        <v>10000000</v>
      </c>
      <c r="E493" s="4274">
        <v>0.05</v>
      </c>
      <c r="F493" s="4268">
        <f t="shared" si="52"/>
        <v>500000</v>
      </c>
      <c r="G493" s="7586"/>
      <c r="H493" s="7586"/>
      <c r="I493" s="8185"/>
      <c r="J493" s="7586"/>
      <c r="K493" s="7586"/>
      <c r="L493" s="8000"/>
      <c r="M493" s="248"/>
      <c r="N493" s="248"/>
      <c r="O493" s="248"/>
    </row>
    <row r="494" spans="1:15" ht="30" customHeight="1" x14ac:dyDescent="0.2">
      <c r="A494" s="7655"/>
      <c r="B494" s="7653"/>
      <c r="C494" s="4301" t="s">
        <v>402</v>
      </c>
      <c r="D494" s="4268">
        <v>30000000</v>
      </c>
      <c r="E494" s="4274">
        <v>0.05</v>
      </c>
      <c r="F494" s="4268">
        <f t="shared" si="52"/>
        <v>1500000</v>
      </c>
      <c r="G494" s="7564"/>
      <c r="H494" s="7564"/>
      <c r="I494" s="7773"/>
      <c r="J494" s="7564"/>
      <c r="K494" s="7564"/>
      <c r="L494" s="4326" t="s">
        <v>4824</v>
      </c>
      <c r="M494" s="248"/>
      <c r="N494" s="248"/>
      <c r="O494" s="248"/>
    </row>
    <row r="495" spans="1:15" ht="30" customHeight="1" x14ac:dyDescent="0.2">
      <c r="A495" s="7654"/>
      <c r="B495" s="7717" t="s">
        <v>2524</v>
      </c>
      <c r="C495" s="7873" t="s">
        <v>1287</v>
      </c>
      <c r="D495" s="4352">
        <v>495000000</v>
      </c>
      <c r="E495" s="4367">
        <v>5.5E-2</v>
      </c>
      <c r="F495" s="4352">
        <f>D495*E495</f>
        <v>27225000</v>
      </c>
      <c r="G495" s="8040"/>
      <c r="H495" s="8040"/>
      <c r="I495" s="8040"/>
      <c r="J495" s="8040"/>
      <c r="K495" s="7482"/>
      <c r="L495" s="5320"/>
    </row>
    <row r="496" spans="1:15" ht="30" customHeight="1" x14ac:dyDescent="0.2">
      <c r="A496" s="7656"/>
      <c r="B496" s="7717"/>
      <c r="C496" s="7873"/>
      <c r="D496" s="4352">
        <v>65000000</v>
      </c>
      <c r="E496" s="4367">
        <v>0.06</v>
      </c>
      <c r="F496" s="4352">
        <f>D496*E496</f>
        <v>3900000</v>
      </c>
      <c r="G496" s="8040"/>
      <c r="H496" s="8040"/>
      <c r="I496" s="8040"/>
      <c r="J496" s="8040"/>
      <c r="K496" s="7482"/>
      <c r="L496" s="735" t="s">
        <v>6060</v>
      </c>
    </row>
    <row r="497" spans="1:12" ht="30" customHeight="1" x14ac:dyDescent="0.2">
      <c r="A497" s="7656"/>
      <c r="B497" s="7717"/>
      <c r="C497" s="7873"/>
      <c r="D497" s="4352">
        <v>246000000</v>
      </c>
      <c r="E497" s="4367">
        <v>0.06</v>
      </c>
      <c r="F497" s="4352">
        <f>D497*E497</f>
        <v>14760000</v>
      </c>
      <c r="G497" s="8040"/>
      <c r="H497" s="8040"/>
      <c r="I497" s="8040"/>
      <c r="J497" s="8040"/>
      <c r="K497" s="7482"/>
      <c r="L497" s="735" t="s">
        <v>6064</v>
      </c>
    </row>
    <row r="498" spans="1:12" ht="30" customHeight="1" x14ac:dyDescent="0.2">
      <c r="A498" s="7656"/>
      <c r="B498" s="7717"/>
      <c r="C498" s="7873"/>
      <c r="D498" s="8004" t="s">
        <v>1787</v>
      </c>
      <c r="E498" s="8005"/>
      <c r="F498" s="4352">
        <v>1300000</v>
      </c>
      <c r="G498" s="8040"/>
      <c r="H498" s="8040"/>
      <c r="I498" s="8040"/>
      <c r="J498" s="8040"/>
      <c r="K498" s="7482"/>
      <c r="L498" s="5321"/>
    </row>
    <row r="499" spans="1:12" ht="30" customHeight="1" x14ac:dyDescent="0.2">
      <c r="A499" s="7656"/>
      <c r="B499" s="7717"/>
      <c r="C499" s="7873"/>
      <c r="D499" s="4265">
        <f>D495+D496+D497</f>
        <v>806000000</v>
      </c>
      <c r="E499" s="4265"/>
      <c r="F499" s="4265">
        <f>F495+F496+F497+F498</f>
        <v>47185000</v>
      </c>
      <c r="G499" s="8365" t="s">
        <v>6892</v>
      </c>
      <c r="H499" s="8366"/>
      <c r="I499" s="8366"/>
      <c r="J499" s="8367"/>
      <c r="K499" s="7563">
        <f>F501-J499</f>
        <v>48400000</v>
      </c>
      <c r="L499" s="8374" t="s">
        <v>6057</v>
      </c>
    </row>
    <row r="500" spans="1:12" ht="30" customHeight="1" x14ac:dyDescent="0.2">
      <c r="A500" s="7656"/>
      <c r="B500" s="7717"/>
      <c r="C500" s="7873"/>
      <c r="D500" s="7545" t="s">
        <v>5704</v>
      </c>
      <c r="E500" s="7957"/>
      <c r="F500" s="4265">
        <v>1200000</v>
      </c>
      <c r="G500" s="8368"/>
      <c r="H500" s="8369"/>
      <c r="I500" s="8369"/>
      <c r="J500" s="8370"/>
      <c r="K500" s="7586"/>
      <c r="L500" s="8374"/>
    </row>
    <row r="501" spans="1:12" ht="30" customHeight="1" x14ac:dyDescent="0.2">
      <c r="A501" s="7656"/>
      <c r="B501" s="7717"/>
      <c r="C501" s="7873"/>
      <c r="D501" s="7545">
        <f>D499</f>
        <v>806000000</v>
      </c>
      <c r="E501" s="7957"/>
      <c r="F501" s="4265">
        <v>48400000</v>
      </c>
      <c r="G501" s="8371"/>
      <c r="H501" s="8372"/>
      <c r="I501" s="8372"/>
      <c r="J501" s="8373"/>
      <c r="K501" s="7564"/>
      <c r="L501" s="8374"/>
    </row>
    <row r="502" spans="1:12" ht="30" customHeight="1" x14ac:dyDescent="0.2">
      <c r="A502" s="7879"/>
      <c r="B502" s="7652" t="s">
        <v>2524</v>
      </c>
      <c r="C502" s="7723" t="s">
        <v>1287</v>
      </c>
      <c r="D502" s="516">
        <v>806000000</v>
      </c>
      <c r="E502" s="3032">
        <v>0.06</v>
      </c>
      <c r="F502" s="516">
        <f>D502*E502</f>
        <v>48360000</v>
      </c>
      <c r="G502" s="7934" t="s">
        <v>6891</v>
      </c>
      <c r="H502" s="7935"/>
      <c r="I502" s="7935"/>
      <c r="J502" s="7936"/>
      <c r="K502" s="7563"/>
      <c r="L502" s="7873"/>
    </row>
    <row r="503" spans="1:12" ht="30" customHeight="1" x14ac:dyDescent="0.2">
      <c r="A503" s="7879"/>
      <c r="B503" s="7665"/>
      <c r="C503" s="7747"/>
      <c r="D503" s="7861" t="s">
        <v>5704</v>
      </c>
      <c r="E503" s="7863"/>
      <c r="F503" s="438">
        <v>2500000</v>
      </c>
      <c r="G503" s="7937"/>
      <c r="H503" s="7938"/>
      <c r="I503" s="7938"/>
      <c r="J503" s="7939"/>
      <c r="K503" s="7564"/>
      <c r="L503" s="7873"/>
    </row>
    <row r="504" spans="1:12" ht="30" customHeight="1" x14ac:dyDescent="0.2">
      <c r="A504" s="7879"/>
      <c r="B504" s="7665"/>
      <c r="C504" s="7747"/>
      <c r="D504" s="5317">
        <v>857000000</v>
      </c>
      <c r="E504" s="5318">
        <v>0.06</v>
      </c>
      <c r="F504" s="5319">
        <f>D504*E504</f>
        <v>51420000</v>
      </c>
      <c r="G504" s="8452" t="s">
        <v>6061</v>
      </c>
      <c r="H504" s="8453"/>
      <c r="I504" s="8453"/>
      <c r="J504" s="8454"/>
      <c r="K504" s="7563"/>
      <c r="L504" s="7818" t="s">
        <v>6063</v>
      </c>
    </row>
    <row r="505" spans="1:12" ht="30" customHeight="1" x14ac:dyDescent="0.2">
      <c r="A505" s="7879"/>
      <c r="B505" s="7665"/>
      <c r="C505" s="7747"/>
      <c r="D505" s="8461" t="s">
        <v>5704</v>
      </c>
      <c r="E505" s="8462"/>
      <c r="F505" s="5319">
        <v>2500000</v>
      </c>
      <c r="G505" s="8455"/>
      <c r="H505" s="8456"/>
      <c r="I505" s="8456"/>
      <c r="J505" s="8457"/>
      <c r="K505" s="7586"/>
      <c r="L505" s="7855"/>
    </row>
    <row r="506" spans="1:12" ht="30" customHeight="1" x14ac:dyDescent="0.2">
      <c r="A506" s="7879"/>
      <c r="B506" s="7653"/>
      <c r="C506" s="7724"/>
      <c r="D506" s="8461">
        <v>857000000</v>
      </c>
      <c r="E506" s="8462"/>
      <c r="F506" s="5319">
        <f>F504+F505</f>
        <v>53920000</v>
      </c>
      <c r="G506" s="8458"/>
      <c r="H506" s="8459"/>
      <c r="I506" s="8459"/>
      <c r="J506" s="8460"/>
      <c r="K506" s="7564"/>
      <c r="L506" s="7819"/>
    </row>
    <row r="507" spans="1:12" ht="30" customHeight="1" x14ac:dyDescent="0.2">
      <c r="A507" s="4341">
        <v>273</v>
      </c>
      <c r="B507" s="4338" t="s">
        <v>127</v>
      </c>
      <c r="C507" s="4337" t="s">
        <v>1291</v>
      </c>
      <c r="D507" s="4268">
        <v>20000000</v>
      </c>
      <c r="E507" s="4336">
        <v>0.05</v>
      </c>
      <c r="F507" s="4268">
        <f t="shared" si="52"/>
        <v>1000000</v>
      </c>
      <c r="G507" s="4268">
        <v>1000000</v>
      </c>
      <c r="H507" s="4268" t="s">
        <v>6435</v>
      </c>
      <c r="I507" s="4376" t="s">
        <v>480</v>
      </c>
      <c r="J507" s="4268">
        <f>G507</f>
        <v>1000000</v>
      </c>
      <c r="K507" s="4268">
        <f>F507-J507</f>
        <v>0</v>
      </c>
      <c r="L507" s="4756" t="s">
        <v>6559</v>
      </c>
    </row>
    <row r="508" spans="1:12" ht="30" customHeight="1" x14ac:dyDescent="0.2">
      <c r="A508" s="4271">
        <v>274</v>
      </c>
      <c r="B508" s="19" t="s">
        <v>128</v>
      </c>
      <c r="C508" s="378"/>
      <c r="D508" s="4260">
        <v>50000000</v>
      </c>
      <c r="E508" s="4336">
        <v>0.05</v>
      </c>
      <c r="F508" s="4268">
        <f>D508*E508</f>
        <v>2500000</v>
      </c>
      <c r="G508" s="1388"/>
      <c r="H508" s="1388"/>
      <c r="I508" s="1388"/>
      <c r="J508" s="1388"/>
      <c r="K508" s="4268">
        <f>F508-J508</f>
        <v>2500000</v>
      </c>
      <c r="L508" s="4324" t="s">
        <v>5039</v>
      </c>
    </row>
    <row r="509" spans="1:12" ht="30" customHeight="1" x14ac:dyDescent="0.2">
      <c r="A509" s="4341">
        <v>275</v>
      </c>
      <c r="B509" s="4338" t="s">
        <v>129</v>
      </c>
      <c r="C509" s="4300" t="s">
        <v>1291</v>
      </c>
      <c r="D509" s="4268">
        <v>130000000</v>
      </c>
      <c r="E509" s="4336">
        <v>0.05</v>
      </c>
      <c r="F509" s="4268">
        <f t="shared" si="52"/>
        <v>6500000</v>
      </c>
      <c r="G509" s="4268">
        <v>6500000</v>
      </c>
      <c r="H509" s="4268" t="s">
        <v>6512</v>
      </c>
      <c r="I509" s="4376" t="s">
        <v>3175</v>
      </c>
      <c r="J509" s="4268">
        <f>G509</f>
        <v>6500000</v>
      </c>
      <c r="K509" s="4268">
        <f>F509-J509</f>
        <v>0</v>
      </c>
      <c r="L509" s="4338"/>
    </row>
    <row r="510" spans="1:12" ht="30" customHeight="1" x14ac:dyDescent="0.2">
      <c r="A510" s="4271">
        <v>277</v>
      </c>
      <c r="B510" s="4278" t="s">
        <v>131</v>
      </c>
      <c r="C510" s="4301" t="s">
        <v>2849</v>
      </c>
      <c r="D510" s="4267">
        <v>200000000</v>
      </c>
      <c r="E510" s="4273">
        <v>0.05</v>
      </c>
      <c r="F510" s="4267">
        <f t="shared" si="52"/>
        <v>10000000</v>
      </c>
      <c r="G510" s="4267">
        <v>10000000</v>
      </c>
      <c r="H510" s="4267" t="s">
        <v>6395</v>
      </c>
      <c r="I510" s="4375" t="s">
        <v>3726</v>
      </c>
      <c r="J510" s="4267">
        <f>G510</f>
        <v>10000000</v>
      </c>
      <c r="K510" s="4267">
        <f>F510-J510</f>
        <v>0</v>
      </c>
      <c r="L510" s="4278"/>
    </row>
    <row r="511" spans="1:12" s="1539" customFormat="1" ht="30" customHeight="1" x14ac:dyDescent="0.2">
      <c r="A511" s="4271">
        <v>278</v>
      </c>
      <c r="B511" s="19" t="s">
        <v>620</v>
      </c>
      <c r="C511" s="4337" t="s">
        <v>3007</v>
      </c>
      <c r="D511" s="4260">
        <v>30000000</v>
      </c>
      <c r="E511" s="4336">
        <v>4.4999999999999998E-2</v>
      </c>
      <c r="F511" s="4260">
        <f t="shared" si="52"/>
        <v>1350000</v>
      </c>
      <c r="G511" s="4260">
        <v>1350000</v>
      </c>
      <c r="H511" s="4260" t="s">
        <v>6440</v>
      </c>
      <c r="I511" s="4333" t="s">
        <v>2066</v>
      </c>
      <c r="J511" s="4260">
        <f>G511</f>
        <v>1350000</v>
      </c>
      <c r="K511" s="4260">
        <f>F511-J511</f>
        <v>0</v>
      </c>
      <c r="L511" s="4324"/>
    </row>
    <row r="512" spans="1:12" ht="30" customHeight="1" x14ac:dyDescent="0.2">
      <c r="A512" s="4341">
        <v>279</v>
      </c>
      <c r="B512" s="4338" t="s">
        <v>132</v>
      </c>
      <c r="C512" s="4300" t="s">
        <v>402</v>
      </c>
      <c r="D512" s="4268">
        <v>11000000</v>
      </c>
      <c r="E512" s="4336">
        <v>4.4999999999999998E-2</v>
      </c>
      <c r="F512" s="4268">
        <v>500000</v>
      </c>
      <c r="G512" s="4268">
        <v>500000</v>
      </c>
      <c r="H512" s="4268" t="s">
        <v>6223</v>
      </c>
      <c r="I512" s="4376" t="s">
        <v>5587</v>
      </c>
      <c r="J512" s="4268">
        <f t="shared" ref="J512:J526" si="53">G512</f>
        <v>500000</v>
      </c>
      <c r="K512" s="4268">
        <f t="shared" ref="K512:K526" si="54">F512-J512</f>
        <v>0</v>
      </c>
      <c r="L512" s="4520" t="s">
        <v>6246</v>
      </c>
    </row>
    <row r="513" spans="1:13" ht="30" customHeight="1" x14ac:dyDescent="0.2">
      <c r="A513" s="4341">
        <v>280</v>
      </c>
      <c r="B513" s="4334" t="s">
        <v>458</v>
      </c>
      <c r="C513" s="4300" t="s">
        <v>1107</v>
      </c>
      <c r="D513" s="4260">
        <v>20000000</v>
      </c>
      <c r="E513" s="4336">
        <v>0.05</v>
      </c>
      <c r="F513" s="4260">
        <f t="shared" si="52"/>
        <v>1000000</v>
      </c>
      <c r="G513" s="4260">
        <v>1000000</v>
      </c>
      <c r="H513" s="4260" t="s">
        <v>6577</v>
      </c>
      <c r="I513" s="4260" t="s">
        <v>3756</v>
      </c>
      <c r="J513" s="4260">
        <f t="shared" si="53"/>
        <v>1000000</v>
      </c>
      <c r="K513" s="4260">
        <f t="shared" si="54"/>
        <v>0</v>
      </c>
      <c r="L513" s="4365"/>
    </row>
    <row r="514" spans="1:13" ht="30" customHeight="1" x14ac:dyDescent="0.2">
      <c r="A514" s="4272">
        <v>281</v>
      </c>
      <c r="B514" s="4334" t="s">
        <v>133</v>
      </c>
      <c r="C514" s="4300" t="s">
        <v>1290</v>
      </c>
      <c r="D514" s="4268">
        <v>40000000</v>
      </c>
      <c r="E514" s="4274">
        <v>0.05</v>
      </c>
      <c r="F514" s="4268">
        <f t="shared" si="52"/>
        <v>2000000</v>
      </c>
      <c r="G514" s="4268">
        <v>2000000</v>
      </c>
      <c r="H514" s="4268" t="s">
        <v>6440</v>
      </c>
      <c r="I514" s="4268" t="s">
        <v>635</v>
      </c>
      <c r="J514" s="4268">
        <f t="shared" si="53"/>
        <v>2000000</v>
      </c>
      <c r="K514" s="4268">
        <f t="shared" si="54"/>
        <v>0</v>
      </c>
      <c r="L514" s="4338"/>
    </row>
    <row r="515" spans="1:13" ht="30" customHeight="1" x14ac:dyDescent="0.2">
      <c r="A515" s="4341">
        <v>282</v>
      </c>
      <c r="B515" s="4338" t="s">
        <v>1024</v>
      </c>
      <c r="C515" s="4300" t="s">
        <v>371</v>
      </c>
      <c r="D515" s="4268">
        <v>20000000</v>
      </c>
      <c r="E515" s="4336">
        <v>0.04</v>
      </c>
      <c r="F515" s="4268">
        <f t="shared" si="52"/>
        <v>800000</v>
      </c>
      <c r="G515" s="4268">
        <v>800000</v>
      </c>
      <c r="H515" s="4268" t="s">
        <v>6395</v>
      </c>
      <c r="I515" s="4268" t="s">
        <v>2453</v>
      </c>
      <c r="J515" s="4268">
        <f t="shared" si="53"/>
        <v>800000</v>
      </c>
      <c r="K515" s="4268">
        <f t="shared" si="54"/>
        <v>0</v>
      </c>
      <c r="L515" s="4338"/>
    </row>
    <row r="516" spans="1:13" ht="30" customHeight="1" x14ac:dyDescent="0.2">
      <c r="A516" s="7879"/>
      <c r="B516" s="7652" t="s">
        <v>134</v>
      </c>
      <c r="C516" s="7723" t="s">
        <v>1294</v>
      </c>
      <c r="D516" s="4268">
        <v>50111000</v>
      </c>
      <c r="E516" s="4274">
        <v>0.05</v>
      </c>
      <c r="F516" s="4268">
        <f>D516*E516</f>
        <v>2505550</v>
      </c>
      <c r="G516" s="7563"/>
      <c r="H516" s="7563"/>
      <c r="I516" s="7563" t="s">
        <v>5758</v>
      </c>
      <c r="J516" s="7563">
        <f>G516</f>
        <v>0</v>
      </c>
      <c r="K516" s="7563">
        <f>F522-J516</f>
        <v>3890700</v>
      </c>
      <c r="L516" s="4387"/>
    </row>
    <row r="517" spans="1:13" ht="30" customHeight="1" x14ac:dyDescent="0.2">
      <c r="A517" s="7879"/>
      <c r="B517" s="7665"/>
      <c r="C517" s="7747"/>
      <c r="D517" s="4268">
        <v>3230000</v>
      </c>
      <c r="E517" s="4274">
        <v>0.05</v>
      </c>
      <c r="F517" s="4268">
        <f>D517*E517</f>
        <v>161500</v>
      </c>
      <c r="G517" s="7586"/>
      <c r="H517" s="7586"/>
      <c r="I517" s="7586"/>
      <c r="J517" s="7586"/>
      <c r="K517" s="7586"/>
      <c r="L517" s="4387" t="s">
        <v>4497</v>
      </c>
    </row>
    <row r="518" spans="1:13" ht="30" customHeight="1" x14ac:dyDescent="0.2">
      <c r="A518" s="7879"/>
      <c r="B518" s="7665"/>
      <c r="C518" s="7747"/>
      <c r="D518" s="4357">
        <f>D516+D517</f>
        <v>53341000</v>
      </c>
      <c r="E518" s="4359">
        <v>0.05</v>
      </c>
      <c r="F518" s="4357">
        <f>D518*E518</f>
        <v>2667050</v>
      </c>
      <c r="G518" s="7586"/>
      <c r="H518" s="7586"/>
      <c r="I518" s="7586"/>
      <c r="J518" s="7586"/>
      <c r="K518" s="7586"/>
      <c r="L518" s="4387"/>
    </row>
    <row r="519" spans="1:13" ht="30" customHeight="1" x14ac:dyDescent="0.2">
      <c r="A519" s="7879"/>
      <c r="B519" s="7665"/>
      <c r="C519" s="7747"/>
      <c r="D519" s="4268">
        <v>4473000</v>
      </c>
      <c r="E519" s="4274">
        <v>0.05</v>
      </c>
      <c r="F519" s="4268">
        <f>D519*E519</f>
        <v>223650</v>
      </c>
      <c r="G519" s="7586"/>
      <c r="H519" s="7586"/>
      <c r="I519" s="7586"/>
      <c r="J519" s="7586"/>
      <c r="K519" s="7586"/>
      <c r="L519" s="4387" t="s">
        <v>5152</v>
      </c>
    </row>
    <row r="520" spans="1:13" ht="30" customHeight="1" x14ac:dyDescent="0.2">
      <c r="A520" s="7879"/>
      <c r="B520" s="7665"/>
      <c r="C520" s="7747"/>
      <c r="D520" s="4268">
        <v>10000000</v>
      </c>
      <c r="E520" s="4274">
        <v>0.05</v>
      </c>
      <c r="F520" s="4268">
        <f t="shared" ref="F520:F521" si="55">D520*E520</f>
        <v>500000</v>
      </c>
      <c r="G520" s="7586"/>
      <c r="H520" s="7586"/>
      <c r="I520" s="7586"/>
      <c r="J520" s="7586"/>
      <c r="K520" s="7586"/>
      <c r="L520" s="4387" t="s">
        <v>5153</v>
      </c>
    </row>
    <row r="521" spans="1:13" ht="30" customHeight="1" x14ac:dyDescent="0.2">
      <c r="A521" s="7879"/>
      <c r="B521" s="7665"/>
      <c r="C521" s="7747"/>
      <c r="D521" s="4268">
        <v>10000000</v>
      </c>
      <c r="E521" s="4274">
        <v>0.05</v>
      </c>
      <c r="F521" s="4268">
        <f t="shared" si="55"/>
        <v>500000</v>
      </c>
      <c r="G521" s="7586"/>
      <c r="H521" s="7586"/>
      <c r="I521" s="7586"/>
      <c r="J521" s="7586"/>
      <c r="K521" s="7586"/>
      <c r="L521" s="4387" t="s">
        <v>5240</v>
      </c>
    </row>
    <row r="522" spans="1:13" ht="30" customHeight="1" x14ac:dyDescent="0.2">
      <c r="A522" s="7879"/>
      <c r="B522" s="7665"/>
      <c r="C522" s="7747"/>
      <c r="D522" s="4357">
        <f>D518+D519+D520+D521</f>
        <v>77814000</v>
      </c>
      <c r="E522" s="4359">
        <v>0.05</v>
      </c>
      <c r="F522" s="4357">
        <f>D522*E522</f>
        <v>3890700</v>
      </c>
      <c r="G522" s="7564"/>
      <c r="H522" s="7564"/>
      <c r="I522" s="7564"/>
      <c r="J522" s="7564"/>
      <c r="K522" s="7564"/>
      <c r="L522" s="4387" t="s">
        <v>5208</v>
      </c>
    </row>
    <row r="523" spans="1:13" ht="30" customHeight="1" x14ac:dyDescent="0.2">
      <c r="A523" s="7879"/>
      <c r="B523" s="7665"/>
      <c r="C523" s="7747"/>
      <c r="D523" s="4268">
        <v>2000000</v>
      </c>
      <c r="E523" s="4274">
        <v>0.05</v>
      </c>
      <c r="F523" s="4268">
        <f>D523*E523</f>
        <v>100000</v>
      </c>
      <c r="G523" s="4679"/>
      <c r="H523" s="4679"/>
      <c r="I523" s="4679"/>
      <c r="J523" s="4679"/>
      <c r="K523" s="4267"/>
      <c r="L523" s="4387" t="s">
        <v>5864</v>
      </c>
    </row>
    <row r="524" spans="1:13" ht="30" customHeight="1" x14ac:dyDescent="0.2">
      <c r="A524" s="7879"/>
      <c r="B524" s="7665"/>
      <c r="C524" s="7747"/>
      <c r="D524" s="4268">
        <v>3341000</v>
      </c>
      <c r="E524" s="4274">
        <v>0.05</v>
      </c>
      <c r="F524" s="4268">
        <f>D524*E524</f>
        <v>167050</v>
      </c>
      <c r="G524" s="4679"/>
      <c r="H524" s="4679"/>
      <c r="I524" s="4679"/>
      <c r="J524" s="4679"/>
      <c r="K524" s="4267"/>
      <c r="L524" s="4387" t="s">
        <v>5867</v>
      </c>
    </row>
    <row r="525" spans="1:13" ht="30" customHeight="1" x14ac:dyDescent="0.2">
      <c r="A525" s="7879"/>
      <c r="B525" s="7653"/>
      <c r="C525" s="7724"/>
      <c r="D525" s="4357">
        <f>SUM(D522:D524)</f>
        <v>83155000</v>
      </c>
      <c r="E525" s="4359">
        <v>0.05</v>
      </c>
      <c r="F525" s="4357">
        <f>SUM(F522:F524)</f>
        <v>4157750</v>
      </c>
      <c r="G525" s="4679">
        <v>4157750</v>
      </c>
      <c r="H525" s="4679" t="s">
        <v>6435</v>
      </c>
      <c r="I525" s="4679" t="s">
        <v>5758</v>
      </c>
      <c r="J525" s="4679">
        <f>G525</f>
        <v>4157750</v>
      </c>
      <c r="K525" s="4679">
        <f>F525-J525</f>
        <v>0</v>
      </c>
      <c r="L525" s="4692" t="s">
        <v>5865</v>
      </c>
    </row>
    <row r="526" spans="1:13" ht="30" customHeight="1" x14ac:dyDescent="0.2">
      <c r="A526" s="4284"/>
      <c r="B526" s="4338" t="s">
        <v>4246</v>
      </c>
      <c r="C526" s="4299" t="s">
        <v>889</v>
      </c>
      <c r="D526" s="4268">
        <v>67000000</v>
      </c>
      <c r="E526" s="4274">
        <v>0.05</v>
      </c>
      <c r="F526" s="4268">
        <f>D526*E526</f>
        <v>3350000</v>
      </c>
      <c r="G526" s="4260">
        <v>3350000</v>
      </c>
      <c r="H526" s="4260" t="s">
        <v>6223</v>
      </c>
      <c r="I526" s="4260" t="s">
        <v>4865</v>
      </c>
      <c r="J526" s="4260">
        <f t="shared" si="53"/>
        <v>3350000</v>
      </c>
      <c r="K526" s="4266">
        <f t="shared" si="54"/>
        <v>0</v>
      </c>
      <c r="L526" s="4387" t="s">
        <v>4247</v>
      </c>
    </row>
    <row r="527" spans="1:13" ht="30" customHeight="1" x14ac:dyDescent="0.2">
      <c r="A527" s="7654"/>
      <c r="B527" s="7652" t="s">
        <v>1158</v>
      </c>
      <c r="C527" s="7723" t="s">
        <v>371</v>
      </c>
      <c r="D527" s="3608">
        <v>100000000</v>
      </c>
      <c r="E527" s="3609">
        <v>4.4999999999999998E-2</v>
      </c>
      <c r="F527" s="3608">
        <f t="shared" si="52"/>
        <v>4500000</v>
      </c>
      <c r="G527" s="4260"/>
      <c r="H527" s="4260"/>
      <c r="I527" s="4260" t="s">
        <v>2219</v>
      </c>
      <c r="J527" s="4260">
        <f>G527</f>
        <v>0</v>
      </c>
      <c r="K527" s="227"/>
      <c r="L527" s="4387" t="s">
        <v>5342</v>
      </c>
      <c r="M527" t="s">
        <v>5056</v>
      </c>
    </row>
    <row r="528" spans="1:13" ht="30" customHeight="1" x14ac:dyDescent="0.2">
      <c r="A528" s="7656"/>
      <c r="B528" s="7665"/>
      <c r="C528" s="7747"/>
      <c r="D528" s="4347">
        <v>75000000</v>
      </c>
      <c r="E528" s="1929">
        <v>0.05</v>
      </c>
      <c r="F528" s="1542">
        <f t="shared" si="52"/>
        <v>3750000</v>
      </c>
      <c r="G528" s="7482">
        <v>10250000</v>
      </c>
      <c r="H528" s="7482" t="s">
        <v>4491</v>
      </c>
      <c r="I528" s="7482" t="s">
        <v>2219</v>
      </c>
      <c r="J528" s="7482">
        <f>G528</f>
        <v>10250000</v>
      </c>
      <c r="K528" s="7482">
        <f>F532-J528</f>
        <v>0</v>
      </c>
      <c r="L528" s="4387" t="s">
        <v>5343</v>
      </c>
    </row>
    <row r="529" spans="1:12" ht="30" customHeight="1" x14ac:dyDescent="0.2">
      <c r="A529" s="7656"/>
      <c r="B529" s="7665"/>
      <c r="C529" s="7747"/>
      <c r="D529" s="4347">
        <v>60000000</v>
      </c>
      <c r="E529" s="1929">
        <v>0.05</v>
      </c>
      <c r="F529" s="1542">
        <f t="shared" si="52"/>
        <v>3000000</v>
      </c>
      <c r="G529" s="7482"/>
      <c r="H529" s="7482"/>
      <c r="I529" s="7482"/>
      <c r="J529" s="7482"/>
      <c r="K529" s="7482"/>
      <c r="L529" s="8304" t="s">
        <v>5058</v>
      </c>
    </row>
    <row r="530" spans="1:12" ht="30" customHeight="1" x14ac:dyDescent="0.2">
      <c r="A530" s="7656"/>
      <c r="B530" s="7665"/>
      <c r="C530" s="7747"/>
      <c r="D530" s="4347">
        <v>30000000</v>
      </c>
      <c r="E530" s="1929">
        <v>0.05</v>
      </c>
      <c r="F530" s="1542">
        <f t="shared" si="52"/>
        <v>1500000</v>
      </c>
      <c r="G530" s="7482"/>
      <c r="H530" s="7482"/>
      <c r="I530" s="7482"/>
      <c r="J530" s="7482"/>
      <c r="K530" s="7482"/>
      <c r="L530" s="8305"/>
    </row>
    <row r="531" spans="1:12" ht="30" customHeight="1" x14ac:dyDescent="0.2">
      <c r="A531" s="7656"/>
      <c r="B531" s="7665"/>
      <c r="C531" s="7747"/>
      <c r="D531" s="4347">
        <v>40000000</v>
      </c>
      <c r="E531" s="1929">
        <v>0.05</v>
      </c>
      <c r="F531" s="1542">
        <f t="shared" si="52"/>
        <v>2000000</v>
      </c>
      <c r="G531" s="7482"/>
      <c r="H531" s="7482"/>
      <c r="I531" s="7482"/>
      <c r="J531" s="7482"/>
      <c r="K531" s="7482"/>
      <c r="L531" s="8305"/>
    </row>
    <row r="532" spans="1:12" ht="30" customHeight="1" x14ac:dyDescent="0.2">
      <c r="A532" s="7656"/>
      <c r="B532" s="7665"/>
      <c r="C532" s="7747"/>
      <c r="D532" s="4347">
        <f>SUM(D528:D531)</f>
        <v>205000000</v>
      </c>
      <c r="E532" s="1929">
        <v>0.05</v>
      </c>
      <c r="F532" s="1542">
        <f>D532*E532</f>
        <v>10250000</v>
      </c>
      <c r="G532" s="7482"/>
      <c r="H532" s="7482"/>
      <c r="I532" s="7482"/>
      <c r="J532" s="7482"/>
      <c r="K532" s="7482"/>
      <c r="L532" s="8306"/>
    </row>
    <row r="533" spans="1:12" ht="30" customHeight="1" x14ac:dyDescent="0.2">
      <c r="A533" s="4271">
        <v>286</v>
      </c>
      <c r="B533" s="4334" t="s">
        <v>1622</v>
      </c>
      <c r="C533" s="4337"/>
      <c r="D533" s="4260">
        <v>35000000</v>
      </c>
      <c r="E533" s="1027">
        <v>0.05</v>
      </c>
      <c r="F533" s="4260">
        <v>1700000</v>
      </c>
      <c r="G533" s="4260">
        <v>1700000</v>
      </c>
      <c r="H533" s="4260" t="s">
        <v>6251</v>
      </c>
      <c r="I533" s="18" t="s">
        <v>307</v>
      </c>
      <c r="J533" s="4260">
        <f>G533</f>
        <v>1700000</v>
      </c>
      <c r="K533" s="4260">
        <f>F533-J533</f>
        <v>0</v>
      </c>
      <c r="L533" s="4304"/>
    </row>
    <row r="534" spans="1:12" ht="30" customHeight="1" x14ac:dyDescent="0.2">
      <c r="A534" s="7654">
        <v>287</v>
      </c>
      <c r="B534" s="7652" t="s">
        <v>137</v>
      </c>
      <c r="C534" s="7723" t="s">
        <v>1294</v>
      </c>
      <c r="D534" s="4268">
        <v>15000000</v>
      </c>
      <c r="E534" s="4274">
        <v>0.05</v>
      </c>
      <c r="F534" s="4268">
        <f t="shared" si="52"/>
        <v>750000</v>
      </c>
      <c r="G534" s="7563">
        <v>3000000</v>
      </c>
      <c r="H534" s="7563" t="s">
        <v>6435</v>
      </c>
      <c r="I534" s="7561" t="s">
        <v>5121</v>
      </c>
      <c r="J534" s="7563">
        <f>G534+G535</f>
        <v>3000000</v>
      </c>
      <c r="K534" s="7563">
        <f>(F534+F535)-J534</f>
        <v>0</v>
      </c>
      <c r="L534" s="7657"/>
    </row>
    <row r="535" spans="1:12" ht="30" customHeight="1" x14ac:dyDescent="0.2">
      <c r="A535" s="7655"/>
      <c r="B535" s="7653"/>
      <c r="C535" s="7724"/>
      <c r="D535" s="4268">
        <v>45000000</v>
      </c>
      <c r="E535" s="4274">
        <v>0.05</v>
      </c>
      <c r="F535" s="4268">
        <f t="shared" si="52"/>
        <v>2250000</v>
      </c>
      <c r="G535" s="7564"/>
      <c r="H535" s="7564"/>
      <c r="I535" s="7562"/>
      <c r="J535" s="7564"/>
      <c r="K535" s="7564"/>
      <c r="L535" s="7658"/>
    </row>
    <row r="536" spans="1:12" ht="30" customHeight="1" x14ac:dyDescent="0.2">
      <c r="A536" s="3428">
        <v>288</v>
      </c>
      <c r="B536" s="2551" t="s">
        <v>138</v>
      </c>
      <c r="C536" s="4765" t="s">
        <v>1289</v>
      </c>
      <c r="D536" s="4764">
        <v>50000000</v>
      </c>
      <c r="E536" s="2549">
        <v>4.4999999999999998E-2</v>
      </c>
      <c r="F536" s="4764">
        <f t="shared" si="52"/>
        <v>2250000</v>
      </c>
      <c r="G536" s="4764">
        <v>52250000</v>
      </c>
      <c r="H536" s="4764" t="s">
        <v>6512</v>
      </c>
      <c r="I536" s="287" t="s">
        <v>6536</v>
      </c>
      <c r="J536" s="4764">
        <f t="shared" ref="J536:J548" si="56">G536</f>
        <v>52250000</v>
      </c>
      <c r="K536" s="4764">
        <v>0</v>
      </c>
      <c r="L536" s="4815" t="s">
        <v>6537</v>
      </c>
    </row>
    <row r="537" spans="1:12" ht="30" customHeight="1" x14ac:dyDescent="0.2">
      <c r="A537" s="4341">
        <v>289</v>
      </c>
      <c r="B537" s="4338" t="s">
        <v>637</v>
      </c>
      <c r="C537" s="4300" t="s">
        <v>1299</v>
      </c>
      <c r="D537" s="4268">
        <v>25000000</v>
      </c>
      <c r="E537" s="4336">
        <v>0.06</v>
      </c>
      <c r="F537" s="4268">
        <f t="shared" si="52"/>
        <v>1500000</v>
      </c>
      <c r="G537" s="4268">
        <v>1500000</v>
      </c>
      <c r="H537" s="4268" t="s">
        <v>6577</v>
      </c>
      <c r="I537" s="18" t="s">
        <v>4554</v>
      </c>
      <c r="J537" s="4268">
        <f t="shared" si="56"/>
        <v>1500000</v>
      </c>
      <c r="K537" s="4268">
        <f t="shared" ref="K537:K548" si="57">F537-J537</f>
        <v>0</v>
      </c>
      <c r="L537" s="4338"/>
    </row>
    <row r="538" spans="1:12" ht="30" customHeight="1" x14ac:dyDescent="0.2">
      <c r="A538" s="4271">
        <v>290</v>
      </c>
      <c r="B538" s="4334" t="s">
        <v>3848</v>
      </c>
      <c r="C538" s="4300" t="s">
        <v>1288</v>
      </c>
      <c r="D538" s="4268">
        <v>1150000000</v>
      </c>
      <c r="E538" s="4336">
        <v>7.0000000000000007E-2</v>
      </c>
      <c r="F538" s="4268">
        <f>D538*E538</f>
        <v>80500000.000000015</v>
      </c>
      <c r="G538" s="4260">
        <v>80500000</v>
      </c>
      <c r="H538" s="4260" t="s">
        <v>3634</v>
      </c>
      <c r="I538" s="4260" t="s">
        <v>4095</v>
      </c>
      <c r="J538" s="4260">
        <f>G538</f>
        <v>80500000</v>
      </c>
      <c r="K538" s="4268">
        <f t="shared" si="57"/>
        <v>0</v>
      </c>
      <c r="L538" s="4324" t="s">
        <v>3859</v>
      </c>
    </row>
    <row r="539" spans="1:12" ht="30" customHeight="1" x14ac:dyDescent="0.2">
      <c r="A539" s="7654">
        <v>292</v>
      </c>
      <c r="B539" s="7652" t="s">
        <v>140</v>
      </c>
      <c r="C539" s="7723" t="s">
        <v>371</v>
      </c>
      <c r="D539" s="4268">
        <v>100000000</v>
      </c>
      <c r="E539" s="4336">
        <v>0.05</v>
      </c>
      <c r="F539" s="4268">
        <f t="shared" si="52"/>
        <v>5000000</v>
      </c>
      <c r="G539" s="7563">
        <v>27906000</v>
      </c>
      <c r="H539" s="7563" t="s">
        <v>6395</v>
      </c>
      <c r="I539" s="7772" t="s">
        <v>4552</v>
      </c>
      <c r="J539" s="7563">
        <f>G539</f>
        <v>27906000</v>
      </c>
      <c r="K539" s="7563"/>
      <c r="L539" s="4338"/>
    </row>
    <row r="540" spans="1:12" ht="30" customHeight="1" x14ac:dyDescent="0.2">
      <c r="A540" s="7656"/>
      <c r="B540" s="7665"/>
      <c r="C540" s="7747"/>
      <c r="D540" s="4268">
        <v>5000000</v>
      </c>
      <c r="E540" s="4336">
        <v>0.05</v>
      </c>
      <c r="F540" s="4268">
        <f t="shared" si="52"/>
        <v>250000</v>
      </c>
      <c r="G540" s="7586"/>
      <c r="H540" s="7586"/>
      <c r="I540" s="8185"/>
      <c r="J540" s="7586"/>
      <c r="K540" s="7586"/>
      <c r="L540" s="4338"/>
    </row>
    <row r="541" spans="1:12" ht="30" customHeight="1" x14ac:dyDescent="0.2">
      <c r="A541" s="7656"/>
      <c r="B541" s="7665"/>
      <c r="C541" s="7747"/>
      <c r="D541" s="4268">
        <v>295000000</v>
      </c>
      <c r="E541" s="4336">
        <v>0.05</v>
      </c>
      <c r="F541" s="4268">
        <f t="shared" si="52"/>
        <v>14750000</v>
      </c>
      <c r="G541" s="7586"/>
      <c r="H541" s="7586"/>
      <c r="I541" s="8185"/>
      <c r="J541" s="7586"/>
      <c r="K541" s="7586"/>
      <c r="L541" s="4324" t="s">
        <v>5629</v>
      </c>
    </row>
    <row r="542" spans="1:12" ht="30" customHeight="1" x14ac:dyDescent="0.2">
      <c r="A542" s="7655"/>
      <c r="B542" s="7653"/>
      <c r="C542" s="7724"/>
      <c r="D542" s="4357">
        <f>SUM(D539:D541)</f>
        <v>400000000</v>
      </c>
      <c r="E542" s="896">
        <v>7.0000000000000007E-2</v>
      </c>
      <c r="F542" s="4357">
        <f>D542*E542</f>
        <v>28000000.000000004</v>
      </c>
      <c r="G542" s="7564"/>
      <c r="H542" s="7564"/>
      <c r="I542" s="7773"/>
      <c r="J542" s="7564"/>
      <c r="K542" s="7564"/>
      <c r="L542" s="4324" t="s">
        <v>5533</v>
      </c>
    </row>
    <row r="543" spans="1:12" ht="30" customHeight="1" x14ac:dyDescent="0.2">
      <c r="A543" s="7654">
        <v>293</v>
      </c>
      <c r="B543" s="7652" t="s">
        <v>141</v>
      </c>
      <c r="C543" s="7723" t="s">
        <v>1299</v>
      </c>
      <c r="D543" s="4268">
        <v>75000000</v>
      </c>
      <c r="E543" s="4336">
        <v>0.05</v>
      </c>
      <c r="F543" s="4268">
        <f>D543*E543</f>
        <v>3750000</v>
      </c>
      <c r="G543" s="7563">
        <v>4660000</v>
      </c>
      <c r="H543" s="7563" t="s">
        <v>6440</v>
      </c>
      <c r="I543" s="7772" t="s">
        <v>2540</v>
      </c>
      <c r="J543" s="7563">
        <f t="shared" si="56"/>
        <v>4660000</v>
      </c>
      <c r="K543" s="7563"/>
      <c r="L543" s="4324" t="s">
        <v>6118</v>
      </c>
    </row>
    <row r="544" spans="1:12" ht="30" customHeight="1" x14ac:dyDescent="0.2">
      <c r="A544" s="7656"/>
      <c r="B544" s="7665"/>
      <c r="C544" s="7747"/>
      <c r="D544" s="7563">
        <v>25000000</v>
      </c>
      <c r="E544" s="7659">
        <v>0.05</v>
      </c>
      <c r="F544" s="7563">
        <f>D544*E544</f>
        <v>1250000</v>
      </c>
      <c r="G544" s="7586"/>
      <c r="H544" s="7586"/>
      <c r="I544" s="8185"/>
      <c r="J544" s="7586"/>
      <c r="K544" s="7586"/>
      <c r="L544" s="345" t="s">
        <v>6098</v>
      </c>
    </row>
    <row r="545" spans="1:12" ht="30" customHeight="1" x14ac:dyDescent="0.2">
      <c r="A545" s="7656"/>
      <c r="B545" s="7665"/>
      <c r="C545" s="7747"/>
      <c r="D545" s="7586"/>
      <c r="E545" s="7676"/>
      <c r="F545" s="7586"/>
      <c r="G545" s="7586"/>
      <c r="H545" s="7586"/>
      <c r="I545" s="8185"/>
      <c r="J545" s="7586"/>
      <c r="K545" s="7586"/>
      <c r="L545" s="735" t="s">
        <v>6099</v>
      </c>
    </row>
    <row r="546" spans="1:12" ht="30" customHeight="1" x14ac:dyDescent="0.2">
      <c r="A546" s="7656"/>
      <c r="B546" s="7665"/>
      <c r="C546" s="7747"/>
      <c r="D546" s="7564"/>
      <c r="E546" s="7660"/>
      <c r="F546" s="7564"/>
      <c r="G546" s="7586"/>
      <c r="H546" s="7586"/>
      <c r="I546" s="8185"/>
      <c r="J546" s="7586"/>
      <c r="K546" s="7586"/>
      <c r="L546" s="710" t="s">
        <v>6100</v>
      </c>
    </row>
    <row r="547" spans="1:12" ht="30" customHeight="1" x14ac:dyDescent="0.2">
      <c r="A547" s="7655"/>
      <c r="B547" s="7653"/>
      <c r="C547" s="7724"/>
      <c r="D547" s="4357">
        <v>100000000</v>
      </c>
      <c r="E547" s="896">
        <v>0.05</v>
      </c>
      <c r="F547" s="4357">
        <f>D547*E547</f>
        <v>5000000</v>
      </c>
      <c r="G547" s="7564"/>
      <c r="H547" s="7564"/>
      <c r="I547" s="7773"/>
      <c r="J547" s="7564"/>
      <c r="K547" s="7564"/>
      <c r="L547" s="4324" t="s">
        <v>5973</v>
      </c>
    </row>
    <row r="548" spans="1:12" ht="30" customHeight="1" x14ac:dyDescent="0.2">
      <c r="A548" s="4297">
        <v>295</v>
      </c>
      <c r="B548" s="4334" t="s">
        <v>142</v>
      </c>
      <c r="C548" s="4299" t="s">
        <v>1299</v>
      </c>
      <c r="D548" s="4268">
        <v>100000000</v>
      </c>
      <c r="E548" s="4336">
        <v>0.05</v>
      </c>
      <c r="F548" s="4268">
        <f t="shared" si="52"/>
        <v>5000000</v>
      </c>
      <c r="G548" s="4260">
        <v>5000000</v>
      </c>
      <c r="H548" s="4260" t="s">
        <v>3634</v>
      </c>
      <c r="I548" s="4260" t="s">
        <v>5203</v>
      </c>
      <c r="J548" s="4260">
        <f t="shared" si="56"/>
        <v>5000000</v>
      </c>
      <c r="K548" s="4260">
        <f t="shared" si="57"/>
        <v>0</v>
      </c>
      <c r="L548" s="4324" t="s">
        <v>5748</v>
      </c>
    </row>
    <row r="549" spans="1:12" ht="30" customHeight="1" x14ac:dyDescent="0.2">
      <c r="A549" s="7654"/>
      <c r="B549" s="7652" t="s">
        <v>4556</v>
      </c>
      <c r="C549" s="7723" t="s">
        <v>1299</v>
      </c>
      <c r="D549" s="4268">
        <v>10000000</v>
      </c>
      <c r="E549" s="4336">
        <v>0.05</v>
      </c>
      <c r="F549" s="4268">
        <f t="shared" ref="F549:F556" si="58">D549*E549</f>
        <v>500000</v>
      </c>
      <c r="G549" s="7563">
        <v>2220000</v>
      </c>
      <c r="H549" s="7563" t="s">
        <v>6723</v>
      </c>
      <c r="I549" s="7563" t="s">
        <v>6725</v>
      </c>
      <c r="J549" s="7563">
        <f>G549</f>
        <v>2220000</v>
      </c>
      <c r="K549" s="7563"/>
      <c r="L549" s="4324" t="s">
        <v>5747</v>
      </c>
    </row>
    <row r="550" spans="1:12" ht="30" customHeight="1" x14ac:dyDescent="0.2">
      <c r="A550" s="7656"/>
      <c r="B550" s="7665"/>
      <c r="C550" s="7747"/>
      <c r="D550" s="4308">
        <v>10000000</v>
      </c>
      <c r="E550" s="4274">
        <v>0.06</v>
      </c>
      <c r="F550" s="4309">
        <f t="shared" si="58"/>
        <v>600000</v>
      </c>
      <c r="G550" s="7586"/>
      <c r="H550" s="7586"/>
      <c r="I550" s="7586"/>
      <c r="J550" s="7586"/>
      <c r="K550" s="7586"/>
      <c r="L550" s="847" t="s">
        <v>4557</v>
      </c>
    </row>
    <row r="551" spans="1:12" ht="30" customHeight="1" x14ac:dyDescent="0.2">
      <c r="A551" s="7656"/>
      <c r="B551" s="7665"/>
      <c r="C551" s="7747"/>
      <c r="D551" s="4308">
        <v>10000000</v>
      </c>
      <c r="E551" s="4274">
        <v>0.06</v>
      </c>
      <c r="F551" s="4309">
        <f t="shared" si="58"/>
        <v>600000</v>
      </c>
      <c r="G551" s="7586"/>
      <c r="H551" s="7586"/>
      <c r="I551" s="7586"/>
      <c r="J551" s="7586"/>
      <c r="K551" s="7586"/>
      <c r="L551" s="4320" t="s">
        <v>4760</v>
      </c>
    </row>
    <row r="552" spans="1:12" ht="30" customHeight="1" x14ac:dyDescent="0.2">
      <c r="A552" s="7656"/>
      <c r="B552" s="7665"/>
      <c r="C552" s="7747"/>
      <c r="D552" s="4308">
        <v>7000000</v>
      </c>
      <c r="E552" s="4274">
        <v>0.06</v>
      </c>
      <c r="F552" s="4309">
        <f t="shared" si="58"/>
        <v>420000</v>
      </c>
      <c r="G552" s="7564"/>
      <c r="H552" s="7564"/>
      <c r="I552" s="7564"/>
      <c r="J552" s="7564"/>
      <c r="K552" s="7564"/>
      <c r="L552" s="1660" t="s">
        <v>5750</v>
      </c>
    </row>
    <row r="553" spans="1:12" ht="30" customHeight="1" x14ac:dyDescent="0.2">
      <c r="A553" s="7656"/>
      <c r="B553" s="7665"/>
      <c r="C553" s="7747"/>
      <c r="D553" s="4885">
        <v>8000000</v>
      </c>
      <c r="E553" s="4875">
        <v>0.06</v>
      </c>
      <c r="F553" s="4886">
        <f t="shared" si="58"/>
        <v>480000</v>
      </c>
      <c r="G553" s="4866"/>
      <c r="H553" s="4866"/>
      <c r="I553" s="4866"/>
      <c r="J553" s="4866"/>
      <c r="K553" s="4869"/>
      <c r="L553" s="4894"/>
    </row>
    <row r="554" spans="1:12" ht="30" customHeight="1" x14ac:dyDescent="0.2">
      <c r="A554" s="7655"/>
      <c r="B554" s="7653"/>
      <c r="C554" s="7724"/>
      <c r="D554" s="4010">
        <f>SUM(D549:D553)</f>
        <v>45000000</v>
      </c>
      <c r="E554" s="4359">
        <v>0.06</v>
      </c>
      <c r="F554" s="3820">
        <f t="shared" si="58"/>
        <v>2700000</v>
      </c>
      <c r="G554" s="4260"/>
      <c r="H554" s="4260"/>
      <c r="I554" s="4260"/>
      <c r="J554" s="4260"/>
      <c r="K554" s="4268"/>
      <c r="L554" s="4320" t="s">
        <v>5749</v>
      </c>
    </row>
    <row r="555" spans="1:12" ht="30" customHeight="1" x14ac:dyDescent="0.2">
      <c r="A555" s="4341">
        <v>296</v>
      </c>
      <c r="B555" s="4338" t="s">
        <v>143</v>
      </c>
      <c r="C555" s="4337" t="s">
        <v>1306</v>
      </c>
      <c r="D555" s="4268">
        <v>60000000</v>
      </c>
      <c r="E555" s="4336">
        <v>0.05</v>
      </c>
      <c r="F555" s="4268">
        <f t="shared" si="58"/>
        <v>3000000</v>
      </c>
      <c r="G555" s="4266">
        <v>3000000</v>
      </c>
      <c r="H555" s="4266" t="s">
        <v>6594</v>
      </c>
      <c r="I555" s="4270" t="s">
        <v>1720</v>
      </c>
      <c r="J555" s="4266">
        <f>G555</f>
        <v>3000000</v>
      </c>
      <c r="K555" s="4266"/>
      <c r="L555" s="4338"/>
    </row>
    <row r="556" spans="1:12" ht="30" customHeight="1" x14ac:dyDescent="0.2">
      <c r="A556" s="4297">
        <v>298</v>
      </c>
      <c r="B556" s="4334" t="s">
        <v>145</v>
      </c>
      <c r="C556" s="4749" t="s">
        <v>1134</v>
      </c>
      <c r="D556" s="4268">
        <v>40000000</v>
      </c>
      <c r="E556" s="4336">
        <v>0.05</v>
      </c>
      <c r="F556" s="4268">
        <f t="shared" si="58"/>
        <v>2000000</v>
      </c>
      <c r="G556" s="4260">
        <v>2000000</v>
      </c>
      <c r="H556" s="4260" t="s">
        <v>6693</v>
      </c>
      <c r="I556" s="4333" t="s">
        <v>4150</v>
      </c>
      <c r="J556" s="4260">
        <f>G556</f>
        <v>2000000</v>
      </c>
      <c r="K556" s="4260">
        <f>F556-J556</f>
        <v>0</v>
      </c>
      <c r="L556" s="4338"/>
    </row>
    <row r="557" spans="1:12" ht="30" customHeight="1" x14ac:dyDescent="0.2">
      <c r="A557" s="4787">
        <v>300</v>
      </c>
      <c r="B557" s="4801" t="s">
        <v>147</v>
      </c>
      <c r="C557" s="378" t="s">
        <v>890</v>
      </c>
      <c r="D557" s="4260">
        <v>178000000</v>
      </c>
      <c r="E557" s="4336">
        <v>5.8999999999999997E-2</v>
      </c>
      <c r="F557" s="4260">
        <v>10500000</v>
      </c>
      <c r="G557" s="4768">
        <v>10500000</v>
      </c>
      <c r="H557" s="4768" t="s">
        <v>6622</v>
      </c>
      <c r="I557" s="4800" t="s">
        <v>3469</v>
      </c>
      <c r="J557" s="4768">
        <f>G557</f>
        <v>10500000</v>
      </c>
      <c r="K557" s="4260">
        <f>F557-J557</f>
        <v>0</v>
      </c>
      <c r="L557" s="4338"/>
    </row>
    <row r="558" spans="1:12" ht="30" customHeight="1" x14ac:dyDescent="0.2">
      <c r="A558" s="4341">
        <v>301</v>
      </c>
      <c r="B558" s="4338" t="s">
        <v>2347</v>
      </c>
      <c r="C558" s="4300"/>
      <c r="D558" s="4268">
        <v>10000000</v>
      </c>
      <c r="E558" s="4274">
        <v>0.04</v>
      </c>
      <c r="F558" s="4268">
        <f>D558*E558</f>
        <v>400000</v>
      </c>
      <c r="G558" s="4268">
        <v>400000</v>
      </c>
      <c r="H558" s="4268" t="s">
        <v>6577</v>
      </c>
      <c r="I558" s="4302" t="s">
        <v>723</v>
      </c>
      <c r="J558" s="4268">
        <f>G558</f>
        <v>400000</v>
      </c>
      <c r="K558" s="4268">
        <f>F558-J558</f>
        <v>0</v>
      </c>
      <c r="L558" s="4365"/>
    </row>
    <row r="559" spans="1:12" ht="30" customHeight="1" x14ac:dyDescent="0.2">
      <c r="A559" s="4341">
        <v>302</v>
      </c>
      <c r="B559" s="4741" t="s">
        <v>149</v>
      </c>
      <c r="C559" s="4337" t="s">
        <v>1296</v>
      </c>
      <c r="D559" s="4268">
        <v>100000000</v>
      </c>
      <c r="E559" s="4336">
        <v>0.05</v>
      </c>
      <c r="F559" s="4268">
        <f>D559*E559</f>
        <v>5000000</v>
      </c>
      <c r="G559" s="4260">
        <v>5000000</v>
      </c>
      <c r="H559" s="4333" t="s">
        <v>6440</v>
      </c>
      <c r="I559" s="4333" t="s">
        <v>3179</v>
      </c>
      <c r="J559" s="4260">
        <f>G559</f>
        <v>5000000</v>
      </c>
      <c r="K559" s="4260">
        <f>F559-J559</f>
        <v>0</v>
      </c>
      <c r="L559" s="4320" t="s">
        <v>4593</v>
      </c>
    </row>
    <row r="560" spans="1:12" ht="30" customHeight="1" x14ac:dyDescent="0.2">
      <c r="A560" s="7654"/>
      <c r="B560" s="7652" t="s">
        <v>6119</v>
      </c>
      <c r="C560" s="7723" t="s">
        <v>1796</v>
      </c>
      <c r="D560" s="4260">
        <v>2162000000</v>
      </c>
      <c r="E560" s="4336">
        <v>8.4000000000000005E-2</v>
      </c>
      <c r="F560" s="4260">
        <v>181608000</v>
      </c>
      <c r="G560" s="4262"/>
      <c r="H560" s="4263"/>
      <c r="I560" s="4263"/>
      <c r="J560" s="4307"/>
      <c r="K560" s="178"/>
      <c r="L560" s="4331"/>
    </row>
    <row r="561" spans="1:12" ht="30" customHeight="1" x14ac:dyDescent="0.2">
      <c r="A561" s="7656"/>
      <c r="B561" s="7665"/>
      <c r="C561" s="7747"/>
      <c r="D561" s="4267">
        <v>10000000</v>
      </c>
      <c r="E561" s="4285"/>
      <c r="F561" s="4267"/>
      <c r="G561" s="7991" t="s">
        <v>6120</v>
      </c>
      <c r="H561" s="7992"/>
      <c r="I561" s="7992"/>
      <c r="J561" s="7993"/>
      <c r="K561" s="178"/>
      <c r="L561" s="4320" t="s">
        <v>6047</v>
      </c>
    </row>
    <row r="562" spans="1:12" ht="30" customHeight="1" x14ac:dyDescent="0.2">
      <c r="A562" s="7656"/>
      <c r="B562" s="7665"/>
      <c r="C562" s="7747"/>
      <c r="D562" s="7563">
        <v>40000000</v>
      </c>
      <c r="E562" s="7659"/>
      <c r="F562" s="7563"/>
      <c r="G562" s="7732" t="s">
        <v>6286</v>
      </c>
      <c r="H562" s="7733"/>
      <c r="I562" s="7733"/>
      <c r="J562" s="7734"/>
      <c r="K562" s="233"/>
      <c r="L562" s="4320" t="s">
        <v>6285</v>
      </c>
    </row>
    <row r="563" spans="1:12" ht="30" customHeight="1" x14ac:dyDescent="0.2">
      <c r="A563" s="7656"/>
      <c r="B563" s="7665"/>
      <c r="C563" s="7747"/>
      <c r="D563" s="7586"/>
      <c r="E563" s="7676"/>
      <c r="F563" s="7586"/>
      <c r="G563" s="7732" t="s">
        <v>6287</v>
      </c>
      <c r="H563" s="7733"/>
      <c r="I563" s="7733"/>
      <c r="J563" s="7734"/>
      <c r="K563" s="233"/>
      <c r="L563" s="4535"/>
    </row>
    <row r="564" spans="1:12" ht="30" customHeight="1" x14ac:dyDescent="0.2">
      <c r="A564" s="7656"/>
      <c r="B564" s="7665"/>
      <c r="C564" s="7747"/>
      <c r="D564" s="7586"/>
      <c r="E564" s="7676"/>
      <c r="F564" s="7586"/>
      <c r="G564" s="7732" t="s">
        <v>6288</v>
      </c>
      <c r="H564" s="7733"/>
      <c r="I564" s="7733"/>
      <c r="J564" s="7734"/>
      <c r="K564" s="233"/>
      <c r="L564" s="4535"/>
    </row>
    <row r="565" spans="1:12" ht="30" customHeight="1" x14ac:dyDescent="0.2">
      <c r="A565" s="7656"/>
      <c r="B565" s="7665"/>
      <c r="C565" s="7747"/>
      <c r="D565" s="7586"/>
      <c r="E565" s="7676"/>
      <c r="F565" s="7586"/>
      <c r="G565" s="7732" t="s">
        <v>6289</v>
      </c>
      <c r="H565" s="7733"/>
      <c r="I565" s="7733"/>
      <c r="J565" s="7734"/>
      <c r="K565" s="233"/>
      <c r="L565" s="4535"/>
    </row>
    <row r="566" spans="1:12" ht="30" customHeight="1" x14ac:dyDescent="0.2">
      <c r="A566" s="7656"/>
      <c r="B566" s="7665"/>
      <c r="C566" s="7747"/>
      <c r="D566" s="7564"/>
      <c r="E566" s="7660"/>
      <c r="F566" s="7564"/>
      <c r="G566" s="7732" t="s">
        <v>6290</v>
      </c>
      <c r="H566" s="7733"/>
      <c r="I566" s="7733"/>
      <c r="J566" s="7734"/>
      <c r="K566" s="233"/>
      <c r="L566" s="4535"/>
    </row>
    <row r="567" spans="1:12" ht="30" customHeight="1" x14ac:dyDescent="0.2">
      <c r="A567" s="7656"/>
      <c r="B567" s="7665"/>
      <c r="C567" s="7747"/>
      <c r="D567" s="4539">
        <f>SUM(D560:D566)</f>
        <v>2212000000</v>
      </c>
      <c r="E567" s="4537"/>
      <c r="F567" s="4539">
        <v>186290000</v>
      </c>
      <c r="G567" s="7732" t="s">
        <v>6051</v>
      </c>
      <c r="H567" s="7733"/>
      <c r="I567" s="7733"/>
      <c r="J567" s="7734"/>
      <c r="K567" s="233"/>
      <c r="L567" s="4590"/>
    </row>
    <row r="568" spans="1:12" ht="30" customHeight="1" x14ac:dyDescent="0.2">
      <c r="A568" s="7656"/>
      <c r="B568" s="7665"/>
      <c r="C568" s="7747"/>
      <c r="D568" s="4533">
        <v>100000000</v>
      </c>
      <c r="E568" s="4534"/>
      <c r="F568" s="4533"/>
      <c r="G568" s="7732" t="s">
        <v>6291</v>
      </c>
      <c r="H568" s="7733"/>
      <c r="I568" s="7733"/>
      <c r="J568" s="7734"/>
      <c r="K568" s="233"/>
      <c r="L568" s="4590" t="s">
        <v>6338</v>
      </c>
    </row>
    <row r="569" spans="1:12" ht="30" customHeight="1" x14ac:dyDescent="0.2">
      <c r="A569" s="7656"/>
      <c r="B569" s="7665"/>
      <c r="C569" s="7747"/>
      <c r="D569" s="4533">
        <v>80000000</v>
      </c>
      <c r="E569" s="4534"/>
      <c r="F569" s="4533"/>
      <c r="G569" s="7732" t="s">
        <v>6292</v>
      </c>
      <c r="H569" s="7733"/>
      <c r="I569" s="7733"/>
      <c r="J569" s="7734"/>
      <c r="K569" s="233"/>
      <c r="L569" s="4590" t="s">
        <v>6337</v>
      </c>
    </row>
    <row r="570" spans="1:12" ht="30" customHeight="1" x14ac:dyDescent="0.2">
      <c r="A570" s="7656"/>
      <c r="B570" s="7665"/>
      <c r="C570" s="7747"/>
      <c r="D570" s="4536">
        <v>40000000</v>
      </c>
      <c r="E570" s="4537"/>
      <c r="F570" s="4536"/>
      <c r="G570" s="7732" t="s">
        <v>6382</v>
      </c>
      <c r="H570" s="7733"/>
      <c r="I570" s="7733"/>
      <c r="J570" s="7734"/>
      <c r="K570" s="233"/>
      <c r="L570" s="4541" t="s">
        <v>6339</v>
      </c>
    </row>
    <row r="571" spans="1:12" ht="30" customHeight="1" x14ac:dyDescent="0.2">
      <c r="A571" s="7656"/>
      <c r="B571" s="7665"/>
      <c r="C571" s="7747"/>
      <c r="D571" s="4282">
        <f>SUM(D567:D570)</f>
        <v>2432000000</v>
      </c>
      <c r="E571" s="4273"/>
      <c r="F571" s="4282">
        <v>198830000</v>
      </c>
      <c r="G571" s="7732" t="s">
        <v>6051</v>
      </c>
      <c r="H571" s="7733"/>
      <c r="I571" s="7733"/>
      <c r="J571" s="7734"/>
      <c r="K571" s="233"/>
      <c r="L571" s="4344" t="s">
        <v>6293</v>
      </c>
    </row>
    <row r="572" spans="1:12" ht="30" customHeight="1" x14ac:dyDescent="0.2">
      <c r="A572" s="7656"/>
      <c r="B572" s="7665"/>
      <c r="C572" s="7747"/>
      <c r="D572" s="4539">
        <f>2432000000-245000000</f>
        <v>2187000000</v>
      </c>
      <c r="E572" s="4537"/>
      <c r="F572" s="4539">
        <v>188940000</v>
      </c>
      <c r="G572" s="7732" t="s">
        <v>6294</v>
      </c>
      <c r="H572" s="7733"/>
      <c r="I572" s="7733"/>
      <c r="J572" s="7734"/>
      <c r="K572" s="233"/>
      <c r="L572" s="4541"/>
    </row>
    <row r="573" spans="1:12" ht="30" customHeight="1" x14ac:dyDescent="0.2">
      <c r="A573" s="7656"/>
      <c r="B573" s="7665"/>
      <c r="C573" s="7747"/>
      <c r="D573" s="7470" t="s">
        <v>6459</v>
      </c>
      <c r="E573" s="7493"/>
      <c r="F573" s="7510"/>
      <c r="G573" s="7732" t="s">
        <v>6755</v>
      </c>
      <c r="H573" s="7733"/>
      <c r="I573" s="7733"/>
      <c r="J573" s="7734"/>
      <c r="K573" s="233"/>
      <c r="L573" s="4718"/>
    </row>
    <row r="574" spans="1:12" ht="30" customHeight="1" x14ac:dyDescent="0.2">
      <c r="A574" s="7656"/>
      <c r="B574" s="7665"/>
      <c r="C574" s="7747"/>
      <c r="D574" s="4923">
        <v>2432000000</v>
      </c>
      <c r="E574" s="4923"/>
      <c r="F574" s="4923">
        <v>198830000</v>
      </c>
      <c r="G574" s="7732" t="s">
        <v>6740</v>
      </c>
      <c r="H574" s="7733"/>
      <c r="I574" s="7733"/>
      <c r="J574" s="7734"/>
      <c r="K574" s="233"/>
      <c r="L574" s="4718"/>
    </row>
    <row r="575" spans="1:12" ht="30" customHeight="1" x14ac:dyDescent="0.2">
      <c r="A575" s="7655"/>
      <c r="B575" s="7653"/>
      <c r="C575" s="7724"/>
      <c r="D575" s="4923">
        <f>2432000000-245000000</f>
        <v>2187000000</v>
      </c>
      <c r="E575" s="4923"/>
      <c r="F575" s="4923">
        <v>188940000</v>
      </c>
      <c r="G575" s="7732" t="s">
        <v>6294</v>
      </c>
      <c r="H575" s="7733"/>
      <c r="I575" s="7733"/>
      <c r="J575" s="7734"/>
      <c r="K575" s="233"/>
      <c r="L575" s="4718"/>
    </row>
    <row r="576" spans="1:12" ht="30" customHeight="1" x14ac:dyDescent="0.2">
      <c r="A576" s="7654">
        <v>305</v>
      </c>
      <c r="B576" s="7652" t="s">
        <v>152</v>
      </c>
      <c r="C576" s="7723" t="s">
        <v>1796</v>
      </c>
      <c r="D576" s="7482">
        <v>900000000</v>
      </c>
      <c r="E576" s="7870">
        <v>7.0000000000000007E-2</v>
      </c>
      <c r="F576" s="7482">
        <f>D576*E576</f>
        <v>63000000.000000007</v>
      </c>
      <c r="G576" s="4260">
        <v>3000000</v>
      </c>
      <c r="H576" s="4260" t="s">
        <v>6125</v>
      </c>
      <c r="I576" s="4333" t="s">
        <v>2394</v>
      </c>
      <c r="J576" s="4260">
        <f>G576</f>
        <v>3000000</v>
      </c>
      <c r="K576" s="4260"/>
      <c r="L576" s="345" t="s">
        <v>4906</v>
      </c>
    </row>
    <row r="577" spans="1:12" ht="30" customHeight="1" x14ac:dyDescent="0.2">
      <c r="A577" s="7656"/>
      <c r="B577" s="7665"/>
      <c r="C577" s="7747"/>
      <c r="D577" s="7482"/>
      <c r="E577" s="7870"/>
      <c r="F577" s="7482"/>
      <c r="G577" s="7732" t="s">
        <v>6724</v>
      </c>
      <c r="H577" s="7733"/>
      <c r="I577" s="7733"/>
      <c r="J577" s="7734"/>
      <c r="K577" s="4260"/>
      <c r="L577" s="345"/>
    </row>
    <row r="578" spans="1:12" ht="30" customHeight="1" x14ac:dyDescent="0.2">
      <c r="A578" s="7656"/>
      <c r="B578" s="7665"/>
      <c r="C578" s="7747"/>
      <c r="D578" s="4595">
        <v>100000000</v>
      </c>
      <c r="E578" s="4612">
        <v>7.0000000000000007E-2</v>
      </c>
      <c r="F578" s="4595">
        <f>D578*E578</f>
        <v>7000000.0000000009</v>
      </c>
      <c r="G578" s="4260">
        <v>22300000</v>
      </c>
      <c r="H578" s="4260" t="s">
        <v>6723</v>
      </c>
      <c r="I578" s="4333" t="s">
        <v>2394</v>
      </c>
      <c r="J578" s="4260">
        <f>G578</f>
        <v>22300000</v>
      </c>
      <c r="K578" s="4260"/>
      <c r="L578" s="4365" t="s">
        <v>5897</v>
      </c>
    </row>
    <row r="579" spans="1:12" ht="30" customHeight="1" x14ac:dyDescent="0.2">
      <c r="A579" s="7656"/>
      <c r="B579" s="7665"/>
      <c r="C579" s="7747"/>
      <c r="D579" s="4595">
        <v>50000000</v>
      </c>
      <c r="E579" s="4612">
        <v>7.0000000000000007E-2</v>
      </c>
      <c r="F579" s="4595">
        <f>D579*E579</f>
        <v>3500000.0000000005</v>
      </c>
      <c r="G579" s="7732"/>
      <c r="H579" s="7733"/>
      <c r="I579" s="7733"/>
      <c r="J579" s="7734"/>
      <c r="K579" s="4260"/>
      <c r="L579" s="4614" t="s">
        <v>6519</v>
      </c>
    </row>
    <row r="580" spans="1:12" ht="30" customHeight="1" x14ac:dyDescent="0.2">
      <c r="A580" s="7656"/>
      <c r="B580" s="7665"/>
      <c r="C580" s="7747"/>
      <c r="D580" s="4869">
        <v>50000000</v>
      </c>
      <c r="E580" s="4888"/>
      <c r="F580" s="4869"/>
      <c r="G580" s="7732" t="s">
        <v>7637</v>
      </c>
      <c r="H580" s="7733"/>
      <c r="I580" s="7733"/>
      <c r="J580" s="7734"/>
      <c r="K580" s="4867"/>
      <c r="L580" s="7713" t="s">
        <v>7019</v>
      </c>
    </row>
    <row r="581" spans="1:12" ht="30" customHeight="1" x14ac:dyDescent="0.2">
      <c r="A581" s="7656"/>
      <c r="B581" s="7665"/>
      <c r="C581" s="7747"/>
      <c r="D581" s="4869">
        <v>100000000</v>
      </c>
      <c r="E581" s="4888"/>
      <c r="F581" s="4869"/>
      <c r="G581" s="7732" t="s">
        <v>7143</v>
      </c>
      <c r="H581" s="7733"/>
      <c r="I581" s="7733"/>
      <c r="J581" s="7734"/>
      <c r="K581" s="4867"/>
      <c r="L581" s="7714"/>
    </row>
    <row r="582" spans="1:12" ht="30" customHeight="1" x14ac:dyDescent="0.2">
      <c r="A582" s="7655"/>
      <c r="B582" s="7653"/>
      <c r="C582" s="7724"/>
      <c r="D582" s="4909">
        <f>SUM(D576:D581)</f>
        <v>1200000000</v>
      </c>
      <c r="E582" s="896"/>
      <c r="F582" s="4909"/>
      <c r="G582" s="4899"/>
      <c r="H582" s="4900"/>
      <c r="I582" s="4900"/>
      <c r="J582" s="4901"/>
      <c r="K582" s="4867"/>
      <c r="L582" s="4906"/>
    </row>
    <row r="583" spans="1:12" ht="30" customHeight="1" x14ac:dyDescent="0.2">
      <c r="A583" s="4341">
        <v>307</v>
      </c>
      <c r="B583" s="4338" t="s">
        <v>154</v>
      </c>
      <c r="C583" s="4337" t="s">
        <v>1306</v>
      </c>
      <c r="D583" s="4268">
        <v>300000000</v>
      </c>
      <c r="E583" s="4336">
        <v>0.05</v>
      </c>
      <c r="F583" s="4268">
        <f t="shared" si="52"/>
        <v>15000000</v>
      </c>
      <c r="G583" s="4266">
        <v>15000000</v>
      </c>
      <c r="H583" s="4266" t="s">
        <v>6577</v>
      </c>
      <c r="I583" s="4270" t="s">
        <v>2409</v>
      </c>
      <c r="J583" s="4266">
        <f>G583</f>
        <v>15000000</v>
      </c>
      <c r="K583" s="4266">
        <f>F583-J583</f>
        <v>0</v>
      </c>
      <c r="L583" s="4810" t="s">
        <v>6601</v>
      </c>
    </row>
    <row r="584" spans="1:12" ht="30" customHeight="1" x14ac:dyDescent="0.2">
      <c r="A584" s="7654">
        <v>308</v>
      </c>
      <c r="B584" s="7652" t="s">
        <v>155</v>
      </c>
      <c r="C584" s="7723" t="s">
        <v>1294</v>
      </c>
      <c r="D584" s="4260">
        <v>300000000</v>
      </c>
      <c r="E584" s="4336">
        <v>0.05</v>
      </c>
      <c r="F584" s="4260">
        <f t="shared" si="52"/>
        <v>15000000</v>
      </c>
      <c r="G584" s="8214" t="s">
        <v>2889</v>
      </c>
      <c r="H584" s="8215"/>
      <c r="I584" s="8215"/>
      <c r="J584" s="8216"/>
      <c r="K584" s="4260">
        <f>F584-J584</f>
        <v>15000000</v>
      </c>
      <c r="L584" s="345"/>
    </row>
    <row r="585" spans="1:12" ht="30" customHeight="1" x14ac:dyDescent="0.2">
      <c r="A585" s="7656"/>
      <c r="B585" s="7665"/>
      <c r="C585" s="7747"/>
      <c r="D585" s="4674">
        <v>15000000</v>
      </c>
      <c r="E585" s="4675"/>
      <c r="F585" s="4674"/>
      <c r="G585" s="8217"/>
      <c r="H585" s="8218"/>
      <c r="I585" s="8218"/>
      <c r="J585" s="8219"/>
      <c r="K585" s="4673"/>
      <c r="L585" s="4678"/>
    </row>
    <row r="586" spans="1:12" ht="30" customHeight="1" x14ac:dyDescent="0.2">
      <c r="A586" s="7656"/>
      <c r="B586" s="7665"/>
      <c r="C586" s="7747"/>
      <c r="D586" s="4674">
        <v>282000000</v>
      </c>
      <c r="E586" s="4675"/>
      <c r="F586" s="4674"/>
      <c r="G586" s="7732" t="s">
        <v>6866</v>
      </c>
      <c r="H586" s="7733"/>
      <c r="I586" s="7733"/>
      <c r="J586" s="7734"/>
      <c r="K586" s="4673"/>
      <c r="L586" s="4678"/>
    </row>
    <row r="587" spans="1:12" ht="30" customHeight="1" x14ac:dyDescent="0.2">
      <c r="A587" s="7656"/>
      <c r="B587" s="7665"/>
      <c r="C587" s="7747"/>
      <c r="D587" s="4674">
        <v>104000000</v>
      </c>
      <c r="E587" s="4675"/>
      <c r="F587" s="4674"/>
      <c r="G587" s="7732" t="s">
        <v>6867</v>
      </c>
      <c r="H587" s="7733"/>
      <c r="I587" s="7733"/>
      <c r="J587" s="7734"/>
      <c r="K587" s="4673"/>
      <c r="L587" s="4678"/>
    </row>
    <row r="588" spans="1:12" ht="30" customHeight="1" x14ac:dyDescent="0.2">
      <c r="A588" s="7656"/>
      <c r="B588" s="7665"/>
      <c r="C588" s="7747"/>
      <c r="D588" s="4674">
        <v>1000000</v>
      </c>
      <c r="E588" s="4675"/>
      <c r="F588" s="4674"/>
      <c r="G588" s="7732" t="s">
        <v>6868</v>
      </c>
      <c r="H588" s="7733"/>
      <c r="I588" s="7733"/>
      <c r="J588" s="7734"/>
      <c r="K588" s="4673"/>
      <c r="L588" s="735"/>
    </row>
    <row r="589" spans="1:12" ht="30" customHeight="1" x14ac:dyDescent="0.2">
      <c r="A589" s="7655"/>
      <c r="B589" s="7653"/>
      <c r="C589" s="7724"/>
      <c r="D589" s="4676">
        <f>SUM(D584:D588)</f>
        <v>702000000</v>
      </c>
      <c r="E589" s="4677">
        <v>0.06</v>
      </c>
      <c r="F589" s="4676">
        <f>D589*E589</f>
        <v>42120000</v>
      </c>
      <c r="G589" s="4673"/>
      <c r="H589" s="4673"/>
      <c r="I589" s="18"/>
      <c r="J589" s="4673"/>
      <c r="K589" s="4673"/>
      <c r="L589" s="735" t="s">
        <v>6531</v>
      </c>
    </row>
    <row r="590" spans="1:12" ht="30" customHeight="1" x14ac:dyDescent="0.2">
      <c r="A590" s="4271">
        <v>309</v>
      </c>
      <c r="B590" s="4278" t="s">
        <v>1874</v>
      </c>
      <c r="C590" s="4337" t="s">
        <v>372</v>
      </c>
      <c r="D590" s="4268">
        <v>200000000</v>
      </c>
      <c r="E590" s="4274">
        <v>0.05</v>
      </c>
      <c r="F590" s="4268">
        <f>D590*E590</f>
        <v>10000000</v>
      </c>
      <c r="G590" s="4260">
        <v>10000000</v>
      </c>
      <c r="H590" s="4260" t="s">
        <v>6368</v>
      </c>
      <c r="I590" s="18" t="s">
        <v>1873</v>
      </c>
      <c r="J590" s="4260">
        <f>G590</f>
        <v>10000000</v>
      </c>
      <c r="K590" s="4260">
        <f>F590-J590</f>
        <v>0</v>
      </c>
      <c r="L590" s="710"/>
    </row>
    <row r="591" spans="1:12" ht="30" customHeight="1" x14ac:dyDescent="0.2">
      <c r="A591" s="4271">
        <v>310</v>
      </c>
      <c r="B591" s="4338" t="s">
        <v>157</v>
      </c>
      <c r="C591" s="4300" t="s">
        <v>392</v>
      </c>
      <c r="D591" s="4268">
        <v>100000000</v>
      </c>
      <c r="E591" s="4274">
        <v>0.05</v>
      </c>
      <c r="F591" s="4268">
        <f t="shared" ref="F591:F610" si="59">D591*E591</f>
        <v>5000000</v>
      </c>
      <c r="G591" s="4268">
        <v>5000000</v>
      </c>
      <c r="H591" s="4268" t="s">
        <v>6220</v>
      </c>
      <c r="I591" s="4376" t="s">
        <v>4884</v>
      </c>
      <c r="J591" s="4268">
        <f>G591</f>
        <v>5000000</v>
      </c>
      <c r="K591" s="4268">
        <f t="shared" ref="K591:K600" si="60">F591-J591</f>
        <v>0</v>
      </c>
      <c r="L591" s="4365" t="s">
        <v>6199</v>
      </c>
    </row>
    <row r="592" spans="1:12" ht="30" customHeight="1" x14ac:dyDescent="0.2">
      <c r="A592" s="7654">
        <v>311</v>
      </c>
      <c r="B592" s="7652" t="s">
        <v>158</v>
      </c>
      <c r="C592" s="7723" t="s">
        <v>889</v>
      </c>
      <c r="D592" s="4268">
        <v>85000000</v>
      </c>
      <c r="E592" s="4336">
        <v>0.05</v>
      </c>
      <c r="F592" s="4268">
        <f t="shared" si="59"/>
        <v>4250000</v>
      </c>
      <c r="G592" s="7563">
        <v>9250000</v>
      </c>
      <c r="H592" s="7563" t="s">
        <v>6152</v>
      </c>
      <c r="I592" s="7762" t="s">
        <v>3970</v>
      </c>
      <c r="J592" s="7563">
        <f>G592</f>
        <v>9250000</v>
      </c>
      <c r="K592" s="7563">
        <f>(F592+F593)-J592</f>
        <v>0</v>
      </c>
      <c r="L592" s="4291"/>
    </row>
    <row r="593" spans="1:12" ht="30" customHeight="1" x14ac:dyDescent="0.2">
      <c r="A593" s="7655"/>
      <c r="B593" s="7653"/>
      <c r="C593" s="7724"/>
      <c r="D593" s="4268">
        <v>100000000</v>
      </c>
      <c r="E593" s="4336">
        <v>0.05</v>
      </c>
      <c r="F593" s="4268">
        <f t="shared" si="59"/>
        <v>5000000</v>
      </c>
      <c r="G593" s="7564"/>
      <c r="H593" s="7564"/>
      <c r="I593" s="7763"/>
      <c r="J593" s="7564"/>
      <c r="K593" s="7564"/>
      <c r="L593" s="4292"/>
    </row>
    <row r="594" spans="1:12" ht="30" customHeight="1" x14ac:dyDescent="0.2">
      <c r="A594" s="4271">
        <v>312</v>
      </c>
      <c r="B594" s="4338" t="s">
        <v>159</v>
      </c>
      <c r="C594" s="4300"/>
      <c r="D594" s="4281"/>
      <c r="E594" s="2519"/>
      <c r="F594" s="4281">
        <f t="shared" si="59"/>
        <v>0</v>
      </c>
      <c r="G594" s="4268"/>
      <c r="H594" s="4268"/>
      <c r="I594" s="4376" t="s">
        <v>5916</v>
      </c>
      <c r="J594" s="4268">
        <f>G594</f>
        <v>0</v>
      </c>
      <c r="K594" s="4281">
        <f t="shared" si="60"/>
        <v>0</v>
      </c>
      <c r="L594" s="4338"/>
    </row>
    <row r="595" spans="1:12" ht="30" customHeight="1" x14ac:dyDescent="0.2">
      <c r="A595" s="7885">
        <v>313</v>
      </c>
      <c r="B595" s="7652" t="s">
        <v>161</v>
      </c>
      <c r="C595" s="7723" t="s">
        <v>1652</v>
      </c>
      <c r="D595" s="4768">
        <v>152000000</v>
      </c>
      <c r="E595" s="4802">
        <v>0.05</v>
      </c>
      <c r="F595" s="4768">
        <f>D595*E595</f>
        <v>7600000</v>
      </c>
      <c r="G595" s="4260">
        <v>7600000</v>
      </c>
      <c r="H595" s="4260" t="s">
        <v>3807</v>
      </c>
      <c r="I595" s="4333" t="s">
        <v>3468</v>
      </c>
      <c r="J595" s="4260">
        <f>G595</f>
        <v>7600000</v>
      </c>
      <c r="K595" s="4260">
        <f t="shared" si="60"/>
        <v>0</v>
      </c>
      <c r="L595" s="4348"/>
    </row>
    <row r="596" spans="1:12" ht="30" customHeight="1" x14ac:dyDescent="0.2">
      <c r="A596" s="7886"/>
      <c r="B596" s="7653"/>
      <c r="C596" s="7724"/>
      <c r="D596" s="7470" t="s">
        <v>6573</v>
      </c>
      <c r="E596" s="7493"/>
      <c r="F596" s="7510"/>
      <c r="G596" s="4772">
        <v>5000000</v>
      </c>
      <c r="H596" s="4772" t="s">
        <v>3634</v>
      </c>
      <c r="I596" s="4777" t="s">
        <v>3560</v>
      </c>
      <c r="J596" s="4772">
        <f>G596</f>
        <v>5000000</v>
      </c>
      <c r="K596" s="4772"/>
      <c r="L596" s="4793"/>
    </row>
    <row r="597" spans="1:12" ht="30" customHeight="1" x14ac:dyDescent="0.2">
      <c r="A597" s="7654">
        <v>315</v>
      </c>
      <c r="B597" s="7652" t="s">
        <v>163</v>
      </c>
      <c r="C597" s="7723" t="s">
        <v>1176</v>
      </c>
      <c r="D597" s="4260">
        <v>400000000</v>
      </c>
      <c r="E597" s="4336">
        <v>6.3E-2</v>
      </c>
      <c r="F597" s="4260">
        <v>25000000</v>
      </c>
      <c r="G597" s="7563">
        <v>30000000</v>
      </c>
      <c r="H597" s="7563" t="s">
        <v>6354</v>
      </c>
      <c r="I597" s="7563">
        <v>30000000</v>
      </c>
      <c r="J597" s="7563">
        <f>G597</f>
        <v>30000000</v>
      </c>
      <c r="K597" s="7563">
        <f>(F597+F598)-J597</f>
        <v>0</v>
      </c>
      <c r="L597" s="4314"/>
    </row>
    <row r="598" spans="1:12" ht="30" customHeight="1" x14ac:dyDescent="0.2">
      <c r="A598" s="7655"/>
      <c r="B598" s="7653"/>
      <c r="C598" s="7724"/>
      <c r="D598" s="4268">
        <v>100000000</v>
      </c>
      <c r="E598" s="4274">
        <v>0.05</v>
      </c>
      <c r="F598" s="4268">
        <f>D598*E598</f>
        <v>5000000</v>
      </c>
      <c r="G598" s="7564"/>
      <c r="H598" s="7564"/>
      <c r="I598" s="7564"/>
      <c r="J598" s="7564"/>
      <c r="K598" s="7564"/>
      <c r="L598" s="4365" t="s">
        <v>5001</v>
      </c>
    </row>
    <row r="599" spans="1:12" ht="30" customHeight="1" x14ac:dyDescent="0.2">
      <c r="A599" s="4341">
        <v>316</v>
      </c>
      <c r="B599" s="4279" t="s">
        <v>164</v>
      </c>
      <c r="C599" s="4300"/>
      <c r="D599" s="4268">
        <v>35000000</v>
      </c>
      <c r="E599" s="4274">
        <v>0.04</v>
      </c>
      <c r="F599" s="4268">
        <f>D599*E599</f>
        <v>1400000</v>
      </c>
      <c r="G599" s="4268">
        <v>1400000</v>
      </c>
      <c r="H599" s="4268" t="s">
        <v>6354</v>
      </c>
      <c r="I599" s="4311" t="s">
        <v>288</v>
      </c>
      <c r="J599" s="4268">
        <f t="shared" ref="J599:J609" si="61">G599</f>
        <v>1400000</v>
      </c>
      <c r="K599" s="4268">
        <f t="shared" si="60"/>
        <v>0</v>
      </c>
      <c r="L599" s="4338"/>
    </row>
    <row r="600" spans="1:12" ht="30" customHeight="1" x14ac:dyDescent="0.2">
      <c r="A600" s="4341">
        <v>317</v>
      </c>
      <c r="B600" s="4338" t="s">
        <v>4529</v>
      </c>
      <c r="C600" s="4337" t="s">
        <v>359</v>
      </c>
      <c r="D600" s="4268">
        <v>300000000</v>
      </c>
      <c r="E600" s="4336">
        <v>0.05</v>
      </c>
      <c r="F600" s="4268">
        <f>D600*E600</f>
        <v>15000000</v>
      </c>
      <c r="G600" s="4643">
        <v>15000000</v>
      </c>
      <c r="H600" s="4643" t="s">
        <v>6395</v>
      </c>
      <c r="I600" s="4657" t="s">
        <v>2026</v>
      </c>
      <c r="J600" s="4643">
        <f>G600</f>
        <v>15000000</v>
      </c>
      <c r="K600" s="4268">
        <f t="shared" si="60"/>
        <v>0</v>
      </c>
      <c r="L600" s="4365"/>
    </row>
    <row r="601" spans="1:12" ht="30" customHeight="1" x14ac:dyDescent="0.2">
      <c r="A601" s="7654"/>
      <c r="B601" s="7652" t="s">
        <v>165</v>
      </c>
      <c r="C601" s="7723" t="s">
        <v>1287</v>
      </c>
      <c r="D601" s="4268">
        <v>210000000</v>
      </c>
      <c r="E601" s="4336">
        <v>0.06</v>
      </c>
      <c r="F601" s="4268">
        <f>D601*E601</f>
        <v>12600000</v>
      </c>
      <c r="G601" s="7563">
        <v>43000000</v>
      </c>
      <c r="H601" s="7561" t="s">
        <v>6440</v>
      </c>
      <c r="I601" s="7561" t="s">
        <v>2996</v>
      </c>
      <c r="J601" s="8180">
        <f>G601</f>
        <v>43000000</v>
      </c>
      <c r="K601" s="7563">
        <f>(F601+F602+F603)-J601-100000</f>
        <v>0</v>
      </c>
      <c r="L601" s="4365" t="s">
        <v>2709</v>
      </c>
    </row>
    <row r="602" spans="1:12" ht="30" customHeight="1" x14ac:dyDescent="0.2">
      <c r="A602" s="7656"/>
      <c r="B602" s="7665"/>
      <c r="C602" s="7747"/>
      <c r="D602" s="4268">
        <v>200000000</v>
      </c>
      <c r="E602" s="4336">
        <v>0.06</v>
      </c>
      <c r="F602" s="4268">
        <f>D602*E602</f>
        <v>12000000</v>
      </c>
      <c r="G602" s="7586"/>
      <c r="H602" s="7672"/>
      <c r="I602" s="7672"/>
      <c r="J602" s="7672"/>
      <c r="K602" s="7586"/>
      <c r="L602" s="4365" t="s">
        <v>5090</v>
      </c>
    </row>
    <row r="603" spans="1:12" ht="30" customHeight="1" x14ac:dyDescent="0.2">
      <c r="A603" s="7655"/>
      <c r="B603" s="7653"/>
      <c r="C603" s="7724"/>
      <c r="D603" s="7470" t="s">
        <v>5163</v>
      </c>
      <c r="E603" s="7510"/>
      <c r="F603" s="4268">
        <v>18500000</v>
      </c>
      <c r="G603" s="7564"/>
      <c r="H603" s="7562"/>
      <c r="I603" s="7562"/>
      <c r="J603" s="7562"/>
      <c r="K603" s="7564"/>
      <c r="L603" s="1661" t="s">
        <v>6394</v>
      </c>
    </row>
    <row r="604" spans="1:12" ht="30" customHeight="1" x14ac:dyDescent="0.2">
      <c r="A604" s="7654">
        <v>318</v>
      </c>
      <c r="B604" s="7652" t="s">
        <v>167</v>
      </c>
      <c r="C604" s="7723"/>
      <c r="D604" s="4268">
        <v>80000000</v>
      </c>
      <c r="E604" s="4336">
        <v>0.05</v>
      </c>
      <c r="F604" s="4268">
        <f t="shared" si="59"/>
        <v>4000000</v>
      </c>
      <c r="G604" s="7563">
        <v>12500000</v>
      </c>
      <c r="H604" s="7563" t="s">
        <v>3807</v>
      </c>
      <c r="I604" s="7772" t="s">
        <v>4452</v>
      </c>
      <c r="J604" s="7563">
        <f t="shared" si="61"/>
        <v>12500000</v>
      </c>
      <c r="K604" s="7563">
        <f>(F604+F605)-J604</f>
        <v>0</v>
      </c>
      <c r="L604" s="4338"/>
    </row>
    <row r="605" spans="1:12" ht="30" customHeight="1" x14ac:dyDescent="0.2">
      <c r="A605" s="7655"/>
      <c r="B605" s="7653"/>
      <c r="C605" s="7724"/>
      <c r="D605" s="4268">
        <v>170000000</v>
      </c>
      <c r="E605" s="4336">
        <v>0.05</v>
      </c>
      <c r="F605" s="4268">
        <f t="shared" si="59"/>
        <v>8500000</v>
      </c>
      <c r="G605" s="7564"/>
      <c r="H605" s="7564"/>
      <c r="I605" s="7773"/>
      <c r="J605" s="7564"/>
      <c r="K605" s="7564"/>
      <c r="L605" s="4365" t="s">
        <v>5207</v>
      </c>
    </row>
    <row r="606" spans="1:12" ht="30" customHeight="1" x14ac:dyDescent="0.2">
      <c r="A606" s="7654">
        <v>320</v>
      </c>
      <c r="B606" s="7652" t="s">
        <v>169</v>
      </c>
      <c r="C606" s="7723" t="s">
        <v>1300</v>
      </c>
      <c r="D606" s="4268">
        <v>135000000</v>
      </c>
      <c r="E606" s="4336">
        <v>0.06</v>
      </c>
      <c r="F606" s="4268">
        <v>8000000</v>
      </c>
      <c r="G606" s="7563">
        <v>9750000</v>
      </c>
      <c r="H606" s="7563" t="s">
        <v>4491</v>
      </c>
      <c r="I606" s="7561" t="s">
        <v>2078</v>
      </c>
      <c r="J606" s="7563">
        <f t="shared" si="61"/>
        <v>9750000</v>
      </c>
      <c r="K606" s="7563">
        <f>(F606+F607)-J606</f>
        <v>0</v>
      </c>
      <c r="L606" s="4365"/>
    </row>
    <row r="607" spans="1:12" ht="30" customHeight="1" x14ac:dyDescent="0.2">
      <c r="A607" s="7655"/>
      <c r="B607" s="7653"/>
      <c r="C607" s="7724"/>
      <c r="D607" s="4268">
        <v>35000000</v>
      </c>
      <c r="E607" s="4336">
        <v>0.05</v>
      </c>
      <c r="F607" s="4268">
        <f>D607*E607</f>
        <v>1750000</v>
      </c>
      <c r="G607" s="7564"/>
      <c r="H607" s="7564"/>
      <c r="I607" s="7562"/>
      <c r="J607" s="7564"/>
      <c r="K607" s="7564"/>
      <c r="L607" s="1024" t="s">
        <v>3458</v>
      </c>
    </row>
    <row r="608" spans="1:12" ht="30" customHeight="1" x14ac:dyDescent="0.2">
      <c r="A608" s="4271">
        <v>321</v>
      </c>
      <c r="B608" s="19" t="s">
        <v>171</v>
      </c>
      <c r="C608" s="4337" t="s">
        <v>3007</v>
      </c>
      <c r="D608" s="4260">
        <v>5000000</v>
      </c>
      <c r="E608" s="4336">
        <v>0.04</v>
      </c>
      <c r="F608" s="4260">
        <f t="shared" si="59"/>
        <v>200000</v>
      </c>
      <c r="G608" s="4260">
        <v>200000</v>
      </c>
      <c r="H608" s="4260" t="s">
        <v>6577</v>
      </c>
      <c r="I608" s="4333" t="s">
        <v>1097</v>
      </c>
      <c r="J608" s="4260">
        <f t="shared" si="61"/>
        <v>200000</v>
      </c>
      <c r="K608" s="4260">
        <f t="shared" ref="K608:K613" si="62">F608-J608</f>
        <v>0</v>
      </c>
      <c r="L608" s="4365"/>
    </row>
    <row r="609" spans="1:12" ht="30" customHeight="1" x14ac:dyDescent="0.2">
      <c r="A609" s="4271">
        <v>322</v>
      </c>
      <c r="B609" s="19" t="s">
        <v>1378</v>
      </c>
      <c r="C609" s="4337" t="s">
        <v>1081</v>
      </c>
      <c r="D609" s="4260">
        <v>10000000</v>
      </c>
      <c r="E609" s="4336">
        <v>0.05</v>
      </c>
      <c r="F609" s="4260">
        <f t="shared" si="59"/>
        <v>500000</v>
      </c>
      <c r="G609" s="4260">
        <v>500000</v>
      </c>
      <c r="H609" s="4260" t="s">
        <v>6152</v>
      </c>
      <c r="I609" s="4332" t="s">
        <v>1376</v>
      </c>
      <c r="J609" s="4260">
        <f t="shared" si="61"/>
        <v>500000</v>
      </c>
      <c r="K609" s="4260">
        <f t="shared" si="62"/>
        <v>0</v>
      </c>
      <c r="L609" s="4365"/>
    </row>
    <row r="610" spans="1:12" ht="30" customHeight="1" x14ac:dyDescent="0.2">
      <c r="A610" s="4341">
        <v>323</v>
      </c>
      <c r="B610" s="4279" t="s">
        <v>172</v>
      </c>
      <c r="C610" s="4300"/>
      <c r="D610" s="4268">
        <v>60000000</v>
      </c>
      <c r="E610" s="4274">
        <v>4.4999999999999998E-2</v>
      </c>
      <c r="F610" s="4268">
        <f t="shared" si="59"/>
        <v>2700000</v>
      </c>
      <c r="G610" s="4268"/>
      <c r="H610" s="4268"/>
      <c r="I610" s="4302"/>
      <c r="J610" s="4268">
        <f t="shared" ref="J610:J615" si="63">G610</f>
        <v>0</v>
      </c>
      <c r="K610" s="4268">
        <f t="shared" si="62"/>
        <v>2700000</v>
      </c>
      <c r="L610" s="4338"/>
    </row>
    <row r="611" spans="1:12" ht="30" customHeight="1" x14ac:dyDescent="0.2">
      <c r="A611" s="4341">
        <v>324</v>
      </c>
      <c r="B611" s="4338" t="s">
        <v>173</v>
      </c>
      <c r="C611" s="4300" t="s">
        <v>889</v>
      </c>
      <c r="D611" s="4268">
        <v>20000000</v>
      </c>
      <c r="E611" s="4336">
        <v>0.05</v>
      </c>
      <c r="F611" s="4268">
        <f>D611*E611</f>
        <v>1000000</v>
      </c>
      <c r="G611" s="4260">
        <v>1000000</v>
      </c>
      <c r="H611" s="4260" t="s">
        <v>6220</v>
      </c>
      <c r="I611" s="4333" t="s">
        <v>1740</v>
      </c>
      <c r="J611" s="4260">
        <f t="shared" si="63"/>
        <v>1000000</v>
      </c>
      <c r="K611" s="4260">
        <f t="shared" si="62"/>
        <v>0</v>
      </c>
      <c r="L611" s="4331"/>
    </row>
    <row r="612" spans="1:12" ht="30" customHeight="1" x14ac:dyDescent="0.2">
      <c r="A612" s="4341">
        <v>325</v>
      </c>
      <c r="B612" s="4338" t="s">
        <v>270</v>
      </c>
      <c r="C612" s="4337" t="s">
        <v>262</v>
      </c>
      <c r="D612" s="4260">
        <v>1000000000</v>
      </c>
      <c r="E612" s="4336">
        <v>6.0999999999999999E-2</v>
      </c>
      <c r="F612" s="4268">
        <v>61400000</v>
      </c>
      <c r="G612" s="4260">
        <v>61400000</v>
      </c>
      <c r="H612" s="4260" t="s">
        <v>6368</v>
      </c>
      <c r="I612" s="4333" t="s">
        <v>2927</v>
      </c>
      <c r="J612" s="4260">
        <f t="shared" si="63"/>
        <v>61400000</v>
      </c>
      <c r="K612" s="4260">
        <f t="shared" si="62"/>
        <v>0</v>
      </c>
      <c r="L612" s="4299"/>
    </row>
    <row r="613" spans="1:12" ht="30" customHeight="1" x14ac:dyDescent="0.2">
      <c r="A613" s="4271">
        <v>326</v>
      </c>
      <c r="B613" s="19" t="s">
        <v>176</v>
      </c>
      <c r="C613" s="4337" t="s">
        <v>1300</v>
      </c>
      <c r="D613" s="4260">
        <v>500000000</v>
      </c>
      <c r="E613" s="4336">
        <v>0.05</v>
      </c>
      <c r="F613" s="4260">
        <f>D613*E613</f>
        <v>25000000</v>
      </c>
      <c r="G613" s="4260">
        <v>25000000</v>
      </c>
      <c r="H613" s="4260" t="s">
        <v>4491</v>
      </c>
      <c r="I613" s="4333" t="s">
        <v>5099</v>
      </c>
      <c r="J613" s="4260">
        <f t="shared" si="63"/>
        <v>25000000</v>
      </c>
      <c r="K613" s="4260">
        <f t="shared" si="62"/>
        <v>0</v>
      </c>
      <c r="L613" s="4303"/>
    </row>
    <row r="614" spans="1:12" ht="30" customHeight="1" x14ac:dyDescent="0.2">
      <c r="A614" s="4341">
        <v>327</v>
      </c>
      <c r="B614" s="4279" t="s">
        <v>1232</v>
      </c>
      <c r="C614" s="4300"/>
      <c r="D614" s="4268">
        <v>60000000</v>
      </c>
      <c r="E614" s="4274">
        <v>0.05</v>
      </c>
      <c r="F614" s="4268">
        <f t="shared" ref="F614:F623" si="64">D614*E614</f>
        <v>3000000</v>
      </c>
      <c r="G614" s="4268"/>
      <c r="H614" s="4268"/>
      <c r="I614" s="4376" t="s">
        <v>1231</v>
      </c>
      <c r="J614" s="4268">
        <f t="shared" si="63"/>
        <v>0</v>
      </c>
      <c r="K614" s="4268">
        <f t="shared" ref="K614:K620" si="65">F614-J614</f>
        <v>3000000</v>
      </c>
      <c r="L614" s="4365"/>
    </row>
    <row r="615" spans="1:12" ht="30" customHeight="1" x14ac:dyDescent="0.2">
      <c r="A615" s="7654">
        <v>328</v>
      </c>
      <c r="B615" s="7652" t="s">
        <v>2675</v>
      </c>
      <c r="C615" s="7723" t="s">
        <v>942</v>
      </c>
      <c r="D615" s="4260">
        <v>695000000</v>
      </c>
      <c r="E615" s="4336">
        <v>0.06</v>
      </c>
      <c r="F615" s="4260">
        <f>D615*E615</f>
        <v>41700000</v>
      </c>
      <c r="G615" s="4400">
        <v>49000000</v>
      </c>
      <c r="H615" s="4400" t="s">
        <v>6125</v>
      </c>
      <c r="I615" s="4422" t="s">
        <v>4815</v>
      </c>
      <c r="J615" s="4400">
        <f t="shared" si="63"/>
        <v>49000000</v>
      </c>
      <c r="K615" s="4268"/>
      <c r="L615" s="4412"/>
    </row>
    <row r="616" spans="1:12" ht="30" customHeight="1" x14ac:dyDescent="0.2">
      <c r="A616" s="7656"/>
      <c r="B616" s="7665"/>
      <c r="C616" s="7747"/>
      <c r="D616" s="4260">
        <v>200000000</v>
      </c>
      <c r="E616" s="4336">
        <v>0.06</v>
      </c>
      <c r="F616" s="4260">
        <f>D616*E616</f>
        <v>12000000</v>
      </c>
      <c r="G616" s="7991" t="s">
        <v>5472</v>
      </c>
      <c r="H616" s="7992"/>
      <c r="I616" s="7992"/>
      <c r="J616" s="7993"/>
      <c r="K616" s="4268"/>
      <c r="L616" s="4417" t="s">
        <v>4906</v>
      </c>
    </row>
    <row r="617" spans="1:12" ht="30" customHeight="1" x14ac:dyDescent="0.2">
      <c r="A617" s="7656"/>
      <c r="B617" s="7665"/>
      <c r="C617" s="7747"/>
      <c r="D617" s="4400">
        <v>5000000</v>
      </c>
      <c r="E617" s="4424">
        <v>0.06</v>
      </c>
      <c r="F617" s="4400">
        <f>D617*E617</f>
        <v>300000</v>
      </c>
      <c r="G617" s="7997"/>
      <c r="H617" s="7998"/>
      <c r="I617" s="7998"/>
      <c r="J617" s="7999"/>
      <c r="K617" s="4404"/>
      <c r="L617" s="4417"/>
    </row>
    <row r="618" spans="1:12" ht="30" customHeight="1" x14ac:dyDescent="0.2">
      <c r="A618" s="7655"/>
      <c r="B618" s="7653"/>
      <c r="C618" s="7724"/>
      <c r="D618" s="4922">
        <v>900000000</v>
      </c>
      <c r="E618" s="4930">
        <v>0.06</v>
      </c>
      <c r="F618" s="4922">
        <f>D618*E618</f>
        <v>54000000</v>
      </c>
      <c r="G618" s="4922">
        <v>14000000</v>
      </c>
      <c r="H618" s="4922" t="s">
        <v>6762</v>
      </c>
      <c r="I618" s="4922" t="s">
        <v>4815</v>
      </c>
      <c r="J618" s="4922">
        <f>G618</f>
        <v>14000000</v>
      </c>
      <c r="K618" s="4925">
        <f>F618-J618</f>
        <v>40000000</v>
      </c>
      <c r="L618" s="4936"/>
    </row>
    <row r="619" spans="1:12" ht="30" customHeight="1" x14ac:dyDescent="0.2">
      <c r="A619" s="4271">
        <v>329</v>
      </c>
      <c r="B619" s="4334" t="s">
        <v>181</v>
      </c>
      <c r="C619" s="378"/>
      <c r="D619" s="4269"/>
      <c r="E619" s="2519"/>
      <c r="F619" s="4269">
        <f t="shared" si="64"/>
        <v>0</v>
      </c>
      <c r="G619" s="4260"/>
      <c r="H619" s="4260"/>
      <c r="I619" s="4333"/>
      <c r="J619" s="4260"/>
      <c r="K619" s="4269">
        <f t="shared" si="65"/>
        <v>0</v>
      </c>
      <c r="L619" s="4314"/>
    </row>
    <row r="620" spans="1:12" ht="30" customHeight="1" x14ac:dyDescent="0.2">
      <c r="A620" s="4297">
        <v>331</v>
      </c>
      <c r="B620" s="4338" t="s">
        <v>339</v>
      </c>
      <c r="C620" s="4337" t="s">
        <v>371</v>
      </c>
      <c r="D620" s="4260">
        <v>290000000</v>
      </c>
      <c r="E620" s="4336">
        <v>0.06</v>
      </c>
      <c r="F620" s="4260">
        <f t="shared" si="64"/>
        <v>17400000</v>
      </c>
      <c r="G620" s="4260">
        <v>17400000</v>
      </c>
      <c r="H620" s="4260" t="s">
        <v>6395</v>
      </c>
      <c r="I620" s="4260" t="s">
        <v>1840</v>
      </c>
      <c r="J620" s="4260">
        <f>G620</f>
        <v>17400000</v>
      </c>
      <c r="K620" s="4260">
        <f t="shared" si="65"/>
        <v>0</v>
      </c>
      <c r="L620" s="4365"/>
    </row>
    <row r="621" spans="1:12" ht="30" customHeight="1" x14ac:dyDescent="0.2">
      <c r="A621" s="7654">
        <v>333</v>
      </c>
      <c r="B621" s="7652" t="s">
        <v>888</v>
      </c>
      <c r="C621" s="7723" t="s">
        <v>889</v>
      </c>
      <c r="D621" s="4268">
        <v>320000000</v>
      </c>
      <c r="E621" s="4336">
        <v>0.05</v>
      </c>
      <c r="F621" s="4268">
        <f t="shared" si="64"/>
        <v>16000000</v>
      </c>
      <c r="G621" s="7563">
        <v>21000000</v>
      </c>
      <c r="H621" s="7563" t="s">
        <v>6152</v>
      </c>
      <c r="I621" s="7561" t="s">
        <v>1323</v>
      </c>
      <c r="J621" s="7482">
        <f>G621</f>
        <v>21000000</v>
      </c>
      <c r="K621" s="7482">
        <f>(F621+F622)-J621</f>
        <v>0</v>
      </c>
      <c r="L621" s="7818"/>
    </row>
    <row r="622" spans="1:12" ht="30" customHeight="1" x14ac:dyDescent="0.2">
      <c r="A622" s="7655"/>
      <c r="B622" s="7653"/>
      <c r="C622" s="7724"/>
      <c r="D622" s="4268">
        <v>100000000</v>
      </c>
      <c r="E622" s="4336">
        <v>0.05</v>
      </c>
      <c r="F622" s="4268">
        <f t="shared" si="64"/>
        <v>5000000</v>
      </c>
      <c r="G622" s="7564"/>
      <c r="H622" s="7564"/>
      <c r="I622" s="7562"/>
      <c r="J622" s="7482"/>
      <c r="K622" s="7482"/>
      <c r="L622" s="7819"/>
    </row>
    <row r="623" spans="1:12" ht="30" customHeight="1" x14ac:dyDescent="0.2">
      <c r="A623" s="4271">
        <v>335</v>
      </c>
      <c r="B623" s="19" t="s">
        <v>1276</v>
      </c>
      <c r="C623" s="4337" t="s">
        <v>889</v>
      </c>
      <c r="D623" s="4268">
        <v>15000000</v>
      </c>
      <c r="E623" s="4336">
        <v>0.05</v>
      </c>
      <c r="F623" s="4268">
        <f t="shared" si="64"/>
        <v>750000</v>
      </c>
      <c r="G623" s="4268">
        <v>750000</v>
      </c>
      <c r="H623" s="4268" t="s">
        <v>6192</v>
      </c>
      <c r="I623" s="4376" t="s">
        <v>6195</v>
      </c>
      <c r="J623" s="4268">
        <f>G623</f>
        <v>750000</v>
      </c>
      <c r="K623" s="4268">
        <f>F623-J623</f>
        <v>0</v>
      </c>
      <c r="L623" s="4365"/>
    </row>
    <row r="624" spans="1:12" ht="30" customHeight="1" x14ac:dyDescent="0.2">
      <c r="A624" s="4341">
        <v>336</v>
      </c>
      <c r="B624" s="4279" t="s">
        <v>2576</v>
      </c>
      <c r="C624" s="4300" t="s">
        <v>889</v>
      </c>
      <c r="D624" s="4268">
        <v>210000000</v>
      </c>
      <c r="E624" s="4336">
        <v>0.05</v>
      </c>
      <c r="F624" s="4268">
        <f>D624*E624</f>
        <v>10500000</v>
      </c>
      <c r="G624" s="4268">
        <v>10500000</v>
      </c>
      <c r="H624" s="4268" t="s">
        <v>6223</v>
      </c>
      <c r="I624" s="4376" t="s">
        <v>3408</v>
      </c>
      <c r="J624" s="4268">
        <f>G624</f>
        <v>10500000</v>
      </c>
      <c r="K624" s="4268">
        <f>F624-J624</f>
        <v>0</v>
      </c>
      <c r="L624" s="4338"/>
    </row>
    <row r="625" spans="1:12" ht="30" customHeight="1" x14ac:dyDescent="0.2">
      <c r="A625" s="4599"/>
      <c r="B625" s="4601"/>
      <c r="C625" s="4603"/>
      <c r="D625" s="4597">
        <v>10000000</v>
      </c>
      <c r="E625" s="4612"/>
      <c r="F625" s="4597"/>
      <c r="G625" s="7732" t="s">
        <v>6380</v>
      </c>
      <c r="H625" s="7733"/>
      <c r="I625" s="7733"/>
      <c r="J625" s="7734"/>
      <c r="K625" s="4597"/>
      <c r="L625" s="4600"/>
    </row>
    <row r="626" spans="1:12" ht="30" customHeight="1" x14ac:dyDescent="0.2">
      <c r="A626" s="4599"/>
      <c r="B626" s="4601"/>
      <c r="C626" s="4603"/>
      <c r="D626" s="4597">
        <v>10000000</v>
      </c>
      <c r="E626" s="4612"/>
      <c r="F626" s="4597"/>
      <c r="G626" s="7732" t="s">
        <v>6381</v>
      </c>
      <c r="H626" s="7733"/>
      <c r="I626" s="7733"/>
      <c r="J626" s="7734"/>
      <c r="K626" s="4597"/>
      <c r="L626" s="4600"/>
    </row>
    <row r="627" spans="1:12" ht="30" customHeight="1" x14ac:dyDescent="0.2">
      <c r="A627" s="4599"/>
      <c r="B627" s="4601"/>
      <c r="C627" s="4603"/>
      <c r="D627" s="4597"/>
      <c r="E627" s="4612"/>
      <c r="F627" s="4597"/>
      <c r="G627" s="4597"/>
      <c r="H627" s="4597"/>
      <c r="I627" s="4615"/>
      <c r="J627" s="4597"/>
      <c r="K627" s="4597"/>
      <c r="L627" s="4600"/>
    </row>
    <row r="628" spans="1:12" ht="30" customHeight="1" x14ac:dyDescent="0.2">
      <c r="A628" s="7654">
        <v>337</v>
      </c>
      <c r="B628" s="7652" t="s">
        <v>1304</v>
      </c>
      <c r="C628" s="7723" t="s">
        <v>889</v>
      </c>
      <c r="D628" s="4268">
        <v>380000000</v>
      </c>
      <c r="E628" s="4336">
        <v>7.0000000000000007E-2</v>
      </c>
      <c r="F628" s="4268">
        <f>D628*E628</f>
        <v>26600000.000000004</v>
      </c>
      <c r="G628" s="4440">
        <v>26600000</v>
      </c>
      <c r="H628" s="4440" t="s">
        <v>6152</v>
      </c>
      <c r="I628" s="4462" t="s">
        <v>4382</v>
      </c>
      <c r="J628" s="4440">
        <f>G628</f>
        <v>26600000</v>
      </c>
      <c r="K628" s="4443">
        <f>F628-J628</f>
        <v>0</v>
      </c>
      <c r="L628" s="4318" t="s">
        <v>5337</v>
      </c>
    </row>
    <row r="629" spans="1:12" ht="30" customHeight="1" x14ac:dyDescent="0.2">
      <c r="A629" s="7656"/>
      <c r="B629" s="7665"/>
      <c r="C629" s="7747"/>
      <c r="D629" s="7470" t="s">
        <v>1236</v>
      </c>
      <c r="E629" s="7493"/>
      <c r="F629" s="7510"/>
      <c r="G629" s="4478">
        <v>25000000</v>
      </c>
      <c r="H629" s="4478" t="s">
        <v>6258</v>
      </c>
      <c r="I629" s="4504" t="s">
        <v>4382</v>
      </c>
      <c r="J629" s="4478">
        <f>G629</f>
        <v>25000000</v>
      </c>
      <c r="K629" s="4495"/>
      <c r="L629" s="4497"/>
    </row>
    <row r="630" spans="1:12" ht="30" customHeight="1" x14ac:dyDescent="0.2">
      <c r="A630" s="7655"/>
      <c r="B630" s="7653"/>
      <c r="C630" s="7724"/>
      <c r="D630" s="4909">
        <v>355000000</v>
      </c>
      <c r="E630" s="896">
        <v>7.0000000000000007E-2</v>
      </c>
      <c r="F630" s="4909">
        <f>D630*E630</f>
        <v>24850000.000000004</v>
      </c>
      <c r="G630" s="4866"/>
      <c r="H630" s="4866"/>
      <c r="I630" s="4890"/>
      <c r="J630" s="4866"/>
      <c r="K630" s="4866"/>
      <c r="L630" s="4892" t="s">
        <v>6683</v>
      </c>
    </row>
    <row r="631" spans="1:12" ht="30" customHeight="1" x14ac:dyDescent="0.2">
      <c r="A631" s="7654"/>
      <c r="B631" s="7652" t="s">
        <v>1677</v>
      </c>
      <c r="C631" s="7723" t="s">
        <v>889</v>
      </c>
      <c r="D631" s="3251">
        <v>235500000</v>
      </c>
      <c r="E631" s="4336">
        <v>7.0000000000000007E-2</v>
      </c>
      <c r="F631" s="4268">
        <f t="shared" ref="F631:F667" si="66">D631*E631</f>
        <v>16485000.000000002</v>
      </c>
      <c r="G631" s="4259"/>
      <c r="H631" s="4261"/>
      <c r="I631" s="4261"/>
      <c r="J631" s="4261"/>
      <c r="K631" s="1604"/>
      <c r="L631" s="4318" t="s">
        <v>5300</v>
      </c>
    </row>
    <row r="632" spans="1:12" ht="30" customHeight="1" x14ac:dyDescent="0.2">
      <c r="A632" s="7656"/>
      <c r="B632" s="7665"/>
      <c r="C632" s="7747"/>
      <c r="D632" s="3247">
        <v>300000000</v>
      </c>
      <c r="E632" s="3249">
        <v>7.0000000000000007E-2</v>
      </c>
      <c r="F632" s="3247">
        <f t="shared" si="66"/>
        <v>21000000.000000004</v>
      </c>
      <c r="G632" s="7732" t="s">
        <v>5290</v>
      </c>
      <c r="H632" s="7733"/>
      <c r="I632" s="7733"/>
      <c r="J632" s="7733"/>
      <c r="K632" s="7734"/>
      <c r="L632" s="4318"/>
    </row>
    <row r="633" spans="1:12" ht="30" customHeight="1" x14ac:dyDescent="0.2">
      <c r="A633" s="7656"/>
      <c r="B633" s="7665"/>
      <c r="C633" s="7747"/>
      <c r="D633" s="3247">
        <v>30000000</v>
      </c>
      <c r="E633" s="3249">
        <v>7.0000000000000007E-2</v>
      </c>
      <c r="F633" s="3247">
        <f t="shared" si="66"/>
        <v>2100000</v>
      </c>
      <c r="G633" s="7732" t="s">
        <v>5299</v>
      </c>
      <c r="H633" s="7733"/>
      <c r="I633" s="7733"/>
      <c r="J633" s="7733"/>
      <c r="K633" s="7734"/>
      <c r="L633" s="4318"/>
    </row>
    <row r="634" spans="1:12" ht="30" customHeight="1" x14ac:dyDescent="0.2">
      <c r="A634" s="7656"/>
      <c r="B634" s="7665"/>
      <c r="C634" s="7747"/>
      <c r="D634" s="3248">
        <v>20000000</v>
      </c>
      <c r="E634" s="3250">
        <v>7.0000000000000007E-2</v>
      </c>
      <c r="F634" s="3248">
        <f>D634*E634</f>
        <v>1400000.0000000002</v>
      </c>
      <c r="G634" s="7732" t="s">
        <v>5296</v>
      </c>
      <c r="H634" s="7733"/>
      <c r="I634" s="7733"/>
      <c r="J634" s="7733"/>
      <c r="K634" s="7734"/>
      <c r="L634" s="4318"/>
    </row>
    <row r="635" spans="1:12" ht="30" customHeight="1" x14ac:dyDescent="0.2">
      <c r="A635" s="7656"/>
      <c r="B635" s="7665"/>
      <c r="C635" s="7747"/>
      <c r="D635" s="3248">
        <v>12000000</v>
      </c>
      <c r="E635" s="3250">
        <v>7.0000000000000007E-2</v>
      </c>
      <c r="F635" s="3248">
        <f>D635*E635</f>
        <v>840000.00000000012</v>
      </c>
      <c r="G635" s="7732" t="s">
        <v>5291</v>
      </c>
      <c r="H635" s="7733"/>
      <c r="I635" s="7733"/>
      <c r="J635" s="7733"/>
      <c r="K635" s="7734"/>
      <c r="L635" s="4318"/>
    </row>
    <row r="636" spans="1:12" ht="30" customHeight="1" x14ac:dyDescent="0.2">
      <c r="A636" s="7656"/>
      <c r="B636" s="7665"/>
      <c r="C636" s="7747"/>
      <c r="D636" s="4265">
        <f>SUM(D632:D635)</f>
        <v>362000000</v>
      </c>
      <c r="E636" s="4295">
        <v>7.0000000000000007E-2</v>
      </c>
      <c r="F636" s="4265">
        <f>D636*E636</f>
        <v>25340000.000000004</v>
      </c>
      <c r="G636" s="7732" t="s">
        <v>5544</v>
      </c>
      <c r="H636" s="7733"/>
      <c r="I636" s="7733"/>
      <c r="J636" s="7733"/>
      <c r="K636" s="7734"/>
      <c r="L636" s="4318"/>
    </row>
    <row r="637" spans="1:12" ht="30" customHeight="1" x14ac:dyDescent="0.2">
      <c r="A637" s="7656"/>
      <c r="B637" s="7665"/>
      <c r="C637" s="7747"/>
      <c r="D637" s="8015">
        <f>D631+D636</f>
        <v>597500000</v>
      </c>
      <c r="E637" s="8016"/>
      <c r="F637" s="3248">
        <f>F631+F636</f>
        <v>41825000.000000007</v>
      </c>
      <c r="G637" s="4259"/>
      <c r="H637" s="4261"/>
      <c r="I637" s="4261"/>
      <c r="J637" s="4261"/>
      <c r="K637" s="1604"/>
      <c r="L637" s="4318"/>
    </row>
    <row r="638" spans="1:12" ht="30" customHeight="1" x14ac:dyDescent="0.2">
      <c r="A638" s="7656"/>
      <c r="B638" s="7665"/>
      <c r="C638" s="7747"/>
      <c r="D638" s="4371">
        <v>45000000</v>
      </c>
      <c r="E638" s="4328">
        <v>7.0000000000000007E-2</v>
      </c>
      <c r="F638" s="4371">
        <f>D638*E638</f>
        <v>3150000.0000000005</v>
      </c>
      <c r="G638" s="7732" t="s">
        <v>5292</v>
      </c>
      <c r="H638" s="7733"/>
      <c r="I638" s="7733"/>
      <c r="J638" s="7733"/>
      <c r="K638" s="7734"/>
      <c r="L638" s="4318"/>
    </row>
    <row r="639" spans="1:12" ht="30" customHeight="1" x14ac:dyDescent="0.2">
      <c r="A639" s="7656"/>
      <c r="B639" s="7665"/>
      <c r="C639" s="7747"/>
      <c r="D639" s="4371">
        <v>100000000</v>
      </c>
      <c r="E639" s="4328">
        <v>7.0000000000000007E-2</v>
      </c>
      <c r="F639" s="4371">
        <f>D639*E639</f>
        <v>7000000.0000000009</v>
      </c>
      <c r="G639" s="7732" t="s">
        <v>5293</v>
      </c>
      <c r="H639" s="7733"/>
      <c r="I639" s="7733"/>
      <c r="J639" s="7733"/>
      <c r="K639" s="7734"/>
      <c r="L639" s="4318"/>
    </row>
    <row r="640" spans="1:12" ht="30" customHeight="1" x14ac:dyDescent="0.2">
      <c r="A640" s="7656"/>
      <c r="B640" s="7665"/>
      <c r="C640" s="7747"/>
      <c r="D640" s="4371">
        <v>80000000</v>
      </c>
      <c r="E640" s="4328">
        <v>7.0000000000000007E-2</v>
      </c>
      <c r="F640" s="4371">
        <f t="shared" ref="F640:F641" si="67">D640*E640</f>
        <v>5600000.0000000009</v>
      </c>
      <c r="G640" s="7732" t="s">
        <v>5294</v>
      </c>
      <c r="H640" s="7733"/>
      <c r="I640" s="7733"/>
      <c r="J640" s="7733"/>
      <c r="K640" s="7734"/>
      <c r="L640" s="4318"/>
    </row>
    <row r="641" spans="1:12" ht="30" customHeight="1" x14ac:dyDescent="0.2">
      <c r="A641" s="7656"/>
      <c r="B641" s="7665"/>
      <c r="C641" s="7747"/>
      <c r="D641" s="4371">
        <v>55000000</v>
      </c>
      <c r="E641" s="4328">
        <v>7.0000000000000007E-2</v>
      </c>
      <c r="F641" s="4371">
        <f t="shared" si="67"/>
        <v>3850000.0000000005</v>
      </c>
      <c r="G641" s="7732" t="s">
        <v>5295</v>
      </c>
      <c r="H641" s="7733"/>
      <c r="I641" s="7733"/>
      <c r="J641" s="7733"/>
      <c r="K641" s="7734"/>
      <c r="L641" s="4318"/>
    </row>
    <row r="642" spans="1:12" ht="30" customHeight="1" x14ac:dyDescent="0.2">
      <c r="A642" s="7656"/>
      <c r="B642" s="7665"/>
      <c r="C642" s="7747"/>
      <c r="D642" s="7858">
        <f>D637+D638+D639+D640+D641</f>
        <v>877500000</v>
      </c>
      <c r="E642" s="7860"/>
      <c r="F642" s="4371">
        <f>F637+F638+F639+F640+F641</f>
        <v>61425000.000000007</v>
      </c>
      <c r="G642" s="7806" t="s">
        <v>3673</v>
      </c>
      <c r="H642" s="7807"/>
      <c r="I642" s="7807"/>
      <c r="J642" s="7807"/>
      <c r="K642" s="7808"/>
      <c r="L642" s="4318"/>
    </row>
    <row r="643" spans="1:12" ht="30" customHeight="1" x14ac:dyDescent="0.2">
      <c r="A643" s="7656"/>
      <c r="B643" s="7665"/>
      <c r="C643" s="7747"/>
      <c r="D643" s="4379">
        <v>150000000</v>
      </c>
      <c r="E643" s="4366">
        <v>7.0000000000000007E-2</v>
      </c>
      <c r="F643" s="4379">
        <f>D643*E643</f>
        <v>10500000.000000002</v>
      </c>
      <c r="G643" s="7732" t="s">
        <v>5298</v>
      </c>
      <c r="H643" s="7733"/>
      <c r="I643" s="7733"/>
      <c r="J643" s="7733"/>
      <c r="K643" s="7734"/>
      <c r="L643" s="4318"/>
    </row>
    <row r="644" spans="1:12" ht="30" customHeight="1" x14ac:dyDescent="0.2">
      <c r="A644" s="7656"/>
      <c r="B644" s="7665"/>
      <c r="C644" s="7747"/>
      <c r="D644" s="4379">
        <v>100000000</v>
      </c>
      <c r="E644" s="4366">
        <v>7.0000000000000007E-2</v>
      </c>
      <c r="F644" s="4379">
        <f>D644*E644</f>
        <v>7000000.0000000009</v>
      </c>
      <c r="G644" s="7732" t="s">
        <v>5297</v>
      </c>
      <c r="H644" s="7733"/>
      <c r="I644" s="7733"/>
      <c r="J644" s="7733"/>
      <c r="K644" s="7734"/>
      <c r="L644" s="4318"/>
    </row>
    <row r="645" spans="1:12" ht="30" customHeight="1" x14ac:dyDescent="0.2">
      <c r="A645" s="7656"/>
      <c r="B645" s="7665"/>
      <c r="C645" s="7747"/>
      <c r="D645" s="8004">
        <f>D642+D643+D644</f>
        <v>1127500000</v>
      </c>
      <c r="E645" s="8005"/>
      <c r="F645" s="4379">
        <f>F642+F643+F644</f>
        <v>78925000.000000015</v>
      </c>
      <c r="G645" s="8085" t="s">
        <v>3882</v>
      </c>
      <c r="H645" s="8086"/>
      <c r="I645" s="8086"/>
      <c r="J645" s="8086"/>
      <c r="K645" s="8087"/>
      <c r="L645" s="4318"/>
    </row>
    <row r="646" spans="1:12" ht="30" customHeight="1" x14ac:dyDescent="0.2">
      <c r="A646" s="7656"/>
      <c r="B646" s="7665"/>
      <c r="C646" s="7747"/>
      <c r="D646" s="4345">
        <v>70000000</v>
      </c>
      <c r="E646" s="3245">
        <v>7.0000000000000007E-2</v>
      </c>
      <c r="F646" s="4345">
        <f>D646*E646</f>
        <v>4900000.0000000009</v>
      </c>
      <c r="G646" s="7732" t="s">
        <v>5543</v>
      </c>
      <c r="H646" s="7733"/>
      <c r="I646" s="7733"/>
      <c r="J646" s="7733"/>
      <c r="K646" s="7734"/>
      <c r="L646" s="4318"/>
    </row>
    <row r="647" spans="1:12" ht="30" customHeight="1" x14ac:dyDescent="0.2">
      <c r="A647" s="7656"/>
      <c r="B647" s="7665"/>
      <c r="C647" s="7747"/>
      <c r="D647" s="7883">
        <f>D645+D646</f>
        <v>1197500000</v>
      </c>
      <c r="E647" s="7884"/>
      <c r="F647" s="4345">
        <f>F645+F646</f>
        <v>83825000.000000015</v>
      </c>
      <c r="G647" s="8255" t="s">
        <v>4366</v>
      </c>
      <c r="H647" s="8256"/>
      <c r="I647" s="8256"/>
      <c r="J647" s="8256"/>
      <c r="K647" s="8257"/>
      <c r="L647" s="4318"/>
    </row>
    <row r="648" spans="1:12" ht="30" customHeight="1" x14ac:dyDescent="0.2">
      <c r="A648" s="7656"/>
      <c r="B648" s="7665"/>
      <c r="C648" s="7747"/>
      <c r="D648" s="3239">
        <v>79115000</v>
      </c>
      <c r="E648" s="3246">
        <v>7.0000000000000007E-2</v>
      </c>
      <c r="F648" s="3239">
        <f>D648*E648</f>
        <v>5538050.0000000009</v>
      </c>
      <c r="G648" s="7732" t="s">
        <v>4974</v>
      </c>
      <c r="H648" s="7733"/>
      <c r="I648" s="7733"/>
      <c r="J648" s="7733"/>
      <c r="K648" s="7734"/>
      <c r="L648" s="4318"/>
    </row>
    <row r="649" spans="1:12" ht="30" customHeight="1" x14ac:dyDescent="0.2">
      <c r="A649" s="7656"/>
      <c r="B649" s="7665"/>
      <c r="C649" s="7747"/>
      <c r="D649" s="3239">
        <v>100000000</v>
      </c>
      <c r="E649" s="3246">
        <v>7.0000000000000007E-2</v>
      </c>
      <c r="F649" s="3239">
        <f>D649*E649</f>
        <v>7000000.0000000009</v>
      </c>
      <c r="G649" s="7732" t="s">
        <v>4973</v>
      </c>
      <c r="H649" s="7733"/>
      <c r="I649" s="7733"/>
      <c r="J649" s="7733"/>
      <c r="K649" s="7734"/>
      <c r="L649" s="4318"/>
    </row>
    <row r="650" spans="1:12" ht="30" customHeight="1" x14ac:dyDescent="0.2">
      <c r="A650" s="7656"/>
      <c r="B650" s="7665"/>
      <c r="C650" s="7747"/>
      <c r="D650" s="3239">
        <f>71051000-166000</f>
        <v>70885000</v>
      </c>
      <c r="E650" s="3246">
        <v>7.0000000000000007E-2</v>
      </c>
      <c r="F650" s="3239">
        <f>D650*E650</f>
        <v>4961950.0000000009</v>
      </c>
      <c r="G650" s="8099" t="s">
        <v>5165</v>
      </c>
      <c r="H650" s="8100"/>
      <c r="I650" s="8100"/>
      <c r="J650" s="8100"/>
      <c r="K650" s="8101"/>
      <c r="L650" s="4318"/>
    </row>
    <row r="651" spans="1:12" ht="30" customHeight="1" x14ac:dyDescent="0.2">
      <c r="A651" s="7656"/>
      <c r="B651" s="7665"/>
      <c r="C651" s="7747"/>
      <c r="D651" s="3239">
        <v>100000000</v>
      </c>
      <c r="E651" s="3240">
        <v>7.0000000000000007E-2</v>
      </c>
      <c r="F651" s="3239">
        <f>D651*E651</f>
        <v>7000000.0000000009</v>
      </c>
      <c r="G651" s="7732" t="s">
        <v>5018</v>
      </c>
      <c r="H651" s="7733"/>
      <c r="I651" s="7733"/>
      <c r="J651" s="7733"/>
      <c r="K651" s="7734"/>
      <c r="L651" s="4318"/>
    </row>
    <row r="652" spans="1:12" ht="30" customHeight="1" x14ac:dyDescent="0.2">
      <c r="A652" s="7656"/>
      <c r="B652" s="7665"/>
      <c r="C652" s="7747"/>
      <c r="D652" s="8350">
        <f>D647+D648+D649+D650+D651</f>
        <v>1547500000</v>
      </c>
      <c r="E652" s="8351"/>
      <c r="F652" s="8326">
        <f>F647+F648+F649+F650+F651</f>
        <v>108325000.00000001</v>
      </c>
      <c r="G652" s="8258" t="s">
        <v>4975</v>
      </c>
      <c r="H652" s="8259"/>
      <c r="I652" s="8259"/>
      <c r="J652" s="8259"/>
      <c r="K652" s="8260"/>
      <c r="L652" s="1540" t="s">
        <v>4976</v>
      </c>
    </row>
    <row r="653" spans="1:12" ht="30" customHeight="1" x14ac:dyDescent="0.2">
      <c r="A653" s="7656"/>
      <c r="B653" s="7665"/>
      <c r="C653" s="7747"/>
      <c r="D653" s="8352"/>
      <c r="E653" s="8353"/>
      <c r="F653" s="8327"/>
      <c r="G653" s="4259"/>
      <c r="H653" s="7482"/>
      <c r="I653" s="7494" t="s">
        <v>1720</v>
      </c>
      <c r="J653" s="7482">
        <f>G653+G654</f>
        <v>0</v>
      </c>
      <c r="K653" s="7563">
        <f>F652-G653</f>
        <v>108325000.00000001</v>
      </c>
      <c r="L653" s="3824" t="s">
        <v>4906</v>
      </c>
    </row>
    <row r="654" spans="1:12" ht="30" customHeight="1" x14ac:dyDescent="0.2">
      <c r="A654" s="7656"/>
      <c r="B654" s="7665"/>
      <c r="C654" s="7747"/>
      <c r="D654" s="8354"/>
      <c r="E654" s="8355"/>
      <c r="F654" s="8328"/>
      <c r="G654" s="4259"/>
      <c r="H654" s="7482"/>
      <c r="I654" s="7769"/>
      <c r="J654" s="7482"/>
      <c r="K654" s="7564"/>
      <c r="L654" s="3824"/>
    </row>
    <row r="655" spans="1:12" ht="30" customHeight="1" x14ac:dyDescent="0.2">
      <c r="A655" s="7656"/>
      <c r="B655" s="7665"/>
      <c r="C655" s="7747"/>
      <c r="D655" s="3826">
        <v>70000000</v>
      </c>
      <c r="E655" s="4373">
        <v>7.0000000000000007E-2</v>
      </c>
      <c r="F655" s="3826">
        <f t="shared" ref="F655:F662" si="68">D655*E655</f>
        <v>4900000.0000000009</v>
      </c>
      <c r="G655" s="7732" t="s">
        <v>5542</v>
      </c>
      <c r="H655" s="7733"/>
      <c r="I655" s="7733"/>
      <c r="J655" s="7733"/>
      <c r="K655" s="7734"/>
      <c r="L655" s="3824"/>
    </row>
    <row r="656" spans="1:12" ht="30" customHeight="1" x14ac:dyDescent="0.2">
      <c r="A656" s="7656"/>
      <c r="B656" s="7665"/>
      <c r="C656" s="7747"/>
      <c r="D656" s="3826">
        <v>34000000</v>
      </c>
      <c r="E656" s="3948">
        <v>7.0000000000000007E-2</v>
      </c>
      <c r="F656" s="3826">
        <f t="shared" si="68"/>
        <v>2380000</v>
      </c>
      <c r="G656" s="7732" t="s">
        <v>5669</v>
      </c>
      <c r="H656" s="7733"/>
      <c r="I656" s="7733"/>
      <c r="J656" s="7733"/>
      <c r="K656" s="7734"/>
      <c r="L656" s="3824"/>
    </row>
    <row r="657" spans="1:17" ht="30" customHeight="1" x14ac:dyDescent="0.2">
      <c r="A657" s="7656"/>
      <c r="B657" s="7665"/>
      <c r="C657" s="7747"/>
      <c r="D657" s="3826">
        <v>100000000</v>
      </c>
      <c r="E657" s="295">
        <v>7.0000000000000007E-2</v>
      </c>
      <c r="F657" s="3826">
        <f t="shared" si="68"/>
        <v>7000000.0000000009</v>
      </c>
      <c r="G657" s="7732" t="s">
        <v>5670</v>
      </c>
      <c r="H657" s="7733"/>
      <c r="I657" s="7733"/>
      <c r="J657" s="7733"/>
      <c r="K657" s="7734"/>
      <c r="L657" s="3824"/>
    </row>
    <row r="658" spans="1:17" ht="30" customHeight="1" x14ac:dyDescent="0.2">
      <c r="A658" s="7656"/>
      <c r="B658" s="7665"/>
      <c r="C658" s="7747"/>
      <c r="D658" s="3826">
        <v>66000000</v>
      </c>
      <c r="E658" s="295">
        <v>7.0000000000000007E-2</v>
      </c>
      <c r="F658" s="3826">
        <f t="shared" si="68"/>
        <v>4620000</v>
      </c>
      <c r="G658" s="7732" t="s">
        <v>5672</v>
      </c>
      <c r="H658" s="7733"/>
      <c r="I658" s="7733"/>
      <c r="J658" s="7733"/>
      <c r="K658" s="7734"/>
      <c r="L658" s="3824"/>
    </row>
    <row r="659" spans="1:17" ht="30" customHeight="1" x14ac:dyDescent="0.2">
      <c r="A659" s="7656"/>
      <c r="B659" s="7665"/>
      <c r="C659" s="7747"/>
      <c r="D659" s="3826">
        <v>100000000</v>
      </c>
      <c r="E659" s="295">
        <v>7.0000000000000007E-2</v>
      </c>
      <c r="F659" s="3826">
        <f t="shared" si="68"/>
        <v>7000000.0000000009</v>
      </c>
      <c r="G659" s="7732" t="s">
        <v>5671</v>
      </c>
      <c r="H659" s="7733"/>
      <c r="I659" s="7733"/>
      <c r="J659" s="7733"/>
      <c r="K659" s="7734"/>
      <c r="L659" s="3824"/>
    </row>
    <row r="660" spans="1:17" ht="30" customHeight="1" x14ac:dyDescent="0.2">
      <c r="A660" s="7656"/>
      <c r="B660" s="7665"/>
      <c r="C660" s="7747"/>
      <c r="D660" s="3826">
        <v>100000000</v>
      </c>
      <c r="E660" s="295">
        <v>7.0000000000000007E-2</v>
      </c>
      <c r="F660" s="3826">
        <f t="shared" si="68"/>
        <v>7000000.0000000009</v>
      </c>
      <c r="G660" s="7732" t="s">
        <v>5673</v>
      </c>
      <c r="H660" s="7733"/>
      <c r="I660" s="7733"/>
      <c r="J660" s="7733"/>
      <c r="K660" s="7734"/>
      <c r="L660" s="3824"/>
    </row>
    <row r="661" spans="1:17" ht="30" customHeight="1" x14ac:dyDescent="0.2">
      <c r="A661" s="7656"/>
      <c r="B661" s="7665"/>
      <c r="C661" s="7747"/>
      <c r="D661" s="3826">
        <v>100000000</v>
      </c>
      <c r="E661" s="295">
        <v>7.0000000000000007E-2</v>
      </c>
      <c r="F661" s="3826">
        <f t="shared" si="68"/>
        <v>7000000.0000000009</v>
      </c>
      <c r="G661" s="7732" t="s">
        <v>5673</v>
      </c>
      <c r="H661" s="7733"/>
      <c r="I661" s="7733"/>
      <c r="J661" s="7733"/>
      <c r="K661" s="7734"/>
      <c r="L661" s="3824"/>
    </row>
    <row r="662" spans="1:17" ht="30" customHeight="1" x14ac:dyDescent="0.2">
      <c r="A662" s="7656"/>
      <c r="B662" s="7665"/>
      <c r="C662" s="7747"/>
      <c r="D662" s="3826">
        <v>100000000</v>
      </c>
      <c r="E662" s="3949">
        <v>7.0000000000000007E-2</v>
      </c>
      <c r="F662" s="3826">
        <f t="shared" si="68"/>
        <v>7000000.0000000009</v>
      </c>
      <c r="G662" s="7732" t="s">
        <v>5674</v>
      </c>
      <c r="H662" s="7733"/>
      <c r="I662" s="7733"/>
      <c r="J662" s="7733"/>
      <c r="K662" s="7734"/>
      <c r="L662" s="3824"/>
    </row>
    <row r="663" spans="1:17" ht="30" customHeight="1" x14ac:dyDescent="0.2">
      <c r="A663" s="7656"/>
      <c r="B663" s="7665"/>
      <c r="C663" s="7747"/>
      <c r="D663" s="8248">
        <f>D652+D655+D656+D657+D658+D659+D660+D661+D662</f>
        <v>2217500000</v>
      </c>
      <c r="E663" s="8249"/>
      <c r="F663" s="3826">
        <f>F652+F655+F656+F657+F658+F659+F660+F661+F662</f>
        <v>155225000.00000003</v>
      </c>
      <c r="G663" s="4478">
        <v>49725000</v>
      </c>
      <c r="H663" s="4478" t="s">
        <v>6251</v>
      </c>
      <c r="I663" s="4478" t="s">
        <v>1720</v>
      </c>
      <c r="J663" s="4478">
        <f>G663</f>
        <v>49725000</v>
      </c>
      <c r="K663" s="4478">
        <f>F663-J663</f>
        <v>105500000.00000003</v>
      </c>
      <c r="L663" s="3825"/>
    </row>
    <row r="664" spans="1:17" ht="30" customHeight="1" x14ac:dyDescent="0.2">
      <c r="A664" s="7656"/>
      <c r="B664" s="7665"/>
      <c r="C664" s="7747"/>
      <c r="D664" s="4543">
        <v>105500000</v>
      </c>
      <c r="E664" s="4568">
        <v>7.0000000000000007E-2</v>
      </c>
      <c r="F664" s="4543">
        <f>D664*E664</f>
        <v>7385000.0000000009</v>
      </c>
      <c r="G664" s="7732" t="s">
        <v>6309</v>
      </c>
      <c r="H664" s="7733"/>
      <c r="I664" s="7733"/>
      <c r="J664" s="7734"/>
      <c r="K664" s="4543"/>
      <c r="L664" s="3825"/>
    </row>
    <row r="665" spans="1:17" ht="30" customHeight="1" x14ac:dyDescent="0.2">
      <c r="A665" s="7656"/>
      <c r="B665" s="7665"/>
      <c r="C665" s="7747"/>
      <c r="D665" s="4543">
        <v>130000000</v>
      </c>
      <c r="E665" s="4568">
        <v>7.0000000000000007E-2</v>
      </c>
      <c r="F665" s="4543">
        <f>D665*E665</f>
        <v>9100000</v>
      </c>
      <c r="G665" s="7732" t="s">
        <v>6310</v>
      </c>
      <c r="H665" s="7733"/>
      <c r="I665" s="7733"/>
      <c r="J665" s="7733"/>
      <c r="K665" s="7734"/>
      <c r="L665" s="3825"/>
    </row>
    <row r="666" spans="1:17" ht="30" customHeight="1" x14ac:dyDescent="0.2">
      <c r="A666" s="7655"/>
      <c r="B666" s="7653"/>
      <c r="C666" s="7724"/>
      <c r="D666" s="7470">
        <f>D663+D664+D665</f>
        <v>2453000000</v>
      </c>
      <c r="E666" s="7510"/>
      <c r="F666" s="4543">
        <f>D666*0.07</f>
        <v>171710000.00000003</v>
      </c>
      <c r="G666" s="7470"/>
      <c r="H666" s="7493"/>
      <c r="I666" s="7493"/>
      <c r="J666" s="7510"/>
      <c r="K666" s="4543"/>
      <c r="L666" s="3825"/>
    </row>
    <row r="667" spans="1:17" ht="30" customHeight="1" x14ac:dyDescent="0.2">
      <c r="A667" s="4298">
        <v>339</v>
      </c>
      <c r="B667" s="4335" t="s">
        <v>170</v>
      </c>
      <c r="C667" s="4300" t="s">
        <v>1306</v>
      </c>
      <c r="D667" s="4260">
        <v>200000000</v>
      </c>
      <c r="E667" s="4336">
        <v>7.0000000000000007E-2</v>
      </c>
      <c r="F667" s="4260">
        <f t="shared" si="66"/>
        <v>14000000.000000002</v>
      </c>
      <c r="G667" s="233"/>
      <c r="H667" s="233"/>
      <c r="I667" s="1388"/>
      <c r="J667" s="233"/>
      <c r="K667" s="387"/>
      <c r="L667" s="4343"/>
      <c r="M667" s="386"/>
      <c r="N667" s="386"/>
      <c r="O667" s="386"/>
      <c r="P667" s="386"/>
      <c r="Q667" s="386"/>
    </row>
    <row r="668" spans="1:17" ht="30" customHeight="1" x14ac:dyDescent="0.2">
      <c r="A668" s="1028"/>
      <c r="B668" s="19" t="s">
        <v>67</v>
      </c>
      <c r="C668" s="4864" t="s">
        <v>1138</v>
      </c>
      <c r="D668" s="4268">
        <v>111000000</v>
      </c>
      <c r="E668" s="4336">
        <v>0.05</v>
      </c>
      <c r="F668" s="4268">
        <v>6000000</v>
      </c>
      <c r="G668" s="4260">
        <v>6000000</v>
      </c>
      <c r="H668" s="4260" t="s">
        <v>6759</v>
      </c>
      <c r="I668" s="4260" t="s">
        <v>1720</v>
      </c>
      <c r="J668" s="4260">
        <f>G668</f>
        <v>6000000</v>
      </c>
      <c r="K668" s="4323">
        <f>F668-J668</f>
        <v>0</v>
      </c>
      <c r="L668" s="4343"/>
      <c r="M668" s="4343"/>
      <c r="N668" s="4343"/>
      <c r="O668" s="4343"/>
      <c r="P668" s="386"/>
      <c r="Q668" s="386"/>
    </row>
    <row r="669" spans="1:17" ht="30" customHeight="1" x14ac:dyDescent="0.2">
      <c r="A669" s="4341">
        <v>341</v>
      </c>
      <c r="B669" s="4338" t="s">
        <v>1357</v>
      </c>
      <c r="C669" s="4337" t="s">
        <v>889</v>
      </c>
      <c r="D669" s="4260">
        <v>150000000</v>
      </c>
      <c r="E669" s="4336">
        <f>F669/D669</f>
        <v>4.6666666666666669E-2</v>
      </c>
      <c r="F669" s="4260">
        <v>7000000</v>
      </c>
      <c r="G669" s="4268">
        <v>7000000</v>
      </c>
      <c r="H669" s="4268" t="s">
        <v>6152</v>
      </c>
      <c r="I669" s="4308" t="s">
        <v>4842</v>
      </c>
      <c r="J669" s="4260">
        <f>G669</f>
        <v>7000000</v>
      </c>
      <c r="K669" s="4264">
        <f>F669-J669</f>
        <v>0</v>
      </c>
      <c r="L669" s="4343"/>
      <c r="M669" s="386"/>
      <c r="N669" s="386"/>
      <c r="O669" s="386"/>
      <c r="P669" s="386"/>
      <c r="Q669" s="386"/>
    </row>
    <row r="670" spans="1:17" ht="30" customHeight="1" x14ac:dyDescent="0.2">
      <c r="A670" s="4271">
        <v>342</v>
      </c>
      <c r="B670" s="4334" t="s">
        <v>71</v>
      </c>
      <c r="C670" s="4299" t="s">
        <v>2363</v>
      </c>
      <c r="D670" s="4268">
        <v>70000000</v>
      </c>
      <c r="E670" s="4336">
        <v>0.05</v>
      </c>
      <c r="F670" s="4268">
        <f>D670*E670</f>
        <v>3500000</v>
      </c>
      <c r="G670" s="4268">
        <v>3500000</v>
      </c>
      <c r="H670" s="4268" t="s">
        <v>6192</v>
      </c>
      <c r="I670" s="4308" t="s">
        <v>4108</v>
      </c>
      <c r="J670" s="4268">
        <f t="shared" ref="J670:J685" si="69">G670</f>
        <v>3500000</v>
      </c>
      <c r="K670" s="4323">
        <f>F670-J670</f>
        <v>0</v>
      </c>
      <c r="L670" s="4343"/>
      <c r="M670" s="386"/>
      <c r="N670" s="386"/>
      <c r="O670" s="386"/>
      <c r="P670" s="386"/>
      <c r="Q670" s="386"/>
    </row>
    <row r="671" spans="1:17" ht="30" customHeight="1" x14ac:dyDescent="0.2">
      <c r="A671" s="1028">
        <v>343</v>
      </c>
      <c r="B671" s="19" t="s">
        <v>1365</v>
      </c>
      <c r="C671" s="4337" t="s">
        <v>1796</v>
      </c>
      <c r="D671" s="4260">
        <v>8000000</v>
      </c>
      <c r="E671" s="4336">
        <v>0.04</v>
      </c>
      <c r="F671" s="4260">
        <f>D671*E671</f>
        <v>320000</v>
      </c>
      <c r="G671" s="4260">
        <v>320000</v>
      </c>
      <c r="H671" s="4260" t="s">
        <v>6759</v>
      </c>
      <c r="I671" s="4260" t="s">
        <v>1366</v>
      </c>
      <c r="J671" s="4260">
        <f t="shared" si="69"/>
        <v>320000</v>
      </c>
      <c r="K671" s="4264">
        <f>F671-J671</f>
        <v>0</v>
      </c>
      <c r="L671" s="4893"/>
      <c r="M671" s="386"/>
      <c r="N671" s="386"/>
      <c r="O671" s="386"/>
      <c r="P671" s="386"/>
      <c r="Q671" s="386"/>
    </row>
    <row r="672" spans="1:17" ht="30" customHeight="1" x14ac:dyDescent="0.2">
      <c r="A672" s="4878"/>
      <c r="B672" s="19" t="s">
        <v>6727</v>
      </c>
      <c r="C672" s="4883"/>
      <c r="D672" s="4869">
        <v>20000000</v>
      </c>
      <c r="E672" s="4875">
        <v>0.05</v>
      </c>
      <c r="F672" s="4869">
        <f>D672*E672</f>
        <v>1000000</v>
      </c>
      <c r="G672" s="7732" t="s">
        <v>6726</v>
      </c>
      <c r="H672" s="7733"/>
      <c r="I672" s="7733"/>
      <c r="J672" s="7734"/>
      <c r="K672" s="4887"/>
      <c r="L672" s="4893" t="s">
        <v>6731</v>
      </c>
      <c r="M672" s="386"/>
      <c r="N672" s="386"/>
      <c r="O672" s="386"/>
      <c r="P672" s="386"/>
      <c r="Q672" s="386"/>
    </row>
    <row r="673" spans="1:17" ht="30" customHeight="1" x14ac:dyDescent="0.2">
      <c r="A673" s="4272">
        <v>344</v>
      </c>
      <c r="B673" s="4279" t="s">
        <v>1373</v>
      </c>
      <c r="C673" s="4300"/>
      <c r="D673" s="4281"/>
      <c r="E673" s="4290"/>
      <c r="F673" s="4281"/>
      <c r="G673" s="4268"/>
      <c r="H673" s="4268"/>
      <c r="I673" s="4308" t="s">
        <v>5436</v>
      </c>
      <c r="J673" s="4268">
        <f t="shared" si="69"/>
        <v>0</v>
      </c>
      <c r="K673" s="4330">
        <f>F673-J673</f>
        <v>0</v>
      </c>
      <c r="L673" s="4343"/>
      <c r="M673" s="386"/>
      <c r="N673" s="386"/>
      <c r="O673" s="386"/>
      <c r="P673" s="386"/>
      <c r="Q673" s="386"/>
    </row>
    <row r="674" spans="1:17" ht="30" customHeight="1" x14ac:dyDescent="0.2">
      <c r="A674" s="4272">
        <v>345</v>
      </c>
      <c r="B674" s="4279" t="s">
        <v>2080</v>
      </c>
      <c r="C674" s="4300" t="s">
        <v>1299</v>
      </c>
      <c r="D674" s="4268">
        <v>60000000</v>
      </c>
      <c r="E674" s="4336">
        <v>7.0000000000000007E-2</v>
      </c>
      <c r="F674" s="4268">
        <f>D674*E674</f>
        <v>4200000</v>
      </c>
      <c r="G674" s="4268">
        <v>4200000</v>
      </c>
      <c r="H674" s="4268" t="s">
        <v>6440</v>
      </c>
      <c r="I674" s="4308" t="s">
        <v>4126</v>
      </c>
      <c r="J674" s="4268">
        <f t="shared" si="69"/>
        <v>4200000</v>
      </c>
      <c r="K674" s="4323">
        <f>G674-J674</f>
        <v>0</v>
      </c>
      <c r="L674" s="4343"/>
      <c r="M674" s="386"/>
      <c r="N674" s="386"/>
      <c r="O674" s="386"/>
      <c r="P674" s="386"/>
      <c r="Q674" s="386"/>
    </row>
    <row r="675" spans="1:17" ht="30" customHeight="1" x14ac:dyDescent="0.2">
      <c r="A675" s="4272">
        <v>346</v>
      </c>
      <c r="B675" s="4279" t="s">
        <v>1380</v>
      </c>
      <c r="C675" s="4300" t="s">
        <v>1172</v>
      </c>
      <c r="D675" s="4268">
        <v>5000000</v>
      </c>
      <c r="E675" s="4336">
        <v>0.05</v>
      </c>
      <c r="F675" s="4268">
        <f>D675*E675</f>
        <v>250000</v>
      </c>
      <c r="G675" s="4268">
        <v>250000</v>
      </c>
      <c r="H675" s="4268" t="s">
        <v>6395</v>
      </c>
      <c r="I675" s="4308" t="s">
        <v>1381</v>
      </c>
      <c r="J675" s="4268">
        <f t="shared" si="69"/>
        <v>250000</v>
      </c>
      <c r="K675" s="4323">
        <f t="shared" ref="K675:K682" si="70">F675-J675</f>
        <v>0</v>
      </c>
      <c r="L675" s="4343"/>
      <c r="M675" s="386"/>
      <c r="N675" s="386"/>
      <c r="O675" s="386"/>
      <c r="P675" s="386"/>
      <c r="Q675" s="386"/>
    </row>
    <row r="676" spans="1:17" ht="30" customHeight="1" x14ac:dyDescent="0.2">
      <c r="A676" s="4341">
        <v>347</v>
      </c>
      <c r="B676" s="4338" t="s">
        <v>178</v>
      </c>
      <c r="C676" s="4337" t="s">
        <v>1796</v>
      </c>
      <c r="D676" s="4260">
        <v>130000000</v>
      </c>
      <c r="E676" s="4336">
        <v>0.05</v>
      </c>
      <c r="F676" s="4260">
        <f>D676*E676</f>
        <v>6500000</v>
      </c>
      <c r="G676" s="4268">
        <v>6500000</v>
      </c>
      <c r="H676" s="4268" t="s">
        <v>6759</v>
      </c>
      <c r="I676" s="4308" t="s">
        <v>3951</v>
      </c>
      <c r="J676" s="4268">
        <f t="shared" si="69"/>
        <v>6500000</v>
      </c>
      <c r="K676" s="4323">
        <f t="shared" si="70"/>
        <v>0</v>
      </c>
      <c r="L676" s="4343"/>
      <c r="M676" s="386"/>
      <c r="N676" s="386"/>
      <c r="O676" s="386"/>
      <c r="P676" s="386"/>
      <c r="Q676" s="386"/>
    </row>
    <row r="677" spans="1:17" ht="30" customHeight="1" x14ac:dyDescent="0.2">
      <c r="A677" s="4341">
        <v>348</v>
      </c>
      <c r="B677" s="19" t="s">
        <v>1408</v>
      </c>
      <c r="C677" s="4337" t="s">
        <v>1306</v>
      </c>
      <c r="D677" s="4260">
        <v>50000000</v>
      </c>
      <c r="E677" s="4336">
        <v>0.04</v>
      </c>
      <c r="F677" s="4260">
        <f>D677*E677</f>
        <v>2000000</v>
      </c>
      <c r="G677" s="4260">
        <v>2000000</v>
      </c>
      <c r="H677" s="4260" t="s">
        <v>6622</v>
      </c>
      <c r="I677" s="4308" t="s">
        <v>5992</v>
      </c>
      <c r="J677" s="4268">
        <f t="shared" si="69"/>
        <v>2000000</v>
      </c>
      <c r="K677" s="4323">
        <f t="shared" si="70"/>
        <v>0</v>
      </c>
      <c r="L677" s="4343"/>
      <c r="M677" s="386"/>
      <c r="N677" s="386"/>
      <c r="O677" s="386"/>
      <c r="P677" s="386"/>
      <c r="Q677" s="386"/>
    </row>
    <row r="678" spans="1:17" ht="30" customHeight="1" x14ac:dyDescent="0.2">
      <c r="A678" s="4272">
        <v>350</v>
      </c>
      <c r="B678" s="4279" t="s">
        <v>1554</v>
      </c>
      <c r="C678" s="4300"/>
      <c r="D678" s="4268">
        <v>110000000</v>
      </c>
      <c r="E678" s="7898" t="s">
        <v>1556</v>
      </c>
      <c r="F678" s="7899"/>
      <c r="G678" s="4268"/>
      <c r="H678" s="4268"/>
      <c r="I678" s="4308" t="s">
        <v>3469</v>
      </c>
      <c r="J678" s="4268">
        <f t="shared" si="69"/>
        <v>0</v>
      </c>
      <c r="K678" s="4330">
        <f t="shared" si="70"/>
        <v>0</v>
      </c>
      <c r="L678" s="4343"/>
      <c r="M678" s="386"/>
      <c r="N678" s="386"/>
      <c r="O678" s="386"/>
      <c r="P678" s="386"/>
      <c r="Q678" s="386"/>
    </row>
    <row r="679" spans="1:17" ht="30" customHeight="1" x14ac:dyDescent="0.2">
      <c r="A679" s="4341"/>
      <c r="B679" s="19" t="s">
        <v>1558</v>
      </c>
      <c r="C679" s="4337" t="s">
        <v>1172</v>
      </c>
      <c r="D679" s="4260">
        <v>680000000</v>
      </c>
      <c r="E679" s="4336">
        <v>7.0000000000000007E-2</v>
      </c>
      <c r="F679" s="4260">
        <f t="shared" ref="F679:F686" si="71">D679*E679</f>
        <v>47600000.000000007</v>
      </c>
      <c r="G679" s="4260">
        <v>47600000</v>
      </c>
      <c r="H679" s="4260" t="s">
        <v>6251</v>
      </c>
      <c r="I679" s="4260" t="s">
        <v>2460</v>
      </c>
      <c r="J679" s="4260">
        <f t="shared" si="69"/>
        <v>47600000</v>
      </c>
      <c r="K679" s="4323">
        <f t="shared" si="70"/>
        <v>0</v>
      </c>
      <c r="L679" s="4320"/>
      <c r="M679" s="386"/>
      <c r="N679" s="386"/>
      <c r="O679" s="386"/>
      <c r="P679" s="386"/>
      <c r="Q679" s="386"/>
    </row>
    <row r="680" spans="1:17" ht="30" customHeight="1" x14ac:dyDescent="0.2">
      <c r="A680" s="1028">
        <v>352</v>
      </c>
      <c r="B680" s="4338" t="s">
        <v>1561</v>
      </c>
      <c r="C680" s="378" t="s">
        <v>1081</v>
      </c>
      <c r="D680" s="233">
        <v>50000000</v>
      </c>
      <c r="E680" s="1867">
        <v>7.0000000000000007E-2</v>
      </c>
      <c r="F680" s="233">
        <f t="shared" si="71"/>
        <v>3500000.0000000005</v>
      </c>
      <c r="G680" s="4268"/>
      <c r="H680" s="4268"/>
      <c r="I680" s="4376" t="s">
        <v>3517</v>
      </c>
      <c r="J680" s="4268">
        <f t="shared" si="69"/>
        <v>0</v>
      </c>
      <c r="K680" s="4323">
        <f t="shared" si="70"/>
        <v>3500000.0000000005</v>
      </c>
      <c r="L680" s="4343"/>
      <c r="M680" s="386"/>
      <c r="N680" s="386"/>
      <c r="O680" s="386"/>
      <c r="P680" s="386"/>
      <c r="Q680" s="386"/>
    </row>
    <row r="681" spans="1:17" ht="30" customHeight="1" x14ac:dyDescent="0.2">
      <c r="A681" s="7879">
        <v>353</v>
      </c>
      <c r="B681" s="7717" t="s">
        <v>1565</v>
      </c>
      <c r="C681" s="4337" t="s">
        <v>1172</v>
      </c>
      <c r="D681" s="4268">
        <v>50000000</v>
      </c>
      <c r="E681" s="4336">
        <v>0.05</v>
      </c>
      <c r="F681" s="4268">
        <f t="shared" si="71"/>
        <v>2500000</v>
      </c>
      <c r="G681" s="4268">
        <v>2500000</v>
      </c>
      <c r="H681" s="4268" t="s">
        <v>6223</v>
      </c>
      <c r="I681" s="4308" t="s">
        <v>3718</v>
      </c>
      <c r="J681" s="4268">
        <f t="shared" si="69"/>
        <v>2500000</v>
      </c>
      <c r="K681" s="4323">
        <f t="shared" si="70"/>
        <v>0</v>
      </c>
      <c r="L681" s="4343"/>
      <c r="M681" s="386"/>
      <c r="N681" s="386"/>
      <c r="O681" s="386"/>
      <c r="P681" s="386"/>
      <c r="Q681" s="386"/>
    </row>
    <row r="682" spans="1:17" ht="30" customHeight="1" x14ac:dyDescent="0.2">
      <c r="A682" s="7879"/>
      <c r="B682" s="7717"/>
      <c r="C682" s="4337" t="s">
        <v>1299</v>
      </c>
      <c r="D682" s="4268">
        <v>20000000</v>
      </c>
      <c r="E682" s="4336">
        <v>0.05</v>
      </c>
      <c r="F682" s="4268">
        <f t="shared" si="71"/>
        <v>1000000</v>
      </c>
      <c r="G682" s="1455">
        <v>1000000</v>
      </c>
      <c r="H682" s="1455" t="s">
        <v>6440</v>
      </c>
      <c r="I682" s="1455" t="s">
        <v>6547</v>
      </c>
      <c r="J682" s="1455">
        <f t="shared" si="69"/>
        <v>1000000</v>
      </c>
      <c r="K682" s="4323">
        <f t="shared" si="70"/>
        <v>0</v>
      </c>
      <c r="L682" s="4343"/>
      <c r="M682" s="386"/>
      <c r="N682" s="386"/>
      <c r="O682" s="386"/>
      <c r="P682" s="386"/>
      <c r="Q682" s="386"/>
    </row>
    <row r="683" spans="1:17" ht="30" customHeight="1" x14ac:dyDescent="0.2">
      <c r="A683" s="4341">
        <v>355</v>
      </c>
      <c r="B683" s="4338" t="s">
        <v>1582</v>
      </c>
      <c r="C683" s="4337" t="s">
        <v>2644</v>
      </c>
      <c r="D683" s="4260">
        <v>265000000</v>
      </c>
      <c r="E683" s="4336">
        <v>0.05</v>
      </c>
      <c r="F683" s="4260">
        <f t="shared" si="71"/>
        <v>13250000</v>
      </c>
      <c r="G683" s="4260">
        <v>13250000</v>
      </c>
      <c r="H683" s="4260" t="s">
        <v>6192</v>
      </c>
      <c r="I683" s="4383" t="s">
        <v>3411</v>
      </c>
      <c r="J683" s="4260">
        <f t="shared" si="69"/>
        <v>13250000</v>
      </c>
      <c r="K683" s="4264">
        <f>F683-J683</f>
        <v>0</v>
      </c>
      <c r="L683" s="4343"/>
      <c r="M683" s="386"/>
      <c r="N683" s="386"/>
      <c r="O683" s="386"/>
      <c r="P683" s="386"/>
      <c r="Q683" s="386"/>
    </row>
    <row r="684" spans="1:17" ht="30" customHeight="1" x14ac:dyDescent="0.2">
      <c r="A684" s="4447"/>
      <c r="B684" s="4445" t="s">
        <v>6208</v>
      </c>
      <c r="C684" s="4455"/>
      <c r="D684" s="4443">
        <v>10000000</v>
      </c>
      <c r="E684" s="4458"/>
      <c r="F684" s="4443"/>
      <c r="G684" s="4442"/>
      <c r="H684" s="4442"/>
      <c r="I684" s="4468"/>
      <c r="J684" s="4442"/>
      <c r="K684" s="4457"/>
      <c r="L684" s="4464" t="s">
        <v>6209</v>
      </c>
      <c r="M684" s="386"/>
      <c r="N684" s="386"/>
      <c r="O684" s="386"/>
      <c r="P684" s="386"/>
      <c r="Q684" s="386"/>
    </row>
    <row r="685" spans="1:17" ht="30" customHeight="1" x14ac:dyDescent="0.2">
      <c r="A685" s="7654">
        <v>356</v>
      </c>
      <c r="B685" s="8132" t="s">
        <v>1590</v>
      </c>
      <c r="C685" s="7723"/>
      <c r="D685" s="4268">
        <v>60000000</v>
      </c>
      <c r="E685" s="4336">
        <v>0.04</v>
      </c>
      <c r="F685" s="4268">
        <f t="shared" si="71"/>
        <v>2400000</v>
      </c>
      <c r="G685" s="7563">
        <v>2800000</v>
      </c>
      <c r="H685" s="7563" t="s">
        <v>6220</v>
      </c>
      <c r="I685" s="7889" t="s">
        <v>3924</v>
      </c>
      <c r="J685" s="7563">
        <f t="shared" si="69"/>
        <v>2800000</v>
      </c>
      <c r="K685" s="7816">
        <f>(F685+F686)-J685</f>
        <v>0</v>
      </c>
      <c r="L685" s="7811" t="s">
        <v>6210</v>
      </c>
      <c r="M685" s="386"/>
      <c r="N685" s="386"/>
      <c r="O685" s="386"/>
      <c r="P685" s="386"/>
      <c r="Q685" s="386"/>
    </row>
    <row r="686" spans="1:17" ht="30" customHeight="1" x14ac:dyDescent="0.2">
      <c r="A686" s="7656"/>
      <c r="B686" s="8281"/>
      <c r="C686" s="7747"/>
      <c r="D686" s="4268">
        <v>10000000</v>
      </c>
      <c r="E686" s="4336">
        <v>0.04</v>
      </c>
      <c r="F686" s="4268">
        <f t="shared" si="71"/>
        <v>400000</v>
      </c>
      <c r="G686" s="7564"/>
      <c r="H686" s="7564"/>
      <c r="I686" s="7890"/>
      <c r="J686" s="7564"/>
      <c r="K686" s="7817"/>
      <c r="L686" s="7812"/>
      <c r="M686" s="386"/>
      <c r="N686" s="386"/>
      <c r="O686" s="386"/>
      <c r="P686" s="386"/>
      <c r="Q686" s="386"/>
    </row>
    <row r="687" spans="1:17" ht="30" customHeight="1" x14ac:dyDescent="0.2">
      <c r="A687" s="7656"/>
      <c r="B687" s="8281"/>
      <c r="C687" s="7747"/>
      <c r="D687" s="8157" t="s">
        <v>6521</v>
      </c>
      <c r="E687" s="8158"/>
      <c r="F687" s="8159"/>
      <c r="G687" s="4726">
        <v>25000000</v>
      </c>
      <c r="H687" s="4726" t="s">
        <v>6512</v>
      </c>
      <c r="I687" s="472" t="s">
        <v>6522</v>
      </c>
      <c r="J687" s="7563">
        <f>G687+G688</f>
        <v>50000000</v>
      </c>
      <c r="K687" s="7816"/>
      <c r="L687" s="4728"/>
      <c r="M687" s="386"/>
      <c r="N687" s="386"/>
      <c r="O687" s="386"/>
      <c r="P687" s="386"/>
      <c r="Q687" s="386"/>
    </row>
    <row r="688" spans="1:17" ht="30" customHeight="1" x14ac:dyDescent="0.2">
      <c r="A688" s="7655"/>
      <c r="B688" s="8133"/>
      <c r="C688" s="7724"/>
      <c r="D688" s="8163"/>
      <c r="E688" s="8164"/>
      <c r="F688" s="8165"/>
      <c r="G688" s="4726">
        <v>25000000</v>
      </c>
      <c r="H688" s="4726" t="s">
        <v>6625</v>
      </c>
      <c r="I688" s="472" t="s">
        <v>6522</v>
      </c>
      <c r="J688" s="7564"/>
      <c r="K688" s="7817"/>
      <c r="L688" s="4728"/>
      <c r="M688" s="386"/>
      <c r="N688" s="386"/>
      <c r="O688" s="386"/>
      <c r="P688" s="386"/>
      <c r="Q688" s="386"/>
    </row>
    <row r="689" spans="1:17" ht="30" customHeight="1" x14ac:dyDescent="0.2">
      <c r="A689" s="4272">
        <v>357</v>
      </c>
      <c r="B689" s="4279" t="s">
        <v>1592</v>
      </c>
      <c r="C689" s="4300"/>
      <c r="D689" s="4268">
        <v>70000000</v>
      </c>
      <c r="E689" s="2519"/>
      <c r="F689" s="4281"/>
      <c r="G689" s="4268"/>
      <c r="H689" s="4268"/>
      <c r="I689" s="472"/>
      <c r="J689" s="4268"/>
      <c r="K689" s="4330"/>
      <c r="L689" s="4343"/>
      <c r="M689" s="386"/>
      <c r="N689" s="386"/>
      <c r="O689" s="386"/>
      <c r="P689" s="386"/>
      <c r="Q689" s="386"/>
    </row>
    <row r="690" spans="1:17" ht="30" customHeight="1" x14ac:dyDescent="0.2">
      <c r="A690" s="1028">
        <v>358</v>
      </c>
      <c r="B690" s="4338" t="s">
        <v>1597</v>
      </c>
      <c r="C690" s="4337"/>
      <c r="D690" s="4269"/>
      <c r="E690" s="2519"/>
      <c r="F690" s="4269"/>
      <c r="G690" s="4260"/>
      <c r="H690" s="4260"/>
      <c r="I690" s="4383" t="s">
        <v>1598</v>
      </c>
      <c r="J690" s="4260">
        <f>G690</f>
        <v>0</v>
      </c>
      <c r="K690" s="1030">
        <f>F690-J690</f>
        <v>0</v>
      </c>
      <c r="L690" s="4343" t="s">
        <v>4130</v>
      </c>
      <c r="M690" s="386"/>
      <c r="N690" s="386"/>
      <c r="O690" s="386"/>
      <c r="P690" s="386"/>
      <c r="Q690" s="386"/>
    </row>
    <row r="691" spans="1:17" ht="30" customHeight="1" x14ac:dyDescent="0.2">
      <c r="A691" s="4271">
        <v>359</v>
      </c>
      <c r="B691" s="4338" t="s">
        <v>1599</v>
      </c>
      <c r="C691" s="4337"/>
      <c r="D691" s="4269"/>
      <c r="E691" s="2519"/>
      <c r="F691" s="4269"/>
      <c r="G691" s="4268"/>
      <c r="H691" s="4268"/>
      <c r="I691" s="472" t="s">
        <v>1600</v>
      </c>
      <c r="J691" s="4260">
        <f>G691</f>
        <v>0</v>
      </c>
      <c r="K691" s="1030">
        <f>F691-J691</f>
        <v>0</v>
      </c>
      <c r="L691" s="4322"/>
      <c r="M691" s="386"/>
      <c r="N691" s="386"/>
      <c r="O691" s="386"/>
      <c r="P691" s="386"/>
      <c r="Q691" s="386"/>
    </row>
    <row r="692" spans="1:17" ht="30" customHeight="1" x14ac:dyDescent="0.2">
      <c r="A692" s="7879">
        <v>360</v>
      </c>
      <c r="B692" s="7717" t="s">
        <v>1614</v>
      </c>
      <c r="C692" s="7873" t="s">
        <v>889</v>
      </c>
      <c r="D692" s="4260">
        <v>290000000</v>
      </c>
      <c r="E692" s="4336">
        <v>0.05</v>
      </c>
      <c r="F692" s="4260">
        <f>D692*E692</f>
        <v>14500000</v>
      </c>
      <c r="G692" s="7563">
        <v>36100000</v>
      </c>
      <c r="H692" s="7563" t="s">
        <v>6152</v>
      </c>
      <c r="I692" s="7889" t="s">
        <v>1611</v>
      </c>
      <c r="J692" s="7563">
        <f>G692+G693</f>
        <v>36100000</v>
      </c>
      <c r="K692" s="7816">
        <f>(F692+F693+F694)-J692</f>
        <v>0</v>
      </c>
      <c r="L692" s="7888"/>
      <c r="M692" s="386"/>
      <c r="N692" s="386"/>
      <c r="O692" s="386"/>
      <c r="P692" s="386"/>
      <c r="Q692" s="386"/>
    </row>
    <row r="693" spans="1:17" ht="30" customHeight="1" x14ac:dyDescent="0.2">
      <c r="A693" s="7879"/>
      <c r="B693" s="7717"/>
      <c r="C693" s="7873"/>
      <c r="D693" s="4260">
        <v>210000000</v>
      </c>
      <c r="E693" s="4336">
        <v>0.06</v>
      </c>
      <c r="F693" s="4260">
        <f>D693*E693</f>
        <v>12600000</v>
      </c>
      <c r="G693" s="7586"/>
      <c r="H693" s="7586"/>
      <c r="I693" s="8036"/>
      <c r="J693" s="7586"/>
      <c r="K693" s="7882"/>
      <c r="L693" s="7811"/>
      <c r="M693" s="386"/>
      <c r="N693" s="386"/>
      <c r="O693" s="386"/>
      <c r="P693" s="386"/>
      <c r="Q693" s="386"/>
    </row>
    <row r="694" spans="1:17" ht="30" customHeight="1" x14ac:dyDescent="0.2">
      <c r="A694" s="7879"/>
      <c r="B694" s="7717"/>
      <c r="C694" s="7873"/>
      <c r="D694" s="4260">
        <v>150000000</v>
      </c>
      <c r="E694" s="4336">
        <v>0.06</v>
      </c>
      <c r="F694" s="4260">
        <f>D694*E694</f>
        <v>9000000</v>
      </c>
      <c r="G694" s="7564"/>
      <c r="H694" s="7564"/>
      <c r="I694" s="7890"/>
      <c r="J694" s="7564"/>
      <c r="K694" s="7817"/>
      <c r="L694" s="4320"/>
      <c r="M694" s="386"/>
      <c r="N694" s="386"/>
      <c r="O694" s="386"/>
      <c r="P694" s="386"/>
      <c r="Q694" s="386"/>
    </row>
    <row r="695" spans="1:17" ht="30" customHeight="1" x14ac:dyDescent="0.2">
      <c r="A695" s="7879">
        <v>361</v>
      </c>
      <c r="B695" s="7652" t="s">
        <v>1612</v>
      </c>
      <c r="C695" s="7723" t="s">
        <v>371</v>
      </c>
      <c r="D695" s="7563">
        <v>2815000000</v>
      </c>
      <c r="E695" s="7659"/>
      <c r="F695" s="7563">
        <v>106650000</v>
      </c>
      <c r="G695" s="4268">
        <v>18000000</v>
      </c>
      <c r="H695" s="7470" t="s">
        <v>5156</v>
      </c>
      <c r="I695" s="7510"/>
      <c r="J695" s="7482">
        <f>G695+G696+G697+G698+G699+G700</f>
        <v>106650000</v>
      </c>
      <c r="K695" s="7499">
        <f>F695-J695</f>
        <v>0</v>
      </c>
      <c r="L695" s="4344" t="s">
        <v>4625</v>
      </c>
      <c r="M695" s="386"/>
      <c r="N695" s="386"/>
      <c r="O695" s="386"/>
      <c r="P695" s="386"/>
      <c r="Q695" s="386"/>
    </row>
    <row r="696" spans="1:17" ht="30" customHeight="1" x14ac:dyDescent="0.2">
      <c r="A696" s="7879"/>
      <c r="B696" s="7665"/>
      <c r="C696" s="7747"/>
      <c r="D696" s="7586"/>
      <c r="E696" s="7676"/>
      <c r="F696" s="7586"/>
      <c r="G696" s="4581">
        <v>20000000</v>
      </c>
      <c r="H696" s="4581" t="s">
        <v>6354</v>
      </c>
      <c r="I696" s="4593" t="s">
        <v>1613</v>
      </c>
      <c r="J696" s="7482"/>
      <c r="K696" s="7499"/>
      <c r="L696" s="4344" t="s">
        <v>4626</v>
      </c>
      <c r="M696" s="386"/>
      <c r="N696" s="386"/>
      <c r="O696" s="386"/>
      <c r="P696" s="386"/>
      <c r="Q696" s="386"/>
    </row>
    <row r="697" spans="1:17" ht="30" customHeight="1" x14ac:dyDescent="0.2">
      <c r="A697" s="7879"/>
      <c r="B697" s="7665"/>
      <c r="C697" s="7747"/>
      <c r="D697" s="7586"/>
      <c r="E697" s="7676"/>
      <c r="F697" s="7586"/>
      <c r="G697" s="4260">
        <v>15000000</v>
      </c>
      <c r="H697" s="4260" t="s">
        <v>6395</v>
      </c>
      <c r="I697" s="4260" t="s">
        <v>2291</v>
      </c>
      <c r="J697" s="7482"/>
      <c r="K697" s="7499"/>
      <c r="L697" s="4344"/>
      <c r="M697" s="386"/>
      <c r="N697" s="386"/>
      <c r="O697" s="386"/>
      <c r="P697" s="386"/>
      <c r="Q697" s="386"/>
    </row>
    <row r="698" spans="1:17" ht="30" customHeight="1" x14ac:dyDescent="0.2">
      <c r="A698" s="7879"/>
      <c r="B698" s="7665"/>
      <c r="C698" s="7747"/>
      <c r="D698" s="7586"/>
      <c r="E698" s="7676"/>
      <c r="F698" s="7586"/>
      <c r="G698" s="4816">
        <v>20000000</v>
      </c>
      <c r="H698" s="4816" t="s">
        <v>6693</v>
      </c>
      <c r="I698" s="4816" t="s">
        <v>1613</v>
      </c>
      <c r="J698" s="7482"/>
      <c r="K698" s="7499"/>
      <c r="L698" s="4837"/>
      <c r="M698" s="386"/>
      <c r="N698" s="386"/>
      <c r="O698" s="386"/>
      <c r="P698" s="386"/>
      <c r="Q698" s="386"/>
    </row>
    <row r="699" spans="1:17" ht="30" customHeight="1" x14ac:dyDescent="0.2">
      <c r="A699" s="7879"/>
      <c r="B699" s="7665"/>
      <c r="C699" s="7747"/>
      <c r="D699" s="7586"/>
      <c r="E699" s="7676"/>
      <c r="F699" s="7586"/>
      <c r="G699" s="4816">
        <v>20000000</v>
      </c>
      <c r="H699" s="4816" t="s">
        <v>6723</v>
      </c>
      <c r="I699" s="4816" t="s">
        <v>1613</v>
      </c>
      <c r="J699" s="7482"/>
      <c r="K699" s="7499"/>
      <c r="L699" s="4837"/>
      <c r="M699" s="386"/>
      <c r="N699" s="386"/>
      <c r="O699" s="386"/>
      <c r="P699" s="386"/>
      <c r="Q699" s="386"/>
    </row>
    <row r="700" spans="1:17" ht="30" customHeight="1" x14ac:dyDescent="0.2">
      <c r="A700" s="7879"/>
      <c r="B700" s="7665"/>
      <c r="C700" s="7747"/>
      <c r="D700" s="7564"/>
      <c r="E700" s="7660"/>
      <c r="F700" s="7564"/>
      <c r="G700" s="4725">
        <v>13650000</v>
      </c>
      <c r="H700" s="4922" t="s">
        <v>6762</v>
      </c>
      <c r="I700" s="4922" t="s">
        <v>1613</v>
      </c>
      <c r="J700" s="7482"/>
      <c r="K700" s="7499"/>
      <c r="L700" s="4344"/>
      <c r="M700" s="386"/>
      <c r="N700" s="386"/>
      <c r="O700" s="386"/>
      <c r="P700" s="386"/>
      <c r="Q700" s="386"/>
    </row>
    <row r="701" spans="1:17" ht="30" customHeight="1" x14ac:dyDescent="0.2">
      <c r="A701" s="4271"/>
      <c r="B701" s="4338" t="s">
        <v>4179</v>
      </c>
      <c r="C701" s="4337" t="s">
        <v>2278</v>
      </c>
      <c r="D701" s="4260">
        <v>30000000</v>
      </c>
      <c r="E701" s="4336">
        <v>6.5000000000000002E-2</v>
      </c>
      <c r="F701" s="4260">
        <f>D701*E701</f>
        <v>1950000</v>
      </c>
      <c r="G701" s="4260">
        <v>1950000</v>
      </c>
      <c r="H701" s="4260" t="s">
        <v>6435</v>
      </c>
      <c r="I701" s="4260" t="s">
        <v>2369</v>
      </c>
      <c r="J701" s="4260">
        <f>G701</f>
        <v>1950000</v>
      </c>
      <c r="K701" s="4264">
        <f>F701-J701</f>
        <v>0</v>
      </c>
      <c r="L701" s="4343"/>
      <c r="M701" s="4343"/>
      <c r="N701" s="4343"/>
      <c r="O701" s="4343"/>
      <c r="P701" s="386"/>
      <c r="Q701" s="386"/>
    </row>
    <row r="702" spans="1:17" ht="30" customHeight="1" x14ac:dyDescent="0.2">
      <c r="A702" s="4341">
        <v>362</v>
      </c>
      <c r="B702" s="19" t="s">
        <v>1619</v>
      </c>
      <c r="C702" s="4337" t="s">
        <v>1652</v>
      </c>
      <c r="D702" s="4268">
        <v>360000000</v>
      </c>
      <c r="E702" s="4336">
        <v>4.4999999999999998E-2</v>
      </c>
      <c r="F702" s="4268">
        <v>16500000</v>
      </c>
      <c r="G702" s="4268">
        <v>16500000</v>
      </c>
      <c r="H702" s="4268" t="s">
        <v>3807</v>
      </c>
      <c r="I702" s="472" t="s">
        <v>4776</v>
      </c>
      <c r="J702" s="4268">
        <f t="shared" ref="J702:J709" si="72">G702</f>
        <v>16500000</v>
      </c>
      <c r="K702" s="4323">
        <f t="shared" ref="K702:K709" si="73">F702-J702</f>
        <v>0</v>
      </c>
      <c r="L702" s="4343"/>
      <c r="M702" s="4343"/>
      <c r="N702" s="4343"/>
      <c r="O702" s="4343"/>
      <c r="P702" s="386"/>
      <c r="Q702" s="386"/>
    </row>
    <row r="703" spans="1:17" ht="30" customHeight="1" x14ac:dyDescent="0.2">
      <c r="A703" s="4272">
        <v>363</v>
      </c>
      <c r="B703" s="4279" t="s">
        <v>1641</v>
      </c>
      <c r="C703" s="4300"/>
      <c r="D703" s="4268">
        <v>33000000</v>
      </c>
      <c r="E703" s="4336">
        <v>0.05</v>
      </c>
      <c r="F703" s="4268">
        <f>D703*E703</f>
        <v>1650000</v>
      </c>
      <c r="G703" s="4268">
        <v>1650000</v>
      </c>
      <c r="H703" s="4268" t="s">
        <v>6251</v>
      </c>
      <c r="I703" s="472" t="s">
        <v>6253</v>
      </c>
      <c r="J703" s="4268">
        <f t="shared" si="72"/>
        <v>1650000</v>
      </c>
      <c r="K703" s="4323">
        <f t="shared" si="73"/>
        <v>0</v>
      </c>
      <c r="L703" s="4343" t="s">
        <v>6254</v>
      </c>
      <c r="M703" s="386"/>
      <c r="N703" s="386"/>
      <c r="O703" s="386"/>
      <c r="P703" s="386"/>
      <c r="Q703" s="386"/>
    </row>
    <row r="704" spans="1:17" ht="30" customHeight="1" x14ac:dyDescent="0.2">
      <c r="A704" s="7654">
        <v>364</v>
      </c>
      <c r="B704" s="7652" t="s">
        <v>6247</v>
      </c>
      <c r="C704" s="7723" t="s">
        <v>1172</v>
      </c>
      <c r="D704" s="7563">
        <v>270000000</v>
      </c>
      <c r="E704" s="7659">
        <v>0.06</v>
      </c>
      <c r="F704" s="4482">
        <v>10200000</v>
      </c>
      <c r="G704" s="4268">
        <v>10200000</v>
      </c>
      <c r="H704" s="4268" t="s">
        <v>6223</v>
      </c>
      <c r="I704" s="472" t="s">
        <v>2776</v>
      </c>
      <c r="J704" s="4268">
        <f t="shared" si="72"/>
        <v>10200000</v>
      </c>
      <c r="K704" s="4500">
        <f t="shared" si="73"/>
        <v>0</v>
      </c>
      <c r="L704" s="4343"/>
      <c r="M704" s="386"/>
      <c r="N704" s="386"/>
      <c r="O704" s="386"/>
      <c r="P704" s="386"/>
      <c r="Q704" s="386"/>
    </row>
    <row r="705" spans="1:17" ht="30" customHeight="1" x14ac:dyDescent="0.2">
      <c r="A705" s="7655"/>
      <c r="B705" s="7653"/>
      <c r="C705" s="7724"/>
      <c r="D705" s="7564"/>
      <c r="E705" s="7660"/>
      <c r="F705" s="4482">
        <v>6000000</v>
      </c>
      <c r="G705" s="4268">
        <v>6000000</v>
      </c>
      <c r="H705" s="4268" t="s">
        <v>6223</v>
      </c>
      <c r="I705" s="472" t="s">
        <v>5499</v>
      </c>
      <c r="J705" s="4268">
        <f>G705</f>
        <v>6000000</v>
      </c>
      <c r="K705" s="4500">
        <f t="shared" si="73"/>
        <v>0</v>
      </c>
      <c r="L705" s="4320" t="s">
        <v>6248</v>
      </c>
      <c r="M705" s="386"/>
      <c r="N705" s="386"/>
      <c r="O705" s="386"/>
      <c r="P705" s="386"/>
      <c r="Q705" s="386"/>
    </row>
    <row r="706" spans="1:17" ht="30" customHeight="1" x14ac:dyDescent="0.2">
      <c r="A706" s="4341">
        <v>365</v>
      </c>
      <c r="B706" s="4338" t="s">
        <v>1639</v>
      </c>
      <c r="C706" s="4337" t="s">
        <v>1718</v>
      </c>
      <c r="D706" s="4268">
        <v>250000000</v>
      </c>
      <c r="E706" s="4336">
        <v>0.05</v>
      </c>
      <c r="F706" s="4268">
        <f>D706*E706</f>
        <v>12500000</v>
      </c>
      <c r="G706" s="4260">
        <v>12500000</v>
      </c>
      <c r="H706" s="4260" t="s">
        <v>6354</v>
      </c>
      <c r="I706" s="4260" t="s">
        <v>2808</v>
      </c>
      <c r="J706" s="4260">
        <f t="shared" si="72"/>
        <v>12500000</v>
      </c>
      <c r="K706" s="4323">
        <f t="shared" si="73"/>
        <v>0</v>
      </c>
      <c r="L706" s="4320"/>
      <c r="M706" s="386"/>
      <c r="N706" s="386"/>
      <c r="O706" s="386"/>
      <c r="P706" s="386"/>
      <c r="Q706" s="386"/>
    </row>
    <row r="707" spans="1:17" ht="30" customHeight="1" x14ac:dyDescent="0.2">
      <c r="A707" s="7654">
        <v>366</v>
      </c>
      <c r="B707" s="7652" t="s">
        <v>4684</v>
      </c>
      <c r="C707" s="7723" t="s">
        <v>1107</v>
      </c>
      <c r="D707" s="4260">
        <v>70000000</v>
      </c>
      <c r="E707" s="4336">
        <v>6.3E-2</v>
      </c>
      <c r="F707" s="4260">
        <v>4400000</v>
      </c>
      <c r="G707" s="7563">
        <v>11150000</v>
      </c>
      <c r="H707" s="7563" t="s">
        <v>6577</v>
      </c>
      <c r="I707" s="7889" t="s">
        <v>4781</v>
      </c>
      <c r="J707" s="7563">
        <f>G707</f>
        <v>11150000</v>
      </c>
      <c r="K707" s="7816">
        <f>(F707+F708)-J707</f>
        <v>0</v>
      </c>
      <c r="L707" s="4343"/>
      <c r="M707" s="386"/>
      <c r="N707" s="386"/>
      <c r="O707" s="386"/>
      <c r="P707" s="386"/>
      <c r="Q707" s="386"/>
    </row>
    <row r="708" spans="1:17" ht="30" customHeight="1" x14ac:dyDescent="0.2">
      <c r="A708" s="7655"/>
      <c r="B708" s="7653"/>
      <c r="C708" s="7724"/>
      <c r="D708" s="4268">
        <v>135000000</v>
      </c>
      <c r="E708" s="4274">
        <v>0.05</v>
      </c>
      <c r="F708" s="4268">
        <f>D708*E708</f>
        <v>6750000</v>
      </c>
      <c r="G708" s="7564"/>
      <c r="H708" s="7564"/>
      <c r="I708" s="7890"/>
      <c r="J708" s="7564"/>
      <c r="K708" s="7817"/>
      <c r="L708" s="4343"/>
      <c r="M708" s="386"/>
      <c r="N708" s="386"/>
      <c r="O708" s="386"/>
      <c r="P708" s="386"/>
      <c r="Q708" s="386"/>
    </row>
    <row r="709" spans="1:17" ht="30" customHeight="1" x14ac:dyDescent="0.2">
      <c r="A709" s="4272">
        <v>367</v>
      </c>
      <c r="B709" s="4279" t="s">
        <v>1666</v>
      </c>
      <c r="C709" s="4300" t="s">
        <v>1172</v>
      </c>
      <c r="D709" s="4268">
        <v>25000000</v>
      </c>
      <c r="E709" s="4336">
        <v>0.05</v>
      </c>
      <c r="F709" s="4268">
        <f>D709*E709</f>
        <v>1250000</v>
      </c>
      <c r="G709" s="4268">
        <v>1500000</v>
      </c>
      <c r="H709" s="4268" t="s">
        <v>3807</v>
      </c>
      <c r="I709" s="472" t="s">
        <v>6259</v>
      </c>
      <c r="J709" s="4268">
        <f t="shared" si="72"/>
        <v>1500000</v>
      </c>
      <c r="K709" s="4323">
        <f t="shared" si="73"/>
        <v>-250000</v>
      </c>
      <c r="L709" s="4343" t="s">
        <v>6260</v>
      </c>
      <c r="M709" s="386"/>
      <c r="N709" s="386"/>
      <c r="O709" s="386"/>
      <c r="P709" s="386"/>
      <c r="Q709" s="386"/>
    </row>
    <row r="710" spans="1:17" ht="30" customHeight="1" x14ac:dyDescent="0.2">
      <c r="A710" s="4341">
        <v>368</v>
      </c>
      <c r="B710" s="19" t="s">
        <v>1793</v>
      </c>
      <c r="C710" s="4337" t="s">
        <v>392</v>
      </c>
      <c r="D710" s="4268">
        <v>818000000</v>
      </c>
      <c r="E710" s="4274">
        <v>7.0000000000000007E-2</v>
      </c>
      <c r="F710" s="4268">
        <f>D710*E710</f>
        <v>57260000.000000007</v>
      </c>
      <c r="G710" s="4645">
        <v>57260000</v>
      </c>
      <c r="H710" s="4645" t="s">
        <v>6192</v>
      </c>
      <c r="I710" s="472" t="s">
        <v>5483</v>
      </c>
      <c r="J710" s="4443">
        <f>G710</f>
        <v>57260000</v>
      </c>
      <c r="K710" s="4264">
        <f>F710-J710</f>
        <v>0</v>
      </c>
      <c r="L710" s="4319" t="s">
        <v>5511</v>
      </c>
      <c r="M710" s="386"/>
      <c r="N710" s="386"/>
      <c r="O710" s="386"/>
      <c r="P710" s="386"/>
      <c r="Q710" s="386"/>
    </row>
    <row r="711" spans="1:17" ht="30" customHeight="1" x14ac:dyDescent="0.2">
      <c r="A711" s="7654"/>
      <c r="B711" s="7652" t="s">
        <v>5590</v>
      </c>
      <c r="C711" s="7723" t="s">
        <v>371</v>
      </c>
      <c r="D711" s="7563">
        <v>286000000</v>
      </c>
      <c r="E711" s="7659">
        <v>7.0000000000000007E-2</v>
      </c>
      <c r="F711" s="7563">
        <f>D711*E711</f>
        <v>20020000.000000004</v>
      </c>
      <c r="G711" s="4645">
        <v>2020000</v>
      </c>
      <c r="H711" s="4645" t="s">
        <v>6395</v>
      </c>
      <c r="I711" s="472" t="s">
        <v>6397</v>
      </c>
      <c r="J711" s="7563">
        <f>G711+G712+G713</f>
        <v>20020000</v>
      </c>
      <c r="K711" s="7816">
        <f>F711-J711</f>
        <v>0</v>
      </c>
      <c r="L711" s="4319" t="s">
        <v>5556</v>
      </c>
      <c r="M711" s="386"/>
      <c r="N711" s="386"/>
      <c r="O711" s="386"/>
      <c r="P711" s="386"/>
      <c r="Q711" s="386"/>
    </row>
    <row r="712" spans="1:17" ht="30" customHeight="1" x14ac:dyDescent="0.2">
      <c r="A712" s="7656"/>
      <c r="B712" s="7665"/>
      <c r="C712" s="7747"/>
      <c r="D712" s="7586"/>
      <c r="E712" s="7676"/>
      <c r="F712" s="7586"/>
      <c r="G712" s="4645">
        <v>13030000</v>
      </c>
      <c r="H712" s="4645" t="s">
        <v>6395</v>
      </c>
      <c r="I712" s="472" t="s">
        <v>6397</v>
      </c>
      <c r="J712" s="7586"/>
      <c r="K712" s="7882"/>
      <c r="L712" s="4319" t="s">
        <v>5591</v>
      </c>
      <c r="M712" s="386"/>
      <c r="N712" s="386"/>
      <c r="O712" s="386"/>
      <c r="P712" s="386"/>
      <c r="Q712" s="386"/>
    </row>
    <row r="713" spans="1:17" ht="30" customHeight="1" x14ac:dyDescent="0.2">
      <c r="A713" s="7655"/>
      <c r="B713" s="7653"/>
      <c r="C713" s="7724"/>
      <c r="D713" s="7564"/>
      <c r="E713" s="7660"/>
      <c r="F713" s="7564"/>
      <c r="G713" s="4645">
        <v>4970000</v>
      </c>
      <c r="H713" s="4645" t="s">
        <v>4491</v>
      </c>
      <c r="I713" s="472" t="s">
        <v>6397</v>
      </c>
      <c r="J713" s="7564"/>
      <c r="K713" s="7817"/>
      <c r="L713" s="4653"/>
      <c r="M713" s="386"/>
      <c r="N713" s="386"/>
      <c r="O713" s="386"/>
      <c r="P713" s="386"/>
      <c r="Q713" s="386"/>
    </row>
    <row r="714" spans="1:17" ht="30" customHeight="1" x14ac:dyDescent="0.2">
      <c r="A714" s="7879">
        <v>369</v>
      </c>
      <c r="B714" s="7717" t="s">
        <v>1676</v>
      </c>
      <c r="C714" s="7873" t="s">
        <v>1652</v>
      </c>
      <c r="D714" s="4268">
        <v>250000000</v>
      </c>
      <c r="E714" s="4274">
        <v>0.05</v>
      </c>
      <c r="F714" s="4268">
        <f t="shared" ref="F714:F721" si="74">D714*E714</f>
        <v>12500000</v>
      </c>
      <c r="G714" s="7563">
        <v>27800000</v>
      </c>
      <c r="H714" s="7563" t="s">
        <v>3807</v>
      </c>
      <c r="I714" s="7563" t="s">
        <v>4896</v>
      </c>
      <c r="J714" s="7563">
        <f>G714</f>
        <v>27800000</v>
      </c>
      <c r="K714" s="7563">
        <f>(F714+F715+F716+F717)-J714</f>
        <v>0</v>
      </c>
      <c r="L714" s="4319"/>
      <c r="M714" s="386"/>
      <c r="N714" s="386"/>
      <c r="O714" s="386"/>
      <c r="P714" s="386"/>
      <c r="Q714" s="386"/>
    </row>
    <row r="715" spans="1:17" ht="30" customHeight="1" x14ac:dyDescent="0.2">
      <c r="A715" s="7879"/>
      <c r="B715" s="7717"/>
      <c r="C715" s="7873"/>
      <c r="D715" s="4268">
        <v>150000000</v>
      </c>
      <c r="E715" s="4274">
        <v>0.06</v>
      </c>
      <c r="F715" s="4268">
        <f t="shared" si="74"/>
        <v>9000000</v>
      </c>
      <c r="G715" s="7586"/>
      <c r="H715" s="7586"/>
      <c r="I715" s="7586"/>
      <c r="J715" s="7586"/>
      <c r="K715" s="7586"/>
      <c r="L715" s="4344"/>
      <c r="M715" s="386"/>
      <c r="N715" s="386"/>
      <c r="O715" s="386"/>
      <c r="P715" s="386"/>
      <c r="Q715" s="386"/>
    </row>
    <row r="716" spans="1:17" ht="30" customHeight="1" x14ac:dyDescent="0.2">
      <c r="A716" s="7879"/>
      <c r="B716" s="7717"/>
      <c r="C716" s="7873"/>
      <c r="D716" s="4268">
        <v>50000000</v>
      </c>
      <c r="E716" s="4274">
        <v>0.06</v>
      </c>
      <c r="F716" s="4268">
        <f t="shared" si="74"/>
        <v>3000000</v>
      </c>
      <c r="G716" s="7586"/>
      <c r="H716" s="7586"/>
      <c r="I716" s="7586"/>
      <c r="J716" s="7586"/>
      <c r="K716" s="7586"/>
      <c r="L716" s="4344"/>
      <c r="M716" s="386"/>
      <c r="N716" s="386"/>
      <c r="O716" s="386"/>
      <c r="P716" s="386"/>
      <c r="Q716" s="386"/>
    </row>
    <row r="717" spans="1:17" ht="30" customHeight="1" x14ac:dyDescent="0.2">
      <c r="A717" s="7879"/>
      <c r="B717" s="7717"/>
      <c r="C717" s="7873"/>
      <c r="D717" s="4268">
        <v>55000000</v>
      </c>
      <c r="E717" s="4274">
        <v>0.06</v>
      </c>
      <c r="F717" s="4268">
        <f t="shared" si="74"/>
        <v>3300000</v>
      </c>
      <c r="G717" s="7564"/>
      <c r="H717" s="7564"/>
      <c r="I717" s="7564"/>
      <c r="J717" s="7564"/>
      <c r="K717" s="7564"/>
      <c r="L717" s="4320"/>
      <c r="M717" s="386"/>
      <c r="N717" s="386"/>
      <c r="O717" s="386"/>
      <c r="P717" s="386"/>
      <c r="Q717" s="386"/>
    </row>
    <row r="718" spans="1:17" ht="30" customHeight="1" x14ac:dyDescent="0.2">
      <c r="A718" s="4341"/>
      <c r="B718" s="4338" t="s">
        <v>5179</v>
      </c>
      <c r="C718" s="4337" t="s">
        <v>3390</v>
      </c>
      <c r="D718" s="4268">
        <v>400000000</v>
      </c>
      <c r="E718" s="4274">
        <v>7.0000000000000007E-2</v>
      </c>
      <c r="F718" s="4268">
        <f t="shared" ref="F718" si="75">D718*E718</f>
        <v>28000000.000000004</v>
      </c>
      <c r="G718" s="4260">
        <v>28000000</v>
      </c>
      <c r="H718" s="4313" t="s">
        <v>3634</v>
      </c>
      <c r="I718" s="4260" t="s">
        <v>6569</v>
      </c>
      <c r="J718" s="4260">
        <f>G718</f>
        <v>28000000</v>
      </c>
      <c r="K718" s="4260">
        <f>F718-J718</f>
        <v>0</v>
      </c>
      <c r="L718" s="4320"/>
      <c r="M718" s="386"/>
      <c r="N718" s="386"/>
      <c r="O718" s="386"/>
      <c r="P718" s="386"/>
      <c r="Q718" s="386"/>
    </row>
    <row r="719" spans="1:17" ht="30" customHeight="1" x14ac:dyDescent="0.2">
      <c r="A719" s="4341"/>
      <c r="B719" s="4287" t="s">
        <v>5182</v>
      </c>
      <c r="C719" s="4300" t="s">
        <v>3390</v>
      </c>
      <c r="D719" s="4268">
        <v>150000000</v>
      </c>
      <c r="E719" s="4274">
        <v>0.05</v>
      </c>
      <c r="F719" s="4268">
        <f t="shared" si="74"/>
        <v>7500000</v>
      </c>
      <c r="G719" s="4268">
        <v>7500000</v>
      </c>
      <c r="H719" s="4268" t="s">
        <v>6622</v>
      </c>
      <c r="I719" s="4308" t="s">
        <v>5761</v>
      </c>
      <c r="J719" s="4268">
        <f>G719</f>
        <v>7500000</v>
      </c>
      <c r="K719" s="4268">
        <f>F719-J719</f>
        <v>0</v>
      </c>
      <c r="L719" s="4320"/>
      <c r="M719" s="386"/>
      <c r="N719" s="386"/>
      <c r="O719" s="386"/>
      <c r="P719" s="386"/>
      <c r="Q719" s="386"/>
    </row>
    <row r="720" spans="1:17" ht="30" customHeight="1" x14ac:dyDescent="0.2">
      <c r="A720" s="4341">
        <v>370</v>
      </c>
      <c r="B720" s="4338" t="s">
        <v>1696</v>
      </c>
      <c r="C720" s="4337" t="s">
        <v>3323</v>
      </c>
      <c r="D720" s="4260">
        <v>200000000</v>
      </c>
      <c r="E720" s="4336">
        <v>0.05</v>
      </c>
      <c r="F720" s="4260">
        <f t="shared" si="74"/>
        <v>10000000</v>
      </c>
      <c r="G720" s="4268">
        <v>10000000</v>
      </c>
      <c r="H720" s="4268" t="s">
        <v>6125</v>
      </c>
      <c r="I720" s="472" t="s">
        <v>3400</v>
      </c>
      <c r="J720" s="4268">
        <f t="shared" ref="J720:J732" si="76">G720</f>
        <v>10000000</v>
      </c>
      <c r="K720" s="4323">
        <f>F720-J720</f>
        <v>0</v>
      </c>
      <c r="L720" s="4343" t="s">
        <v>4906</v>
      </c>
      <c r="M720" s="386"/>
      <c r="N720" s="386"/>
      <c r="O720" s="386"/>
      <c r="P720" s="386"/>
      <c r="Q720" s="386"/>
    </row>
    <row r="721" spans="1:17" ht="30" customHeight="1" x14ac:dyDescent="0.2">
      <c r="A721" s="1028">
        <v>371</v>
      </c>
      <c r="B721" s="4338" t="s">
        <v>1698</v>
      </c>
      <c r="C721" s="4337" t="s">
        <v>942</v>
      </c>
      <c r="D721" s="4260">
        <v>50000000</v>
      </c>
      <c r="E721" s="4336">
        <v>0.04</v>
      </c>
      <c r="F721" s="4260">
        <f t="shared" si="74"/>
        <v>2000000</v>
      </c>
      <c r="G721" s="4260">
        <v>2000000</v>
      </c>
      <c r="H721" s="4260" t="s">
        <v>6368</v>
      </c>
      <c r="I721" s="4383" t="s">
        <v>1720</v>
      </c>
      <c r="J721" s="4260">
        <f t="shared" si="76"/>
        <v>2000000</v>
      </c>
      <c r="K721" s="4264">
        <f>F721-J721</f>
        <v>0</v>
      </c>
      <c r="L721" s="4343" t="s">
        <v>4906</v>
      </c>
      <c r="M721" s="386"/>
      <c r="N721" s="386"/>
      <c r="O721" s="386"/>
      <c r="P721" s="386"/>
      <c r="Q721" s="386"/>
    </row>
    <row r="722" spans="1:17" ht="30" customHeight="1" x14ac:dyDescent="0.2">
      <c r="A722" s="4272">
        <v>372</v>
      </c>
      <c r="B722" s="4279" t="s">
        <v>1706</v>
      </c>
      <c r="C722" s="4300"/>
      <c r="D722" s="4281"/>
      <c r="E722" s="2519"/>
      <c r="F722" s="4281"/>
      <c r="G722" s="4268"/>
      <c r="H722" s="4268"/>
      <c r="I722" s="472"/>
      <c r="J722" s="4268">
        <f t="shared" si="76"/>
        <v>0</v>
      </c>
      <c r="K722" s="4330"/>
      <c r="L722" s="4343"/>
      <c r="M722" s="386"/>
      <c r="N722" s="386"/>
      <c r="O722" s="386"/>
      <c r="P722" s="386"/>
      <c r="Q722" s="386"/>
    </row>
    <row r="723" spans="1:17" ht="30" customHeight="1" x14ac:dyDescent="0.2">
      <c r="A723" s="7654"/>
      <c r="B723" s="7652" t="s">
        <v>1725</v>
      </c>
      <c r="C723" s="7723" t="s">
        <v>1718</v>
      </c>
      <c r="D723" s="4260">
        <v>20000000</v>
      </c>
      <c r="E723" s="4336">
        <v>0.05</v>
      </c>
      <c r="F723" s="4260">
        <f>D723*E723</f>
        <v>1000000</v>
      </c>
      <c r="G723" s="7563">
        <v>1500000</v>
      </c>
      <c r="H723" s="7563" t="s">
        <v>6354</v>
      </c>
      <c r="I723" s="7563" t="s">
        <v>3486</v>
      </c>
      <c r="J723" s="7563">
        <f t="shared" si="76"/>
        <v>1500000</v>
      </c>
      <c r="K723" s="7816">
        <f>(F723+F724)-J723</f>
        <v>0</v>
      </c>
      <c r="L723" s="4343"/>
      <c r="M723" s="386"/>
      <c r="N723" s="386"/>
      <c r="O723" s="386"/>
      <c r="P723" s="386"/>
      <c r="Q723" s="386"/>
    </row>
    <row r="724" spans="1:17" ht="30" customHeight="1" x14ac:dyDescent="0.2">
      <c r="A724" s="7655"/>
      <c r="B724" s="7653"/>
      <c r="C724" s="7724"/>
      <c r="D724" s="4268">
        <v>10000000</v>
      </c>
      <c r="E724" s="4336">
        <v>0.05</v>
      </c>
      <c r="F724" s="4260">
        <f>D724*E724</f>
        <v>500000</v>
      </c>
      <c r="G724" s="7564"/>
      <c r="H724" s="7564"/>
      <c r="I724" s="7564"/>
      <c r="J724" s="7564"/>
      <c r="K724" s="7817"/>
      <c r="L724" s="4343"/>
      <c r="M724" s="386"/>
      <c r="N724" s="386"/>
      <c r="O724" s="386"/>
      <c r="P724" s="386"/>
      <c r="Q724" s="386"/>
    </row>
    <row r="725" spans="1:17" ht="30" customHeight="1" x14ac:dyDescent="0.2">
      <c r="A725" s="4272">
        <v>374</v>
      </c>
      <c r="B725" s="4279" t="s">
        <v>1727</v>
      </c>
      <c r="C725" s="4300"/>
      <c r="D725" s="4281"/>
      <c r="E725" s="4290"/>
      <c r="F725" s="4281"/>
      <c r="G725" s="4268"/>
      <c r="H725" s="4268"/>
      <c r="I725" s="472"/>
      <c r="J725" s="4268">
        <f t="shared" si="76"/>
        <v>0</v>
      </c>
      <c r="K725" s="4330">
        <f t="shared" ref="K725:K733" si="77">F725-J725</f>
        <v>0</v>
      </c>
      <c r="L725" s="4343"/>
      <c r="M725" s="386"/>
      <c r="N725" s="386"/>
      <c r="O725" s="386"/>
      <c r="P725" s="386"/>
      <c r="Q725" s="386"/>
    </row>
    <row r="726" spans="1:17" ht="30" customHeight="1" x14ac:dyDescent="0.2">
      <c r="A726" s="7654">
        <v>375</v>
      </c>
      <c r="B726" s="7652" t="s">
        <v>6040</v>
      </c>
      <c r="C726" s="7723" t="s">
        <v>889</v>
      </c>
      <c r="D726" s="4260">
        <v>1000000000</v>
      </c>
      <c r="E726" s="4336">
        <v>7.0000000000000007E-2</v>
      </c>
      <c r="F726" s="4260">
        <f>D726*E726</f>
        <v>70000000</v>
      </c>
      <c r="G726" s="4260"/>
      <c r="H726" s="4260"/>
      <c r="I726" s="4260" t="s">
        <v>4403</v>
      </c>
      <c r="J726" s="4260">
        <f>G726</f>
        <v>0</v>
      </c>
      <c r="K726" s="4264">
        <f>F726-J726</f>
        <v>70000000</v>
      </c>
      <c r="L726" s="4350"/>
      <c r="M726" s="386"/>
      <c r="N726" s="386"/>
      <c r="O726" s="386"/>
      <c r="P726" s="386"/>
      <c r="Q726" s="386"/>
    </row>
    <row r="727" spans="1:17" ht="30" customHeight="1" x14ac:dyDescent="0.2">
      <c r="A727" s="7656"/>
      <c r="B727" s="7665"/>
      <c r="C727" s="7747"/>
      <c r="D727" s="4268">
        <v>500000000</v>
      </c>
      <c r="E727" s="4336">
        <v>7.0000000000000007E-2</v>
      </c>
      <c r="F727" s="4268">
        <f>D727*E727</f>
        <v>35000000</v>
      </c>
      <c r="G727" s="7732" t="s">
        <v>6042</v>
      </c>
      <c r="H727" s="7733"/>
      <c r="I727" s="7733"/>
      <c r="J727" s="7734"/>
      <c r="K727" s="4323"/>
      <c r="L727" s="4350" t="s">
        <v>6044</v>
      </c>
      <c r="M727" s="386"/>
      <c r="N727" s="386"/>
      <c r="O727" s="386"/>
      <c r="P727" s="386"/>
      <c r="Q727" s="386"/>
    </row>
    <row r="728" spans="1:17" ht="30" customHeight="1" x14ac:dyDescent="0.2">
      <c r="A728" s="7656"/>
      <c r="B728" s="7665"/>
      <c r="C728" s="7747"/>
      <c r="D728" s="4268">
        <v>500000000</v>
      </c>
      <c r="E728" s="4336">
        <v>7.0000000000000007E-2</v>
      </c>
      <c r="F728" s="4268">
        <f>D728*E729</f>
        <v>35000000</v>
      </c>
      <c r="G728" s="7732" t="s">
        <v>6041</v>
      </c>
      <c r="H728" s="7733"/>
      <c r="I728" s="7733"/>
      <c r="J728" s="7734"/>
      <c r="K728" s="4323"/>
      <c r="L728" s="4350" t="s">
        <v>6043</v>
      </c>
      <c r="M728" s="386"/>
      <c r="N728" s="386"/>
      <c r="O728" s="386"/>
      <c r="P728" s="386"/>
      <c r="Q728" s="386"/>
    </row>
    <row r="729" spans="1:17" ht="30" customHeight="1" x14ac:dyDescent="0.2">
      <c r="A729" s="7655"/>
      <c r="B729" s="7653"/>
      <c r="C729" s="7724"/>
      <c r="D729" s="4283">
        <v>2000000000</v>
      </c>
      <c r="E729" s="4388">
        <v>7.0000000000000007E-2</v>
      </c>
      <c r="F729" s="4283">
        <f>D729*E729</f>
        <v>140000000</v>
      </c>
      <c r="G729" s="4268"/>
      <c r="H729" s="4268"/>
      <c r="I729" s="4308"/>
      <c r="J729" s="4268"/>
      <c r="K729" s="4323"/>
      <c r="L729" s="4350"/>
      <c r="M729" s="386"/>
      <c r="N729" s="386"/>
      <c r="O729" s="386"/>
      <c r="P729" s="386"/>
      <c r="Q729" s="386"/>
    </row>
    <row r="730" spans="1:17" ht="30" customHeight="1" x14ac:dyDescent="0.2">
      <c r="A730" s="4272">
        <v>376</v>
      </c>
      <c r="B730" s="4279" t="s">
        <v>3580</v>
      </c>
      <c r="C730" s="4300" t="s">
        <v>262</v>
      </c>
      <c r="D730" s="4268">
        <v>50000000</v>
      </c>
      <c r="E730" s="4336">
        <v>0.06</v>
      </c>
      <c r="F730" s="4268">
        <f>D730*E730</f>
        <v>3000000</v>
      </c>
      <c r="G730" s="4268">
        <v>3000000</v>
      </c>
      <c r="H730" s="4268" t="s">
        <v>6386</v>
      </c>
      <c r="I730" s="472" t="s">
        <v>4093</v>
      </c>
      <c r="J730" s="4268">
        <f t="shared" si="76"/>
        <v>3000000</v>
      </c>
      <c r="K730" s="4323">
        <f t="shared" si="77"/>
        <v>0</v>
      </c>
      <c r="L730" s="4343"/>
      <c r="M730" s="386"/>
      <c r="N730" s="386"/>
      <c r="O730" s="386"/>
      <c r="P730" s="386"/>
      <c r="Q730" s="386"/>
    </row>
    <row r="731" spans="1:17" ht="30" customHeight="1" x14ac:dyDescent="0.2">
      <c r="A731" s="4272">
        <v>377</v>
      </c>
      <c r="B731" s="4279" t="s">
        <v>1752</v>
      </c>
      <c r="C731" s="4300" t="s">
        <v>1652</v>
      </c>
      <c r="D731" s="4268">
        <v>153000000</v>
      </c>
      <c r="E731" s="4336">
        <v>7.0000000000000007E-2</v>
      </c>
      <c r="F731" s="4268">
        <f>D731*E731</f>
        <v>10710000.000000002</v>
      </c>
      <c r="G731" s="4268">
        <v>10710000</v>
      </c>
      <c r="H731" s="4268" t="s">
        <v>3807</v>
      </c>
      <c r="I731" s="472" t="s">
        <v>1952</v>
      </c>
      <c r="J731" s="4268">
        <f t="shared" si="76"/>
        <v>10710000</v>
      </c>
      <c r="K731" s="4323">
        <f t="shared" si="77"/>
        <v>0</v>
      </c>
      <c r="L731" s="4343"/>
      <c r="M731" s="386"/>
      <c r="N731" s="386"/>
      <c r="O731" s="386"/>
      <c r="P731" s="386"/>
      <c r="Q731" s="386"/>
    </row>
    <row r="732" spans="1:17" ht="30" customHeight="1" x14ac:dyDescent="0.2">
      <c r="A732" s="4272">
        <v>378</v>
      </c>
      <c r="B732" s="4279" t="s">
        <v>1790</v>
      </c>
      <c r="C732" s="4300" t="s">
        <v>889</v>
      </c>
      <c r="D732" s="4268">
        <v>300000000</v>
      </c>
      <c r="E732" s="4336">
        <v>5.0999999999999997E-2</v>
      </c>
      <c r="F732" s="4268">
        <v>15500000</v>
      </c>
      <c r="G732" s="4268">
        <v>15500000</v>
      </c>
      <c r="H732" s="4268" t="s">
        <v>6152</v>
      </c>
      <c r="I732" s="472" t="s">
        <v>3062</v>
      </c>
      <c r="J732" s="4268">
        <f t="shared" si="76"/>
        <v>15500000</v>
      </c>
      <c r="K732" s="4323">
        <f t="shared" si="77"/>
        <v>0</v>
      </c>
      <c r="L732" s="4343"/>
      <c r="M732" s="386"/>
      <c r="N732" s="386"/>
      <c r="O732" s="386"/>
      <c r="P732" s="386"/>
      <c r="Q732" s="386"/>
    </row>
    <row r="733" spans="1:17" ht="30" customHeight="1" x14ac:dyDescent="0.2">
      <c r="A733" s="4271">
        <v>379</v>
      </c>
      <c r="B733" s="19" t="s">
        <v>1753</v>
      </c>
      <c r="C733" s="4337" t="s">
        <v>372</v>
      </c>
      <c r="D733" s="4260">
        <v>60000000</v>
      </c>
      <c r="E733" s="4336">
        <v>0.05</v>
      </c>
      <c r="F733" s="4260">
        <f>D733*E733</f>
        <v>3000000</v>
      </c>
      <c r="G733" s="4260">
        <v>3000000</v>
      </c>
      <c r="H733" s="4260" t="s">
        <v>6362</v>
      </c>
      <c r="I733" s="4383" t="s">
        <v>6367</v>
      </c>
      <c r="J733" s="4260">
        <f>G733</f>
        <v>3000000</v>
      </c>
      <c r="K733" s="4264">
        <f t="shared" si="77"/>
        <v>0</v>
      </c>
      <c r="L733" s="4322"/>
      <c r="M733" s="386"/>
      <c r="N733" s="386"/>
      <c r="O733" s="386"/>
      <c r="P733" s="386"/>
      <c r="Q733" s="386"/>
    </row>
    <row r="734" spans="1:17" ht="30" customHeight="1" x14ac:dyDescent="0.2">
      <c r="A734" s="4272">
        <v>381</v>
      </c>
      <c r="B734" s="4279" t="s">
        <v>1797</v>
      </c>
      <c r="C734" s="4300" t="s">
        <v>889</v>
      </c>
      <c r="D734" s="4268">
        <v>50000000</v>
      </c>
      <c r="E734" s="4336">
        <v>0.05</v>
      </c>
      <c r="F734" s="4268">
        <f>D734*E734</f>
        <v>2500000</v>
      </c>
      <c r="G734" s="4268">
        <v>2500000</v>
      </c>
      <c r="H734" s="4268" t="s">
        <v>6152</v>
      </c>
      <c r="I734" s="472" t="s">
        <v>3516</v>
      </c>
      <c r="J734" s="4268">
        <f>G734</f>
        <v>2500000</v>
      </c>
      <c r="K734" s="4323">
        <f>F734-J734</f>
        <v>0</v>
      </c>
      <c r="L734" s="4343" t="s">
        <v>5484</v>
      </c>
      <c r="M734" s="386"/>
      <c r="N734" s="386"/>
      <c r="O734" s="386"/>
      <c r="P734" s="386"/>
      <c r="Q734" s="386"/>
    </row>
    <row r="735" spans="1:17" ht="30" customHeight="1" x14ac:dyDescent="0.2">
      <c r="A735" s="4272">
        <v>382</v>
      </c>
      <c r="B735" s="4279" t="s">
        <v>1812</v>
      </c>
      <c r="C735" s="4300" t="s">
        <v>262</v>
      </c>
      <c r="D735" s="4268">
        <v>150000000</v>
      </c>
      <c r="E735" s="4336"/>
      <c r="F735" s="4268"/>
      <c r="G735" s="4268"/>
      <c r="H735" s="4268"/>
      <c r="I735" s="472"/>
      <c r="J735" s="4268"/>
      <c r="K735" s="4323"/>
      <c r="L735" s="4343"/>
      <c r="M735" s="386"/>
      <c r="N735" s="386"/>
      <c r="O735" s="386"/>
      <c r="P735" s="386"/>
      <c r="Q735" s="386"/>
    </row>
    <row r="736" spans="1:17" ht="30" customHeight="1" x14ac:dyDescent="0.2">
      <c r="A736" s="4272">
        <v>383</v>
      </c>
      <c r="B736" s="4279" t="s">
        <v>1823</v>
      </c>
      <c r="C736" s="4300" t="s">
        <v>262</v>
      </c>
      <c r="D736" s="4268">
        <v>10000000</v>
      </c>
      <c r="E736" s="4336">
        <v>7.0000000000000007E-2</v>
      </c>
      <c r="F736" s="4268">
        <f t="shared" ref="F736:F748" si="78">D736*E736</f>
        <v>700000.00000000012</v>
      </c>
      <c r="G736" s="4268">
        <v>700000</v>
      </c>
      <c r="H736" s="4268" t="s">
        <v>6368</v>
      </c>
      <c r="I736" s="472" t="s">
        <v>2928</v>
      </c>
      <c r="J736" s="4268">
        <f>G736</f>
        <v>700000</v>
      </c>
      <c r="K736" s="4323">
        <f>F736-J736</f>
        <v>0</v>
      </c>
      <c r="L736" s="4343"/>
      <c r="M736" s="386"/>
      <c r="N736" s="386"/>
      <c r="O736" s="386"/>
      <c r="P736" s="386"/>
      <c r="Q736" s="386"/>
    </row>
    <row r="737" spans="1:17" ht="30" customHeight="1" x14ac:dyDescent="0.2">
      <c r="A737" s="624">
        <v>384</v>
      </c>
      <c r="B737" s="4279" t="s">
        <v>1861</v>
      </c>
      <c r="C737" s="4300" t="s">
        <v>262</v>
      </c>
      <c r="D737" s="4268">
        <v>150000000</v>
      </c>
      <c r="E737" s="4336">
        <v>7.0000000000000007E-2</v>
      </c>
      <c r="F737" s="4268">
        <f t="shared" si="78"/>
        <v>10500000.000000002</v>
      </c>
      <c r="G737" s="4268">
        <v>10500000</v>
      </c>
      <c r="H737" s="4268" t="s">
        <v>6368</v>
      </c>
      <c r="I737" s="472" t="s">
        <v>1960</v>
      </c>
      <c r="J737" s="4268">
        <f>G737</f>
        <v>10500000</v>
      </c>
      <c r="K737" s="4323">
        <f>F737-J737</f>
        <v>0</v>
      </c>
      <c r="L737" s="4343"/>
      <c r="M737" s="386"/>
      <c r="N737" s="386"/>
      <c r="O737" s="386"/>
      <c r="P737" s="386"/>
      <c r="Q737" s="386"/>
    </row>
    <row r="738" spans="1:17" ht="30" customHeight="1" x14ac:dyDescent="0.2">
      <c r="A738" s="4272">
        <v>385</v>
      </c>
      <c r="B738" s="4279" t="s">
        <v>1877</v>
      </c>
      <c r="C738" s="7723" t="s">
        <v>1652</v>
      </c>
      <c r="D738" s="4268">
        <v>12000000</v>
      </c>
      <c r="E738" s="4336">
        <v>0.05</v>
      </c>
      <c r="F738" s="4260">
        <f>D738*E738</f>
        <v>600000</v>
      </c>
      <c r="G738" s="7563">
        <v>2030000</v>
      </c>
      <c r="H738" s="7563" t="s">
        <v>3807</v>
      </c>
      <c r="I738" s="7563" t="s">
        <v>6266</v>
      </c>
      <c r="J738" s="7563">
        <f>G738</f>
        <v>2030000</v>
      </c>
      <c r="K738" s="7816"/>
      <c r="L738" s="4343" t="s">
        <v>6267</v>
      </c>
      <c r="M738" s="386"/>
      <c r="N738" s="386"/>
      <c r="O738" s="386"/>
      <c r="P738" s="386"/>
      <c r="Q738" s="386"/>
    </row>
    <row r="739" spans="1:17" ht="30" customHeight="1" x14ac:dyDescent="0.2">
      <c r="A739" s="7654"/>
      <c r="B739" s="4287" t="s">
        <v>5481</v>
      </c>
      <c r="C739" s="7747"/>
      <c r="D739" s="4260">
        <v>31000000</v>
      </c>
      <c r="E739" s="4336">
        <v>0.05</v>
      </c>
      <c r="F739" s="4259">
        <f>D739*E739</f>
        <v>1550000</v>
      </c>
      <c r="G739" s="7586"/>
      <c r="H739" s="7586"/>
      <c r="I739" s="7586"/>
      <c r="J739" s="7586"/>
      <c r="K739" s="7882"/>
      <c r="L739" s="4319" t="s">
        <v>6268</v>
      </c>
      <c r="M739" s="386"/>
      <c r="N739" s="386"/>
      <c r="O739" s="386"/>
      <c r="P739" s="386"/>
      <c r="Q739" s="386"/>
    </row>
    <row r="740" spans="1:17" ht="30" customHeight="1" x14ac:dyDescent="0.2">
      <c r="A740" s="7655"/>
      <c r="B740" s="4287"/>
      <c r="C740" s="7724"/>
      <c r="D740" s="2653">
        <f>SUM(D738:D739)</f>
        <v>43000000</v>
      </c>
      <c r="E740" s="4285">
        <v>0.05</v>
      </c>
      <c r="F740" s="4259">
        <f>D740*E740</f>
        <v>2150000</v>
      </c>
      <c r="G740" s="7564"/>
      <c r="H740" s="7564"/>
      <c r="I740" s="7564"/>
      <c r="J740" s="7564"/>
      <c r="K740" s="7817"/>
      <c r="L740" s="4319"/>
      <c r="M740" s="386"/>
      <c r="N740" s="386"/>
      <c r="O740" s="386"/>
      <c r="P740" s="386"/>
      <c r="Q740" s="386"/>
    </row>
    <row r="741" spans="1:17" ht="30" customHeight="1" x14ac:dyDescent="0.2">
      <c r="A741" s="7654">
        <v>386</v>
      </c>
      <c r="B741" s="7652" t="s">
        <v>3092</v>
      </c>
      <c r="C741" s="7723" t="s">
        <v>1306</v>
      </c>
      <c r="D741" s="4266">
        <v>100000000</v>
      </c>
      <c r="E741" s="4273">
        <v>7.0000000000000007E-2</v>
      </c>
      <c r="F741" s="4266">
        <f t="shared" si="78"/>
        <v>7000000.0000000009</v>
      </c>
      <c r="G741" s="4268">
        <v>7000000</v>
      </c>
      <c r="H741" s="4260" t="s">
        <v>3634</v>
      </c>
      <c r="I741" s="4383" t="s">
        <v>6568</v>
      </c>
      <c r="J741" s="4266">
        <f t="shared" ref="J741:J748" si="79">G741</f>
        <v>7000000</v>
      </c>
      <c r="K741" s="4322">
        <f>F741-J741</f>
        <v>0</v>
      </c>
      <c r="L741" s="4319" t="s">
        <v>5438</v>
      </c>
      <c r="M741" s="386"/>
      <c r="N741" s="386"/>
      <c r="O741" s="386"/>
      <c r="P741" s="386"/>
      <c r="Q741" s="386"/>
    </row>
    <row r="742" spans="1:17" ht="30" customHeight="1" x14ac:dyDescent="0.2">
      <c r="A742" s="7656"/>
      <c r="B742" s="7665"/>
      <c r="C742" s="7747"/>
      <c r="D742" s="7494" t="s">
        <v>6720</v>
      </c>
      <c r="E742" s="7495"/>
      <c r="F742" s="7768"/>
      <c r="G742" s="4869">
        <v>20000000</v>
      </c>
      <c r="H742" s="4866" t="s">
        <v>6693</v>
      </c>
      <c r="I742" s="4912" t="s">
        <v>6721</v>
      </c>
      <c r="J742" s="7563">
        <f>G742+G743+G744+G745+G746</f>
        <v>75500000</v>
      </c>
      <c r="K742" s="7816"/>
      <c r="L742" s="4893"/>
      <c r="M742" s="386"/>
      <c r="N742" s="386"/>
      <c r="O742" s="386"/>
      <c r="P742" s="386"/>
      <c r="Q742" s="386"/>
    </row>
    <row r="743" spans="1:17" ht="30" customHeight="1" x14ac:dyDescent="0.2">
      <c r="A743" s="7656"/>
      <c r="B743" s="7665"/>
      <c r="C743" s="7747"/>
      <c r="D743" s="7877"/>
      <c r="E743" s="7524"/>
      <c r="F743" s="7878"/>
      <c r="G743" s="4869">
        <v>10000000</v>
      </c>
      <c r="H743" s="4866" t="s">
        <v>6693</v>
      </c>
      <c r="I743" s="4912" t="s">
        <v>6721</v>
      </c>
      <c r="J743" s="7586"/>
      <c r="K743" s="7882"/>
      <c r="L743" s="4893"/>
      <c r="M743" s="386"/>
      <c r="N743" s="386"/>
      <c r="O743" s="386"/>
      <c r="P743" s="386"/>
      <c r="Q743" s="386"/>
    </row>
    <row r="744" spans="1:17" ht="30" customHeight="1" x14ac:dyDescent="0.2">
      <c r="A744" s="7656"/>
      <c r="B744" s="7665"/>
      <c r="C744" s="7747"/>
      <c r="D744" s="7877"/>
      <c r="E744" s="7524"/>
      <c r="F744" s="7878"/>
      <c r="G744" s="4869">
        <v>35000000</v>
      </c>
      <c r="H744" s="4866" t="s">
        <v>6723</v>
      </c>
      <c r="I744" s="4912" t="s">
        <v>6568</v>
      </c>
      <c r="J744" s="7586"/>
      <c r="K744" s="7882"/>
      <c r="L744" s="4893"/>
      <c r="M744" s="386"/>
      <c r="N744" s="386"/>
      <c r="O744" s="386"/>
      <c r="P744" s="386"/>
      <c r="Q744" s="386"/>
    </row>
    <row r="745" spans="1:17" ht="30" customHeight="1" x14ac:dyDescent="0.2">
      <c r="A745" s="7656"/>
      <c r="B745" s="7665"/>
      <c r="C745" s="7747"/>
      <c r="D745" s="7877"/>
      <c r="E745" s="7524"/>
      <c r="F745" s="7878"/>
      <c r="G745" s="4925">
        <v>10000000</v>
      </c>
      <c r="H745" s="4922" t="s">
        <v>6759</v>
      </c>
      <c r="I745" s="4942" t="s">
        <v>4476</v>
      </c>
      <c r="J745" s="7586"/>
      <c r="K745" s="7882"/>
      <c r="L745" s="4934"/>
      <c r="M745" s="386"/>
      <c r="N745" s="386"/>
      <c r="O745" s="386"/>
      <c r="P745" s="386"/>
      <c r="Q745" s="386"/>
    </row>
    <row r="746" spans="1:17" ht="30" customHeight="1" x14ac:dyDescent="0.2">
      <c r="A746" s="7655"/>
      <c r="B746" s="7653"/>
      <c r="C746" s="7724"/>
      <c r="D746" s="7769"/>
      <c r="E746" s="7805"/>
      <c r="F746" s="7770"/>
      <c r="G746" s="4925">
        <v>500000</v>
      </c>
      <c r="H746" s="4922" t="s">
        <v>6759</v>
      </c>
      <c r="I746" s="4942" t="s">
        <v>4476</v>
      </c>
      <c r="J746" s="7564"/>
      <c r="K746" s="7817"/>
      <c r="L746" s="4934"/>
      <c r="M746" s="386"/>
      <c r="N746" s="386"/>
      <c r="O746" s="386"/>
      <c r="P746" s="386"/>
      <c r="Q746" s="386"/>
    </row>
    <row r="747" spans="1:17" ht="30" customHeight="1" x14ac:dyDescent="0.2">
      <c r="A747" s="4341">
        <v>387</v>
      </c>
      <c r="B747" s="4338" t="s">
        <v>1923</v>
      </c>
      <c r="C747" s="4337" t="s">
        <v>1306</v>
      </c>
      <c r="D747" s="4260">
        <v>75000000</v>
      </c>
      <c r="E747" s="4336">
        <v>0.05</v>
      </c>
      <c r="F747" s="4260">
        <f t="shared" si="78"/>
        <v>3750000</v>
      </c>
      <c r="G747" s="4260">
        <v>3750000</v>
      </c>
      <c r="H747" s="4383" t="s">
        <v>6577</v>
      </c>
      <c r="I747" s="4383" t="s">
        <v>6581</v>
      </c>
      <c r="J747" s="4266">
        <f t="shared" si="79"/>
        <v>3750000</v>
      </c>
      <c r="K747" s="4264">
        <f>F747-J747</f>
        <v>0</v>
      </c>
      <c r="L747" s="4343"/>
      <c r="M747" s="386"/>
      <c r="N747" s="386"/>
      <c r="O747" s="386"/>
      <c r="P747" s="386"/>
      <c r="Q747" s="386"/>
    </row>
    <row r="748" spans="1:17" ht="30" customHeight="1" x14ac:dyDescent="0.2">
      <c r="A748" s="4341"/>
      <c r="B748" s="4338" t="s">
        <v>1953</v>
      </c>
      <c r="C748" s="4337" t="s">
        <v>3302</v>
      </c>
      <c r="D748" s="4260">
        <v>150000000</v>
      </c>
      <c r="E748" s="4336">
        <v>0.05</v>
      </c>
      <c r="F748" s="4260">
        <f t="shared" si="78"/>
        <v>7500000</v>
      </c>
      <c r="G748" s="18">
        <v>7500000</v>
      </c>
      <c r="H748" s="18" t="s">
        <v>6577</v>
      </c>
      <c r="I748" s="18" t="s">
        <v>4581</v>
      </c>
      <c r="J748" s="18">
        <f t="shared" si="79"/>
        <v>7500000</v>
      </c>
      <c r="K748" s="4264">
        <f>G748-J748</f>
        <v>0</v>
      </c>
      <c r="L748" s="4350"/>
      <c r="M748" s="386"/>
      <c r="N748" s="386"/>
      <c r="O748" s="386"/>
      <c r="P748" s="386"/>
      <c r="Q748" s="386"/>
    </row>
    <row r="749" spans="1:17" ht="30" customHeight="1" x14ac:dyDescent="0.2">
      <c r="A749" s="4272">
        <v>390</v>
      </c>
      <c r="B749" s="4279" t="s">
        <v>1996</v>
      </c>
      <c r="C749" s="4300" t="s">
        <v>889</v>
      </c>
      <c r="D749" s="4268">
        <v>5000000</v>
      </c>
      <c r="E749" s="4274">
        <v>0.05</v>
      </c>
      <c r="F749" s="4268">
        <f>D749*E749</f>
        <v>250000</v>
      </c>
      <c r="G749" s="4268">
        <v>250000</v>
      </c>
      <c r="H749" s="4268" t="s">
        <v>6152</v>
      </c>
      <c r="I749" s="472" t="s">
        <v>2533</v>
      </c>
      <c r="J749" s="4268">
        <f>G749</f>
        <v>250000</v>
      </c>
      <c r="K749" s="4323">
        <f>F749-J749</f>
        <v>0</v>
      </c>
      <c r="L749" s="4343"/>
      <c r="M749" s="386"/>
      <c r="N749" s="386"/>
      <c r="O749" s="386"/>
      <c r="P749" s="386"/>
      <c r="Q749" s="386"/>
    </row>
    <row r="750" spans="1:17" ht="30" customHeight="1" x14ac:dyDescent="0.2">
      <c r="A750" s="4341">
        <v>391</v>
      </c>
      <c r="B750" s="4338" t="s">
        <v>2003</v>
      </c>
      <c r="C750" s="4337" t="s">
        <v>3390</v>
      </c>
      <c r="D750" s="4260">
        <v>1000000000</v>
      </c>
      <c r="E750" s="4336">
        <v>0.05</v>
      </c>
      <c r="F750" s="4260">
        <f>D750*E750</f>
        <v>50000000</v>
      </c>
      <c r="G750" s="4260">
        <v>50000000</v>
      </c>
      <c r="H750" s="4260" t="s">
        <v>3634</v>
      </c>
      <c r="I750" s="4260" t="s">
        <v>2279</v>
      </c>
      <c r="J750" s="4260">
        <f>G750</f>
        <v>50000000</v>
      </c>
      <c r="K750" s="4264">
        <f>F750-J750</f>
        <v>0</v>
      </c>
      <c r="L750" s="4264"/>
      <c r="M750" s="386"/>
      <c r="N750" s="386"/>
      <c r="O750" s="386"/>
      <c r="P750" s="386"/>
      <c r="Q750" s="386"/>
    </row>
    <row r="751" spans="1:17" ht="30" customHeight="1" x14ac:dyDescent="0.2">
      <c r="A751" s="4272">
        <v>392</v>
      </c>
      <c r="B751" s="4279" t="s">
        <v>2048</v>
      </c>
      <c r="C751" s="4300" t="s">
        <v>1294</v>
      </c>
      <c r="D751" s="4268">
        <v>50000000</v>
      </c>
      <c r="E751" s="4336">
        <v>0.05</v>
      </c>
      <c r="F751" s="4268">
        <f>D751*E751</f>
        <v>2500000</v>
      </c>
      <c r="G751" s="4268">
        <v>2500000</v>
      </c>
      <c r="H751" s="4268" t="s">
        <v>3284</v>
      </c>
      <c r="I751" s="472" t="s">
        <v>3047</v>
      </c>
      <c r="J751" s="4268">
        <f>G751</f>
        <v>2500000</v>
      </c>
      <c r="K751" s="4323">
        <f>F751-J751</f>
        <v>0</v>
      </c>
      <c r="L751" s="4343"/>
      <c r="M751" s="386"/>
      <c r="N751" s="386"/>
      <c r="O751" s="386"/>
      <c r="P751" s="386"/>
      <c r="Q751" s="386"/>
    </row>
    <row r="752" spans="1:17" ht="30" customHeight="1" x14ac:dyDescent="0.2">
      <c r="A752" s="4341"/>
      <c r="B752" s="19" t="s">
        <v>2040</v>
      </c>
      <c r="C752" s="4337"/>
      <c r="D752" s="4260">
        <v>70000000</v>
      </c>
      <c r="E752" s="4336">
        <v>0.05</v>
      </c>
      <c r="F752" s="4260">
        <f>D752*E752</f>
        <v>3500000</v>
      </c>
      <c r="G752" s="4260">
        <v>3500000</v>
      </c>
      <c r="H752" s="4260" t="s">
        <v>6512</v>
      </c>
      <c r="I752" s="4260" t="s">
        <v>3537</v>
      </c>
      <c r="J752" s="4260">
        <f>G752</f>
        <v>3500000</v>
      </c>
      <c r="K752" s="4264">
        <f>F752-J752</f>
        <v>0</v>
      </c>
      <c r="L752" s="4343"/>
      <c r="M752" s="386"/>
      <c r="N752" s="386"/>
      <c r="O752" s="386"/>
      <c r="P752" s="386"/>
      <c r="Q752" s="386"/>
    </row>
    <row r="753" spans="1:17" ht="30" customHeight="1" x14ac:dyDescent="0.2">
      <c r="A753" s="7656"/>
      <c r="B753" s="4354" t="s">
        <v>2052</v>
      </c>
      <c r="C753" s="8024" t="s">
        <v>1306</v>
      </c>
      <c r="D753" s="4352">
        <v>600000000</v>
      </c>
      <c r="E753" s="4367">
        <v>0.06</v>
      </c>
      <c r="F753" s="4352">
        <f>D753*E753</f>
        <v>36000000</v>
      </c>
      <c r="G753" s="7586"/>
      <c r="H753" s="7586"/>
      <c r="I753" s="8036"/>
      <c r="J753" s="7586"/>
      <c r="K753" s="4323"/>
      <c r="L753" s="4343"/>
      <c r="M753" s="386"/>
      <c r="N753" s="386"/>
      <c r="O753" s="386"/>
      <c r="P753" s="386"/>
      <c r="Q753" s="386"/>
    </row>
    <row r="754" spans="1:17" ht="30" customHeight="1" x14ac:dyDescent="0.2">
      <c r="A754" s="7656"/>
      <c r="B754" s="4354" t="s">
        <v>2049</v>
      </c>
      <c r="C754" s="8024"/>
      <c r="D754" s="4352">
        <v>310000000</v>
      </c>
      <c r="E754" s="679">
        <v>0.06</v>
      </c>
      <c r="F754" s="4352">
        <f t="shared" ref="F754:F758" si="80">D754*E754</f>
        <v>18600000</v>
      </c>
      <c r="G754" s="7586"/>
      <c r="H754" s="7586"/>
      <c r="I754" s="8036"/>
      <c r="J754" s="7586"/>
      <c r="K754" s="4323"/>
      <c r="L754" s="4343"/>
      <c r="M754" s="386"/>
      <c r="N754" s="386"/>
      <c r="O754" s="386"/>
      <c r="P754" s="386"/>
      <c r="Q754" s="386"/>
    </row>
    <row r="755" spans="1:17" ht="30" customHeight="1" x14ac:dyDescent="0.2">
      <c r="A755" s="7656"/>
      <c r="B755" s="4354" t="s">
        <v>2053</v>
      </c>
      <c r="C755" s="8024"/>
      <c r="D755" s="4352">
        <v>50000000</v>
      </c>
      <c r="E755" s="679">
        <v>0.06</v>
      </c>
      <c r="F755" s="4352">
        <f t="shared" si="80"/>
        <v>3000000</v>
      </c>
      <c r="G755" s="7586"/>
      <c r="H755" s="7586"/>
      <c r="I755" s="8036"/>
      <c r="J755" s="7586"/>
      <c r="K755" s="4323"/>
      <c r="L755" s="4343"/>
      <c r="M755" s="386"/>
      <c r="N755" s="386"/>
      <c r="O755" s="386"/>
      <c r="P755" s="386"/>
      <c r="Q755" s="386"/>
    </row>
    <row r="756" spans="1:17" ht="30" customHeight="1" x14ac:dyDescent="0.2">
      <c r="A756" s="7656"/>
      <c r="B756" s="4354" t="s">
        <v>2050</v>
      </c>
      <c r="C756" s="8024"/>
      <c r="D756" s="4352">
        <v>110000000</v>
      </c>
      <c r="E756" s="679">
        <v>0.06</v>
      </c>
      <c r="F756" s="4352">
        <f t="shared" si="80"/>
        <v>6600000</v>
      </c>
      <c r="G756" s="7586"/>
      <c r="H756" s="7586"/>
      <c r="I756" s="8036"/>
      <c r="J756" s="7586"/>
      <c r="K756" s="4323"/>
      <c r="L756" s="4343"/>
      <c r="M756" s="386"/>
      <c r="N756" s="386"/>
      <c r="O756" s="386"/>
      <c r="P756" s="386"/>
      <c r="Q756" s="386"/>
    </row>
    <row r="757" spans="1:17" ht="30" customHeight="1" x14ac:dyDescent="0.2">
      <c r="A757" s="7656"/>
      <c r="B757" s="4354" t="s">
        <v>2051</v>
      </c>
      <c r="C757" s="8025"/>
      <c r="D757" s="4352">
        <v>100000000</v>
      </c>
      <c r="E757" s="679">
        <v>0.06</v>
      </c>
      <c r="F757" s="4352">
        <f t="shared" si="80"/>
        <v>6000000</v>
      </c>
      <c r="G757" s="7564"/>
      <c r="H757" s="7564"/>
      <c r="I757" s="7890"/>
      <c r="J757" s="7564"/>
      <c r="K757" s="4323"/>
      <c r="L757" s="4343"/>
      <c r="M757" s="386"/>
      <c r="N757" s="386"/>
      <c r="O757" s="386"/>
      <c r="P757" s="386"/>
      <c r="Q757" s="386"/>
    </row>
    <row r="758" spans="1:17" ht="30" customHeight="1" x14ac:dyDescent="0.2">
      <c r="A758" s="7656"/>
      <c r="B758" s="4380" t="s">
        <v>4588</v>
      </c>
      <c r="C758" s="4355"/>
      <c r="D758" s="4360">
        <v>50000000</v>
      </c>
      <c r="E758" s="4366">
        <v>0.06</v>
      </c>
      <c r="F758" s="4360">
        <f t="shared" si="80"/>
        <v>3000000</v>
      </c>
      <c r="G758" s="7732"/>
      <c r="H758" s="7733"/>
      <c r="I758" s="7733"/>
      <c r="J758" s="7734"/>
      <c r="K758" s="4342"/>
      <c r="L758" s="4319"/>
      <c r="M758" s="386"/>
      <c r="N758" s="386"/>
      <c r="O758" s="386"/>
      <c r="P758" s="386"/>
      <c r="Q758" s="386"/>
    </row>
    <row r="759" spans="1:17" ht="30" customHeight="1" x14ac:dyDescent="0.2">
      <c r="A759" s="7656"/>
      <c r="B759" s="8021" t="s">
        <v>3423</v>
      </c>
      <c r="C759" s="8023" t="s">
        <v>1306</v>
      </c>
      <c r="D759" s="8001">
        <f>SUM(D753:D758)</f>
        <v>1220000000</v>
      </c>
      <c r="E759" s="8083"/>
      <c r="F759" s="8001">
        <f>SUM(F753:F758)</f>
        <v>73200000</v>
      </c>
      <c r="G759" s="8193"/>
      <c r="H759" s="8194"/>
      <c r="I759" s="8194"/>
      <c r="J759" s="8195"/>
      <c r="K759" s="7816">
        <f>F759-J759</f>
        <v>73200000</v>
      </c>
      <c r="L759" s="7816"/>
      <c r="M759" s="386"/>
      <c r="N759" s="386"/>
      <c r="O759" s="386"/>
      <c r="P759" s="386"/>
      <c r="Q759" s="386"/>
    </row>
    <row r="760" spans="1:17" ht="30" customHeight="1" x14ac:dyDescent="0.2">
      <c r="A760" s="7655"/>
      <c r="B760" s="8022"/>
      <c r="C760" s="8025"/>
      <c r="D760" s="8002"/>
      <c r="E760" s="8084"/>
      <c r="F760" s="8002"/>
      <c r="G760" s="8196"/>
      <c r="H760" s="8197"/>
      <c r="I760" s="8197"/>
      <c r="J760" s="8198"/>
      <c r="K760" s="7817"/>
      <c r="L760" s="7817"/>
      <c r="M760" s="386"/>
      <c r="N760" s="386"/>
      <c r="O760" s="386"/>
      <c r="P760" s="386"/>
      <c r="Q760" s="386"/>
    </row>
    <row r="761" spans="1:17" ht="30" customHeight="1" x14ac:dyDescent="0.2">
      <c r="A761" s="4341"/>
      <c r="B761" s="4338" t="s">
        <v>2069</v>
      </c>
      <c r="C761" s="4337" t="s">
        <v>3323</v>
      </c>
      <c r="D761" s="4260">
        <v>200000000</v>
      </c>
      <c r="E761" s="4336">
        <v>7.0000000000000007E-2</v>
      </c>
      <c r="F761" s="4260">
        <f t="shared" ref="F761:F767" si="81">D761*E761</f>
        <v>14000000.000000002</v>
      </c>
      <c r="G761" s="4268">
        <v>14000000</v>
      </c>
      <c r="H761" s="4268" t="s">
        <v>6759</v>
      </c>
      <c r="I761" s="472" t="s">
        <v>1076</v>
      </c>
      <c r="J761" s="4260">
        <f>G761</f>
        <v>14000000</v>
      </c>
      <c r="K761" s="4264">
        <f>F761-J761</f>
        <v>0</v>
      </c>
      <c r="L761" s="4322"/>
      <c r="M761" s="386"/>
      <c r="N761" s="386"/>
      <c r="O761" s="386"/>
      <c r="P761" s="386"/>
      <c r="Q761" s="386"/>
    </row>
    <row r="762" spans="1:17" ht="30" customHeight="1" x14ac:dyDescent="0.2">
      <c r="A762" s="4272"/>
      <c r="B762" s="4279" t="s">
        <v>2089</v>
      </c>
      <c r="C762" s="4300" t="s">
        <v>2278</v>
      </c>
      <c r="D762" s="4268">
        <v>13000000</v>
      </c>
      <c r="E762" s="4336">
        <v>0.05</v>
      </c>
      <c r="F762" s="4268">
        <f t="shared" si="81"/>
        <v>650000</v>
      </c>
      <c r="G762" s="4268">
        <v>650000</v>
      </c>
      <c r="H762" s="4268" t="s">
        <v>6435</v>
      </c>
      <c r="I762" s="472" t="s">
        <v>2984</v>
      </c>
      <c r="J762" s="4268">
        <f>G762</f>
        <v>650000</v>
      </c>
      <c r="K762" s="4323">
        <f>F762-J762</f>
        <v>0</v>
      </c>
      <c r="L762" s="4343"/>
      <c r="M762" s="386"/>
      <c r="N762" s="386"/>
      <c r="O762" s="386"/>
      <c r="P762" s="386"/>
      <c r="Q762" s="386"/>
    </row>
    <row r="763" spans="1:17" ht="30" customHeight="1" x14ac:dyDescent="0.2">
      <c r="A763" s="7654"/>
      <c r="B763" s="7652" t="s">
        <v>2128</v>
      </c>
      <c r="C763" s="7723" t="s">
        <v>1287</v>
      </c>
      <c r="D763" s="4268">
        <v>50000000</v>
      </c>
      <c r="E763" s="4336">
        <v>0.04</v>
      </c>
      <c r="F763" s="4268">
        <f t="shared" si="81"/>
        <v>2000000</v>
      </c>
      <c r="G763" s="7563">
        <v>7000000</v>
      </c>
      <c r="H763" s="7563" t="s">
        <v>6408</v>
      </c>
      <c r="I763" s="7889" t="s">
        <v>5845</v>
      </c>
      <c r="J763" s="7563">
        <f>G763</f>
        <v>7000000</v>
      </c>
      <c r="K763" s="7816">
        <f>(F763+F764)-J763</f>
        <v>0</v>
      </c>
      <c r="L763" s="4343"/>
      <c r="M763" s="386"/>
      <c r="N763" s="386"/>
      <c r="O763" s="386"/>
      <c r="P763" s="386"/>
      <c r="Q763" s="386"/>
    </row>
    <row r="764" spans="1:17" ht="30" customHeight="1" x14ac:dyDescent="0.2">
      <c r="A764" s="7655"/>
      <c r="B764" s="7653"/>
      <c r="C764" s="7724"/>
      <c r="D764" s="4267">
        <v>100000000</v>
      </c>
      <c r="E764" s="4273">
        <v>0.05</v>
      </c>
      <c r="F764" s="4267">
        <f t="shared" si="81"/>
        <v>5000000</v>
      </c>
      <c r="G764" s="7564"/>
      <c r="H764" s="7564"/>
      <c r="I764" s="7890"/>
      <c r="J764" s="7564"/>
      <c r="K764" s="7817"/>
      <c r="L764" s="4319" t="s">
        <v>5816</v>
      </c>
      <c r="M764" s="386"/>
      <c r="N764" s="386"/>
      <c r="O764" s="386"/>
      <c r="P764" s="386"/>
      <c r="Q764" s="386"/>
    </row>
    <row r="765" spans="1:17" ht="30" customHeight="1" x14ac:dyDescent="0.2">
      <c r="A765" s="7654"/>
      <c r="B765" s="7652" t="s">
        <v>2129</v>
      </c>
      <c r="C765" s="7723" t="s">
        <v>372</v>
      </c>
      <c r="D765" s="7563">
        <v>100000000</v>
      </c>
      <c r="E765" s="7659">
        <v>0.05</v>
      </c>
      <c r="F765" s="7563">
        <f t="shared" si="81"/>
        <v>5000000</v>
      </c>
      <c r="G765" s="4260">
        <v>500000</v>
      </c>
      <c r="H765" s="4260" t="s">
        <v>6362</v>
      </c>
      <c r="I765" s="4383" t="s">
        <v>3581</v>
      </c>
      <c r="J765" s="7563">
        <f>G765+G766</f>
        <v>5000000</v>
      </c>
      <c r="K765" s="7816">
        <f>F765-J765</f>
        <v>0</v>
      </c>
      <c r="L765" s="4322"/>
      <c r="M765" s="386"/>
      <c r="N765" s="386"/>
      <c r="O765" s="386"/>
      <c r="P765" s="386"/>
      <c r="Q765" s="386"/>
    </row>
    <row r="766" spans="1:17" ht="30" customHeight="1" x14ac:dyDescent="0.2">
      <c r="A766" s="7655"/>
      <c r="B766" s="7653"/>
      <c r="C766" s="7724"/>
      <c r="D766" s="7564"/>
      <c r="E766" s="7660"/>
      <c r="F766" s="7564"/>
      <c r="G766" s="4595">
        <v>4500000</v>
      </c>
      <c r="H766" s="4595" t="s">
        <v>6362</v>
      </c>
      <c r="I766" s="4616" t="s">
        <v>3581</v>
      </c>
      <c r="J766" s="7564"/>
      <c r="K766" s="7817"/>
      <c r="L766" s="4608"/>
      <c r="M766" s="386"/>
      <c r="N766" s="386"/>
      <c r="O766" s="386"/>
      <c r="P766" s="386"/>
      <c r="Q766" s="386"/>
    </row>
    <row r="767" spans="1:17" s="1539" customFormat="1" ht="30" customHeight="1" x14ac:dyDescent="0.2">
      <c r="A767" s="4341"/>
      <c r="B767" s="4338" t="s">
        <v>2208</v>
      </c>
      <c r="C767" s="4337" t="s">
        <v>1306</v>
      </c>
      <c r="D767" s="4260">
        <v>30000000</v>
      </c>
      <c r="E767" s="4336">
        <v>0.05</v>
      </c>
      <c r="F767" s="4260">
        <f t="shared" si="81"/>
        <v>1500000</v>
      </c>
      <c r="G767" s="4260">
        <v>1500000</v>
      </c>
      <c r="H767" s="4260" t="s">
        <v>6577</v>
      </c>
      <c r="I767" s="4260" t="s">
        <v>5850</v>
      </c>
      <c r="J767" s="4260">
        <f>G767</f>
        <v>1500000</v>
      </c>
      <c r="K767" s="4260">
        <f>F767-J767</f>
        <v>0</v>
      </c>
      <c r="L767" s="4343"/>
      <c r="M767" s="387"/>
      <c r="N767" s="387"/>
      <c r="O767" s="387"/>
      <c r="P767" s="387"/>
      <c r="Q767" s="387"/>
    </row>
    <row r="768" spans="1:17" ht="30" customHeight="1" x14ac:dyDescent="0.2">
      <c r="A768" s="4272"/>
      <c r="B768" s="4279" t="s">
        <v>2303</v>
      </c>
      <c r="C768" s="4300"/>
      <c r="D768" s="4268">
        <v>100000000</v>
      </c>
      <c r="E768" s="4336">
        <v>4.4999999999999998E-2</v>
      </c>
      <c r="F768" s="4268">
        <f>D768*E768</f>
        <v>4500000</v>
      </c>
      <c r="G768" s="4268"/>
      <c r="H768" s="4268"/>
      <c r="I768" s="472" t="s">
        <v>5949</v>
      </c>
      <c r="J768" s="4268">
        <f t="shared" ref="J768:J775" si="82">G768</f>
        <v>0</v>
      </c>
      <c r="K768" s="4323">
        <f>F768-J768</f>
        <v>4500000</v>
      </c>
      <c r="L768" s="4343" t="s">
        <v>5950</v>
      </c>
      <c r="M768" s="386"/>
      <c r="N768" s="386"/>
      <c r="O768" s="386"/>
      <c r="P768" s="386"/>
      <c r="Q768" s="386"/>
    </row>
    <row r="769" spans="1:17" ht="30" customHeight="1" x14ac:dyDescent="0.2">
      <c r="A769" s="4272"/>
      <c r="B769" s="4279" t="s">
        <v>5996</v>
      </c>
      <c r="C769" s="4300" t="s">
        <v>1306</v>
      </c>
      <c r="D769" s="4268">
        <v>25000000</v>
      </c>
      <c r="E769" s="4336">
        <v>0.04</v>
      </c>
      <c r="F769" s="4268">
        <f>D769*E769</f>
        <v>1000000</v>
      </c>
      <c r="G769" s="4268"/>
      <c r="H769" s="4268"/>
      <c r="I769" s="472" t="s">
        <v>2346</v>
      </c>
      <c r="J769" s="4268">
        <f t="shared" si="82"/>
        <v>0</v>
      </c>
      <c r="K769" s="4323">
        <f>F769-J769</f>
        <v>1000000</v>
      </c>
      <c r="L769" s="4343"/>
      <c r="M769" s="386"/>
      <c r="N769" s="386"/>
      <c r="O769" s="386"/>
      <c r="P769" s="386"/>
      <c r="Q769" s="386"/>
    </row>
    <row r="770" spans="1:17" ht="30" customHeight="1" x14ac:dyDescent="0.2">
      <c r="A770" s="4272"/>
      <c r="B770" s="4279" t="s">
        <v>2385</v>
      </c>
      <c r="C770" s="4300"/>
      <c r="D770" s="4281"/>
      <c r="E770" s="2519"/>
      <c r="F770" s="4281"/>
      <c r="G770" s="4268"/>
      <c r="H770" s="4268"/>
      <c r="I770" s="472"/>
      <c r="J770" s="4268">
        <f t="shared" si="82"/>
        <v>0</v>
      </c>
      <c r="K770" s="4330">
        <f>F770-J770</f>
        <v>0</v>
      </c>
      <c r="L770" s="4343"/>
      <c r="M770" s="386"/>
      <c r="N770" s="386"/>
      <c r="O770" s="386"/>
      <c r="P770" s="386"/>
      <c r="Q770" s="386"/>
    </row>
    <row r="771" spans="1:17" ht="30" customHeight="1" x14ac:dyDescent="0.2">
      <c r="A771" s="7654"/>
      <c r="B771" s="7652" t="s">
        <v>2388</v>
      </c>
      <c r="C771" s="7723" t="s">
        <v>1172</v>
      </c>
      <c r="D771" s="4260">
        <v>110000000</v>
      </c>
      <c r="E771" s="4336">
        <v>0.05</v>
      </c>
      <c r="F771" s="4260">
        <f>D771*E771</f>
        <v>5500000</v>
      </c>
      <c r="G771" s="8294" t="s">
        <v>6206</v>
      </c>
      <c r="H771" s="8295"/>
      <c r="I771" s="8295"/>
      <c r="J771" s="8296"/>
      <c r="K771" s="4322">
        <v>0</v>
      </c>
      <c r="L771" s="4343"/>
      <c r="M771" s="386"/>
      <c r="N771" s="386"/>
      <c r="O771" s="386"/>
      <c r="P771" s="386"/>
      <c r="Q771" s="386"/>
    </row>
    <row r="772" spans="1:17" ht="30" customHeight="1" x14ac:dyDescent="0.2">
      <c r="A772" s="7656"/>
      <c r="B772" s="7665"/>
      <c r="C772" s="7747"/>
      <c r="D772" s="4546">
        <v>5500000</v>
      </c>
      <c r="E772" s="4568">
        <v>0.05</v>
      </c>
      <c r="F772" s="4546">
        <f>D772*E772</f>
        <v>275000</v>
      </c>
      <c r="G772" s="8297"/>
      <c r="H772" s="8298"/>
      <c r="I772" s="8298"/>
      <c r="J772" s="8299"/>
      <c r="K772" s="4564"/>
      <c r="L772" s="4569"/>
      <c r="M772" s="386"/>
      <c r="N772" s="386"/>
      <c r="O772" s="386"/>
      <c r="P772" s="386"/>
      <c r="Q772" s="386"/>
    </row>
    <row r="773" spans="1:17" ht="30" customHeight="1" x14ac:dyDescent="0.2">
      <c r="A773" s="7656"/>
      <c r="B773" s="7665"/>
      <c r="C773" s="7747"/>
      <c r="D773" s="4546">
        <v>4500000</v>
      </c>
      <c r="E773" s="4568">
        <v>0.05</v>
      </c>
      <c r="F773" s="4546">
        <f>D773*E773</f>
        <v>225000</v>
      </c>
      <c r="G773" s="8092" t="s">
        <v>6315</v>
      </c>
      <c r="H773" s="8093"/>
      <c r="I773" s="8093"/>
      <c r="J773" s="8094"/>
      <c r="K773" s="4564"/>
      <c r="L773" s="4569"/>
      <c r="M773" s="386"/>
      <c r="N773" s="386"/>
      <c r="O773" s="386"/>
      <c r="P773" s="386"/>
      <c r="Q773" s="386"/>
    </row>
    <row r="774" spans="1:17" ht="30" customHeight="1" x14ac:dyDescent="0.2">
      <c r="A774" s="7655"/>
      <c r="B774" s="7653"/>
      <c r="C774" s="7724"/>
      <c r="D774" s="4558">
        <f>SUM(D771:D773)</f>
        <v>120000000</v>
      </c>
      <c r="E774" s="4576">
        <v>0.05</v>
      </c>
      <c r="F774" s="4558">
        <f>D774*E774</f>
        <v>6000000</v>
      </c>
      <c r="G774" s="8092" t="s">
        <v>3217</v>
      </c>
      <c r="H774" s="8093"/>
      <c r="I774" s="8093"/>
      <c r="J774" s="8094"/>
      <c r="K774" s="4564"/>
      <c r="L774" s="4569"/>
      <c r="M774" s="386"/>
      <c r="N774" s="386"/>
      <c r="O774" s="386"/>
      <c r="P774" s="386"/>
      <c r="Q774" s="386"/>
    </row>
    <row r="775" spans="1:17" ht="30" customHeight="1" x14ac:dyDescent="0.2">
      <c r="A775" s="7654"/>
      <c r="B775" s="7652" t="s">
        <v>2647</v>
      </c>
      <c r="C775" s="7723" t="s">
        <v>1652</v>
      </c>
      <c r="D775" s="4268">
        <v>100000000</v>
      </c>
      <c r="E775" s="4336">
        <v>0.05</v>
      </c>
      <c r="F775" s="4268">
        <f t="shared" ref="F775:F785" si="83">D775*E775</f>
        <v>5000000</v>
      </c>
      <c r="G775" s="4400">
        <v>5000000</v>
      </c>
      <c r="H775" s="4400" t="s">
        <v>6251</v>
      </c>
      <c r="I775" s="4400" t="s">
        <v>4505</v>
      </c>
      <c r="J775" s="4400">
        <f t="shared" si="82"/>
        <v>5000000</v>
      </c>
      <c r="K775" s="4401">
        <f>(F775+F776)-J775</f>
        <v>11000000</v>
      </c>
      <c r="L775" s="4401"/>
      <c r="M775" s="386"/>
      <c r="N775" s="386"/>
      <c r="O775" s="386"/>
      <c r="P775" s="386"/>
      <c r="Q775" s="386"/>
    </row>
    <row r="776" spans="1:17" ht="30" customHeight="1" x14ac:dyDescent="0.2">
      <c r="A776" s="7656"/>
      <c r="B776" s="7665"/>
      <c r="C776" s="7747"/>
      <c r="D776" s="4475">
        <v>220000000</v>
      </c>
      <c r="E776" s="4476">
        <v>0.05</v>
      </c>
      <c r="F776" s="4475">
        <f t="shared" si="83"/>
        <v>11000000</v>
      </c>
      <c r="G776" s="4477">
        <v>70000000</v>
      </c>
      <c r="H776" s="4477" t="s">
        <v>6125</v>
      </c>
      <c r="I776" s="4477" t="s">
        <v>4505</v>
      </c>
      <c r="J776" s="8378">
        <f>G776+G777+G778+G779+G780</f>
        <v>220000000</v>
      </c>
      <c r="K776" s="8407">
        <f>220000000-J776</f>
        <v>0</v>
      </c>
      <c r="L776" s="4401"/>
      <c r="M776" s="386"/>
      <c r="N776" s="386"/>
      <c r="O776" s="386"/>
      <c r="P776" s="386"/>
      <c r="Q776" s="386"/>
    </row>
    <row r="777" spans="1:17" ht="30" customHeight="1" x14ac:dyDescent="0.2">
      <c r="A777" s="7656"/>
      <c r="B777" s="7665"/>
      <c r="C777" s="7747"/>
      <c r="D777" s="8396" t="s">
        <v>6142</v>
      </c>
      <c r="E777" s="8397"/>
      <c r="F777" s="8398"/>
      <c r="G777" s="4477">
        <v>70000000</v>
      </c>
      <c r="H777" s="4477" t="s">
        <v>6152</v>
      </c>
      <c r="I777" s="4477" t="s">
        <v>4505</v>
      </c>
      <c r="J777" s="8379"/>
      <c r="K777" s="8408"/>
      <c r="L777" s="4320"/>
      <c r="M777" s="386"/>
      <c r="N777" s="386"/>
      <c r="O777" s="386"/>
      <c r="P777" s="386"/>
      <c r="Q777" s="386"/>
    </row>
    <row r="778" spans="1:17" ht="30" customHeight="1" x14ac:dyDescent="0.2">
      <c r="A778" s="7656"/>
      <c r="B778" s="7665"/>
      <c r="C778" s="7747"/>
      <c r="D778" s="8399"/>
      <c r="E778" s="8400"/>
      <c r="F778" s="8401"/>
      <c r="G778" s="4477">
        <v>40000000</v>
      </c>
      <c r="H778" s="4477" t="s">
        <v>6152</v>
      </c>
      <c r="I778" s="4477" t="s">
        <v>4505</v>
      </c>
      <c r="J778" s="8379"/>
      <c r="K778" s="8408"/>
      <c r="L778" s="4419"/>
      <c r="M778" s="386"/>
      <c r="N778" s="386"/>
      <c r="O778" s="386"/>
      <c r="P778" s="386"/>
      <c r="Q778" s="386"/>
    </row>
    <row r="779" spans="1:17" ht="30" customHeight="1" x14ac:dyDescent="0.2">
      <c r="A779" s="7656"/>
      <c r="B779" s="7665"/>
      <c r="C779" s="7747"/>
      <c r="D779" s="8399"/>
      <c r="E779" s="8400"/>
      <c r="F779" s="8401"/>
      <c r="G779" s="4477">
        <v>30000000</v>
      </c>
      <c r="H779" s="4477" t="s">
        <v>6192</v>
      </c>
      <c r="I779" s="4477" t="s">
        <v>6197</v>
      </c>
      <c r="J779" s="8379"/>
      <c r="K779" s="8408"/>
      <c r="L779" s="4419"/>
      <c r="M779" s="386"/>
      <c r="N779" s="386"/>
      <c r="O779" s="386"/>
      <c r="P779" s="386"/>
      <c r="Q779" s="386"/>
    </row>
    <row r="780" spans="1:17" ht="30" customHeight="1" x14ac:dyDescent="0.2">
      <c r="A780" s="7656"/>
      <c r="B780" s="7665"/>
      <c r="C780" s="7724"/>
      <c r="D780" s="8402"/>
      <c r="E780" s="8403"/>
      <c r="F780" s="8404"/>
      <c r="G780" s="4477">
        <v>10000000</v>
      </c>
      <c r="H780" s="4477" t="s">
        <v>6223</v>
      </c>
      <c r="I780" s="4477" t="s">
        <v>4505</v>
      </c>
      <c r="J780" s="8380"/>
      <c r="K780" s="8409"/>
      <c r="L780" s="4419"/>
      <c r="M780" s="386"/>
      <c r="N780" s="386"/>
      <c r="O780" s="386"/>
      <c r="P780" s="386"/>
      <c r="Q780" s="386"/>
    </row>
    <row r="781" spans="1:17" ht="30" customHeight="1" x14ac:dyDescent="0.2">
      <c r="A781" s="7656"/>
      <c r="B781" s="7665"/>
      <c r="C781" s="4425" t="s">
        <v>3390</v>
      </c>
      <c r="D781" s="4400">
        <v>1000000000</v>
      </c>
      <c r="E781" s="4424">
        <v>6.5000000000000002E-2</v>
      </c>
      <c r="F781" s="4400">
        <f>D781*E781</f>
        <v>65000000</v>
      </c>
      <c r="G781" s="4400">
        <v>65000000</v>
      </c>
      <c r="H781" s="4400" t="s">
        <v>3634</v>
      </c>
      <c r="I781" s="4400" t="s">
        <v>4505</v>
      </c>
      <c r="J781" s="4400">
        <f>G781</f>
        <v>65000000</v>
      </c>
      <c r="K781" s="4401">
        <f>F781-J781</f>
        <v>0</v>
      </c>
      <c r="L781" s="4343"/>
      <c r="M781" s="386"/>
      <c r="N781" s="386"/>
      <c r="O781" s="386"/>
      <c r="P781" s="386"/>
      <c r="Q781" s="386"/>
    </row>
    <row r="782" spans="1:17" ht="30" customHeight="1" x14ac:dyDescent="0.2">
      <c r="A782" s="7654"/>
      <c r="B782" s="7652" t="s">
        <v>5465</v>
      </c>
      <c r="C782" s="7723" t="s">
        <v>1299</v>
      </c>
      <c r="D782" s="4268">
        <v>20000000</v>
      </c>
      <c r="E782" s="4336">
        <v>0.05</v>
      </c>
      <c r="F782" s="4268">
        <f t="shared" si="83"/>
        <v>1000000</v>
      </c>
      <c r="G782" s="7563">
        <v>2200000</v>
      </c>
      <c r="H782" s="7563" t="s">
        <v>6440</v>
      </c>
      <c r="I782" s="7889" t="s">
        <v>4124</v>
      </c>
      <c r="J782" s="7563">
        <f>G782</f>
        <v>2200000</v>
      </c>
      <c r="K782" s="7816">
        <f>(F782+F783)-J782</f>
        <v>0</v>
      </c>
      <c r="L782" s="4343"/>
      <c r="M782" s="386"/>
      <c r="N782" s="386"/>
      <c r="O782" s="386"/>
      <c r="P782" s="386"/>
      <c r="Q782" s="386"/>
    </row>
    <row r="783" spans="1:17" ht="30" customHeight="1" x14ac:dyDescent="0.2">
      <c r="A783" s="7655"/>
      <c r="B783" s="7653"/>
      <c r="C783" s="7724"/>
      <c r="D783" s="4268">
        <v>20000000</v>
      </c>
      <c r="E783" s="4336">
        <v>0.06</v>
      </c>
      <c r="F783" s="4268">
        <f t="shared" si="83"/>
        <v>1200000</v>
      </c>
      <c r="G783" s="7564"/>
      <c r="H783" s="7564"/>
      <c r="I783" s="7890"/>
      <c r="J783" s="7564"/>
      <c r="K783" s="7817"/>
      <c r="L783" s="3424" t="s">
        <v>5256</v>
      </c>
      <c r="M783" s="386"/>
      <c r="N783" s="386"/>
      <c r="O783" s="386"/>
      <c r="P783" s="386"/>
      <c r="Q783" s="386"/>
    </row>
    <row r="784" spans="1:17" ht="30" customHeight="1" x14ac:dyDescent="0.2">
      <c r="A784" s="7654"/>
      <c r="B784" s="7652" t="s">
        <v>5464</v>
      </c>
      <c r="C784" s="7723" t="s">
        <v>402</v>
      </c>
      <c r="D784" s="4268">
        <v>30000000</v>
      </c>
      <c r="E784" s="4336">
        <v>0.06</v>
      </c>
      <c r="F784" s="4268">
        <f t="shared" si="83"/>
        <v>1800000</v>
      </c>
      <c r="G784" s="7482">
        <v>3000000</v>
      </c>
      <c r="H784" s="7482" t="s">
        <v>6220</v>
      </c>
      <c r="I784" s="8300" t="s">
        <v>5466</v>
      </c>
      <c r="J784" s="7482">
        <f>G784</f>
        <v>3000000</v>
      </c>
      <c r="K784" s="7499">
        <f>(F784+F785)-J784</f>
        <v>0</v>
      </c>
      <c r="L784" s="3424" t="s">
        <v>5257</v>
      </c>
      <c r="M784" s="386"/>
      <c r="N784" s="386"/>
      <c r="O784" s="386"/>
      <c r="P784" s="386"/>
      <c r="Q784" s="386"/>
    </row>
    <row r="785" spans="1:17" ht="30" customHeight="1" x14ac:dyDescent="0.2">
      <c r="A785" s="7655"/>
      <c r="B785" s="7653"/>
      <c r="C785" s="7724"/>
      <c r="D785" s="4268">
        <v>20000000</v>
      </c>
      <c r="E785" s="4336">
        <v>0.06</v>
      </c>
      <c r="F785" s="4268">
        <f t="shared" si="83"/>
        <v>1200000</v>
      </c>
      <c r="G785" s="7482"/>
      <c r="H785" s="7482"/>
      <c r="I785" s="8300"/>
      <c r="J785" s="7482"/>
      <c r="K785" s="7499"/>
      <c r="L785" s="4320" t="s">
        <v>5323</v>
      </c>
      <c r="M785" s="386"/>
      <c r="N785" s="386"/>
      <c r="O785" s="386"/>
      <c r="P785" s="386"/>
      <c r="Q785" s="386"/>
    </row>
    <row r="786" spans="1:17" ht="30" customHeight="1" x14ac:dyDescent="0.2">
      <c r="A786" s="7654"/>
      <c r="B786" s="7652" t="s">
        <v>234</v>
      </c>
      <c r="C786" s="7723" t="s">
        <v>1172</v>
      </c>
      <c r="D786" s="4268">
        <v>60000000</v>
      </c>
      <c r="E786" s="4336">
        <v>0.05</v>
      </c>
      <c r="F786" s="4268">
        <f t="shared" ref="F786:F798" si="84">D786*E786</f>
        <v>3000000</v>
      </c>
      <c r="G786" s="7563">
        <v>4800000</v>
      </c>
      <c r="H786" s="7563" t="s">
        <v>6251</v>
      </c>
      <c r="I786" s="7563" t="s">
        <v>6257</v>
      </c>
      <c r="J786" s="7563">
        <f>G786</f>
        <v>4800000</v>
      </c>
      <c r="K786" s="7816">
        <f>(F786+F787)-J786</f>
        <v>0</v>
      </c>
      <c r="L786" s="4320" t="s">
        <v>4269</v>
      </c>
      <c r="M786" s="386"/>
      <c r="N786" s="386"/>
      <c r="O786" s="386"/>
      <c r="P786" s="386"/>
      <c r="Q786" s="386"/>
    </row>
    <row r="787" spans="1:17" ht="30" customHeight="1" x14ac:dyDescent="0.2">
      <c r="A787" s="7655"/>
      <c r="B787" s="7653"/>
      <c r="C787" s="7724"/>
      <c r="D787" s="4268">
        <v>30000000</v>
      </c>
      <c r="E787" s="4336">
        <v>0.06</v>
      </c>
      <c r="F787" s="4268">
        <f t="shared" si="84"/>
        <v>1800000</v>
      </c>
      <c r="G787" s="7564"/>
      <c r="H787" s="7564"/>
      <c r="I787" s="7564"/>
      <c r="J787" s="7564"/>
      <c r="K787" s="7817"/>
      <c r="L787" s="4320" t="s">
        <v>5324</v>
      </c>
      <c r="M787" s="386"/>
      <c r="N787" s="386"/>
      <c r="O787" s="386"/>
      <c r="P787" s="386"/>
      <c r="Q787" s="386"/>
    </row>
    <row r="788" spans="1:17" ht="30" customHeight="1" x14ac:dyDescent="0.2">
      <c r="A788" s="7654"/>
      <c r="B788" s="7652" t="s">
        <v>4946</v>
      </c>
      <c r="C788" s="7723" t="s">
        <v>1299</v>
      </c>
      <c r="D788" s="4268">
        <v>30000000</v>
      </c>
      <c r="E788" s="4336">
        <v>0.05</v>
      </c>
      <c r="F788" s="4268">
        <f t="shared" si="84"/>
        <v>1500000</v>
      </c>
      <c r="G788" s="7482">
        <v>2200000</v>
      </c>
      <c r="H788" s="7563" t="s">
        <v>6582</v>
      </c>
      <c r="I788" s="7563" t="s">
        <v>5204</v>
      </c>
      <c r="J788" s="7563">
        <f>G788</f>
        <v>2200000</v>
      </c>
      <c r="K788" s="7563">
        <f>(F788+F789)-J788</f>
        <v>0</v>
      </c>
      <c r="L788" s="4320" t="s">
        <v>5149</v>
      </c>
      <c r="M788" s="386"/>
      <c r="N788" s="386"/>
      <c r="O788" s="386"/>
      <c r="P788" s="386"/>
      <c r="Q788" s="386"/>
    </row>
    <row r="789" spans="1:17" ht="30" customHeight="1" x14ac:dyDescent="0.2">
      <c r="A789" s="7656"/>
      <c r="B789" s="7665"/>
      <c r="C789" s="7747"/>
      <c r="D789" s="4268">
        <v>10000000</v>
      </c>
      <c r="E789" s="4336">
        <v>7.0000000000000007E-2</v>
      </c>
      <c r="F789" s="4268">
        <f t="shared" si="84"/>
        <v>700000.00000000012</v>
      </c>
      <c r="G789" s="7482"/>
      <c r="H789" s="7564"/>
      <c r="I789" s="7564"/>
      <c r="J789" s="7564"/>
      <c r="K789" s="7564"/>
      <c r="L789" s="4320" t="s">
        <v>5150</v>
      </c>
      <c r="M789" s="386"/>
      <c r="N789" s="386"/>
      <c r="O789" s="386"/>
      <c r="P789" s="386"/>
      <c r="Q789" s="386"/>
    </row>
    <row r="790" spans="1:17" ht="30" customHeight="1" x14ac:dyDescent="0.2">
      <c r="A790" s="7656"/>
      <c r="B790" s="7665"/>
      <c r="C790" s="7747"/>
      <c r="D790" s="4845">
        <v>10000000</v>
      </c>
      <c r="E790" s="4856"/>
      <c r="F790" s="4845"/>
      <c r="G790" s="4843"/>
      <c r="H790" s="4842"/>
      <c r="I790" s="4842"/>
      <c r="J790" s="4842"/>
      <c r="K790" s="4842"/>
      <c r="L790" s="4852" t="s">
        <v>6669</v>
      </c>
      <c r="M790" s="386"/>
      <c r="N790" s="386"/>
      <c r="O790" s="386"/>
      <c r="P790" s="386"/>
      <c r="Q790" s="386"/>
    </row>
    <row r="791" spans="1:17" ht="30" customHeight="1" x14ac:dyDescent="0.2">
      <c r="A791" s="7656"/>
      <c r="B791" s="7665"/>
      <c r="C791" s="7747"/>
      <c r="D791" s="4845">
        <v>10000000</v>
      </c>
      <c r="E791" s="4856"/>
      <c r="F791" s="4845"/>
      <c r="G791" s="4843"/>
      <c r="H791" s="4842"/>
      <c r="I791" s="4842"/>
      <c r="J791" s="4842"/>
      <c r="K791" s="4844"/>
      <c r="L791" s="4852" t="s">
        <v>6670</v>
      </c>
      <c r="M791" s="386"/>
      <c r="N791" s="386"/>
      <c r="O791" s="386"/>
      <c r="P791" s="386"/>
      <c r="Q791" s="386"/>
    </row>
    <row r="792" spans="1:17" ht="30" customHeight="1" x14ac:dyDescent="0.2">
      <c r="A792" s="7656"/>
      <c r="B792" s="7665"/>
      <c r="C792" s="7747"/>
      <c r="D792" s="4909">
        <v>10000000</v>
      </c>
      <c r="E792" s="896">
        <v>7.0000000000000007E-2</v>
      </c>
      <c r="F792" s="4909">
        <f>D792*E792</f>
        <v>700000.00000000012</v>
      </c>
      <c r="G792" s="4867"/>
      <c r="H792" s="4867"/>
      <c r="I792" s="4867"/>
      <c r="J792" s="4867"/>
      <c r="K792" s="4866"/>
      <c r="L792" s="7888" t="s">
        <v>6677</v>
      </c>
      <c r="M792" s="386"/>
      <c r="N792" s="386"/>
      <c r="O792" s="386"/>
      <c r="P792" s="386"/>
      <c r="Q792" s="386"/>
    </row>
    <row r="793" spans="1:17" ht="30" customHeight="1" x14ac:dyDescent="0.2">
      <c r="A793" s="7655"/>
      <c r="B793" s="7653"/>
      <c r="C793" s="7724"/>
      <c r="D793" s="4909">
        <v>50000000</v>
      </c>
      <c r="E793" s="896">
        <v>0.05</v>
      </c>
      <c r="F793" s="4909">
        <f>D793*E793</f>
        <v>2500000</v>
      </c>
      <c r="G793" s="4867"/>
      <c r="H793" s="4867"/>
      <c r="I793" s="4867"/>
      <c r="J793" s="4867"/>
      <c r="K793" s="4868"/>
      <c r="L793" s="7888"/>
      <c r="M793" s="386"/>
      <c r="N793" s="386"/>
      <c r="O793" s="386"/>
      <c r="P793" s="386"/>
      <c r="Q793" s="386"/>
    </row>
    <row r="794" spans="1:17" ht="30" customHeight="1" x14ac:dyDescent="0.2">
      <c r="A794" s="7654"/>
      <c r="B794" s="7652" t="s">
        <v>2471</v>
      </c>
      <c r="C794" s="7723" t="s">
        <v>889</v>
      </c>
      <c r="D794" s="4268">
        <v>110120000</v>
      </c>
      <c r="E794" s="4336">
        <v>0.06</v>
      </c>
      <c r="F794" s="4268">
        <f t="shared" si="84"/>
        <v>6607200</v>
      </c>
      <c r="G794" s="7563">
        <v>8380000</v>
      </c>
      <c r="H794" s="7563" t="s">
        <v>6251</v>
      </c>
      <c r="I794" s="7563" t="s">
        <v>6252</v>
      </c>
      <c r="J794" s="7563">
        <f>G794</f>
        <v>8380000</v>
      </c>
      <c r="K794" s="7563"/>
      <c r="L794" s="4343"/>
      <c r="M794" s="386"/>
      <c r="N794" s="386"/>
      <c r="O794" s="386"/>
      <c r="P794" s="386"/>
      <c r="Q794" s="386"/>
    </row>
    <row r="795" spans="1:17" ht="30" customHeight="1" x14ac:dyDescent="0.2">
      <c r="A795" s="7655"/>
      <c r="B795" s="7653"/>
      <c r="C795" s="7724"/>
      <c r="D795" s="4268">
        <v>40000000</v>
      </c>
      <c r="E795" s="4336">
        <v>0.06</v>
      </c>
      <c r="F795" s="4268">
        <f t="shared" si="84"/>
        <v>2400000</v>
      </c>
      <c r="G795" s="7564"/>
      <c r="H795" s="7564"/>
      <c r="I795" s="7564"/>
      <c r="J795" s="7564"/>
      <c r="K795" s="7564"/>
      <c r="L795" s="4319" t="s">
        <v>5884</v>
      </c>
      <c r="M795" s="386"/>
      <c r="N795" s="386"/>
      <c r="O795" s="386"/>
      <c r="P795" s="386"/>
      <c r="Q795" s="386"/>
    </row>
    <row r="796" spans="1:17" ht="30" customHeight="1" x14ac:dyDescent="0.2">
      <c r="A796" s="4341"/>
      <c r="B796" s="4338" t="s">
        <v>2517</v>
      </c>
      <c r="C796" s="4337" t="s">
        <v>1080</v>
      </c>
      <c r="D796" s="4268">
        <v>262500000</v>
      </c>
      <c r="E796" s="4336">
        <v>0.05</v>
      </c>
      <c r="F796" s="4268">
        <f t="shared" si="84"/>
        <v>13125000</v>
      </c>
      <c r="G796" s="7470"/>
      <c r="H796" s="7493"/>
      <c r="I796" s="7493"/>
      <c r="J796" s="7510"/>
      <c r="K796" s="4260">
        <f>F796-J796</f>
        <v>13125000</v>
      </c>
      <c r="L796" s="4319"/>
      <c r="M796" s="386"/>
      <c r="N796" s="386"/>
      <c r="O796" s="386"/>
      <c r="P796" s="386"/>
      <c r="Q796" s="386"/>
    </row>
    <row r="797" spans="1:17" ht="30" customHeight="1" x14ac:dyDescent="0.2">
      <c r="A797" s="4706"/>
      <c r="B797" s="4714" t="s">
        <v>2633</v>
      </c>
      <c r="C797" s="4709" t="s">
        <v>1172</v>
      </c>
      <c r="D797" s="4260">
        <v>60000000</v>
      </c>
      <c r="E797" s="4336">
        <v>0.05</v>
      </c>
      <c r="F797" s="4260">
        <f t="shared" si="84"/>
        <v>3000000</v>
      </c>
      <c r="G797" s="4260">
        <v>3000000</v>
      </c>
      <c r="H797" s="4260" t="s">
        <v>3807</v>
      </c>
      <c r="I797" s="4260" t="s">
        <v>5516</v>
      </c>
      <c r="J797" s="4260">
        <f>G797</f>
        <v>3000000</v>
      </c>
      <c r="K797" s="4260">
        <f>F797-J797</f>
        <v>0</v>
      </c>
      <c r="L797" s="4511"/>
      <c r="M797" s="386"/>
      <c r="N797" s="386"/>
      <c r="O797" s="386"/>
      <c r="P797" s="386"/>
      <c r="Q797" s="386"/>
    </row>
    <row r="798" spans="1:17" ht="30" customHeight="1" x14ac:dyDescent="0.2">
      <c r="A798" s="1028"/>
      <c r="B798" s="19" t="s">
        <v>4903</v>
      </c>
      <c r="C798" s="4337" t="s">
        <v>3390</v>
      </c>
      <c r="D798" s="4260">
        <v>30000000</v>
      </c>
      <c r="E798" s="4336">
        <v>0.05</v>
      </c>
      <c r="F798" s="4260">
        <f t="shared" si="84"/>
        <v>1500000</v>
      </c>
      <c r="G798" s="4260">
        <v>1500000</v>
      </c>
      <c r="H798" s="4260" t="s">
        <v>6577</v>
      </c>
      <c r="I798" s="4260" t="s">
        <v>5516</v>
      </c>
      <c r="J798" s="4260">
        <f>G798</f>
        <v>1500000</v>
      </c>
      <c r="K798" s="4260">
        <f>F798-J798</f>
        <v>0</v>
      </c>
      <c r="L798" s="4343"/>
      <c r="M798" s="386"/>
      <c r="N798" s="386"/>
      <c r="O798" s="386"/>
      <c r="P798" s="386"/>
      <c r="Q798" s="386"/>
    </row>
    <row r="799" spans="1:17" ht="30" customHeight="1" x14ac:dyDescent="0.2">
      <c r="A799" s="7654"/>
      <c r="B799" s="7652" t="s">
        <v>2551</v>
      </c>
      <c r="C799" s="7723"/>
      <c r="D799" s="4268">
        <v>10000000</v>
      </c>
      <c r="E799" s="4336"/>
      <c r="F799" s="4268"/>
      <c r="G799" s="4268"/>
      <c r="H799" s="4268"/>
      <c r="I799" s="472"/>
      <c r="J799" s="4268"/>
      <c r="K799" s="4323"/>
      <c r="L799" s="4343"/>
      <c r="M799" s="386"/>
      <c r="N799" s="386"/>
      <c r="O799" s="386"/>
      <c r="P799" s="386"/>
      <c r="Q799" s="386"/>
    </row>
    <row r="800" spans="1:17" ht="30" customHeight="1" x14ac:dyDescent="0.2">
      <c r="A800" s="7655"/>
      <c r="B800" s="7653"/>
      <c r="C800" s="7724"/>
      <c r="D800" s="4268">
        <v>5000000</v>
      </c>
      <c r="E800" s="4336"/>
      <c r="F800" s="4268"/>
      <c r="G800" s="4268"/>
      <c r="H800" s="4268"/>
      <c r="I800" s="472"/>
      <c r="J800" s="4268"/>
      <c r="K800" s="4323"/>
      <c r="L800" s="4319"/>
      <c r="M800" s="386"/>
      <c r="N800" s="386"/>
      <c r="O800" s="386"/>
      <c r="P800" s="386"/>
      <c r="Q800" s="386"/>
    </row>
    <row r="801" spans="1:17" ht="30" customHeight="1" x14ac:dyDescent="0.2">
      <c r="A801" s="4638"/>
      <c r="B801" s="4639" t="s">
        <v>2573</v>
      </c>
      <c r="C801" s="4640" t="s">
        <v>1172</v>
      </c>
      <c r="D801" s="4260">
        <v>60000000</v>
      </c>
      <c r="E801" s="4336">
        <v>5.5E-2</v>
      </c>
      <c r="F801" s="4260">
        <f t="shared" ref="F801" si="85">D801*E801</f>
        <v>3300000</v>
      </c>
      <c r="G801" s="4260">
        <v>3300000</v>
      </c>
      <c r="H801" s="7563" t="s">
        <v>6368</v>
      </c>
      <c r="I801" s="7889" t="s">
        <v>3103</v>
      </c>
      <c r="J801" s="7563">
        <f>G801+G802+G803</f>
        <v>16450000</v>
      </c>
      <c r="K801" s="7816">
        <v>0</v>
      </c>
      <c r="L801" s="4319" t="s">
        <v>3522</v>
      </c>
      <c r="M801" s="386"/>
      <c r="N801" s="386"/>
      <c r="O801" s="386"/>
      <c r="P801" s="386"/>
      <c r="Q801" s="386"/>
    </row>
    <row r="802" spans="1:17" ht="30" customHeight="1" x14ac:dyDescent="0.2">
      <c r="A802" s="7654"/>
      <c r="B802" s="7652" t="s">
        <v>2714</v>
      </c>
      <c r="C802" s="7723" t="s">
        <v>262</v>
      </c>
      <c r="D802" s="7563">
        <v>230000000</v>
      </c>
      <c r="E802" s="7659">
        <v>5.5E-2</v>
      </c>
      <c r="F802" s="7563">
        <f>D802*E802</f>
        <v>12650000</v>
      </c>
      <c r="G802" s="4260">
        <v>500000</v>
      </c>
      <c r="H802" s="7586"/>
      <c r="I802" s="8036"/>
      <c r="J802" s="7586"/>
      <c r="K802" s="7882"/>
      <c r="L802" s="4344" t="s">
        <v>5518</v>
      </c>
      <c r="M802" s="386"/>
      <c r="N802" s="386"/>
      <c r="O802" s="386"/>
      <c r="P802" s="386"/>
      <c r="Q802" s="386"/>
    </row>
    <row r="803" spans="1:17" ht="30" customHeight="1" x14ac:dyDescent="0.2">
      <c r="A803" s="7656"/>
      <c r="B803" s="7665"/>
      <c r="C803" s="7747"/>
      <c r="D803" s="7564"/>
      <c r="E803" s="7660"/>
      <c r="F803" s="7564"/>
      <c r="G803" s="4621">
        <v>12650000</v>
      </c>
      <c r="H803" s="7564"/>
      <c r="I803" s="7890"/>
      <c r="J803" s="7564"/>
      <c r="K803" s="7817"/>
      <c r="L803" s="4626"/>
      <c r="M803" s="386"/>
      <c r="N803" s="386"/>
      <c r="O803" s="386"/>
      <c r="P803" s="386"/>
      <c r="Q803" s="386"/>
    </row>
    <row r="804" spans="1:17" ht="30" customHeight="1" x14ac:dyDescent="0.2">
      <c r="A804" s="7655"/>
      <c r="B804" s="7653"/>
      <c r="C804" s="7724"/>
      <c r="D804" s="4633">
        <v>60000000</v>
      </c>
      <c r="E804" s="4634"/>
      <c r="F804" s="4633"/>
      <c r="G804" s="4633"/>
      <c r="H804" s="4633"/>
      <c r="I804" s="472"/>
      <c r="J804" s="4633"/>
      <c r="K804" s="4637"/>
      <c r="L804" s="4641" t="s">
        <v>6393</v>
      </c>
      <c r="M804" s="386"/>
      <c r="N804" s="386"/>
      <c r="O804" s="386"/>
      <c r="P804" s="386"/>
      <c r="Q804" s="386"/>
    </row>
    <row r="805" spans="1:17" ht="30" customHeight="1" x14ac:dyDescent="0.2">
      <c r="A805" s="4272"/>
      <c r="B805" s="4279" t="s">
        <v>2609</v>
      </c>
      <c r="C805" s="4300"/>
      <c r="D805" s="4281"/>
      <c r="E805" s="4290"/>
      <c r="F805" s="4281"/>
      <c r="G805" s="4268">
        <v>1500000</v>
      </c>
      <c r="H805" s="4268" t="s">
        <v>3807</v>
      </c>
      <c r="I805" s="472" t="s">
        <v>5572</v>
      </c>
      <c r="J805" s="4268">
        <f>G805</f>
        <v>1500000</v>
      </c>
      <c r="K805" s="4330">
        <f>F805-J805</f>
        <v>-1500000</v>
      </c>
      <c r="L805" s="4343"/>
      <c r="M805" s="386"/>
      <c r="N805" s="386"/>
      <c r="O805" s="386"/>
      <c r="P805" s="386"/>
      <c r="Q805" s="386"/>
    </row>
    <row r="806" spans="1:17" ht="30" customHeight="1" x14ac:dyDescent="0.2">
      <c r="A806" s="7654"/>
      <c r="B806" s="7652" t="s">
        <v>3818</v>
      </c>
      <c r="C806" s="7723" t="s">
        <v>5649</v>
      </c>
      <c r="D806" s="4345">
        <v>4215000000</v>
      </c>
      <c r="E806" s="3242">
        <v>0.05</v>
      </c>
      <c r="F806" s="4345">
        <f>D806*E806</f>
        <v>210750000</v>
      </c>
      <c r="G806" s="7991" t="s">
        <v>5146</v>
      </c>
      <c r="H806" s="7992"/>
      <c r="I806" s="7992"/>
      <c r="J806" s="7993"/>
      <c r="K806" s="8238">
        <f>SUM(F806:F808)</f>
        <v>577850000</v>
      </c>
      <c r="L806" s="4319"/>
      <c r="M806" s="386"/>
      <c r="N806" s="386"/>
      <c r="O806" s="386"/>
      <c r="P806" s="386"/>
      <c r="Q806" s="386"/>
    </row>
    <row r="807" spans="1:17" ht="30" customHeight="1" x14ac:dyDescent="0.2">
      <c r="A807" s="7656"/>
      <c r="B807" s="7665"/>
      <c r="C807" s="7747"/>
      <c r="D807" s="4345">
        <v>2000000000</v>
      </c>
      <c r="E807" s="3242">
        <v>7.0000000000000007E-2</v>
      </c>
      <c r="F807" s="4345">
        <f t="shared" ref="F807:F811" si="86">D807*E807</f>
        <v>140000000</v>
      </c>
      <c r="G807" s="7994"/>
      <c r="H807" s="7995"/>
      <c r="I807" s="7995"/>
      <c r="J807" s="7996"/>
      <c r="K807" s="8239"/>
      <c r="L807" s="898"/>
      <c r="M807" s="386"/>
      <c r="N807" s="386"/>
      <c r="O807" s="386"/>
      <c r="P807" s="386"/>
      <c r="Q807" s="386"/>
    </row>
    <row r="808" spans="1:17" ht="30" customHeight="1" x14ac:dyDescent="0.2">
      <c r="A808" s="7656"/>
      <c r="B808" s="7665"/>
      <c r="C808" s="7747"/>
      <c r="D808" s="4345">
        <v>3785000000</v>
      </c>
      <c r="E808" s="3242">
        <v>0.06</v>
      </c>
      <c r="F808" s="4345">
        <f t="shared" si="86"/>
        <v>227100000</v>
      </c>
      <c r="G808" s="7997"/>
      <c r="H808" s="7998"/>
      <c r="I808" s="7998"/>
      <c r="J808" s="7999"/>
      <c r="K808" s="8240"/>
      <c r="L808" s="4320"/>
      <c r="M808" s="386"/>
      <c r="N808" s="386"/>
      <c r="O808" s="386"/>
      <c r="P808" s="386"/>
      <c r="Q808" s="386"/>
    </row>
    <row r="809" spans="1:17" ht="30" customHeight="1" x14ac:dyDescent="0.2">
      <c r="A809" s="7656"/>
      <c r="B809" s="7665"/>
      <c r="C809" s="7747"/>
      <c r="D809" s="3237">
        <v>2915000000</v>
      </c>
      <c r="E809" s="3243">
        <v>0.08</v>
      </c>
      <c r="F809" s="3237">
        <f t="shared" si="86"/>
        <v>233200000</v>
      </c>
      <c r="G809" s="7991" t="s">
        <v>5147</v>
      </c>
      <c r="H809" s="7992"/>
      <c r="I809" s="7992"/>
      <c r="J809" s="7993"/>
      <c r="K809" s="8261">
        <f>F809+F810+F811</f>
        <v>362400000</v>
      </c>
      <c r="L809" s="4320"/>
      <c r="M809" s="386"/>
      <c r="N809" s="386"/>
      <c r="O809" s="386"/>
      <c r="P809" s="386"/>
      <c r="Q809" s="386"/>
    </row>
    <row r="810" spans="1:17" ht="30" customHeight="1" x14ac:dyDescent="0.2">
      <c r="A810" s="7656"/>
      <c r="B810" s="7665"/>
      <c r="C810" s="7747"/>
      <c r="D810" s="3237">
        <v>690000000</v>
      </c>
      <c r="E810" s="3243">
        <v>0.08</v>
      </c>
      <c r="F810" s="3237">
        <f t="shared" si="86"/>
        <v>55200000</v>
      </c>
      <c r="G810" s="7994"/>
      <c r="H810" s="7995"/>
      <c r="I810" s="7995"/>
      <c r="J810" s="7996"/>
      <c r="K810" s="8262"/>
      <c r="L810" s="4320"/>
      <c r="M810" s="386"/>
      <c r="N810" s="386"/>
      <c r="O810" s="386"/>
      <c r="P810" s="386"/>
      <c r="Q810" s="386"/>
    </row>
    <row r="811" spans="1:17" ht="30" customHeight="1" x14ac:dyDescent="0.2">
      <c r="A811" s="7656"/>
      <c r="B811" s="7665"/>
      <c r="C811" s="7747"/>
      <c r="D811" s="3238">
        <v>925000000</v>
      </c>
      <c r="E811" s="3243">
        <v>0.08</v>
      </c>
      <c r="F811" s="3238">
        <f t="shared" si="86"/>
        <v>74000000</v>
      </c>
      <c r="G811" s="7997"/>
      <c r="H811" s="7998"/>
      <c r="I811" s="7998"/>
      <c r="J811" s="7999"/>
      <c r="K811" s="8263"/>
      <c r="L811" s="4323"/>
      <c r="M811" s="386"/>
      <c r="N811" s="386"/>
      <c r="O811" s="386"/>
      <c r="P811" s="386"/>
      <c r="Q811" s="386"/>
    </row>
    <row r="812" spans="1:17" ht="30" customHeight="1" x14ac:dyDescent="0.2">
      <c r="A812" s="7656"/>
      <c r="B812" s="7665"/>
      <c r="C812" s="7747"/>
      <c r="D812" s="8004">
        <f>SUM(D806:D811)</f>
        <v>14530000000</v>
      </c>
      <c r="E812" s="8005"/>
      <c r="F812" s="4352">
        <f>SUM(F806:F811)</f>
        <v>940250000</v>
      </c>
      <c r="G812" s="7991" t="s">
        <v>5140</v>
      </c>
      <c r="H812" s="7992"/>
      <c r="I812" s="7992"/>
      <c r="J812" s="7993"/>
      <c r="K812" s="7816"/>
      <c r="L812" s="4323"/>
      <c r="M812" s="386"/>
      <c r="N812" s="386"/>
      <c r="O812" s="386"/>
      <c r="P812" s="386"/>
      <c r="Q812" s="386"/>
    </row>
    <row r="813" spans="1:17" ht="30" customHeight="1" x14ac:dyDescent="0.2">
      <c r="A813" s="7656"/>
      <c r="B813" s="7665"/>
      <c r="C813" s="7747"/>
      <c r="D813" s="8004" t="s">
        <v>5141</v>
      </c>
      <c r="E813" s="8005"/>
      <c r="F813" s="3307">
        <v>1600000</v>
      </c>
      <c r="G813" s="7994"/>
      <c r="H813" s="7995"/>
      <c r="I813" s="7995"/>
      <c r="J813" s="7996"/>
      <c r="K813" s="7882"/>
      <c r="L813" s="4323"/>
      <c r="M813" s="386"/>
      <c r="N813" s="386"/>
      <c r="O813" s="386"/>
      <c r="P813" s="386"/>
      <c r="Q813" s="386"/>
    </row>
    <row r="814" spans="1:17" ht="30" customHeight="1" x14ac:dyDescent="0.2">
      <c r="A814" s="7656"/>
      <c r="B814" s="7665"/>
      <c r="C814" s="7747"/>
      <c r="D814" s="8004" t="s">
        <v>5142</v>
      </c>
      <c r="E814" s="8005"/>
      <c r="F814" s="3307">
        <v>1300000</v>
      </c>
      <c r="G814" s="7994"/>
      <c r="H814" s="7995"/>
      <c r="I814" s="7995"/>
      <c r="J814" s="7996"/>
      <c r="K814" s="7882"/>
      <c r="L814" s="4323"/>
      <c r="M814" s="386"/>
      <c r="N814" s="386"/>
      <c r="O814" s="386"/>
      <c r="P814" s="386"/>
      <c r="Q814" s="386"/>
    </row>
    <row r="815" spans="1:17" ht="30" customHeight="1" x14ac:dyDescent="0.2">
      <c r="A815" s="7656"/>
      <c r="B815" s="7665"/>
      <c r="C815" s="7747"/>
      <c r="D815" s="8004" t="s">
        <v>5143</v>
      </c>
      <c r="E815" s="8005"/>
      <c r="F815" s="4352">
        <f>SUM(F812:F814)</f>
        <v>943150000</v>
      </c>
      <c r="G815" s="7994"/>
      <c r="H815" s="7995"/>
      <c r="I815" s="7995"/>
      <c r="J815" s="7996"/>
      <c r="K815" s="7882"/>
      <c r="L815" s="4323"/>
      <c r="M815" s="386"/>
      <c r="N815" s="386"/>
      <c r="O815" s="386"/>
      <c r="P815" s="386"/>
      <c r="Q815" s="386"/>
    </row>
    <row r="816" spans="1:17" ht="30" customHeight="1" x14ac:dyDescent="0.2">
      <c r="A816" s="7656"/>
      <c r="B816" s="7665"/>
      <c r="C816" s="7747"/>
      <c r="D816" s="8004" t="s">
        <v>5167</v>
      </c>
      <c r="E816" s="8005"/>
      <c r="F816" s="4352">
        <v>6850000</v>
      </c>
      <c r="G816" s="7994"/>
      <c r="H816" s="7995"/>
      <c r="I816" s="7995"/>
      <c r="J816" s="7996"/>
      <c r="K816" s="7882"/>
      <c r="L816" s="4320" t="s">
        <v>5169</v>
      </c>
      <c r="M816" s="386"/>
      <c r="N816" s="386"/>
      <c r="O816" s="386"/>
      <c r="P816" s="386"/>
      <c r="Q816" s="386"/>
    </row>
    <row r="817" spans="1:17" ht="30" customHeight="1" x14ac:dyDescent="0.2">
      <c r="A817" s="7656"/>
      <c r="B817" s="7665"/>
      <c r="C817" s="7747"/>
      <c r="D817" s="8004" t="s">
        <v>5168</v>
      </c>
      <c r="E817" s="8005"/>
      <c r="F817" s="4352">
        <f>F815+F816</f>
        <v>950000000</v>
      </c>
      <c r="G817" s="7997"/>
      <c r="H817" s="7998"/>
      <c r="I817" s="7998"/>
      <c r="J817" s="7999"/>
      <c r="K817" s="7817"/>
      <c r="L817" s="4323"/>
      <c r="M817" s="386"/>
      <c r="N817" s="386"/>
      <c r="O817" s="386"/>
      <c r="P817" s="386"/>
      <c r="Q817" s="386"/>
    </row>
    <row r="818" spans="1:17" ht="30" customHeight="1" x14ac:dyDescent="0.2">
      <c r="A818" s="7656"/>
      <c r="B818" s="7665"/>
      <c r="C818" s="7747"/>
      <c r="D818" s="744">
        <v>850000000</v>
      </c>
      <c r="E818" s="3241">
        <v>0.08</v>
      </c>
      <c r="F818" s="744">
        <f>D818*E818</f>
        <v>68000000</v>
      </c>
      <c r="G818" s="7470" t="s">
        <v>5172</v>
      </c>
      <c r="H818" s="7493"/>
      <c r="I818" s="7493"/>
      <c r="J818" s="7510"/>
      <c r="K818" s="4323"/>
      <c r="L818" s="4320" t="s">
        <v>5145</v>
      </c>
      <c r="M818" s="386"/>
      <c r="N818" s="386"/>
      <c r="O818" s="386"/>
      <c r="P818" s="386"/>
      <c r="Q818" s="386"/>
    </row>
    <row r="819" spans="1:17" ht="30" customHeight="1" x14ac:dyDescent="0.2">
      <c r="A819" s="7656"/>
      <c r="B819" s="7665"/>
      <c r="C819" s="7747"/>
      <c r="D819" s="8212">
        <f>D812+D818</f>
        <v>15380000000</v>
      </c>
      <c r="E819" s="8213"/>
      <c r="F819" s="3244">
        <f>F812+F818</f>
        <v>1008250000</v>
      </c>
      <c r="G819" s="4269"/>
      <c r="H819" s="4269"/>
      <c r="I819" s="4269" t="s">
        <v>2686</v>
      </c>
      <c r="J819" s="4269">
        <f>G819</f>
        <v>0</v>
      </c>
      <c r="K819" s="7816">
        <f>1010250000-140000000-100000000</f>
        <v>770250000</v>
      </c>
      <c r="L819" s="7811" t="s">
        <v>5650</v>
      </c>
      <c r="M819" s="386"/>
      <c r="N819" s="386"/>
      <c r="O819" s="386"/>
      <c r="P819" s="386"/>
      <c r="Q819" s="386"/>
    </row>
    <row r="820" spans="1:17" ht="30" customHeight="1" x14ac:dyDescent="0.2">
      <c r="A820" s="7656"/>
      <c r="B820" s="7665"/>
      <c r="C820" s="7747"/>
      <c r="D820" s="3244">
        <v>50000000</v>
      </c>
      <c r="E820" s="3241">
        <v>0.08</v>
      </c>
      <c r="F820" s="3244">
        <f>D820*E820</f>
        <v>4000000</v>
      </c>
      <c r="G820" s="4260"/>
      <c r="H820" s="4260"/>
      <c r="I820" s="4260" t="s">
        <v>2686</v>
      </c>
      <c r="J820" s="4260">
        <f>G820</f>
        <v>0</v>
      </c>
      <c r="K820" s="7817"/>
      <c r="L820" s="7812"/>
      <c r="M820" s="386"/>
      <c r="N820" s="386"/>
      <c r="O820" s="386"/>
      <c r="P820" s="386"/>
      <c r="Q820" s="386"/>
    </row>
    <row r="821" spans="1:17" ht="30" customHeight="1" x14ac:dyDescent="0.2">
      <c r="A821" s="7656"/>
      <c r="B821" s="7665"/>
      <c r="C821" s="7747"/>
      <c r="D821" s="8212">
        <f>D819+D820</f>
        <v>15430000000</v>
      </c>
      <c r="E821" s="8213"/>
      <c r="F821" s="3244">
        <f>F819+F820</f>
        <v>1012250000</v>
      </c>
      <c r="G821" s="7494" t="s">
        <v>5648</v>
      </c>
      <c r="H821" s="7495"/>
      <c r="I821" s="7495"/>
      <c r="J821" s="7768"/>
      <c r="K821" s="4323"/>
      <c r="L821" s="4323"/>
      <c r="M821" s="386"/>
      <c r="N821" s="386"/>
      <c r="O821" s="386"/>
      <c r="P821" s="386"/>
      <c r="Q821" s="386"/>
    </row>
    <row r="822" spans="1:17" ht="30" customHeight="1" x14ac:dyDescent="0.2">
      <c r="A822" s="7656"/>
      <c r="B822" s="7665"/>
      <c r="C822" s="7747"/>
      <c r="D822" s="3914">
        <v>820000000</v>
      </c>
      <c r="E822" s="3913">
        <v>0.08</v>
      </c>
      <c r="F822" s="3914">
        <f>D822*E822</f>
        <v>65600000</v>
      </c>
      <c r="G822" s="7732" t="s">
        <v>5646</v>
      </c>
      <c r="H822" s="7733"/>
      <c r="I822" s="7733"/>
      <c r="J822" s="7734"/>
      <c r="K822" s="7816">
        <f>F823-500000000-G824</f>
        <v>77850000</v>
      </c>
      <c r="L822" s="387" t="s">
        <v>5645</v>
      </c>
      <c r="M822" s="386"/>
      <c r="N822" s="386"/>
      <c r="O822" s="386"/>
      <c r="P822" s="386"/>
      <c r="Q822" s="386"/>
    </row>
    <row r="823" spans="1:17" ht="30" customHeight="1" x14ac:dyDescent="0.2">
      <c r="A823" s="7656"/>
      <c r="B823" s="7665"/>
      <c r="C823" s="7747"/>
      <c r="D823" s="8335">
        <f>D821+D822</f>
        <v>16250000000</v>
      </c>
      <c r="E823" s="8336"/>
      <c r="F823" s="8339">
        <f>F821+F822</f>
        <v>1077850000</v>
      </c>
      <c r="G823" s="7732" t="s">
        <v>6238</v>
      </c>
      <c r="H823" s="7733"/>
      <c r="I823" s="7733"/>
      <c r="J823" s="7734"/>
      <c r="K823" s="7882"/>
      <c r="L823" s="4511" t="s">
        <v>6237</v>
      </c>
      <c r="M823" s="386"/>
      <c r="N823" s="386"/>
      <c r="O823" s="386"/>
      <c r="P823" s="386"/>
      <c r="Q823" s="386"/>
    </row>
    <row r="824" spans="1:17" ht="30" customHeight="1" x14ac:dyDescent="0.2">
      <c r="A824" s="7656"/>
      <c r="B824" s="7665"/>
      <c r="C824" s="7747"/>
      <c r="D824" s="8413"/>
      <c r="E824" s="8414"/>
      <c r="F824" s="8415"/>
      <c r="G824" s="4543">
        <v>500000000</v>
      </c>
      <c r="H824" s="4543" t="s">
        <v>6152</v>
      </c>
      <c r="I824" s="4543" t="s">
        <v>6239</v>
      </c>
      <c r="J824" s="4543">
        <f>G824</f>
        <v>500000000</v>
      </c>
      <c r="K824" s="7882"/>
      <c r="L824" s="4569" t="s">
        <v>4906</v>
      </c>
      <c r="M824" s="386"/>
      <c r="N824" s="386"/>
      <c r="O824" s="386"/>
      <c r="P824" s="386"/>
      <c r="Q824" s="386"/>
    </row>
    <row r="825" spans="1:17" ht="30" customHeight="1" x14ac:dyDescent="0.2">
      <c r="A825" s="7656"/>
      <c r="B825" s="7665"/>
      <c r="C825" s="7747"/>
      <c r="D825" s="8337"/>
      <c r="E825" s="8338"/>
      <c r="F825" s="8340"/>
      <c r="G825" s="7991" t="s">
        <v>6316</v>
      </c>
      <c r="H825" s="7992"/>
      <c r="I825" s="7992"/>
      <c r="J825" s="7993"/>
      <c r="K825" s="7817"/>
      <c r="L825" s="387"/>
      <c r="M825" s="386"/>
      <c r="N825" s="386"/>
      <c r="O825" s="386"/>
      <c r="P825" s="386"/>
      <c r="Q825" s="386"/>
    </row>
    <row r="826" spans="1:17" ht="30" customHeight="1" x14ac:dyDescent="0.2">
      <c r="A826" s="7656"/>
      <c r="B826" s="7665"/>
      <c r="C826" s="7747"/>
      <c r="D826" s="4518">
        <v>100000000</v>
      </c>
      <c r="E826" s="1298">
        <v>0.08</v>
      </c>
      <c r="F826" s="4503">
        <f>D826*E826</f>
        <v>8000000</v>
      </c>
      <c r="G826" s="7991" t="s">
        <v>6317</v>
      </c>
      <c r="H826" s="7992"/>
      <c r="I826" s="7992"/>
      <c r="J826" s="7993"/>
      <c r="K826" s="4500"/>
      <c r="L826" s="4499"/>
      <c r="M826" s="386"/>
      <c r="N826" s="386"/>
      <c r="O826" s="386"/>
      <c r="P826" s="386"/>
      <c r="Q826" s="386"/>
    </row>
    <row r="827" spans="1:17" ht="30" customHeight="1" x14ac:dyDescent="0.2">
      <c r="A827" s="7655"/>
      <c r="B827" s="7653"/>
      <c r="C827" s="7724"/>
      <c r="D827" s="7858">
        <f>D823+D826</f>
        <v>16350000000</v>
      </c>
      <c r="E827" s="7860"/>
      <c r="F827" s="4503">
        <f>F823+F826</f>
        <v>1085850000</v>
      </c>
      <c r="G827" s="7732" t="s">
        <v>6753</v>
      </c>
      <c r="H827" s="7733"/>
      <c r="I827" s="7733"/>
      <c r="J827" s="7734"/>
      <c r="K827" s="4323"/>
      <c r="L827" s="4320" t="s">
        <v>6752</v>
      </c>
      <c r="M827" s="386"/>
      <c r="N827" s="386"/>
      <c r="O827" s="386"/>
      <c r="P827" s="386"/>
      <c r="Q827" s="386"/>
    </row>
    <row r="828" spans="1:17" ht="30" customHeight="1" x14ac:dyDescent="0.2">
      <c r="A828" s="4341"/>
      <c r="B828" s="4338" t="s">
        <v>2622</v>
      </c>
      <c r="C828" s="4337"/>
      <c r="D828" s="4260">
        <v>160000000</v>
      </c>
      <c r="E828" s="4336">
        <v>0.05</v>
      </c>
      <c r="F828" s="4260">
        <f t="shared" ref="F828:F831" si="87">D828*E828</f>
        <v>8000000</v>
      </c>
      <c r="G828" s="4260">
        <v>8000000</v>
      </c>
      <c r="H828" s="4260" t="s">
        <v>6152</v>
      </c>
      <c r="I828" s="4383" t="s">
        <v>4364</v>
      </c>
      <c r="J828" s="4260">
        <f>G828</f>
        <v>8000000</v>
      </c>
      <c r="K828" s="4264">
        <f>F828-J828</f>
        <v>0</v>
      </c>
      <c r="L828" s="4343"/>
      <c r="M828" s="386"/>
      <c r="N828" s="386"/>
      <c r="O828" s="386"/>
      <c r="P828" s="386"/>
      <c r="Q828" s="386"/>
    </row>
    <row r="829" spans="1:17" ht="30" customHeight="1" x14ac:dyDescent="0.2">
      <c r="A829" s="4341"/>
      <c r="B829" s="4338" t="s">
        <v>2639</v>
      </c>
      <c r="C829" s="4300" t="s">
        <v>1172</v>
      </c>
      <c r="D829" s="4268">
        <v>80000000</v>
      </c>
      <c r="E829" s="4336">
        <v>0.05</v>
      </c>
      <c r="F829" s="4268">
        <f t="shared" si="87"/>
        <v>4000000</v>
      </c>
      <c r="G829" s="4268">
        <v>4000000</v>
      </c>
      <c r="H829" s="4268" t="s">
        <v>6251</v>
      </c>
      <c r="I829" s="472" t="s">
        <v>4020</v>
      </c>
      <c r="J829" s="4268">
        <f t="shared" ref="J829:J841" si="88">G829</f>
        <v>4000000</v>
      </c>
      <c r="K829" s="4323">
        <f t="shared" ref="K829:K842" si="89">F829-J829</f>
        <v>0</v>
      </c>
      <c r="L829" s="4343"/>
      <c r="M829" s="386"/>
      <c r="N829" s="386"/>
      <c r="O829" s="386"/>
      <c r="P829" s="386"/>
      <c r="Q829" s="386"/>
    </row>
    <row r="830" spans="1:17" ht="30" customHeight="1" x14ac:dyDescent="0.2">
      <c r="A830" s="4341"/>
      <c r="B830" s="4338" t="s">
        <v>4021</v>
      </c>
      <c r="C830" s="4300" t="s">
        <v>1172</v>
      </c>
      <c r="D830" s="4268">
        <v>100000000</v>
      </c>
      <c r="E830" s="4336">
        <v>0.05</v>
      </c>
      <c r="F830" s="4268">
        <f t="shared" si="87"/>
        <v>5000000</v>
      </c>
      <c r="G830" s="4268">
        <v>5000000</v>
      </c>
      <c r="H830" s="4268" t="s">
        <v>6251</v>
      </c>
      <c r="I830" s="472" t="s">
        <v>4063</v>
      </c>
      <c r="J830" s="4268">
        <f>G830</f>
        <v>5000000</v>
      </c>
      <c r="K830" s="4323">
        <f>F830-J830</f>
        <v>0</v>
      </c>
      <c r="L830" s="4343"/>
      <c r="M830" s="386"/>
      <c r="N830" s="386"/>
      <c r="O830" s="386"/>
      <c r="P830" s="386"/>
      <c r="Q830" s="386"/>
    </row>
    <row r="831" spans="1:17" ht="30" customHeight="1" x14ac:dyDescent="0.2">
      <c r="A831" s="4510"/>
      <c r="B831" s="4509" t="s">
        <v>3997</v>
      </c>
      <c r="C831" s="4508" t="s">
        <v>1652</v>
      </c>
      <c r="D831" s="4478">
        <v>25000000</v>
      </c>
      <c r="E831" s="4507">
        <v>0.04</v>
      </c>
      <c r="F831" s="4478">
        <f t="shared" si="87"/>
        <v>1000000</v>
      </c>
      <c r="G831" s="4478">
        <v>1000000</v>
      </c>
      <c r="H831" s="4478" t="s">
        <v>3807</v>
      </c>
      <c r="I831" s="4519" t="s">
        <v>6262</v>
      </c>
      <c r="J831" s="4478">
        <f>G831</f>
        <v>1000000</v>
      </c>
      <c r="K831" s="4479">
        <f t="shared" si="89"/>
        <v>0</v>
      </c>
      <c r="L831" s="4343"/>
      <c r="M831" s="386"/>
      <c r="N831" s="386"/>
      <c r="O831" s="386"/>
      <c r="P831" s="386"/>
      <c r="Q831" s="386"/>
    </row>
    <row r="832" spans="1:17" ht="30" customHeight="1" x14ac:dyDescent="0.2">
      <c r="A832" s="4341"/>
      <c r="B832" s="4286" t="s">
        <v>2692</v>
      </c>
      <c r="C832" s="4337" t="s">
        <v>371</v>
      </c>
      <c r="D832" s="4266">
        <v>500000000</v>
      </c>
      <c r="E832" s="4273">
        <v>7.0000000000000007E-2</v>
      </c>
      <c r="F832" s="4266">
        <f t="shared" ref="F832" si="90">D832*E832</f>
        <v>35000000</v>
      </c>
      <c r="G832" s="4643">
        <v>35000000</v>
      </c>
      <c r="H832" s="4643" t="s">
        <v>4491</v>
      </c>
      <c r="I832" s="4643" t="s">
        <v>2693</v>
      </c>
      <c r="J832" s="4643">
        <f>G832</f>
        <v>35000000</v>
      </c>
      <c r="K832" s="4654">
        <f t="shared" si="89"/>
        <v>0</v>
      </c>
      <c r="L832" s="4343"/>
      <c r="M832" s="386"/>
      <c r="N832" s="386"/>
      <c r="O832" s="386"/>
      <c r="P832" s="386"/>
      <c r="Q832" s="386"/>
    </row>
    <row r="833" spans="1:17" ht="30" customHeight="1" x14ac:dyDescent="0.2">
      <c r="A833" s="4341"/>
      <c r="B833" s="4286" t="s">
        <v>5714</v>
      </c>
      <c r="C833" s="4337" t="s">
        <v>371</v>
      </c>
      <c r="D833" s="1455">
        <v>40000000</v>
      </c>
      <c r="E833" s="1929">
        <v>7.0000000000000007E-2</v>
      </c>
      <c r="F833" s="1455">
        <f t="shared" ref="F833:F841" si="91">D833*E833</f>
        <v>2800000.0000000005</v>
      </c>
      <c r="G833" s="4643">
        <v>2800000</v>
      </c>
      <c r="H833" s="4643" t="s">
        <v>4491</v>
      </c>
      <c r="I833" s="4643" t="s">
        <v>6404</v>
      </c>
      <c r="J833" s="4643">
        <f>G833</f>
        <v>2800000</v>
      </c>
      <c r="K833" s="4654">
        <f t="shared" si="89"/>
        <v>0</v>
      </c>
      <c r="L833" s="4319"/>
      <c r="M833" s="386"/>
      <c r="N833" s="386"/>
      <c r="O833" s="386"/>
      <c r="P833" s="386"/>
      <c r="Q833" s="386"/>
    </row>
    <row r="834" spans="1:17" ht="30" customHeight="1" x14ac:dyDescent="0.2">
      <c r="A834" s="4271"/>
      <c r="B834" s="4275" t="s">
        <v>5727</v>
      </c>
      <c r="C834" s="4299" t="s">
        <v>3007</v>
      </c>
      <c r="D834" s="1455">
        <v>130000000</v>
      </c>
      <c r="E834" s="1929">
        <v>0.05</v>
      </c>
      <c r="F834" s="1455">
        <f t="shared" si="91"/>
        <v>6500000</v>
      </c>
      <c r="G834" s="4768">
        <v>6500000</v>
      </c>
      <c r="H834" s="4768" t="s">
        <v>6594</v>
      </c>
      <c r="I834" s="4768" t="s">
        <v>3982</v>
      </c>
      <c r="J834" s="4768">
        <f>G834</f>
        <v>6500000</v>
      </c>
      <c r="K834" s="4797">
        <f t="shared" si="89"/>
        <v>0</v>
      </c>
      <c r="L834" s="4377" t="s">
        <v>5726</v>
      </c>
      <c r="M834" s="386"/>
      <c r="N834" s="386"/>
      <c r="O834" s="386"/>
      <c r="P834" s="386"/>
      <c r="Q834" s="386"/>
    </row>
    <row r="835" spans="1:17" ht="30" customHeight="1" x14ac:dyDescent="0.2">
      <c r="A835" s="7654"/>
      <c r="B835" s="7661" t="s">
        <v>4699</v>
      </c>
      <c r="C835" s="7723" t="s">
        <v>371</v>
      </c>
      <c r="D835" s="7563">
        <v>400000000</v>
      </c>
      <c r="E835" s="7659">
        <v>7.0000000000000007E-2</v>
      </c>
      <c r="F835" s="7563">
        <f t="shared" ref="F835" si="92">D835*E835</f>
        <v>28000000.000000004</v>
      </c>
      <c r="G835" s="4260">
        <v>10000000</v>
      </c>
      <c r="H835" s="638" t="s">
        <v>4491</v>
      </c>
      <c r="I835" s="638" t="s">
        <v>6409</v>
      </c>
      <c r="J835" s="7563">
        <f>G835+G836</f>
        <v>28000000</v>
      </c>
      <c r="K835" s="7816">
        <f>F835-J835</f>
        <v>0</v>
      </c>
      <c r="L835" s="4319"/>
      <c r="M835" s="386"/>
      <c r="N835" s="386"/>
      <c r="O835" s="386"/>
      <c r="P835" s="386"/>
      <c r="Q835" s="386"/>
    </row>
    <row r="836" spans="1:17" ht="30" customHeight="1" x14ac:dyDescent="0.2">
      <c r="A836" s="7655"/>
      <c r="B836" s="7663"/>
      <c r="C836" s="7724"/>
      <c r="D836" s="7564"/>
      <c r="E836" s="7660"/>
      <c r="F836" s="7564"/>
      <c r="G836" s="4643">
        <v>18000000</v>
      </c>
      <c r="H836" s="638" t="s">
        <v>6408</v>
      </c>
      <c r="I836" s="638" t="s">
        <v>4403</v>
      </c>
      <c r="J836" s="7564"/>
      <c r="K836" s="7817"/>
      <c r="L836" s="4653"/>
      <c r="M836" s="386"/>
      <c r="N836" s="386"/>
      <c r="O836" s="386"/>
      <c r="P836" s="386"/>
      <c r="Q836" s="386"/>
    </row>
    <row r="837" spans="1:17" ht="30" customHeight="1" x14ac:dyDescent="0.2">
      <c r="A837" s="4341"/>
      <c r="B837" s="4338" t="s">
        <v>2702</v>
      </c>
      <c r="C837" s="4300" t="s">
        <v>262</v>
      </c>
      <c r="D837" s="4268">
        <v>30000000</v>
      </c>
      <c r="E837" s="4336">
        <v>0.05</v>
      </c>
      <c r="F837" s="4268">
        <f t="shared" si="91"/>
        <v>1500000</v>
      </c>
      <c r="G837" s="4260">
        <v>1500000</v>
      </c>
      <c r="H837" s="4260" t="s">
        <v>6368</v>
      </c>
      <c r="I837" s="4260" t="s">
        <v>3536</v>
      </c>
      <c r="J837" s="4260">
        <f t="shared" si="88"/>
        <v>1500000</v>
      </c>
      <c r="K837" s="4323">
        <f t="shared" si="89"/>
        <v>0</v>
      </c>
      <c r="L837" s="4343"/>
      <c r="M837" s="386"/>
      <c r="N837" s="386"/>
      <c r="O837" s="386"/>
      <c r="P837" s="386"/>
      <c r="Q837" s="386"/>
    </row>
    <row r="838" spans="1:17" ht="30" customHeight="1" x14ac:dyDescent="0.2">
      <c r="A838" s="4341"/>
      <c r="B838" s="4338" t="s">
        <v>2727</v>
      </c>
      <c r="C838" s="4300" t="s">
        <v>392</v>
      </c>
      <c r="D838" s="4268">
        <v>140000000</v>
      </c>
      <c r="E838" s="4336">
        <v>7.0000000000000007E-2</v>
      </c>
      <c r="F838" s="4268">
        <f t="shared" si="91"/>
        <v>9800000.0000000019</v>
      </c>
      <c r="G838" s="4260">
        <v>9800000</v>
      </c>
      <c r="H838" s="4260" t="s">
        <v>6220</v>
      </c>
      <c r="I838" s="4260" t="s">
        <v>4380</v>
      </c>
      <c r="J838" s="4260">
        <f t="shared" si="88"/>
        <v>9800000</v>
      </c>
      <c r="K838" s="4323">
        <f t="shared" si="89"/>
        <v>0</v>
      </c>
      <c r="L838" s="4343"/>
      <c r="M838" s="386"/>
      <c r="N838" s="386"/>
      <c r="O838" s="386"/>
      <c r="P838" s="386"/>
      <c r="Q838" s="386"/>
    </row>
    <row r="839" spans="1:17" ht="30" customHeight="1" x14ac:dyDescent="0.2">
      <c r="A839" s="4341"/>
      <c r="B839" s="4338" t="s">
        <v>2735</v>
      </c>
      <c r="C839" s="4300" t="s">
        <v>889</v>
      </c>
      <c r="D839" s="4268">
        <v>85000000</v>
      </c>
      <c r="E839" s="4336">
        <v>0.05</v>
      </c>
      <c r="F839" s="4268">
        <f t="shared" si="91"/>
        <v>4250000</v>
      </c>
      <c r="G839" s="4260">
        <v>4250000</v>
      </c>
      <c r="H839" s="4260" t="s">
        <v>3807</v>
      </c>
      <c r="I839" s="4383" t="s">
        <v>3529</v>
      </c>
      <c r="J839" s="4260">
        <f t="shared" si="88"/>
        <v>4250000</v>
      </c>
      <c r="K839" s="4323">
        <f t="shared" si="89"/>
        <v>0</v>
      </c>
      <c r="L839" s="4343"/>
      <c r="M839" s="386"/>
      <c r="N839" s="386"/>
      <c r="O839" s="386"/>
      <c r="P839" s="386"/>
      <c r="Q839" s="386"/>
    </row>
    <row r="840" spans="1:17" ht="30" customHeight="1" x14ac:dyDescent="0.2">
      <c r="A840" s="4341"/>
      <c r="B840" s="4338" t="s">
        <v>3534</v>
      </c>
      <c r="C840" s="4300" t="s">
        <v>372</v>
      </c>
      <c r="D840" s="4268">
        <v>50000000</v>
      </c>
      <c r="E840" s="4336">
        <v>0.05</v>
      </c>
      <c r="F840" s="4268">
        <f t="shared" si="91"/>
        <v>2500000</v>
      </c>
      <c r="G840" s="4260">
        <v>2500000</v>
      </c>
      <c r="H840" s="4260" t="s">
        <v>6354</v>
      </c>
      <c r="I840" s="4260" t="s">
        <v>4091</v>
      </c>
      <c r="J840" s="4260">
        <f t="shared" si="88"/>
        <v>2500000</v>
      </c>
      <c r="K840" s="4323">
        <f t="shared" si="89"/>
        <v>0</v>
      </c>
      <c r="L840" s="4343"/>
      <c r="M840" s="386"/>
      <c r="N840" s="386"/>
      <c r="O840" s="386"/>
      <c r="P840" s="386"/>
      <c r="Q840" s="386"/>
    </row>
    <row r="841" spans="1:17" ht="30" customHeight="1" x14ac:dyDescent="0.2">
      <c r="A841" s="4341"/>
      <c r="B841" s="4338" t="s">
        <v>2738</v>
      </c>
      <c r="C841" s="4300" t="s">
        <v>372</v>
      </c>
      <c r="D841" s="4268">
        <v>25000000</v>
      </c>
      <c r="E841" s="4336">
        <v>0.05</v>
      </c>
      <c r="F841" s="4268">
        <f t="shared" si="91"/>
        <v>1250000</v>
      </c>
      <c r="G841" s="4260">
        <v>1250000</v>
      </c>
      <c r="H841" s="4260" t="s">
        <v>6354</v>
      </c>
      <c r="I841" s="4260" t="s">
        <v>4017</v>
      </c>
      <c r="J841" s="4260">
        <f t="shared" si="88"/>
        <v>1250000</v>
      </c>
      <c r="K841" s="4323">
        <f t="shared" si="89"/>
        <v>0</v>
      </c>
      <c r="L841" s="4343"/>
      <c r="M841" s="386"/>
      <c r="N841" s="386"/>
      <c r="O841" s="386"/>
      <c r="P841" s="386"/>
      <c r="Q841" s="386"/>
    </row>
    <row r="842" spans="1:17" ht="30" customHeight="1" x14ac:dyDescent="0.2">
      <c r="A842" s="7654"/>
      <c r="B842" s="7652" t="s">
        <v>2767</v>
      </c>
      <c r="C842" s="7723"/>
      <c r="D842" s="4260">
        <v>650000000</v>
      </c>
      <c r="E842" s="4336">
        <v>0.06</v>
      </c>
      <c r="F842" s="4260">
        <f>D842*E842</f>
        <v>39000000</v>
      </c>
      <c r="G842" s="4260">
        <v>39000000</v>
      </c>
      <c r="H842" s="4260" t="s">
        <v>6251</v>
      </c>
      <c r="I842" s="4260" t="s">
        <v>3477</v>
      </c>
      <c r="J842" s="4260">
        <f>G842</f>
        <v>39000000</v>
      </c>
      <c r="K842" s="4264">
        <f t="shared" si="89"/>
        <v>0</v>
      </c>
      <c r="L842" s="4378" t="s">
        <v>5193</v>
      </c>
      <c r="M842" s="386"/>
      <c r="N842" s="386"/>
      <c r="O842" s="386"/>
      <c r="P842" s="386"/>
      <c r="Q842" s="386"/>
    </row>
    <row r="843" spans="1:17" ht="30" customHeight="1" x14ac:dyDescent="0.2">
      <c r="A843" s="7656"/>
      <c r="B843" s="7665"/>
      <c r="C843" s="7747"/>
      <c r="D843" s="4546">
        <v>50000000</v>
      </c>
      <c r="E843" s="4568"/>
      <c r="F843" s="4546"/>
      <c r="G843" s="4543"/>
      <c r="H843" s="4543"/>
      <c r="I843" s="4543"/>
      <c r="J843" s="4543"/>
      <c r="K843" s="4565"/>
      <c r="L843" s="4569" t="s">
        <v>6333</v>
      </c>
      <c r="M843" s="386"/>
      <c r="N843" s="386"/>
      <c r="O843" s="386"/>
      <c r="P843" s="386"/>
      <c r="Q843" s="386"/>
    </row>
    <row r="844" spans="1:17" ht="30" customHeight="1" x14ac:dyDescent="0.2">
      <c r="A844" s="7655"/>
      <c r="B844" s="7653"/>
      <c r="C844" s="7724"/>
      <c r="D844" s="4546">
        <v>50000000</v>
      </c>
      <c r="E844" s="4568"/>
      <c r="F844" s="4546"/>
      <c r="G844" s="4543"/>
      <c r="H844" s="4543"/>
      <c r="I844" s="4543"/>
      <c r="J844" s="4543"/>
      <c r="K844" s="4565"/>
      <c r="L844" s="4569" t="s">
        <v>6334</v>
      </c>
      <c r="M844" s="386"/>
      <c r="N844" s="386"/>
      <c r="O844" s="386"/>
      <c r="P844" s="386"/>
      <c r="Q844" s="386"/>
    </row>
    <row r="845" spans="1:17" ht="30" customHeight="1" x14ac:dyDescent="0.2">
      <c r="A845" s="4341"/>
      <c r="B845" s="4338" t="s">
        <v>2799</v>
      </c>
      <c r="C845" s="4300"/>
      <c r="D845" s="4268">
        <v>85000000</v>
      </c>
      <c r="E845" s="4336"/>
      <c r="F845" s="4268"/>
      <c r="G845" s="4260"/>
      <c r="H845" s="4260"/>
      <c r="I845" s="4260"/>
      <c r="J845" s="4260"/>
      <c r="K845" s="4323"/>
      <c r="L845" s="4343" t="s">
        <v>2800</v>
      </c>
      <c r="M845" s="386"/>
      <c r="N845" s="386"/>
      <c r="O845" s="386"/>
      <c r="P845" s="386"/>
      <c r="Q845" s="386"/>
    </row>
    <row r="846" spans="1:17" ht="30" customHeight="1" x14ac:dyDescent="0.2">
      <c r="A846" s="4341"/>
      <c r="B846" s="4338" t="s">
        <v>2802</v>
      </c>
      <c r="C846" s="4300" t="s">
        <v>359</v>
      </c>
      <c r="D846" s="4268">
        <v>20000000</v>
      </c>
      <c r="E846" s="4336">
        <v>0.05</v>
      </c>
      <c r="F846" s="4268">
        <f t="shared" ref="F846:F856" si="93">D846*E846</f>
        <v>1000000</v>
      </c>
      <c r="G846" s="4260">
        <v>1000000</v>
      </c>
      <c r="H846" s="4260" t="s">
        <v>6386</v>
      </c>
      <c r="I846" s="4260" t="s">
        <v>3556</v>
      </c>
      <c r="J846" s="4260">
        <f>G846</f>
        <v>1000000</v>
      </c>
      <c r="K846" s="4323">
        <f>F846-J846</f>
        <v>0</v>
      </c>
      <c r="L846" s="4343"/>
      <c r="M846" s="386"/>
      <c r="N846" s="386"/>
      <c r="O846" s="386"/>
      <c r="P846" s="386"/>
      <c r="Q846" s="386"/>
    </row>
    <row r="847" spans="1:17" ht="30" customHeight="1" x14ac:dyDescent="0.2">
      <c r="A847" s="7654"/>
      <c r="B847" s="7652" t="s">
        <v>2904</v>
      </c>
      <c r="C847" s="7723" t="s">
        <v>1081</v>
      </c>
      <c r="D847" s="7563">
        <v>40000000</v>
      </c>
      <c r="E847" s="7659">
        <v>0.04</v>
      </c>
      <c r="F847" s="7563">
        <f t="shared" si="93"/>
        <v>1600000</v>
      </c>
      <c r="G847" s="4260">
        <v>1600000</v>
      </c>
      <c r="H847" s="4260" t="s">
        <v>6125</v>
      </c>
      <c r="I847" s="4260" t="s">
        <v>4314</v>
      </c>
      <c r="J847" s="4260">
        <f>G847</f>
        <v>1600000</v>
      </c>
      <c r="K847" s="4323">
        <f>F847-J847</f>
        <v>0</v>
      </c>
      <c r="L847" s="4343" t="s">
        <v>4906</v>
      </c>
      <c r="M847" s="386"/>
      <c r="N847" s="386"/>
      <c r="O847" s="386"/>
      <c r="P847" s="386"/>
      <c r="Q847" s="386"/>
    </row>
    <row r="848" spans="1:17" ht="30" customHeight="1" x14ac:dyDescent="0.2">
      <c r="A848" s="7655"/>
      <c r="B848" s="7653"/>
      <c r="C848" s="7724"/>
      <c r="D848" s="7564"/>
      <c r="E848" s="7660"/>
      <c r="F848" s="7564"/>
      <c r="G848" s="4924">
        <v>1600000</v>
      </c>
      <c r="H848" s="4924" t="s">
        <v>6756</v>
      </c>
      <c r="I848" s="4924" t="s">
        <v>4314</v>
      </c>
      <c r="J848" s="4924">
        <f>G848</f>
        <v>1600000</v>
      </c>
      <c r="K848" s="4929">
        <f>F847-J848</f>
        <v>0</v>
      </c>
      <c r="L848" s="4938" t="s">
        <v>5482</v>
      </c>
      <c r="M848" s="386"/>
      <c r="N848" s="386"/>
      <c r="O848" s="386"/>
      <c r="P848" s="386"/>
      <c r="Q848" s="386"/>
    </row>
    <row r="849" spans="1:17" ht="30" customHeight="1" x14ac:dyDescent="0.2">
      <c r="A849" s="7654"/>
      <c r="B849" s="7652" t="s">
        <v>2834</v>
      </c>
      <c r="C849" s="7723" t="s">
        <v>2849</v>
      </c>
      <c r="D849" s="4268">
        <v>20000000</v>
      </c>
      <c r="E849" s="4274">
        <v>0.05</v>
      </c>
      <c r="F849" s="4268">
        <f t="shared" si="93"/>
        <v>1000000</v>
      </c>
      <c r="G849" s="7563">
        <v>2000000</v>
      </c>
      <c r="H849" s="7563" t="s">
        <v>6386</v>
      </c>
      <c r="I849" s="7563" t="s">
        <v>6389</v>
      </c>
      <c r="J849" s="7563">
        <f>G849</f>
        <v>2000000</v>
      </c>
      <c r="K849" s="7816">
        <f>G849-J849</f>
        <v>0</v>
      </c>
      <c r="L849" s="4343"/>
      <c r="M849" s="386"/>
      <c r="N849" s="386"/>
      <c r="O849" s="386"/>
      <c r="P849" s="386"/>
      <c r="Q849" s="386"/>
    </row>
    <row r="850" spans="1:17" ht="30" customHeight="1" x14ac:dyDescent="0.2">
      <c r="A850" s="7655"/>
      <c r="B850" s="7653"/>
      <c r="C850" s="7724"/>
      <c r="D850" s="4268">
        <v>20000000</v>
      </c>
      <c r="E850" s="4274">
        <v>0.05</v>
      </c>
      <c r="F850" s="4268">
        <f t="shared" si="93"/>
        <v>1000000</v>
      </c>
      <c r="G850" s="7564"/>
      <c r="H850" s="7564"/>
      <c r="I850" s="7564"/>
      <c r="J850" s="7564"/>
      <c r="K850" s="7817"/>
      <c r="L850" s="4343" t="s">
        <v>5068</v>
      </c>
      <c r="M850" s="386"/>
      <c r="N850" s="386"/>
      <c r="O850" s="386"/>
      <c r="P850" s="386"/>
      <c r="Q850" s="386"/>
    </row>
    <row r="851" spans="1:17" ht="30" customHeight="1" x14ac:dyDescent="0.2">
      <c r="A851" s="7654"/>
      <c r="B851" s="7652" t="s">
        <v>2899</v>
      </c>
      <c r="C851" s="4832" t="s">
        <v>1718</v>
      </c>
      <c r="D851" s="4268">
        <v>400000000</v>
      </c>
      <c r="E851" s="4336">
        <v>7.0000000000000007E-2</v>
      </c>
      <c r="F851" s="4268">
        <f t="shared" si="93"/>
        <v>28000000.000000004</v>
      </c>
      <c r="G851" s="4268"/>
      <c r="H851" s="4268"/>
      <c r="I851" s="4308" t="s">
        <v>2868</v>
      </c>
      <c r="J851" s="4268">
        <f t="shared" ref="J851:J866" si="94">G851</f>
        <v>0</v>
      </c>
      <c r="K851" s="4323">
        <f>F851-J851</f>
        <v>28000000.000000004</v>
      </c>
      <c r="L851" s="4344" t="s">
        <v>4694</v>
      </c>
      <c r="M851" s="386"/>
      <c r="N851" s="386"/>
      <c r="O851" s="386"/>
      <c r="P851" s="386"/>
      <c r="Q851" s="386"/>
    </row>
    <row r="852" spans="1:17" ht="30" customHeight="1" x14ac:dyDescent="0.2">
      <c r="A852" s="7656"/>
      <c r="B852" s="7665"/>
      <c r="C852" s="7723" t="s">
        <v>990</v>
      </c>
      <c r="D852" s="7563">
        <v>200000000</v>
      </c>
      <c r="E852" s="7659">
        <v>7.0000000000000007E-2</v>
      </c>
      <c r="F852" s="7563">
        <f t="shared" si="93"/>
        <v>14000000.000000002</v>
      </c>
      <c r="G852" s="7494" t="s">
        <v>6649</v>
      </c>
      <c r="H852" s="7495"/>
      <c r="I852" s="7495"/>
      <c r="J852" s="7768"/>
      <c r="K852" s="7816"/>
      <c r="L852" s="4344" t="s">
        <v>5943</v>
      </c>
      <c r="M852" s="386"/>
      <c r="N852" s="386"/>
      <c r="O852" s="386"/>
      <c r="P852" s="386"/>
      <c r="Q852" s="386"/>
    </row>
    <row r="853" spans="1:17" ht="30" customHeight="1" x14ac:dyDescent="0.2">
      <c r="A853" s="7656"/>
      <c r="B853" s="7665"/>
      <c r="C853" s="7747"/>
      <c r="D853" s="7586"/>
      <c r="E853" s="7676"/>
      <c r="F853" s="7586"/>
      <c r="G853" s="7769"/>
      <c r="H853" s="7805"/>
      <c r="I853" s="7805"/>
      <c r="J853" s="7770"/>
      <c r="K853" s="7817"/>
      <c r="L853" s="4344"/>
      <c r="M853" s="386"/>
      <c r="N853" s="386"/>
      <c r="O853" s="386"/>
      <c r="P853" s="386"/>
      <c r="Q853" s="386"/>
    </row>
    <row r="854" spans="1:17" ht="30" customHeight="1" x14ac:dyDescent="0.2">
      <c r="A854" s="7655"/>
      <c r="B854" s="7653"/>
      <c r="C854" s="7724"/>
      <c r="D854" s="7564"/>
      <c r="E854" s="7660"/>
      <c r="F854" s="7564"/>
      <c r="G854" s="4922">
        <v>14000000</v>
      </c>
      <c r="H854" s="4922" t="s">
        <v>6762</v>
      </c>
      <c r="I854" s="4922">
        <f>G854</f>
        <v>14000000</v>
      </c>
      <c r="J854" s="4922">
        <f>G854</f>
        <v>14000000</v>
      </c>
      <c r="K854" s="4929"/>
      <c r="L854" s="4937"/>
      <c r="M854" s="386"/>
      <c r="N854" s="386"/>
      <c r="O854" s="386"/>
      <c r="P854" s="386"/>
      <c r="Q854" s="386"/>
    </row>
    <row r="855" spans="1:17" ht="30" customHeight="1" x14ac:dyDescent="0.2">
      <c r="A855" s="4272"/>
      <c r="B855" s="4279" t="s">
        <v>4692</v>
      </c>
      <c r="C855" s="4300" t="s">
        <v>2278</v>
      </c>
      <c r="D855" s="4268">
        <v>100000000</v>
      </c>
      <c r="E855" s="4336">
        <v>7.0000000000000007E-2</v>
      </c>
      <c r="F855" s="4268">
        <f t="shared" si="93"/>
        <v>7000000.0000000009</v>
      </c>
      <c r="G855" s="7732" t="s">
        <v>5945</v>
      </c>
      <c r="H855" s="7733"/>
      <c r="I855" s="7733"/>
      <c r="J855" s="7734"/>
      <c r="K855" s="4323"/>
      <c r="L855" s="4344" t="s">
        <v>4693</v>
      </c>
      <c r="M855" s="386"/>
      <c r="N855" s="386"/>
      <c r="O855" s="386"/>
      <c r="P855" s="386"/>
      <c r="Q855" s="386"/>
    </row>
    <row r="856" spans="1:17" ht="30" customHeight="1" x14ac:dyDescent="0.2">
      <c r="A856" s="4341"/>
      <c r="B856" s="4279" t="s">
        <v>2206</v>
      </c>
      <c r="C856" s="4300" t="s">
        <v>1306</v>
      </c>
      <c r="D856" s="4268">
        <v>150000000</v>
      </c>
      <c r="E856" s="4336">
        <v>0.05</v>
      </c>
      <c r="F856" s="4268">
        <f t="shared" si="93"/>
        <v>7500000</v>
      </c>
      <c r="G856" s="4268">
        <v>7500000</v>
      </c>
      <c r="H856" s="4268" t="s">
        <v>3284</v>
      </c>
      <c r="I856" s="4308" t="s">
        <v>4539</v>
      </c>
      <c r="J856" s="4268">
        <f t="shared" si="94"/>
        <v>7500000</v>
      </c>
      <c r="K856" s="4323">
        <f>F856-J856</f>
        <v>0</v>
      </c>
      <c r="L856" s="4320"/>
      <c r="M856" s="386"/>
      <c r="N856" s="386"/>
      <c r="O856" s="386"/>
      <c r="P856" s="386"/>
      <c r="Q856" s="386"/>
    </row>
    <row r="857" spans="1:17" ht="30" customHeight="1" x14ac:dyDescent="0.2">
      <c r="A857" s="4341"/>
      <c r="B857" s="19" t="s">
        <v>180</v>
      </c>
      <c r="C857" s="4300" t="s">
        <v>2849</v>
      </c>
      <c r="D857" s="4268">
        <v>126000000</v>
      </c>
      <c r="E857" s="4336">
        <f>F857/D857</f>
        <v>0.05</v>
      </c>
      <c r="F857" s="4268">
        <v>6300000</v>
      </c>
      <c r="G857" s="4260">
        <v>6300000</v>
      </c>
      <c r="H857" s="4260" t="s">
        <v>6192</v>
      </c>
      <c r="I857" s="4260" t="s">
        <v>4880</v>
      </c>
      <c r="J857" s="4260">
        <f t="shared" si="94"/>
        <v>6300000</v>
      </c>
      <c r="K857" s="4323">
        <f t="shared" ref="K857:K864" si="95">F857-J857</f>
        <v>0</v>
      </c>
      <c r="L857" s="4343"/>
      <c r="M857" s="386"/>
      <c r="N857" s="386"/>
      <c r="O857" s="386"/>
      <c r="P857" s="386"/>
      <c r="Q857" s="386"/>
    </row>
    <row r="858" spans="1:17" ht="30" customHeight="1" x14ac:dyDescent="0.2">
      <c r="A858" s="4341"/>
      <c r="B858" s="19" t="s">
        <v>4695</v>
      </c>
      <c r="C858" s="4300" t="s">
        <v>989</v>
      </c>
      <c r="D858" s="4268">
        <v>50000000</v>
      </c>
      <c r="E858" s="4336">
        <v>0.05</v>
      </c>
      <c r="F858" s="4268">
        <f t="shared" ref="F858:F864" si="96">D858*E858</f>
        <v>2500000</v>
      </c>
      <c r="G858" s="4268">
        <v>2500000</v>
      </c>
      <c r="H858" s="4268" t="s">
        <v>6594</v>
      </c>
      <c r="I858" s="4308" t="s">
        <v>4764</v>
      </c>
      <c r="J858" s="4268">
        <f t="shared" si="94"/>
        <v>2500000</v>
      </c>
      <c r="K858" s="4323">
        <f>F858-J858</f>
        <v>0</v>
      </c>
      <c r="L858" s="2700"/>
      <c r="M858" s="386"/>
      <c r="N858" s="386"/>
      <c r="O858" s="386"/>
      <c r="P858" s="386"/>
      <c r="Q858" s="386"/>
    </row>
    <row r="859" spans="1:17" ht="30" customHeight="1" x14ac:dyDescent="0.2">
      <c r="A859" s="7654"/>
      <c r="B859" s="7652" t="s">
        <v>2873</v>
      </c>
      <c r="C859" s="7723" t="s">
        <v>1172</v>
      </c>
      <c r="D859" s="4268">
        <v>40000000</v>
      </c>
      <c r="E859" s="4336">
        <v>0.05</v>
      </c>
      <c r="F859" s="4268">
        <f t="shared" si="96"/>
        <v>2000000</v>
      </c>
      <c r="G859" s="7563">
        <v>5000000</v>
      </c>
      <c r="H859" s="7563" t="s">
        <v>3807</v>
      </c>
      <c r="I859" s="7563" t="s">
        <v>6261</v>
      </c>
      <c r="J859" s="7563">
        <f t="shared" si="94"/>
        <v>5000000</v>
      </c>
      <c r="K859" s="7816">
        <f>(F859+F860)-J859</f>
        <v>0</v>
      </c>
      <c r="L859" s="4343"/>
      <c r="M859" s="386"/>
      <c r="N859" s="386"/>
      <c r="O859" s="386"/>
      <c r="P859" s="386"/>
      <c r="Q859" s="386"/>
    </row>
    <row r="860" spans="1:17" ht="30" customHeight="1" x14ac:dyDescent="0.2">
      <c r="A860" s="7655"/>
      <c r="B860" s="7653"/>
      <c r="C860" s="7724"/>
      <c r="D860" s="4268">
        <v>60000000</v>
      </c>
      <c r="E860" s="4336">
        <v>0.05</v>
      </c>
      <c r="F860" s="4268">
        <f t="shared" si="96"/>
        <v>3000000</v>
      </c>
      <c r="G860" s="7564"/>
      <c r="H860" s="7564"/>
      <c r="I860" s="7564"/>
      <c r="J860" s="7564"/>
      <c r="K860" s="7817"/>
      <c r="L860" s="4343"/>
      <c r="M860" s="386"/>
      <c r="N860" s="386"/>
      <c r="O860" s="386"/>
      <c r="P860" s="386"/>
      <c r="Q860" s="386"/>
    </row>
    <row r="861" spans="1:17" ht="30" customHeight="1" x14ac:dyDescent="0.2">
      <c r="A861" s="4341"/>
      <c r="B861" s="4338" t="s">
        <v>2878</v>
      </c>
      <c r="C861" s="4300" t="s">
        <v>1718</v>
      </c>
      <c r="D861" s="4268">
        <v>25000000</v>
      </c>
      <c r="E861" s="4336">
        <v>0.04</v>
      </c>
      <c r="F861" s="4268">
        <f t="shared" si="96"/>
        <v>1000000</v>
      </c>
      <c r="G861" s="4268">
        <v>1000000</v>
      </c>
      <c r="H861" s="4268" t="s">
        <v>6354</v>
      </c>
      <c r="I861" s="4308" t="s">
        <v>4062</v>
      </c>
      <c r="J861" s="4268">
        <f t="shared" si="94"/>
        <v>1000000</v>
      </c>
      <c r="K861" s="4323">
        <f t="shared" si="95"/>
        <v>0</v>
      </c>
      <c r="L861" s="4343"/>
      <c r="M861" s="386"/>
      <c r="N861" s="386"/>
      <c r="O861" s="386"/>
      <c r="P861" s="386"/>
      <c r="Q861" s="386"/>
    </row>
    <row r="862" spans="1:17" ht="30" customHeight="1" x14ac:dyDescent="0.2">
      <c r="A862" s="4341"/>
      <c r="B862" s="4338" t="s">
        <v>2932</v>
      </c>
      <c r="C862" s="4300" t="s">
        <v>1172</v>
      </c>
      <c r="D862" s="4268">
        <v>50000000</v>
      </c>
      <c r="E862" s="4336">
        <v>0.05</v>
      </c>
      <c r="F862" s="4268">
        <f t="shared" si="96"/>
        <v>2500000</v>
      </c>
      <c r="G862" s="4268"/>
      <c r="H862" s="4268"/>
      <c r="I862" s="4308" t="s">
        <v>4092</v>
      </c>
      <c r="J862" s="4268">
        <f t="shared" si="94"/>
        <v>0</v>
      </c>
      <c r="K862" s="4323">
        <f t="shared" si="95"/>
        <v>2500000</v>
      </c>
      <c r="L862" s="4343" t="s">
        <v>6538</v>
      </c>
      <c r="M862" s="386"/>
      <c r="N862" s="386"/>
      <c r="O862" s="386"/>
      <c r="P862" s="386"/>
      <c r="Q862" s="386"/>
    </row>
    <row r="863" spans="1:17" ht="30" customHeight="1" x14ac:dyDescent="0.2">
      <c r="A863" s="4271"/>
      <c r="B863" s="19" t="s">
        <v>2938</v>
      </c>
      <c r="C863" s="4337" t="s">
        <v>1138</v>
      </c>
      <c r="D863" s="4260">
        <v>10000000</v>
      </c>
      <c r="E863" s="4336">
        <v>0.05</v>
      </c>
      <c r="F863" s="4260">
        <f t="shared" si="96"/>
        <v>500000</v>
      </c>
      <c r="G863" s="4260">
        <v>500000</v>
      </c>
      <c r="H863" s="4260" t="s">
        <v>6223</v>
      </c>
      <c r="I863" s="4260" t="s">
        <v>2939</v>
      </c>
      <c r="J863" s="4260">
        <f t="shared" si="94"/>
        <v>500000</v>
      </c>
      <c r="K863" s="4323">
        <f t="shared" si="95"/>
        <v>0</v>
      </c>
      <c r="L863" s="4343" t="s">
        <v>4906</v>
      </c>
      <c r="M863" s="386"/>
      <c r="N863" s="386"/>
      <c r="O863" s="386"/>
      <c r="P863" s="386"/>
      <c r="Q863" s="386"/>
    </row>
    <row r="864" spans="1:17" ht="30" customHeight="1" x14ac:dyDescent="0.2">
      <c r="A864" s="7654"/>
      <c r="B864" s="7652" t="s">
        <v>5360</v>
      </c>
      <c r="C864" s="7723" t="s">
        <v>2278</v>
      </c>
      <c r="D864" s="7563">
        <v>50000000</v>
      </c>
      <c r="E864" s="7659">
        <v>0.05</v>
      </c>
      <c r="F864" s="7563">
        <f t="shared" si="96"/>
        <v>2500000</v>
      </c>
      <c r="G864" s="7563">
        <v>2500000</v>
      </c>
      <c r="H864" s="7563" t="s">
        <v>3284</v>
      </c>
      <c r="I864" s="7563" t="s">
        <v>5846</v>
      </c>
      <c r="J864" s="7563">
        <f t="shared" si="94"/>
        <v>2500000</v>
      </c>
      <c r="K864" s="7816">
        <f t="shared" si="95"/>
        <v>0</v>
      </c>
      <c r="L864" s="4343" t="s">
        <v>6097</v>
      </c>
      <c r="M864" s="386"/>
      <c r="N864" s="386"/>
      <c r="O864" s="386"/>
      <c r="P864" s="386"/>
      <c r="Q864" s="386"/>
    </row>
    <row r="865" spans="1:17" ht="30" customHeight="1" x14ac:dyDescent="0.2">
      <c r="A865" s="7655"/>
      <c r="B865" s="7653"/>
      <c r="C865" s="7724"/>
      <c r="D865" s="7564"/>
      <c r="E865" s="7660"/>
      <c r="F865" s="7564"/>
      <c r="G865" s="7564"/>
      <c r="H865" s="7564"/>
      <c r="I865" s="7564"/>
      <c r="J865" s="7564"/>
      <c r="K865" s="7817"/>
      <c r="L865" s="4343" t="s">
        <v>5683</v>
      </c>
      <c r="M865" s="386"/>
      <c r="N865" s="386"/>
      <c r="O865" s="386"/>
      <c r="P865" s="386"/>
      <c r="Q865" s="386"/>
    </row>
    <row r="866" spans="1:17" ht="30" customHeight="1" x14ac:dyDescent="0.2">
      <c r="A866" s="7654"/>
      <c r="B866" s="8291" t="s">
        <v>3037</v>
      </c>
      <c r="C866" s="8341" t="s">
        <v>1306</v>
      </c>
      <c r="D866" s="4268">
        <v>30000000</v>
      </c>
      <c r="E866" s="4336">
        <v>0.05</v>
      </c>
      <c r="F866" s="4268">
        <f t="shared" ref="F866:F884" si="97">D866*E866</f>
        <v>1500000</v>
      </c>
      <c r="G866" s="7846">
        <v>4455000</v>
      </c>
      <c r="H866" s="7563" t="s">
        <v>6582</v>
      </c>
      <c r="I866" s="7563" t="s">
        <v>3729</v>
      </c>
      <c r="J866" s="7563">
        <f t="shared" si="94"/>
        <v>4455000</v>
      </c>
      <c r="K866" s="7816"/>
      <c r="L866" s="4343"/>
      <c r="M866" s="386"/>
      <c r="N866" s="386"/>
      <c r="O866" s="386"/>
      <c r="P866" s="386"/>
      <c r="Q866" s="386"/>
    </row>
    <row r="867" spans="1:17" ht="30" customHeight="1" x14ac:dyDescent="0.2">
      <c r="A867" s="7656"/>
      <c r="B867" s="8292"/>
      <c r="C867" s="8342"/>
      <c r="D867" s="4268">
        <v>15000000</v>
      </c>
      <c r="E867" s="4336">
        <v>0.05</v>
      </c>
      <c r="F867" s="4268">
        <f t="shared" si="97"/>
        <v>750000</v>
      </c>
      <c r="G867" s="7847"/>
      <c r="H867" s="7586"/>
      <c r="I867" s="7586"/>
      <c r="J867" s="7586"/>
      <c r="K867" s="7882"/>
      <c r="L867" s="4343"/>
      <c r="M867" s="386"/>
      <c r="N867" s="386"/>
      <c r="O867" s="386"/>
      <c r="P867" s="386"/>
      <c r="Q867" s="386"/>
    </row>
    <row r="868" spans="1:17" ht="30" customHeight="1" x14ac:dyDescent="0.2">
      <c r="A868" s="7656"/>
      <c r="B868" s="8292"/>
      <c r="C868" s="8342"/>
      <c r="D868" s="4268">
        <v>15000000</v>
      </c>
      <c r="E868" s="4336">
        <v>0.05</v>
      </c>
      <c r="F868" s="4268">
        <f t="shared" si="97"/>
        <v>750000</v>
      </c>
      <c r="G868" s="7847"/>
      <c r="H868" s="7586"/>
      <c r="I868" s="7586"/>
      <c r="J868" s="7586"/>
      <c r="K868" s="7882"/>
      <c r="L868" s="4319" t="s">
        <v>5929</v>
      </c>
      <c r="M868" s="386"/>
      <c r="N868" s="386"/>
      <c r="O868" s="386"/>
      <c r="P868" s="386"/>
      <c r="Q868" s="386"/>
    </row>
    <row r="869" spans="1:17" ht="30" customHeight="1" x14ac:dyDescent="0.2">
      <c r="A869" s="7656"/>
      <c r="B869" s="8292"/>
      <c r="C869" s="8342"/>
      <c r="D869" s="7563">
        <v>35000000</v>
      </c>
      <c r="E869" s="7659">
        <v>0.05</v>
      </c>
      <c r="F869" s="7563">
        <f t="shared" si="97"/>
        <v>1750000</v>
      </c>
      <c r="G869" s="7847"/>
      <c r="H869" s="7586"/>
      <c r="I869" s="7586"/>
      <c r="J869" s="7586"/>
      <c r="K869" s="7882"/>
      <c r="L869" s="4319" t="s">
        <v>6089</v>
      </c>
      <c r="M869" s="386"/>
      <c r="N869" s="386"/>
      <c r="O869" s="386"/>
      <c r="P869" s="386"/>
      <c r="Q869" s="386"/>
    </row>
    <row r="870" spans="1:17" ht="30" customHeight="1" x14ac:dyDescent="0.2">
      <c r="A870" s="7656"/>
      <c r="B870" s="8292"/>
      <c r="C870" s="8342"/>
      <c r="D870" s="7586"/>
      <c r="E870" s="7676"/>
      <c r="F870" s="7586"/>
      <c r="G870" s="7847"/>
      <c r="H870" s="7586"/>
      <c r="I870" s="7586"/>
      <c r="J870" s="7586"/>
      <c r="K870" s="7882"/>
      <c r="L870" s="4319" t="s">
        <v>6090</v>
      </c>
      <c r="M870" s="386"/>
      <c r="N870" s="386"/>
      <c r="O870" s="386"/>
      <c r="P870" s="386"/>
      <c r="Q870" s="386"/>
    </row>
    <row r="871" spans="1:17" ht="30" customHeight="1" x14ac:dyDescent="0.2">
      <c r="A871" s="7656"/>
      <c r="B871" s="8292"/>
      <c r="C871" s="8342"/>
      <c r="D871" s="7586"/>
      <c r="E871" s="7676"/>
      <c r="F871" s="7586"/>
      <c r="G871" s="7847"/>
      <c r="H871" s="7586"/>
      <c r="I871" s="7586"/>
      <c r="J871" s="7586"/>
      <c r="K871" s="7882"/>
      <c r="L871" s="4319" t="s">
        <v>6091</v>
      </c>
      <c r="M871" s="386"/>
      <c r="N871" s="386"/>
      <c r="O871" s="386"/>
      <c r="P871" s="386"/>
      <c r="Q871" s="386"/>
    </row>
    <row r="872" spans="1:17" ht="30" customHeight="1" x14ac:dyDescent="0.2">
      <c r="A872" s="7655"/>
      <c r="B872" s="8293"/>
      <c r="C872" s="8343"/>
      <c r="D872" s="7564"/>
      <c r="E872" s="7660"/>
      <c r="F872" s="7564"/>
      <c r="G872" s="7848"/>
      <c r="H872" s="7564"/>
      <c r="I872" s="7564"/>
      <c r="J872" s="7564"/>
      <c r="K872" s="7817"/>
      <c r="L872" s="4319" t="s">
        <v>6092</v>
      </c>
      <c r="M872" s="386"/>
      <c r="N872" s="386"/>
      <c r="O872" s="386"/>
      <c r="P872" s="386"/>
      <c r="Q872" s="386"/>
    </row>
    <row r="873" spans="1:17" ht="30" customHeight="1" x14ac:dyDescent="0.2">
      <c r="A873" s="7654"/>
      <c r="B873" s="8291" t="s">
        <v>6093</v>
      </c>
      <c r="C873" s="8341" t="s">
        <v>942</v>
      </c>
      <c r="D873" s="7563">
        <v>60000000</v>
      </c>
      <c r="E873" s="7659">
        <v>0.05</v>
      </c>
      <c r="F873" s="7563">
        <f>D873*E873</f>
        <v>3000000</v>
      </c>
      <c r="G873" s="7732" t="s">
        <v>6301</v>
      </c>
      <c r="H873" s="7733"/>
      <c r="I873" s="7733"/>
      <c r="J873" s="7734"/>
      <c r="K873" s="4323"/>
      <c r="L873" s="7811" t="s">
        <v>6191</v>
      </c>
      <c r="M873" s="386"/>
      <c r="N873" s="386"/>
      <c r="O873" s="386"/>
      <c r="P873" s="386"/>
      <c r="Q873" s="386"/>
    </row>
    <row r="874" spans="1:17" ht="30" customHeight="1" x14ac:dyDescent="0.2">
      <c r="A874" s="7656"/>
      <c r="B874" s="8292"/>
      <c r="C874" s="8342"/>
      <c r="D874" s="7586"/>
      <c r="E874" s="7676"/>
      <c r="F874" s="7586"/>
      <c r="G874" s="7732" t="s">
        <v>6301</v>
      </c>
      <c r="H874" s="7733"/>
      <c r="I874" s="7733"/>
      <c r="J874" s="7734"/>
      <c r="K874" s="4323"/>
      <c r="L874" s="7897"/>
      <c r="M874" s="386"/>
      <c r="N874" s="386"/>
      <c r="O874" s="386"/>
      <c r="P874" s="386"/>
      <c r="Q874" s="386"/>
    </row>
    <row r="875" spans="1:17" ht="30" customHeight="1" x14ac:dyDescent="0.2">
      <c r="A875" s="7656"/>
      <c r="B875" s="8292"/>
      <c r="C875" s="8342"/>
      <c r="D875" s="7586"/>
      <c r="E875" s="7676"/>
      <c r="F875" s="7586"/>
      <c r="G875" s="7732" t="s">
        <v>6301</v>
      </c>
      <c r="H875" s="7733"/>
      <c r="I875" s="7733"/>
      <c r="J875" s="7734"/>
      <c r="K875" s="4323"/>
      <c r="L875" s="7897"/>
      <c r="M875" s="386"/>
      <c r="N875" s="386"/>
      <c r="O875" s="386"/>
      <c r="P875" s="386"/>
      <c r="Q875" s="386"/>
    </row>
    <row r="876" spans="1:17" ht="30" customHeight="1" x14ac:dyDescent="0.2">
      <c r="A876" s="7656"/>
      <c r="B876" s="8292"/>
      <c r="C876" s="8342"/>
      <c r="D876" s="7586"/>
      <c r="E876" s="7676"/>
      <c r="F876" s="7586"/>
      <c r="G876" s="7732" t="s">
        <v>6301</v>
      </c>
      <c r="H876" s="7733"/>
      <c r="I876" s="7733"/>
      <c r="J876" s="7734"/>
      <c r="K876" s="4323"/>
      <c r="L876" s="7897"/>
      <c r="M876" s="386"/>
      <c r="N876" s="386"/>
      <c r="O876" s="386"/>
      <c r="P876" s="386"/>
      <c r="Q876" s="386"/>
    </row>
    <row r="877" spans="1:17" ht="30" customHeight="1" x14ac:dyDescent="0.2">
      <c r="A877" s="7656"/>
      <c r="B877" s="8292"/>
      <c r="C877" s="8342"/>
      <c r="D877" s="7586"/>
      <c r="E877" s="7676"/>
      <c r="F877" s="7586"/>
      <c r="G877" s="7732" t="s">
        <v>6094</v>
      </c>
      <c r="H877" s="7733"/>
      <c r="I877" s="7733"/>
      <c r="J877" s="7734"/>
      <c r="K877" s="4323"/>
      <c r="L877" s="7897"/>
      <c r="M877" s="386"/>
      <c r="N877" s="386"/>
      <c r="O877" s="386"/>
      <c r="P877" s="386"/>
      <c r="Q877" s="386"/>
    </row>
    <row r="878" spans="1:17" ht="30" customHeight="1" x14ac:dyDescent="0.2">
      <c r="A878" s="7655"/>
      <c r="B878" s="8293"/>
      <c r="C878" s="8343"/>
      <c r="D878" s="7564"/>
      <c r="E878" s="7660"/>
      <c r="F878" s="7564"/>
      <c r="G878" s="7732" t="s">
        <v>6095</v>
      </c>
      <c r="H878" s="7733"/>
      <c r="I878" s="7733"/>
      <c r="J878" s="7734"/>
      <c r="K878" s="4323"/>
      <c r="L878" s="7812"/>
      <c r="M878" s="386"/>
      <c r="N878" s="386"/>
      <c r="O878" s="386"/>
      <c r="P878" s="386"/>
      <c r="Q878" s="386"/>
    </row>
    <row r="879" spans="1:17" ht="30" customHeight="1" x14ac:dyDescent="0.2">
      <c r="A879" s="4567"/>
      <c r="B879" s="4574" t="s">
        <v>6302</v>
      </c>
      <c r="C879" s="4575"/>
      <c r="D879" s="4546">
        <v>40000000</v>
      </c>
      <c r="E879" s="4554"/>
      <c r="F879" s="4546"/>
      <c r="G879" s="7470"/>
      <c r="H879" s="7493"/>
      <c r="I879" s="7493"/>
      <c r="J879" s="7510"/>
      <c r="K879" s="4565"/>
      <c r="L879" s="4563" t="s">
        <v>6303</v>
      </c>
      <c r="M879" s="386"/>
      <c r="N879" s="386"/>
      <c r="O879" s="386"/>
      <c r="P879" s="386"/>
      <c r="Q879" s="386"/>
    </row>
    <row r="880" spans="1:17" ht="30" customHeight="1" x14ac:dyDescent="0.2">
      <c r="A880" s="7654"/>
      <c r="B880" s="7652" t="s">
        <v>3040</v>
      </c>
      <c r="C880" s="7723" t="s">
        <v>1172</v>
      </c>
      <c r="D880" s="7563">
        <v>1050000000</v>
      </c>
      <c r="E880" s="7659">
        <v>7.0000000000000007E-2</v>
      </c>
      <c r="F880" s="7563">
        <f>D880*E880</f>
        <v>73500000</v>
      </c>
      <c r="G880" s="4268">
        <v>3500000</v>
      </c>
      <c r="H880" s="4260" t="s">
        <v>6223</v>
      </c>
      <c r="I880" s="4260" t="s">
        <v>4942</v>
      </c>
      <c r="J880" s="7563">
        <f>G880+G881</f>
        <v>8500000</v>
      </c>
      <c r="K880" s="7816">
        <f>F880-J880</f>
        <v>65000000</v>
      </c>
      <c r="L880" s="4319"/>
      <c r="M880" s="386"/>
      <c r="N880" s="386"/>
      <c r="O880" s="386"/>
      <c r="P880" s="386"/>
      <c r="Q880" s="386"/>
    </row>
    <row r="881" spans="1:17" ht="30" customHeight="1" x14ac:dyDescent="0.2">
      <c r="A881" s="7656"/>
      <c r="B881" s="7665"/>
      <c r="C881" s="7747"/>
      <c r="D881" s="7564"/>
      <c r="E881" s="7660"/>
      <c r="F881" s="7564"/>
      <c r="G881" s="4581">
        <v>5000000</v>
      </c>
      <c r="H881" s="4581" t="s">
        <v>6354</v>
      </c>
      <c r="I881" s="4581" t="s">
        <v>4942</v>
      </c>
      <c r="J881" s="7564"/>
      <c r="K881" s="7817"/>
      <c r="L881" s="4588"/>
      <c r="M881" s="386"/>
      <c r="N881" s="386"/>
      <c r="O881" s="386"/>
      <c r="P881" s="386"/>
      <c r="Q881" s="386"/>
    </row>
    <row r="882" spans="1:17" ht="30" customHeight="1" x14ac:dyDescent="0.2">
      <c r="A882" s="7655"/>
      <c r="B882" s="7653"/>
      <c r="C882" s="7724"/>
      <c r="D882" s="4482">
        <v>65000000</v>
      </c>
      <c r="E882" s="4507">
        <v>7.0000000000000007E-2</v>
      </c>
      <c r="F882" s="4482">
        <f>D882*E882</f>
        <v>4550000</v>
      </c>
      <c r="G882" s="7732" t="s">
        <v>6235</v>
      </c>
      <c r="H882" s="7733"/>
      <c r="I882" s="7733"/>
      <c r="J882" s="7734"/>
      <c r="K882" s="4500"/>
      <c r="L882" s="4498"/>
      <c r="M882" s="386"/>
      <c r="N882" s="386"/>
      <c r="O882" s="386"/>
      <c r="P882" s="386"/>
      <c r="Q882" s="386"/>
    </row>
    <row r="883" spans="1:17" ht="30" customHeight="1" x14ac:dyDescent="0.2">
      <c r="A883" s="4341"/>
      <c r="B883" s="4338" t="s">
        <v>3071</v>
      </c>
      <c r="C883" s="4300" t="s">
        <v>889</v>
      </c>
      <c r="D883" s="4268">
        <v>100000000</v>
      </c>
      <c r="E883" s="4336">
        <v>0.05</v>
      </c>
      <c r="F883" s="4268">
        <f t="shared" si="97"/>
        <v>5000000</v>
      </c>
      <c r="G883" s="4268">
        <v>5000000</v>
      </c>
      <c r="H883" s="4268" t="s">
        <v>6152</v>
      </c>
      <c r="I883" s="4308" t="s">
        <v>3966</v>
      </c>
      <c r="J883" s="4268">
        <f>G883</f>
        <v>5000000</v>
      </c>
      <c r="K883" s="4323">
        <f>F883-J883</f>
        <v>0</v>
      </c>
      <c r="L883" s="4343"/>
      <c r="M883" s="4343"/>
      <c r="N883" s="4343"/>
      <c r="O883" s="4343"/>
      <c r="P883" s="4343"/>
      <c r="Q883" s="386"/>
    </row>
    <row r="884" spans="1:17" ht="30" customHeight="1" x14ac:dyDescent="0.2">
      <c r="A884" s="4341"/>
      <c r="B884" s="4338" t="s">
        <v>3764</v>
      </c>
      <c r="C884" s="4337" t="s">
        <v>1107</v>
      </c>
      <c r="D884" s="4260">
        <v>30000000</v>
      </c>
      <c r="E884" s="4336">
        <v>7.0000000000000007E-2</v>
      </c>
      <c r="F884" s="4260">
        <f t="shared" si="97"/>
        <v>2100000</v>
      </c>
      <c r="G884" s="4260">
        <v>2100000</v>
      </c>
      <c r="H884" s="4260" t="s">
        <v>6693</v>
      </c>
      <c r="I884" s="4260" t="s">
        <v>4141</v>
      </c>
      <c r="J884" s="4260">
        <f>G884</f>
        <v>2100000</v>
      </c>
      <c r="K884" s="4264">
        <f>F884-J884</f>
        <v>0</v>
      </c>
      <c r="L884" s="4319"/>
      <c r="M884" s="386"/>
      <c r="N884" s="386"/>
      <c r="O884" s="386"/>
      <c r="P884" s="386"/>
      <c r="Q884" s="386"/>
    </row>
    <row r="885" spans="1:17" ht="30" customHeight="1" x14ac:dyDescent="0.2">
      <c r="A885" s="7879"/>
      <c r="B885" s="7717" t="s">
        <v>3954</v>
      </c>
      <c r="C885" s="7873" t="s">
        <v>989</v>
      </c>
      <c r="D885" s="4260">
        <v>300000000</v>
      </c>
      <c r="E885" s="4336">
        <v>0.05</v>
      </c>
      <c r="F885" s="4260">
        <f>D885*E885</f>
        <v>15000000</v>
      </c>
      <c r="G885" s="7482">
        <v>17400000</v>
      </c>
      <c r="H885" s="7482" t="s">
        <v>3284</v>
      </c>
      <c r="I885" s="7482" t="s">
        <v>4147</v>
      </c>
      <c r="J885" s="7482">
        <f>G885</f>
        <v>17400000</v>
      </c>
      <c r="K885" s="7499"/>
      <c r="L885" s="4350" t="s">
        <v>6121</v>
      </c>
      <c r="M885" s="386"/>
      <c r="N885" s="386"/>
      <c r="O885" s="386"/>
      <c r="P885" s="386"/>
      <c r="Q885" s="386"/>
    </row>
    <row r="886" spans="1:17" ht="30" customHeight="1" x14ac:dyDescent="0.2">
      <c r="A886" s="7879"/>
      <c r="B886" s="7717"/>
      <c r="C886" s="7873"/>
      <c r="D886" s="4268">
        <v>60000000</v>
      </c>
      <c r="E886" s="4274">
        <v>0.05</v>
      </c>
      <c r="F886" s="4268">
        <f>D886*E886</f>
        <v>3000000</v>
      </c>
      <c r="G886" s="7482"/>
      <c r="H886" s="7482"/>
      <c r="I886" s="7482"/>
      <c r="J886" s="7482"/>
      <c r="K886" s="7499"/>
      <c r="L886" s="4320" t="s">
        <v>6122</v>
      </c>
      <c r="M886" s="386"/>
      <c r="N886" s="386"/>
      <c r="O886" s="386"/>
      <c r="P886" s="386"/>
      <c r="Q886" s="386"/>
    </row>
    <row r="887" spans="1:17" ht="30" customHeight="1" x14ac:dyDescent="0.2">
      <c r="A887" s="1028"/>
      <c r="B887" s="19" t="s">
        <v>3159</v>
      </c>
      <c r="C887" s="4337" t="s">
        <v>989</v>
      </c>
      <c r="D887" s="4268">
        <v>50000000</v>
      </c>
      <c r="E887" s="4274">
        <v>0.05</v>
      </c>
      <c r="F887" s="4268">
        <f>D887*E887</f>
        <v>2500000</v>
      </c>
      <c r="G887" s="4260">
        <v>2500000</v>
      </c>
      <c r="H887" s="4260" t="s">
        <v>6594</v>
      </c>
      <c r="I887" s="4260" t="s">
        <v>5854</v>
      </c>
      <c r="J887" s="4260">
        <f>G887</f>
        <v>2500000</v>
      </c>
      <c r="K887" s="4323">
        <f>F887-J887</f>
        <v>0</v>
      </c>
      <c r="L887" s="4320"/>
      <c r="M887" s="386"/>
      <c r="N887" s="386"/>
      <c r="O887" s="386"/>
      <c r="P887" s="386"/>
      <c r="Q887" s="386"/>
    </row>
    <row r="888" spans="1:17" ht="30" customHeight="1" x14ac:dyDescent="0.2">
      <c r="A888" s="4427"/>
      <c r="B888" s="4411" t="s">
        <v>3164</v>
      </c>
      <c r="C888" s="4425" t="s">
        <v>3323</v>
      </c>
      <c r="D888" s="4400">
        <v>400000000</v>
      </c>
      <c r="E888" s="4424">
        <v>0.04</v>
      </c>
      <c r="F888" s="4400">
        <f>D888*E888</f>
        <v>16000000</v>
      </c>
      <c r="G888" s="4260">
        <v>16000000</v>
      </c>
      <c r="H888" s="4260" t="s">
        <v>6125</v>
      </c>
      <c r="I888" s="4260" t="s">
        <v>4844</v>
      </c>
      <c r="J888" s="4260">
        <f>G888</f>
        <v>16000000</v>
      </c>
      <c r="K888" s="4323">
        <f>F888-J888</f>
        <v>0</v>
      </c>
      <c r="L888" s="4343" t="s">
        <v>4906</v>
      </c>
      <c r="M888" s="386"/>
      <c r="N888" s="386"/>
      <c r="O888" s="386"/>
      <c r="P888" s="386"/>
      <c r="Q888" s="386"/>
    </row>
    <row r="889" spans="1:17" ht="30" customHeight="1" x14ac:dyDescent="0.2">
      <c r="A889" s="7654"/>
      <c r="B889" s="7661" t="s">
        <v>825</v>
      </c>
      <c r="C889" s="7703"/>
      <c r="D889" s="8390" t="s">
        <v>4935</v>
      </c>
      <c r="E889" s="8391"/>
      <c r="F889" s="8392"/>
      <c r="G889" s="4260"/>
      <c r="H889" s="4260"/>
      <c r="I889" s="4260" t="s">
        <v>855</v>
      </c>
      <c r="J889" s="7563">
        <f>G889+G890</f>
        <v>0</v>
      </c>
      <c r="K889" s="7816">
        <f>100000000-J889</f>
        <v>100000000</v>
      </c>
      <c r="L889" s="4343"/>
      <c r="M889" s="386"/>
      <c r="N889" s="386"/>
      <c r="O889" s="386"/>
      <c r="P889" s="386"/>
      <c r="Q889" s="386"/>
    </row>
    <row r="890" spans="1:17" ht="30" customHeight="1" x14ac:dyDescent="0.2">
      <c r="A890" s="7656"/>
      <c r="B890" s="7662"/>
      <c r="C890" s="7704"/>
      <c r="D890" s="8393"/>
      <c r="E890" s="8394"/>
      <c r="F890" s="8395"/>
      <c r="G890" s="4268"/>
      <c r="H890" s="4268"/>
      <c r="I890" s="4268" t="s">
        <v>855</v>
      </c>
      <c r="J890" s="7564"/>
      <c r="K890" s="7817"/>
      <c r="L890" s="4343" t="s">
        <v>4628</v>
      </c>
      <c r="M890" s="386"/>
      <c r="N890" s="386"/>
      <c r="O890" s="386"/>
      <c r="P890" s="386"/>
      <c r="Q890" s="386"/>
    </row>
    <row r="891" spans="1:17" ht="30" customHeight="1" x14ac:dyDescent="0.2">
      <c r="A891" s="7655"/>
      <c r="B891" s="7663"/>
      <c r="C891" s="7705"/>
      <c r="D891" s="4337"/>
      <c r="E891" s="4337"/>
      <c r="F891" s="4337"/>
      <c r="G891" s="4268"/>
      <c r="H891" s="4268"/>
      <c r="I891" s="4268"/>
      <c r="J891" s="4268"/>
      <c r="K891" s="4323"/>
      <c r="L891" s="4343"/>
      <c r="M891" s="386"/>
      <c r="N891" s="386"/>
      <c r="O891" s="386"/>
      <c r="P891" s="386"/>
      <c r="Q891" s="386"/>
    </row>
    <row r="892" spans="1:17" ht="30" customHeight="1" x14ac:dyDescent="0.2">
      <c r="A892" s="399"/>
      <c r="B892" s="4276" t="s">
        <v>3215</v>
      </c>
      <c r="C892" s="4300" t="s">
        <v>3216</v>
      </c>
      <c r="D892" s="4268">
        <v>120000000</v>
      </c>
      <c r="E892" s="4274">
        <v>0.04</v>
      </c>
      <c r="F892" s="4268">
        <f>D892*E892</f>
        <v>4800000</v>
      </c>
      <c r="G892" s="4268">
        <v>4800000</v>
      </c>
      <c r="H892" s="4268" t="s">
        <v>3284</v>
      </c>
      <c r="I892" s="4268" t="s">
        <v>1946</v>
      </c>
      <c r="J892" s="4268">
        <f t="shared" ref="J892:J905" si="98">G892</f>
        <v>4800000</v>
      </c>
      <c r="K892" s="4323">
        <f t="shared" ref="K892:K901" si="99">F892-J892</f>
        <v>0</v>
      </c>
      <c r="L892" s="4343"/>
      <c r="M892" s="386"/>
      <c r="N892" s="386"/>
      <c r="O892" s="386"/>
      <c r="P892" s="386"/>
      <c r="Q892" s="386"/>
    </row>
    <row r="893" spans="1:17" ht="30" customHeight="1" x14ac:dyDescent="0.2">
      <c r="A893" s="146"/>
      <c r="B893" s="4276" t="s">
        <v>3218</v>
      </c>
      <c r="C893" s="4300" t="s">
        <v>3219</v>
      </c>
      <c r="D893" s="4268">
        <v>100000000</v>
      </c>
      <c r="E893" s="4336">
        <v>0.05</v>
      </c>
      <c r="F893" s="4268">
        <f>D893*E893</f>
        <v>5000000</v>
      </c>
      <c r="G893" s="4260">
        <v>5000000</v>
      </c>
      <c r="H893" s="4260" t="s">
        <v>6152</v>
      </c>
      <c r="I893" s="4260" t="s">
        <v>3520</v>
      </c>
      <c r="J893" s="4260">
        <f t="shared" si="98"/>
        <v>5000000</v>
      </c>
      <c r="K893" s="4323">
        <f t="shared" si="99"/>
        <v>0</v>
      </c>
      <c r="L893" s="4343"/>
      <c r="M893" s="386"/>
      <c r="N893" s="386"/>
      <c r="O893" s="386"/>
      <c r="P893" s="386"/>
      <c r="Q893" s="386"/>
    </row>
    <row r="894" spans="1:17" ht="30" customHeight="1" x14ac:dyDescent="0.2">
      <c r="A894" s="146"/>
      <c r="B894" s="4276" t="s">
        <v>3221</v>
      </c>
      <c r="C894" s="4300" t="s">
        <v>1796</v>
      </c>
      <c r="D894" s="4268">
        <v>50000000</v>
      </c>
      <c r="E894" s="4336">
        <v>0.05</v>
      </c>
      <c r="F894" s="4268">
        <f>D894*E894</f>
        <v>2500000</v>
      </c>
      <c r="G894" s="4260">
        <v>2500000</v>
      </c>
      <c r="H894" s="4260" t="s">
        <v>3284</v>
      </c>
      <c r="I894" s="4260" t="s">
        <v>4777</v>
      </c>
      <c r="J894" s="4260">
        <f t="shared" si="98"/>
        <v>2500000</v>
      </c>
      <c r="K894" s="4323">
        <f t="shared" si="99"/>
        <v>0</v>
      </c>
      <c r="L894" s="4343"/>
      <c r="M894" s="386"/>
      <c r="N894" s="386"/>
      <c r="O894" s="386"/>
      <c r="P894" s="386"/>
      <c r="Q894" s="386"/>
    </row>
    <row r="895" spans="1:17" ht="30" customHeight="1" x14ac:dyDescent="0.2">
      <c r="A895" s="146"/>
      <c r="B895" s="4288" t="s">
        <v>3224</v>
      </c>
      <c r="C895" s="4321"/>
      <c r="D895" s="4321"/>
      <c r="E895" s="2519"/>
      <c r="F895" s="4281"/>
      <c r="G895" s="4269"/>
      <c r="H895" s="4269"/>
      <c r="I895" s="4269" t="s">
        <v>3226</v>
      </c>
      <c r="J895" s="4269">
        <f t="shared" si="98"/>
        <v>0</v>
      </c>
      <c r="K895" s="4330">
        <f t="shared" si="99"/>
        <v>0</v>
      </c>
      <c r="L895" s="2177" t="s">
        <v>4831</v>
      </c>
      <c r="M895" s="386"/>
      <c r="N895" s="386"/>
      <c r="O895" s="386"/>
      <c r="P895" s="386"/>
      <c r="Q895" s="386"/>
    </row>
    <row r="896" spans="1:17" ht="30" customHeight="1" x14ac:dyDescent="0.2">
      <c r="A896" s="146"/>
      <c r="B896" s="4276" t="s">
        <v>3257</v>
      </c>
      <c r="C896" s="4300" t="s">
        <v>402</v>
      </c>
      <c r="D896" s="4268">
        <v>40000000</v>
      </c>
      <c r="E896" s="4336">
        <v>0.05</v>
      </c>
      <c r="F896" s="4268">
        <f>D896*E896</f>
        <v>2000000</v>
      </c>
      <c r="G896" s="4260">
        <v>2000000</v>
      </c>
      <c r="H896" s="4260" t="s">
        <v>6223</v>
      </c>
      <c r="I896" s="4260" t="s">
        <v>5536</v>
      </c>
      <c r="J896" s="4260">
        <f t="shared" si="98"/>
        <v>2000000</v>
      </c>
      <c r="K896" s="2352">
        <f t="shared" si="99"/>
        <v>0</v>
      </c>
      <c r="L896" s="4343"/>
      <c r="M896" s="386"/>
      <c r="N896" s="386"/>
      <c r="O896" s="386"/>
      <c r="P896" s="386"/>
      <c r="Q896" s="386"/>
    </row>
    <row r="897" spans="1:17" ht="30" customHeight="1" x14ac:dyDescent="0.2">
      <c r="A897" s="4341"/>
      <c r="B897" s="4286" t="s">
        <v>3293</v>
      </c>
      <c r="C897" s="4337" t="s">
        <v>1796</v>
      </c>
      <c r="D897" s="4260">
        <v>15000000</v>
      </c>
      <c r="E897" s="4336">
        <v>0.05</v>
      </c>
      <c r="F897" s="4260">
        <f>D897*E897</f>
        <v>750000</v>
      </c>
      <c r="G897" s="4260">
        <v>750000</v>
      </c>
      <c r="H897" s="4260" t="s">
        <v>3284</v>
      </c>
      <c r="I897" s="4260" t="s">
        <v>5416</v>
      </c>
      <c r="J897" s="4260">
        <f t="shared" si="98"/>
        <v>750000</v>
      </c>
      <c r="K897" s="4323">
        <f t="shared" si="99"/>
        <v>0</v>
      </c>
      <c r="L897" s="4343" t="s">
        <v>6123</v>
      </c>
      <c r="M897" s="386"/>
      <c r="N897" s="386"/>
      <c r="O897" s="386"/>
      <c r="P897" s="386"/>
      <c r="Q897" s="386"/>
    </row>
    <row r="898" spans="1:17" ht="30" customHeight="1" x14ac:dyDescent="0.2">
      <c r="A898" s="7654"/>
      <c r="B898" s="7661" t="s">
        <v>3296</v>
      </c>
      <c r="C898" s="7723" t="s">
        <v>942</v>
      </c>
      <c r="D898" s="7563">
        <v>150000000</v>
      </c>
      <c r="E898" s="7659">
        <v>0.05</v>
      </c>
      <c r="F898" s="7563">
        <f>D898*E898</f>
        <v>7500000</v>
      </c>
      <c r="G898" s="4260">
        <v>7500000</v>
      </c>
      <c r="H898" s="4260" t="s">
        <v>6125</v>
      </c>
      <c r="I898" s="4260" t="s">
        <v>4263</v>
      </c>
      <c r="J898" s="4260">
        <f t="shared" si="98"/>
        <v>7500000</v>
      </c>
      <c r="K898" s="4323">
        <f t="shared" si="99"/>
        <v>0</v>
      </c>
      <c r="L898" s="4428" t="s">
        <v>4906</v>
      </c>
      <c r="M898" s="386"/>
      <c r="N898" s="386"/>
      <c r="O898" s="386"/>
      <c r="P898" s="386"/>
      <c r="Q898" s="386"/>
    </row>
    <row r="899" spans="1:17" ht="30" customHeight="1" x14ac:dyDescent="0.2">
      <c r="A899" s="7655"/>
      <c r="B899" s="7663"/>
      <c r="C899" s="7724"/>
      <c r="D899" s="7564"/>
      <c r="E899" s="7660"/>
      <c r="F899" s="7564"/>
      <c r="G899" s="4922">
        <v>7500000</v>
      </c>
      <c r="H899" s="4922" t="s">
        <v>6762</v>
      </c>
      <c r="I899" s="4922" t="s">
        <v>4263</v>
      </c>
      <c r="J899" s="4922">
        <f t="shared" si="98"/>
        <v>7500000</v>
      </c>
      <c r="K899" s="4929">
        <f>F898-J899</f>
        <v>0</v>
      </c>
      <c r="L899" s="4938" t="s">
        <v>5482</v>
      </c>
      <c r="M899" s="386"/>
      <c r="N899" s="386"/>
      <c r="O899" s="386"/>
      <c r="P899" s="386"/>
      <c r="Q899" s="386"/>
    </row>
    <row r="900" spans="1:17" ht="30" customHeight="1" x14ac:dyDescent="0.2">
      <c r="A900" s="4341"/>
      <c r="B900" s="4286" t="s">
        <v>3308</v>
      </c>
      <c r="C900" s="4300" t="s">
        <v>3323</v>
      </c>
      <c r="D900" s="4268">
        <v>20000000</v>
      </c>
      <c r="E900" s="4336">
        <v>0.05</v>
      </c>
      <c r="F900" s="4268">
        <f>D900*E900</f>
        <v>1000000</v>
      </c>
      <c r="G900" s="4260">
        <v>1000000</v>
      </c>
      <c r="H900" s="4260" t="s">
        <v>6125</v>
      </c>
      <c r="I900" s="4260" t="s">
        <v>6136</v>
      </c>
      <c r="J900" s="4260">
        <f t="shared" si="98"/>
        <v>1000000</v>
      </c>
      <c r="K900" s="4323">
        <f t="shared" si="99"/>
        <v>0</v>
      </c>
      <c r="L900" s="4343" t="s">
        <v>4906</v>
      </c>
      <c r="M900" s="386"/>
      <c r="N900" s="386"/>
      <c r="O900" s="386"/>
      <c r="P900" s="386"/>
      <c r="Q900" s="386"/>
    </row>
    <row r="901" spans="1:17" ht="30" customHeight="1" x14ac:dyDescent="0.2">
      <c r="A901" s="4341"/>
      <c r="B901" s="4286" t="s">
        <v>4305</v>
      </c>
      <c r="C901" s="4300" t="s">
        <v>889</v>
      </c>
      <c r="D901" s="4268">
        <v>200000000</v>
      </c>
      <c r="E901" s="4336">
        <v>0.05</v>
      </c>
      <c r="F901" s="4268">
        <f>D901*E901</f>
        <v>10000000</v>
      </c>
      <c r="G901" s="4260">
        <v>10000000</v>
      </c>
      <c r="H901" s="4260" t="s">
        <v>6192</v>
      </c>
      <c r="I901" s="4260" t="s">
        <v>4306</v>
      </c>
      <c r="J901" s="4260">
        <f t="shared" si="98"/>
        <v>10000000</v>
      </c>
      <c r="K901" s="4323">
        <f t="shared" si="99"/>
        <v>0</v>
      </c>
      <c r="L901" s="4343"/>
      <c r="M901" s="386"/>
      <c r="N901" s="386"/>
      <c r="O901" s="386"/>
      <c r="P901" s="386"/>
      <c r="Q901" s="386"/>
    </row>
    <row r="902" spans="1:17" ht="30" customHeight="1" x14ac:dyDescent="0.2">
      <c r="A902" s="4341"/>
      <c r="B902" s="4286" t="s">
        <v>3332</v>
      </c>
      <c r="C902" s="4276"/>
      <c r="D902" s="4321"/>
      <c r="E902" s="2519"/>
      <c r="F902" s="4281"/>
      <c r="G902" s="4260"/>
      <c r="H902" s="4260"/>
      <c r="I902" s="4260"/>
      <c r="J902" s="4260">
        <f t="shared" si="98"/>
        <v>0</v>
      </c>
      <c r="K902" s="4330"/>
      <c r="L902" s="4343"/>
      <c r="M902" s="386"/>
      <c r="N902" s="386"/>
      <c r="O902" s="386"/>
      <c r="P902" s="386"/>
      <c r="Q902" s="386"/>
    </row>
    <row r="903" spans="1:17" ht="30" customHeight="1" x14ac:dyDescent="0.2">
      <c r="A903" s="7654"/>
      <c r="B903" s="7652" t="s">
        <v>3395</v>
      </c>
      <c r="C903" s="4413" t="s">
        <v>889</v>
      </c>
      <c r="D903" s="4404">
        <v>1000000000</v>
      </c>
      <c r="E903" s="4424">
        <v>6.5000000000000002E-2</v>
      </c>
      <c r="F903" s="4404">
        <f>D903*E903</f>
        <v>65000000</v>
      </c>
      <c r="G903" s="7732" t="s">
        <v>6132</v>
      </c>
      <c r="H903" s="7733"/>
      <c r="I903" s="7733"/>
      <c r="J903" s="7734"/>
      <c r="K903" s="4420">
        <v>0</v>
      </c>
      <c r="L903" s="2700" t="s">
        <v>6133</v>
      </c>
      <c r="M903" s="386"/>
      <c r="N903" s="386"/>
      <c r="O903" s="386"/>
      <c r="P903" s="386"/>
      <c r="Q903" s="386"/>
    </row>
    <row r="904" spans="1:17" ht="30" customHeight="1" x14ac:dyDescent="0.2">
      <c r="A904" s="7656"/>
      <c r="B904" s="7665"/>
      <c r="C904" s="4413" t="s">
        <v>1298</v>
      </c>
      <c r="D904" s="4404">
        <v>500000000</v>
      </c>
      <c r="E904" s="4424">
        <v>6.5000000000000002E-2</v>
      </c>
      <c r="F904" s="4404">
        <f>D904*E904</f>
        <v>32500000</v>
      </c>
      <c r="G904" s="4404">
        <v>32500000</v>
      </c>
      <c r="H904" s="4404" t="s">
        <v>6577</v>
      </c>
      <c r="I904" s="4414" t="s">
        <v>3940</v>
      </c>
      <c r="J904" s="4404">
        <f t="shared" si="98"/>
        <v>32500000</v>
      </c>
      <c r="K904" s="4420">
        <f>F904-J904</f>
        <v>0</v>
      </c>
      <c r="L904" s="4428"/>
      <c r="M904" s="386"/>
      <c r="N904" s="386"/>
      <c r="O904" s="386"/>
      <c r="P904" s="386"/>
      <c r="Q904" s="386"/>
    </row>
    <row r="905" spans="1:17" ht="30" customHeight="1" x14ac:dyDescent="0.2">
      <c r="A905" s="7654"/>
      <c r="B905" s="7661" t="s">
        <v>3514</v>
      </c>
      <c r="C905" s="7723" t="s">
        <v>1652</v>
      </c>
      <c r="D905" s="4305">
        <v>120000000</v>
      </c>
      <c r="E905" s="2348">
        <v>0.05</v>
      </c>
      <c r="F905" s="4305">
        <f>D905*E905</f>
        <v>6000000</v>
      </c>
      <c r="G905" s="7759">
        <v>7500000</v>
      </c>
      <c r="H905" s="7759" t="s">
        <v>6192</v>
      </c>
      <c r="I905" s="7759" t="s">
        <v>678</v>
      </c>
      <c r="J905" s="7759">
        <f t="shared" si="98"/>
        <v>7500000</v>
      </c>
      <c r="K905" s="8417">
        <f>(F905+F906)-J905</f>
        <v>0</v>
      </c>
      <c r="L905" s="4343"/>
      <c r="M905" s="386"/>
      <c r="N905" s="386"/>
      <c r="O905" s="386"/>
      <c r="P905" s="386"/>
      <c r="Q905" s="386"/>
    </row>
    <row r="906" spans="1:17" ht="30" customHeight="1" x14ac:dyDescent="0.2">
      <c r="A906" s="7655"/>
      <c r="B906" s="7663"/>
      <c r="C906" s="7724"/>
      <c r="D906" s="3928">
        <v>30000000</v>
      </c>
      <c r="E906" s="2348">
        <v>0.05</v>
      </c>
      <c r="F906" s="3928">
        <f>D906*E906</f>
        <v>1500000</v>
      </c>
      <c r="G906" s="7761"/>
      <c r="H906" s="7761"/>
      <c r="I906" s="7761"/>
      <c r="J906" s="7761"/>
      <c r="K906" s="8418"/>
      <c r="L906" s="4319" t="s">
        <v>5663</v>
      </c>
      <c r="M906" s="386"/>
      <c r="N906" s="386"/>
      <c r="O906" s="386"/>
      <c r="P906" s="386"/>
      <c r="Q906" s="386"/>
    </row>
    <row r="907" spans="1:17" s="1539" customFormat="1" ht="30" customHeight="1" x14ac:dyDescent="0.2">
      <c r="A907" s="7654"/>
      <c r="B907" s="7661" t="s">
        <v>3455</v>
      </c>
      <c r="C907" s="7723" t="s">
        <v>3483</v>
      </c>
      <c r="D907" s="4260">
        <v>60000000</v>
      </c>
      <c r="E907" s="4336">
        <v>0.05</v>
      </c>
      <c r="F907" s="4260">
        <f t="shared" ref="F907:F915" si="100">D907*E907</f>
        <v>3000000</v>
      </c>
      <c r="G907" s="7991" t="s">
        <v>6206</v>
      </c>
      <c r="H907" s="7992"/>
      <c r="I907" s="7992"/>
      <c r="J907" s="7993"/>
      <c r="K907" s="4264"/>
      <c r="L907" s="4343"/>
      <c r="M907" s="387"/>
      <c r="N907" s="387"/>
      <c r="O907" s="387"/>
      <c r="P907" s="387"/>
      <c r="Q907" s="387"/>
    </row>
    <row r="908" spans="1:17" s="184" customFormat="1" ht="30" customHeight="1" x14ac:dyDescent="0.2">
      <c r="A908" s="7656"/>
      <c r="B908" s="7662"/>
      <c r="C908" s="7747"/>
      <c r="D908" s="4583">
        <v>3000000</v>
      </c>
      <c r="E908" s="4586">
        <v>0.05</v>
      </c>
      <c r="F908" s="4583">
        <f t="shared" si="100"/>
        <v>150000</v>
      </c>
      <c r="G908" s="7997"/>
      <c r="H908" s="7998"/>
      <c r="I908" s="7998"/>
      <c r="J908" s="7999"/>
      <c r="K908" s="4582"/>
      <c r="L908" s="7811" t="s">
        <v>6351</v>
      </c>
      <c r="M908" s="386"/>
      <c r="N908" s="386"/>
      <c r="O908" s="386"/>
      <c r="P908" s="386"/>
      <c r="Q908" s="386"/>
    </row>
    <row r="909" spans="1:17" s="184" customFormat="1" ht="30" customHeight="1" x14ac:dyDescent="0.2">
      <c r="A909" s="7655"/>
      <c r="B909" s="7663"/>
      <c r="C909" s="7724"/>
      <c r="D909" s="4583">
        <v>17000000</v>
      </c>
      <c r="E909" s="4586">
        <v>0.05</v>
      </c>
      <c r="F909" s="4583">
        <f t="shared" si="100"/>
        <v>850000</v>
      </c>
      <c r="G909" s="7732" t="s">
        <v>6350</v>
      </c>
      <c r="H909" s="7733"/>
      <c r="I909" s="7733"/>
      <c r="J909" s="7734"/>
      <c r="K909" s="4582"/>
      <c r="L909" s="7812"/>
      <c r="M909" s="386"/>
      <c r="N909" s="386"/>
      <c r="O909" s="386"/>
      <c r="P909" s="386"/>
      <c r="Q909" s="386"/>
    </row>
    <row r="910" spans="1:17" s="184" customFormat="1" ht="30" customHeight="1" x14ac:dyDescent="0.2">
      <c r="A910" s="7654"/>
      <c r="B910" s="7661" t="s">
        <v>3459</v>
      </c>
      <c r="C910" s="7723" t="s">
        <v>262</v>
      </c>
      <c r="D910" s="7563">
        <v>2050000000</v>
      </c>
      <c r="E910" s="7659">
        <v>0.08</v>
      </c>
      <c r="F910" s="7563">
        <f>D910*E910</f>
        <v>164000000</v>
      </c>
      <c r="G910" s="7732" t="s">
        <v>5456</v>
      </c>
      <c r="H910" s="7733"/>
      <c r="I910" s="7733"/>
      <c r="J910" s="7734"/>
      <c r="K910" s="4264"/>
      <c r="L910" s="4343" t="s">
        <v>6281</v>
      </c>
      <c r="M910" s="386"/>
      <c r="N910" s="386"/>
      <c r="O910" s="386"/>
      <c r="P910" s="386"/>
      <c r="Q910" s="386"/>
    </row>
    <row r="911" spans="1:17" s="184" customFormat="1" ht="30" customHeight="1" x14ac:dyDescent="0.2">
      <c r="A911" s="7656"/>
      <c r="B911" s="7662"/>
      <c r="C911" s="7747"/>
      <c r="D911" s="7586"/>
      <c r="E911" s="7676"/>
      <c r="F911" s="7586"/>
      <c r="G911" s="7732" t="s">
        <v>6364</v>
      </c>
      <c r="H911" s="7733"/>
      <c r="I911" s="7733"/>
      <c r="J911" s="7734"/>
      <c r="K911" s="4582"/>
      <c r="L911" s="4591"/>
      <c r="M911" s="386"/>
      <c r="N911" s="386"/>
      <c r="O911" s="386"/>
      <c r="P911" s="386"/>
      <c r="Q911" s="386"/>
    </row>
    <row r="912" spans="1:17" s="184" customFormat="1" ht="30" customHeight="1" x14ac:dyDescent="0.2">
      <c r="A912" s="7655"/>
      <c r="B912" s="7663"/>
      <c r="C912" s="7724"/>
      <c r="D912" s="7564"/>
      <c r="E912" s="7660"/>
      <c r="F912" s="7564"/>
      <c r="G912" s="7732" t="s">
        <v>6282</v>
      </c>
      <c r="H912" s="7733"/>
      <c r="I912" s="7733"/>
      <c r="J912" s="7734"/>
      <c r="K912" s="4523"/>
      <c r="L912" s="4531" t="s">
        <v>6283</v>
      </c>
      <c r="M912" s="386"/>
      <c r="N912" s="386"/>
      <c r="O912" s="386"/>
      <c r="P912" s="386"/>
      <c r="Q912" s="386"/>
    </row>
    <row r="913" spans="1:17" s="184" customFormat="1" ht="30" customHeight="1" x14ac:dyDescent="0.2">
      <c r="A913" s="4341"/>
      <c r="B913" s="4286" t="s">
        <v>3480</v>
      </c>
      <c r="C913" s="4337" t="s">
        <v>372</v>
      </c>
      <c r="D913" s="4260">
        <v>85000000</v>
      </c>
      <c r="E913" s="4336">
        <v>7.0000000000000007E-2</v>
      </c>
      <c r="F913" s="4260">
        <f t="shared" si="100"/>
        <v>5950000.0000000009</v>
      </c>
      <c r="G913" s="4260">
        <v>5950000</v>
      </c>
      <c r="H913" s="4260" t="s">
        <v>6354</v>
      </c>
      <c r="I913" s="4260" t="s">
        <v>4448</v>
      </c>
      <c r="J913" s="4260">
        <f t="shared" ref="J913:J918" si="101">G913</f>
        <v>5950000</v>
      </c>
      <c r="K913" s="4264">
        <f t="shared" ref="K913:K915" si="102">F913-J913</f>
        <v>0</v>
      </c>
      <c r="L913" s="4343"/>
      <c r="M913" s="386"/>
      <c r="N913" s="386"/>
      <c r="O913" s="386"/>
      <c r="P913" s="386"/>
      <c r="Q913" s="386"/>
    </row>
    <row r="914" spans="1:17" s="184" customFormat="1" ht="30" customHeight="1" x14ac:dyDescent="0.2">
      <c r="A914" s="4341"/>
      <c r="B914" s="4286" t="s">
        <v>3482</v>
      </c>
      <c r="C914" s="4337" t="s">
        <v>3483</v>
      </c>
      <c r="D914" s="4260">
        <v>70000000</v>
      </c>
      <c r="E914" s="4336">
        <v>0.05</v>
      </c>
      <c r="F914" s="4260">
        <f t="shared" si="100"/>
        <v>3500000</v>
      </c>
      <c r="G914" s="4260">
        <v>3500000</v>
      </c>
      <c r="H914" s="4260" t="s">
        <v>6368</v>
      </c>
      <c r="I914" s="4260" t="s">
        <v>4428</v>
      </c>
      <c r="J914" s="4260">
        <f t="shared" si="101"/>
        <v>3500000</v>
      </c>
      <c r="K914" s="4264">
        <f t="shared" si="102"/>
        <v>0</v>
      </c>
      <c r="L914" s="4343"/>
      <c r="M914" s="386"/>
      <c r="N914" s="386"/>
      <c r="O914" s="386"/>
      <c r="P914" s="386"/>
      <c r="Q914" s="386"/>
    </row>
    <row r="915" spans="1:17" s="184" customFormat="1" ht="30" customHeight="1" x14ac:dyDescent="0.2">
      <c r="A915" s="4341"/>
      <c r="B915" s="4286" t="s">
        <v>3979</v>
      </c>
      <c r="C915" s="4337" t="s">
        <v>889</v>
      </c>
      <c r="D915" s="4260">
        <v>20000000</v>
      </c>
      <c r="E915" s="4336">
        <v>0.05</v>
      </c>
      <c r="F915" s="4260">
        <f t="shared" si="100"/>
        <v>1000000</v>
      </c>
      <c r="G915" s="4260">
        <v>4000000</v>
      </c>
      <c r="H915" s="4260" t="s">
        <v>6192</v>
      </c>
      <c r="I915" s="4260" t="s">
        <v>2494</v>
      </c>
      <c r="J915" s="4260">
        <f t="shared" si="101"/>
        <v>4000000</v>
      </c>
      <c r="K915" s="4264">
        <f t="shared" si="102"/>
        <v>-3000000</v>
      </c>
      <c r="L915" s="4343" t="s">
        <v>6234</v>
      </c>
      <c r="M915" s="386"/>
      <c r="N915" s="386"/>
      <c r="O915" s="386"/>
      <c r="P915" s="386"/>
      <c r="Q915" s="386"/>
    </row>
    <row r="916" spans="1:17" s="1659" customFormat="1" ht="30" customHeight="1" x14ac:dyDescent="0.2">
      <c r="A916" s="4348"/>
      <c r="B916" s="4338" t="s">
        <v>3554</v>
      </c>
      <c r="C916" s="4300" t="s">
        <v>372</v>
      </c>
      <c r="D916" s="4260">
        <v>10000000</v>
      </c>
      <c r="E916" s="4336">
        <v>0.05</v>
      </c>
      <c r="F916" s="4260">
        <f>D916*E916</f>
        <v>500000</v>
      </c>
      <c r="G916" s="4268">
        <v>500000</v>
      </c>
      <c r="H916" s="4268" t="s">
        <v>6386</v>
      </c>
      <c r="I916" s="4308" t="s">
        <v>3555</v>
      </c>
      <c r="J916" s="4268">
        <f t="shared" si="101"/>
        <v>500000</v>
      </c>
      <c r="K916" s="4268">
        <f>F916-J916</f>
        <v>0</v>
      </c>
      <c r="L916" s="4320"/>
      <c r="M916" s="386"/>
      <c r="N916" s="386"/>
      <c r="O916" s="386"/>
      <c r="P916" s="386"/>
      <c r="Q916" s="386"/>
    </row>
    <row r="917" spans="1:17" s="1659" customFormat="1" ht="30" customHeight="1" x14ac:dyDescent="0.2">
      <c r="A917" s="4314"/>
      <c r="B917" s="4334" t="s">
        <v>4442</v>
      </c>
      <c r="C917" s="4299" t="s">
        <v>4223</v>
      </c>
      <c r="D917" s="4260">
        <v>100000000</v>
      </c>
      <c r="E917" s="4336">
        <v>0.05</v>
      </c>
      <c r="F917" s="4260">
        <f>D917*E917</f>
        <v>5000000</v>
      </c>
      <c r="G917" s="4260">
        <v>5000000</v>
      </c>
      <c r="H917" s="4260" t="s">
        <v>6386</v>
      </c>
      <c r="I917" s="4260" t="s">
        <v>6388</v>
      </c>
      <c r="J917" s="4266">
        <f t="shared" si="101"/>
        <v>5000000</v>
      </c>
      <c r="K917" s="4266">
        <f>F917-J917</f>
        <v>0</v>
      </c>
      <c r="L917" s="847"/>
      <c r="M917" s="386"/>
      <c r="N917" s="386"/>
      <c r="O917" s="386"/>
      <c r="P917" s="386"/>
      <c r="Q917" s="386"/>
    </row>
    <row r="918" spans="1:17" s="1659" customFormat="1" ht="30" customHeight="1" x14ac:dyDescent="0.2">
      <c r="A918" s="4348"/>
      <c r="B918" s="4338" t="s">
        <v>3566</v>
      </c>
      <c r="C918" s="4337"/>
      <c r="D918" s="4260">
        <v>6000000</v>
      </c>
      <c r="E918" s="4336">
        <f>F918/D918</f>
        <v>0.05</v>
      </c>
      <c r="F918" s="4260">
        <v>300000</v>
      </c>
      <c r="G918" s="4260"/>
      <c r="H918" s="4260"/>
      <c r="I918" s="4260" t="s">
        <v>3567</v>
      </c>
      <c r="J918" s="4260">
        <f t="shared" si="101"/>
        <v>0</v>
      </c>
      <c r="K918" s="4260">
        <f>F918-J918</f>
        <v>300000</v>
      </c>
      <c r="L918" s="2177" t="s">
        <v>3568</v>
      </c>
      <c r="M918" s="386"/>
      <c r="N918" s="386"/>
      <c r="O918" s="386"/>
      <c r="P918" s="386"/>
      <c r="Q918" s="386"/>
    </row>
    <row r="919" spans="1:17" s="1659" customFormat="1" ht="30" customHeight="1" x14ac:dyDescent="0.2">
      <c r="A919" s="7703"/>
      <c r="B919" s="7652" t="s">
        <v>3590</v>
      </c>
      <c r="C919" s="7723" t="s">
        <v>2278</v>
      </c>
      <c r="D919" s="7563">
        <v>870000000</v>
      </c>
      <c r="E919" s="7659">
        <v>7.0999999999999994E-2</v>
      </c>
      <c r="F919" s="7563">
        <v>62000000</v>
      </c>
      <c r="G919" s="7563">
        <v>50000000</v>
      </c>
      <c r="H919" s="7563" t="s">
        <v>6512</v>
      </c>
      <c r="I919" s="7563" t="s">
        <v>6523</v>
      </c>
      <c r="J919" s="7563">
        <f>G919+G922</f>
        <v>104500000</v>
      </c>
      <c r="K919" s="7563">
        <f>F923-J919</f>
        <v>0</v>
      </c>
      <c r="L919" s="4320"/>
      <c r="M919" s="386"/>
      <c r="N919" s="386"/>
      <c r="O919" s="386"/>
      <c r="P919" s="386"/>
      <c r="Q919" s="386"/>
    </row>
    <row r="920" spans="1:17" s="1659" customFormat="1" ht="30" customHeight="1" x14ac:dyDescent="0.2">
      <c r="A920" s="7704"/>
      <c r="B920" s="7665"/>
      <c r="C920" s="7747"/>
      <c r="D920" s="7586"/>
      <c r="E920" s="7676"/>
      <c r="F920" s="7586"/>
      <c r="G920" s="7586"/>
      <c r="H920" s="7586"/>
      <c r="I920" s="7586"/>
      <c r="J920" s="7586"/>
      <c r="K920" s="7586"/>
      <c r="L920" s="4320"/>
      <c r="M920" s="386"/>
      <c r="N920" s="386"/>
      <c r="O920" s="386"/>
      <c r="P920" s="386"/>
      <c r="Q920" s="386"/>
    </row>
    <row r="921" spans="1:17" s="1659" customFormat="1" ht="30" customHeight="1" x14ac:dyDescent="0.2">
      <c r="A921" s="7704"/>
      <c r="B921" s="7665"/>
      <c r="C921" s="7747"/>
      <c r="D921" s="4266">
        <v>150000000</v>
      </c>
      <c r="E921" s="4273">
        <v>7.0999999999999994E-2</v>
      </c>
      <c r="F921" s="4260">
        <f>D921*E921</f>
        <v>10649999.999999998</v>
      </c>
      <c r="G921" s="7564"/>
      <c r="H921" s="7564"/>
      <c r="I921" s="7564"/>
      <c r="J921" s="7586"/>
      <c r="K921" s="7586"/>
      <c r="L921" s="4320"/>
      <c r="M921" s="386"/>
      <c r="N921" s="386"/>
      <c r="O921" s="386"/>
      <c r="P921" s="386"/>
      <c r="Q921" s="386"/>
    </row>
    <row r="922" spans="1:17" s="1659" customFormat="1" ht="30" customHeight="1" x14ac:dyDescent="0.2">
      <c r="A922" s="7704"/>
      <c r="B922" s="7665"/>
      <c r="C922" s="7747"/>
      <c r="D922" s="4266">
        <f>D919+D921+1000000</f>
        <v>1021000000</v>
      </c>
      <c r="E922" s="4273">
        <v>7.0999999999999994E-2</v>
      </c>
      <c r="F922" s="4260">
        <v>72500000</v>
      </c>
      <c r="G922" s="7563">
        <v>54500000</v>
      </c>
      <c r="H922" s="7563" t="s">
        <v>6440</v>
      </c>
      <c r="I922" s="7563" t="s">
        <v>4471</v>
      </c>
      <c r="J922" s="7586"/>
      <c r="K922" s="7586"/>
      <c r="L922" s="4320" t="s">
        <v>5272</v>
      </c>
      <c r="M922" s="386"/>
      <c r="N922" s="386"/>
      <c r="O922" s="386"/>
      <c r="P922" s="386"/>
      <c r="Q922" s="386"/>
    </row>
    <row r="923" spans="1:17" s="1659" customFormat="1" ht="30" customHeight="1" x14ac:dyDescent="0.2">
      <c r="A923" s="7705"/>
      <c r="B923" s="7653"/>
      <c r="C923" s="7724"/>
      <c r="D923" s="4356">
        <v>1478000000</v>
      </c>
      <c r="E923" s="4358">
        <v>7.0999999999999994E-2</v>
      </c>
      <c r="F923" s="4374">
        <v>104500000</v>
      </c>
      <c r="G923" s="7564"/>
      <c r="H923" s="7564"/>
      <c r="I923" s="7564"/>
      <c r="J923" s="7564"/>
      <c r="K923" s="7564"/>
      <c r="L923" s="4378" t="s">
        <v>5266</v>
      </c>
      <c r="M923" s="386"/>
      <c r="N923" s="386"/>
      <c r="O923" s="386"/>
      <c r="P923" s="386"/>
      <c r="Q923" s="386"/>
    </row>
    <row r="924" spans="1:17" s="1659" customFormat="1" ht="30" customHeight="1" x14ac:dyDescent="0.2">
      <c r="A924" s="19"/>
      <c r="B924" s="4338" t="s">
        <v>3597</v>
      </c>
      <c r="C924" s="4337" t="s">
        <v>889</v>
      </c>
      <c r="D924" s="4260">
        <v>200000000</v>
      </c>
      <c r="E924" s="4336">
        <v>0.05</v>
      </c>
      <c r="F924" s="4260">
        <f>D924*E924</f>
        <v>10000000</v>
      </c>
      <c r="G924" s="4260">
        <v>10000000</v>
      </c>
      <c r="H924" s="4260" t="s">
        <v>6220</v>
      </c>
      <c r="I924" s="4260" t="s">
        <v>3598</v>
      </c>
      <c r="J924" s="4260">
        <f>G924</f>
        <v>10000000</v>
      </c>
      <c r="K924" s="4260">
        <f>F924-J924</f>
        <v>0</v>
      </c>
      <c r="L924" s="4320"/>
      <c r="M924" s="386"/>
      <c r="N924" s="386"/>
      <c r="O924" s="386"/>
      <c r="P924" s="386"/>
      <c r="Q924" s="386"/>
    </row>
    <row r="925" spans="1:17" s="1659" customFormat="1" ht="30" customHeight="1" x14ac:dyDescent="0.2">
      <c r="A925" s="4348"/>
      <c r="B925" s="4338" t="s">
        <v>3612</v>
      </c>
      <c r="C925" s="4337" t="s">
        <v>2278</v>
      </c>
      <c r="D925" s="4260">
        <v>100000000</v>
      </c>
      <c r="E925" s="4336">
        <v>0.05</v>
      </c>
      <c r="F925" s="4260">
        <f t="shared" ref="F925:F932" si="103">D925*E925</f>
        <v>5000000</v>
      </c>
      <c r="G925" s="4260">
        <v>5000000</v>
      </c>
      <c r="H925" s="4260" t="s">
        <v>6435</v>
      </c>
      <c r="I925" s="4260" t="s">
        <v>4125</v>
      </c>
      <c r="J925" s="4260">
        <f>G925</f>
        <v>5000000</v>
      </c>
      <c r="K925" s="4260">
        <f>F925-J925</f>
        <v>0</v>
      </c>
      <c r="L925" s="4320"/>
      <c r="M925" s="386"/>
      <c r="N925" s="386"/>
      <c r="O925" s="386"/>
      <c r="P925" s="386"/>
      <c r="Q925" s="386"/>
    </row>
    <row r="926" spans="1:17" s="1659" customFormat="1" ht="30" customHeight="1" x14ac:dyDescent="0.2">
      <c r="A926" s="4348"/>
      <c r="B926" s="4338" t="s">
        <v>4055</v>
      </c>
      <c r="C926" s="4337" t="s">
        <v>2278</v>
      </c>
      <c r="D926" s="4260">
        <v>200000000</v>
      </c>
      <c r="E926" s="4336">
        <v>0.05</v>
      </c>
      <c r="F926" s="4260">
        <f>D926*E926</f>
        <v>10000000</v>
      </c>
      <c r="G926" s="4679">
        <v>10000000</v>
      </c>
      <c r="H926" s="4679" t="s">
        <v>6408</v>
      </c>
      <c r="I926" s="4679" t="s">
        <v>6428</v>
      </c>
      <c r="J926" s="4679">
        <f>G926</f>
        <v>10000000</v>
      </c>
      <c r="K926" s="4679">
        <f>F926-J926</f>
        <v>0</v>
      </c>
      <c r="L926" s="1660" t="s">
        <v>4520</v>
      </c>
      <c r="M926" s="386"/>
      <c r="N926" s="386"/>
      <c r="O926" s="386"/>
      <c r="P926" s="386"/>
      <c r="Q926" s="386"/>
    </row>
    <row r="927" spans="1:17" s="1659" customFormat="1" ht="30" customHeight="1" x14ac:dyDescent="0.2">
      <c r="A927" s="7703"/>
      <c r="B927" s="7652" t="s">
        <v>3674</v>
      </c>
      <c r="C927" s="7723" t="s">
        <v>402</v>
      </c>
      <c r="D927" s="4266">
        <v>1300000000</v>
      </c>
      <c r="E927" s="4273">
        <v>7.0000000000000007E-2</v>
      </c>
      <c r="F927" s="4266">
        <f t="shared" si="103"/>
        <v>91000000.000000015</v>
      </c>
      <c r="G927" s="4260">
        <v>10000000</v>
      </c>
      <c r="H927" s="7563" t="s">
        <v>6192</v>
      </c>
      <c r="I927" s="7563" t="s">
        <v>6217</v>
      </c>
      <c r="J927" s="4478">
        <f>G927</f>
        <v>10000000</v>
      </c>
      <c r="K927" s="4478">
        <f>F927-81000000-J927</f>
        <v>1.4901161193847656E-8</v>
      </c>
      <c r="L927" s="4320" t="s">
        <v>3709</v>
      </c>
      <c r="M927" s="386"/>
      <c r="N927" s="386"/>
      <c r="O927" s="386"/>
      <c r="P927" s="386"/>
      <c r="Q927" s="386"/>
    </row>
    <row r="928" spans="1:17" s="1659" customFormat="1" ht="30" customHeight="1" x14ac:dyDescent="0.2">
      <c r="A928" s="7704"/>
      <c r="B928" s="7665"/>
      <c r="C928" s="7747"/>
      <c r="D928" s="7494" t="s">
        <v>6243</v>
      </c>
      <c r="E928" s="7495"/>
      <c r="F928" s="7768"/>
      <c r="G928" s="4478">
        <v>40000000</v>
      </c>
      <c r="H928" s="7564"/>
      <c r="I928" s="7564"/>
      <c r="J928" s="7563">
        <f>G928+G929</f>
        <v>88000000</v>
      </c>
      <c r="K928" s="7563"/>
      <c r="L928" s="4499"/>
      <c r="M928" s="386"/>
      <c r="N928" s="386"/>
      <c r="O928" s="386"/>
      <c r="P928" s="386"/>
      <c r="Q928" s="386"/>
    </row>
    <row r="929" spans="1:17" s="1659" customFormat="1" ht="30" customHeight="1" x14ac:dyDescent="0.2">
      <c r="A929" s="7705"/>
      <c r="B929" s="7653"/>
      <c r="C929" s="7724"/>
      <c r="D929" s="7769"/>
      <c r="E929" s="7805"/>
      <c r="F929" s="7770"/>
      <c r="G929" s="4478">
        <v>48000000</v>
      </c>
      <c r="H929" s="4478" t="s">
        <v>6223</v>
      </c>
      <c r="I929" s="4478" t="s">
        <v>6217</v>
      </c>
      <c r="J929" s="7564"/>
      <c r="K929" s="7564"/>
      <c r="L929" s="4499"/>
      <c r="M929" s="386"/>
      <c r="N929" s="386"/>
      <c r="O929" s="386"/>
      <c r="P929" s="386"/>
      <c r="Q929" s="386"/>
    </row>
    <row r="930" spans="1:17" s="1659" customFormat="1" ht="30" customHeight="1" x14ac:dyDescent="0.2">
      <c r="A930" s="4348"/>
      <c r="B930" s="4338" t="s">
        <v>3707</v>
      </c>
      <c r="C930" s="4337" t="s">
        <v>3390</v>
      </c>
      <c r="D930" s="4260">
        <v>10000000</v>
      </c>
      <c r="E930" s="4336">
        <v>0.05</v>
      </c>
      <c r="F930" s="4260">
        <f t="shared" si="103"/>
        <v>500000</v>
      </c>
      <c r="G930" s="4260">
        <v>500000</v>
      </c>
      <c r="H930" s="4260" t="s">
        <v>3634</v>
      </c>
      <c r="I930" s="4260" t="s">
        <v>6570</v>
      </c>
      <c r="J930" s="4260">
        <f>G930</f>
        <v>500000</v>
      </c>
      <c r="K930" s="4260">
        <f>F930-J930</f>
        <v>0</v>
      </c>
      <c r="L930" s="4320"/>
      <c r="M930" s="386"/>
      <c r="N930" s="386"/>
      <c r="O930" s="386"/>
      <c r="P930" s="386"/>
      <c r="Q930" s="386"/>
    </row>
    <row r="931" spans="1:17" s="1659" customFormat="1" ht="30" customHeight="1" x14ac:dyDescent="0.2">
      <c r="A931" s="7703"/>
      <c r="B931" s="7652" t="s">
        <v>3710</v>
      </c>
      <c r="C931" s="7723" t="s">
        <v>262</v>
      </c>
      <c r="D931" s="4260">
        <v>58000000</v>
      </c>
      <c r="E931" s="4336">
        <v>0.05</v>
      </c>
      <c r="F931" s="4260">
        <f t="shared" si="103"/>
        <v>2900000</v>
      </c>
      <c r="G931" s="4260"/>
      <c r="H931" s="4260"/>
      <c r="I931" s="4260"/>
      <c r="J931" s="4260"/>
      <c r="K931" s="4260"/>
      <c r="L931" s="4320"/>
      <c r="M931" s="386"/>
      <c r="N931" s="386"/>
      <c r="O931" s="386"/>
      <c r="P931" s="386"/>
      <c r="Q931" s="386"/>
    </row>
    <row r="932" spans="1:17" s="1659" customFormat="1" ht="30" customHeight="1" x14ac:dyDescent="0.2">
      <c r="A932" s="7704"/>
      <c r="B932" s="7665"/>
      <c r="C932" s="7747"/>
      <c r="D932" s="4260">
        <v>39500000</v>
      </c>
      <c r="E932" s="4336">
        <v>0.05</v>
      </c>
      <c r="F932" s="4260">
        <f t="shared" si="103"/>
        <v>1975000</v>
      </c>
      <c r="G932" s="4260"/>
      <c r="H932" s="4260"/>
      <c r="I932" s="4260"/>
      <c r="J932" s="4260"/>
      <c r="K932" s="4260"/>
      <c r="L932" s="4320" t="s">
        <v>5276</v>
      </c>
      <c r="M932" s="386"/>
      <c r="N932" s="386"/>
      <c r="O932" s="386"/>
      <c r="P932" s="386"/>
      <c r="Q932" s="386"/>
    </row>
    <row r="933" spans="1:17" s="1659" customFormat="1" ht="30" customHeight="1" x14ac:dyDescent="0.2">
      <c r="A933" s="7705"/>
      <c r="B933" s="7653"/>
      <c r="C933" s="7724"/>
      <c r="D933" s="4374">
        <f>D931+D932</f>
        <v>97500000</v>
      </c>
      <c r="E933" s="896"/>
      <c r="F933" s="4374"/>
      <c r="G933" s="4260"/>
      <c r="H933" s="4260"/>
      <c r="I933" s="4260"/>
      <c r="J933" s="4260"/>
      <c r="K933" s="4260"/>
      <c r="L933" s="4320"/>
      <c r="M933" s="386"/>
      <c r="N933" s="386"/>
      <c r="O933" s="386"/>
      <c r="P933" s="386"/>
      <c r="Q933" s="386"/>
    </row>
    <row r="934" spans="1:17" s="1659" customFormat="1" ht="30" customHeight="1" x14ac:dyDescent="0.2">
      <c r="A934" s="4348"/>
      <c r="B934" s="4338" t="s">
        <v>3742</v>
      </c>
      <c r="C934" s="4337" t="s">
        <v>1300</v>
      </c>
      <c r="D934" s="4260">
        <v>100000000</v>
      </c>
      <c r="E934" s="4336">
        <v>0.05</v>
      </c>
      <c r="F934" s="4260">
        <f>D934*E934</f>
        <v>5000000</v>
      </c>
      <c r="G934" s="4260">
        <v>5000000</v>
      </c>
      <c r="H934" s="4260" t="s">
        <v>4491</v>
      </c>
      <c r="I934" s="4260" t="s">
        <v>4776</v>
      </c>
      <c r="J934" s="4260">
        <f>G934</f>
        <v>5000000</v>
      </c>
      <c r="K934" s="4260">
        <f>F934-J934</f>
        <v>0</v>
      </c>
      <c r="L934" s="4320"/>
      <c r="M934" s="386"/>
      <c r="N934" s="386"/>
      <c r="O934" s="386"/>
      <c r="P934" s="386"/>
      <c r="Q934" s="386"/>
    </row>
    <row r="935" spans="1:17" s="1659" customFormat="1" ht="30" customHeight="1" x14ac:dyDescent="0.2">
      <c r="A935" s="4348"/>
      <c r="B935" s="4338" t="s">
        <v>3743</v>
      </c>
      <c r="C935" s="4337" t="s">
        <v>1300</v>
      </c>
      <c r="D935" s="4268">
        <v>96000000</v>
      </c>
      <c r="E935" s="4274">
        <v>0.05</v>
      </c>
      <c r="F935" s="4268">
        <v>5000000</v>
      </c>
      <c r="G935" s="4260">
        <v>5000000</v>
      </c>
      <c r="H935" s="4260" t="s">
        <v>4491</v>
      </c>
      <c r="I935" s="4260" t="s">
        <v>3525</v>
      </c>
      <c r="J935" s="4260">
        <f>G935</f>
        <v>5000000</v>
      </c>
      <c r="K935" s="4260">
        <f>F935-J935</f>
        <v>0</v>
      </c>
      <c r="L935" s="4320"/>
      <c r="M935" s="386"/>
      <c r="N935" s="386"/>
      <c r="O935" s="386"/>
      <c r="P935" s="386"/>
      <c r="Q935" s="386"/>
    </row>
    <row r="936" spans="1:17" s="1659" customFormat="1" ht="30" customHeight="1" x14ac:dyDescent="0.2">
      <c r="A936" s="4348"/>
      <c r="B936" s="4338" t="s">
        <v>3869</v>
      </c>
      <c r="C936" s="4337" t="s">
        <v>3219</v>
      </c>
      <c r="D936" s="4268">
        <v>100000000</v>
      </c>
      <c r="E936" s="4274">
        <v>0.06</v>
      </c>
      <c r="F936" s="4268">
        <f>D936*E936</f>
        <v>6000000</v>
      </c>
      <c r="G936" s="4268"/>
      <c r="H936" s="4268"/>
      <c r="I936" s="4308"/>
      <c r="J936" s="4268"/>
      <c r="K936" s="4268"/>
      <c r="L936" s="4320" t="s">
        <v>3872</v>
      </c>
      <c r="M936" s="386"/>
      <c r="N936" s="386"/>
      <c r="O936" s="386"/>
      <c r="P936" s="386"/>
      <c r="Q936" s="386"/>
    </row>
    <row r="937" spans="1:17" s="1659" customFormat="1" ht="30" customHeight="1" x14ac:dyDescent="0.2">
      <c r="A937" s="4348"/>
      <c r="B937" s="4338" t="s">
        <v>3871</v>
      </c>
      <c r="C937" s="4337" t="s">
        <v>3390</v>
      </c>
      <c r="D937" s="4260">
        <v>50000000</v>
      </c>
      <c r="E937" s="4274">
        <v>0.05</v>
      </c>
      <c r="F937" s="4268">
        <f>D937*E937</f>
        <v>2500000</v>
      </c>
      <c r="G937" s="4268"/>
      <c r="H937" s="4268"/>
      <c r="I937" s="4308"/>
      <c r="J937" s="4268"/>
      <c r="K937" s="4268"/>
      <c r="L937" s="4320"/>
      <c r="M937" s="386"/>
      <c r="N937" s="386"/>
      <c r="O937" s="386"/>
      <c r="P937" s="386"/>
      <c r="Q937" s="386"/>
    </row>
    <row r="938" spans="1:17" s="1659" customFormat="1" ht="30" customHeight="1" x14ac:dyDescent="0.2">
      <c r="A938" s="4348"/>
      <c r="B938" s="4338" t="s">
        <v>3890</v>
      </c>
      <c r="C938" s="4337"/>
      <c r="D938" s="4269"/>
      <c r="E938" s="4269"/>
      <c r="F938" s="4269"/>
      <c r="G938" s="4268"/>
      <c r="H938" s="4268"/>
      <c r="I938" s="4308" t="s">
        <v>3891</v>
      </c>
      <c r="J938" s="4268">
        <f>G938</f>
        <v>0</v>
      </c>
      <c r="K938" s="4268">
        <f>F938-J938</f>
        <v>0</v>
      </c>
      <c r="L938" s="4320"/>
      <c r="M938" s="386"/>
      <c r="N938" s="386"/>
      <c r="O938" s="386"/>
      <c r="P938" s="386"/>
      <c r="Q938" s="386"/>
    </row>
    <row r="939" spans="1:17" s="1659" customFormat="1" ht="30" customHeight="1" x14ac:dyDescent="0.2">
      <c r="A939" s="7703"/>
      <c r="B939" s="7652" t="s">
        <v>3895</v>
      </c>
      <c r="C939" s="7723" t="s">
        <v>4105</v>
      </c>
      <c r="D939" s="4260">
        <v>120000000</v>
      </c>
      <c r="E939" s="4274">
        <v>0.05</v>
      </c>
      <c r="F939" s="4268">
        <f>D939*E939</f>
        <v>6000000</v>
      </c>
      <c r="G939" s="7563">
        <v>8100000</v>
      </c>
      <c r="H939" s="7563" t="s">
        <v>6125</v>
      </c>
      <c r="I939" s="7563" t="s">
        <v>4313</v>
      </c>
      <c r="J939" s="7563">
        <f>G939</f>
        <v>8100000</v>
      </c>
      <c r="K939" s="7563">
        <f>(F939+F940)-J939</f>
        <v>0</v>
      </c>
      <c r="L939" s="7811" t="s">
        <v>4906</v>
      </c>
      <c r="M939" s="386"/>
      <c r="N939" s="386"/>
      <c r="O939" s="386"/>
      <c r="P939" s="386"/>
      <c r="Q939" s="386"/>
    </row>
    <row r="940" spans="1:17" s="1659" customFormat="1" ht="30" customHeight="1" x14ac:dyDescent="0.2">
      <c r="A940" s="7704"/>
      <c r="B940" s="7665"/>
      <c r="C940" s="7747"/>
      <c r="D940" s="4268">
        <v>30000000</v>
      </c>
      <c r="E940" s="4274">
        <v>7.0000000000000007E-2</v>
      </c>
      <c r="F940" s="4268">
        <f>D940*E940</f>
        <v>2100000</v>
      </c>
      <c r="G940" s="7564"/>
      <c r="H940" s="7564"/>
      <c r="I940" s="7564"/>
      <c r="J940" s="7564"/>
      <c r="K940" s="7564"/>
      <c r="L940" s="7812"/>
      <c r="M940" s="386"/>
      <c r="N940" s="386"/>
      <c r="O940" s="386"/>
      <c r="P940" s="386"/>
      <c r="Q940" s="386"/>
    </row>
    <row r="941" spans="1:17" s="1659" customFormat="1" ht="30" customHeight="1" x14ac:dyDescent="0.2">
      <c r="A941" s="7704"/>
      <c r="B941" s="7665"/>
      <c r="C941" s="7747"/>
      <c r="D941" s="4922">
        <v>120000000</v>
      </c>
      <c r="E941" s="4926">
        <v>0.05</v>
      </c>
      <c r="F941" s="4925">
        <f>D941*E941</f>
        <v>6000000</v>
      </c>
      <c r="G941" s="7563">
        <v>8100000</v>
      </c>
      <c r="H941" s="7563" t="s">
        <v>6762</v>
      </c>
      <c r="I941" s="7563" t="s">
        <v>4313</v>
      </c>
      <c r="J941" s="7563">
        <f>G941</f>
        <v>8100000</v>
      </c>
      <c r="K941" s="7563">
        <f>(F941+F942)-J941</f>
        <v>0</v>
      </c>
      <c r="L941" s="7811" t="s">
        <v>5482</v>
      </c>
      <c r="M941" s="386"/>
      <c r="N941" s="386"/>
      <c r="O941" s="386"/>
      <c r="P941" s="386"/>
      <c r="Q941" s="386"/>
    </row>
    <row r="942" spans="1:17" s="1659" customFormat="1" ht="30" customHeight="1" x14ac:dyDescent="0.2">
      <c r="A942" s="7705"/>
      <c r="B942" s="7653"/>
      <c r="C942" s="7724"/>
      <c r="D942" s="4925">
        <v>30000000</v>
      </c>
      <c r="E942" s="4926">
        <v>7.0000000000000007E-2</v>
      </c>
      <c r="F942" s="4925">
        <f>D942*E942</f>
        <v>2100000</v>
      </c>
      <c r="G942" s="7564"/>
      <c r="H942" s="7564"/>
      <c r="I942" s="7564"/>
      <c r="J942" s="7564"/>
      <c r="K942" s="7564"/>
      <c r="L942" s="7812"/>
      <c r="M942" s="386"/>
      <c r="N942" s="386"/>
      <c r="O942" s="386"/>
      <c r="P942" s="386"/>
      <c r="Q942" s="386"/>
    </row>
    <row r="943" spans="1:17" s="1659" customFormat="1" ht="30" customHeight="1" x14ac:dyDescent="0.2">
      <c r="A943" s="4348"/>
      <c r="B943" s="4338" t="s">
        <v>3956</v>
      </c>
      <c r="C943" s="4300" t="s">
        <v>3390</v>
      </c>
      <c r="D943" s="4268">
        <v>50000000</v>
      </c>
      <c r="E943" s="4274">
        <v>0.05</v>
      </c>
      <c r="F943" s="4268">
        <f>D943*E943</f>
        <v>2500000</v>
      </c>
      <c r="G943" s="4268">
        <v>2500000</v>
      </c>
      <c r="H943" s="4268" t="s">
        <v>6577</v>
      </c>
      <c r="I943" s="4308" t="s">
        <v>4600</v>
      </c>
      <c r="J943" s="4268">
        <f>G943</f>
        <v>2500000</v>
      </c>
      <c r="K943" s="4268">
        <f>F943-J943</f>
        <v>0</v>
      </c>
      <c r="L943" s="4320"/>
      <c r="M943" s="386"/>
      <c r="N943" s="386"/>
      <c r="O943" s="386"/>
      <c r="P943" s="386"/>
      <c r="Q943" s="386"/>
    </row>
    <row r="944" spans="1:17" s="1659" customFormat="1" ht="30" customHeight="1" x14ac:dyDescent="0.2">
      <c r="A944" s="4348"/>
      <c r="B944" s="4338" t="s">
        <v>3961</v>
      </c>
      <c r="C944" s="4300"/>
      <c r="D944" s="4268">
        <f>25000000+10000000+10000000+250000+2500000+1500000+500000</f>
        <v>49750000</v>
      </c>
      <c r="E944" s="4274"/>
      <c r="F944" s="4268"/>
      <c r="G944" s="4268"/>
      <c r="H944" s="4268"/>
      <c r="I944" s="4308"/>
      <c r="J944" s="4268"/>
      <c r="K944" s="4268"/>
      <c r="L944" s="4320" t="s">
        <v>3962</v>
      </c>
      <c r="M944" s="386"/>
      <c r="N944" s="386"/>
      <c r="O944" s="386"/>
      <c r="P944" s="386"/>
      <c r="Q944" s="386"/>
    </row>
    <row r="945" spans="1:17" s="1659" customFormat="1" ht="30" customHeight="1" x14ac:dyDescent="0.2">
      <c r="A945" s="4932"/>
      <c r="B945" s="4932" t="s">
        <v>4902</v>
      </c>
      <c r="C945" s="4931" t="s">
        <v>942</v>
      </c>
      <c r="D945" s="4922">
        <v>800000000</v>
      </c>
      <c r="E945" s="4930">
        <v>6.5000000000000002E-2</v>
      </c>
      <c r="F945" s="4927">
        <f>D945*E945</f>
        <v>52000000</v>
      </c>
      <c r="G945" s="4922">
        <v>12000000</v>
      </c>
      <c r="H945" s="4922" t="s">
        <v>6762</v>
      </c>
      <c r="I945" s="4922" t="s">
        <v>4147</v>
      </c>
      <c r="J945" s="4922">
        <f>G945</f>
        <v>12000000</v>
      </c>
      <c r="K945" s="4922">
        <f>F945-G945</f>
        <v>40000000</v>
      </c>
      <c r="L945" s="4940" t="s">
        <v>4971</v>
      </c>
      <c r="M945" s="386"/>
      <c r="N945" s="386"/>
      <c r="O945" s="386"/>
      <c r="P945" s="386"/>
      <c r="Q945" s="386"/>
    </row>
    <row r="946" spans="1:17" s="1659" customFormat="1" ht="30" customHeight="1" x14ac:dyDescent="0.2">
      <c r="A946" s="7703"/>
      <c r="B946" s="7652" t="s">
        <v>3964</v>
      </c>
      <c r="C946" s="7747" t="s">
        <v>4223</v>
      </c>
      <c r="D946" s="4268">
        <v>58000000</v>
      </c>
      <c r="E946" s="4274">
        <v>0.05</v>
      </c>
      <c r="F946" s="4268">
        <f>D946*E946</f>
        <v>2900000</v>
      </c>
      <c r="G946" s="7586">
        <v>4900000</v>
      </c>
      <c r="H946" s="7586" t="s">
        <v>6386</v>
      </c>
      <c r="I946" s="7586" t="s">
        <v>5535</v>
      </c>
      <c r="J946" s="7586">
        <f>G946</f>
        <v>4900000</v>
      </c>
      <c r="K946" s="7586">
        <f>(F946+F947)-J946</f>
        <v>0</v>
      </c>
      <c r="L946" s="4320"/>
      <c r="M946" s="386"/>
      <c r="N946" s="386"/>
      <c r="O946" s="386"/>
      <c r="P946" s="386"/>
      <c r="Q946" s="386"/>
    </row>
    <row r="947" spans="1:17" s="1659" customFormat="1" ht="30" customHeight="1" x14ac:dyDescent="0.2">
      <c r="A947" s="7705"/>
      <c r="B947" s="7653"/>
      <c r="C947" s="7724"/>
      <c r="D947" s="4268">
        <v>40000000</v>
      </c>
      <c r="E947" s="4274">
        <v>0.05</v>
      </c>
      <c r="F947" s="4268">
        <f>D947*E947</f>
        <v>2000000</v>
      </c>
      <c r="G947" s="7564"/>
      <c r="H947" s="7564"/>
      <c r="I947" s="7564"/>
      <c r="J947" s="7564"/>
      <c r="K947" s="7564"/>
      <c r="L947" s="4320" t="s">
        <v>5285</v>
      </c>
      <c r="M947" s="386"/>
      <c r="N947" s="386"/>
      <c r="O947" s="386"/>
      <c r="P947" s="386"/>
      <c r="Q947" s="386"/>
    </row>
    <row r="948" spans="1:17" s="1659" customFormat="1" ht="30" customHeight="1" x14ac:dyDescent="0.2">
      <c r="A948" s="4348"/>
      <c r="B948" s="4338" t="s">
        <v>896</v>
      </c>
      <c r="C948" s="4300"/>
      <c r="D948" s="4268">
        <v>130000000</v>
      </c>
      <c r="E948" s="4274">
        <v>0.05</v>
      </c>
      <c r="F948" s="4268">
        <f>D948*E948</f>
        <v>6500000</v>
      </c>
      <c r="G948" s="4268">
        <v>6500000</v>
      </c>
      <c r="H948" s="4268" t="s">
        <v>6192</v>
      </c>
      <c r="I948" s="4308" t="s">
        <v>4869</v>
      </c>
      <c r="J948" s="4268">
        <f t="shared" ref="J948:J951" si="104">G948</f>
        <v>6500000</v>
      </c>
      <c r="K948" s="4268">
        <f>F948-J948</f>
        <v>0</v>
      </c>
      <c r="L948" s="4320"/>
      <c r="M948" s="386"/>
      <c r="N948" s="386"/>
      <c r="O948" s="386"/>
      <c r="P948" s="386"/>
      <c r="Q948" s="386"/>
    </row>
    <row r="949" spans="1:17" s="1659" customFormat="1" ht="30" customHeight="1" x14ac:dyDescent="0.2">
      <c r="A949" s="4348"/>
      <c r="B949" s="4338" t="s">
        <v>2305</v>
      </c>
      <c r="C949" s="4300"/>
      <c r="D949" s="7470" t="s">
        <v>5703</v>
      </c>
      <c r="E949" s="7493"/>
      <c r="F949" s="7510"/>
      <c r="G949" s="4268"/>
      <c r="H949" s="4268"/>
      <c r="I949" s="4308" t="s">
        <v>3609</v>
      </c>
      <c r="J949" s="4268">
        <f t="shared" si="104"/>
        <v>0</v>
      </c>
      <c r="K949" s="4268"/>
      <c r="L949" s="4320"/>
      <c r="M949" s="386"/>
      <c r="N949" s="386"/>
      <c r="O949" s="386"/>
      <c r="P949" s="386"/>
      <c r="Q949" s="386"/>
    </row>
    <row r="950" spans="1:17" s="1659" customFormat="1" ht="30" customHeight="1" x14ac:dyDescent="0.2">
      <c r="A950" s="4348"/>
      <c r="B950" s="4338" t="s">
        <v>4014</v>
      </c>
      <c r="C950" s="4300" t="s">
        <v>4223</v>
      </c>
      <c r="D950" s="4268">
        <v>100000000</v>
      </c>
      <c r="E950" s="4274">
        <v>0.06</v>
      </c>
      <c r="F950" s="4268">
        <f>D950*E950</f>
        <v>6000000</v>
      </c>
      <c r="G950" s="4260">
        <v>6000000</v>
      </c>
      <c r="H950" s="4260" t="s">
        <v>6386</v>
      </c>
      <c r="I950" s="4260" t="s">
        <v>5085</v>
      </c>
      <c r="J950" s="4260">
        <f t="shared" si="104"/>
        <v>6000000</v>
      </c>
      <c r="K950" s="4268">
        <f>F950-J950</f>
        <v>0</v>
      </c>
      <c r="L950" s="4320"/>
      <c r="M950" s="386"/>
      <c r="N950" s="386"/>
      <c r="O950" s="386"/>
      <c r="P950" s="386"/>
      <c r="Q950" s="386"/>
    </row>
    <row r="951" spans="1:17" s="1659" customFormat="1" ht="30" customHeight="1" x14ac:dyDescent="0.2">
      <c r="A951" s="4348"/>
      <c r="B951" s="4338" t="s">
        <v>4025</v>
      </c>
      <c r="C951" s="4300" t="s">
        <v>1718</v>
      </c>
      <c r="D951" s="4268">
        <v>110000000</v>
      </c>
      <c r="E951" s="4274">
        <v>0.04</v>
      </c>
      <c r="F951" s="4268">
        <f>D951*E951</f>
        <v>4400000</v>
      </c>
      <c r="G951" s="4268">
        <v>4400000</v>
      </c>
      <c r="H951" s="4268" t="s">
        <v>6368</v>
      </c>
      <c r="I951" s="4308" t="s">
        <v>3469</v>
      </c>
      <c r="J951" s="4268">
        <f t="shared" si="104"/>
        <v>4400000</v>
      </c>
      <c r="K951" s="4268">
        <f>F951-J951</f>
        <v>0</v>
      </c>
      <c r="L951" s="4320"/>
      <c r="M951" s="386"/>
      <c r="N951" s="386"/>
      <c r="O951" s="386"/>
      <c r="P951" s="386"/>
      <c r="Q951" s="386"/>
    </row>
    <row r="952" spans="1:17" s="1659" customFormat="1" ht="30" customHeight="1" x14ac:dyDescent="0.2">
      <c r="A952" s="4348"/>
      <c r="B952" s="4338" t="s">
        <v>1455</v>
      </c>
      <c r="C952" s="4300"/>
      <c r="D952" s="4268">
        <v>50000000</v>
      </c>
      <c r="E952" s="4274">
        <v>0.05</v>
      </c>
      <c r="F952" s="4268">
        <f>D952*E952</f>
        <v>2500000</v>
      </c>
      <c r="G952" s="233"/>
      <c r="H952" s="233"/>
      <c r="I952" s="233"/>
      <c r="J952" s="233"/>
      <c r="K952" s="4268"/>
      <c r="L952" s="4320"/>
      <c r="M952" s="386"/>
      <c r="N952" s="386"/>
      <c r="O952" s="386"/>
      <c r="P952" s="386"/>
      <c r="Q952" s="386"/>
    </row>
    <row r="953" spans="1:17" s="1659" customFormat="1" ht="30" customHeight="1" x14ac:dyDescent="0.2">
      <c r="A953" s="7703"/>
      <c r="B953" s="7652" t="s">
        <v>4037</v>
      </c>
      <c r="C953" s="7723"/>
      <c r="D953" s="4266">
        <v>21000000</v>
      </c>
      <c r="E953" s="4260"/>
      <c r="F953" s="4266"/>
      <c r="G953" s="4266"/>
      <c r="H953" s="4266"/>
      <c r="I953" s="4266"/>
      <c r="J953" s="4266"/>
      <c r="K953" s="4267"/>
      <c r="L953" s="4344" t="s">
        <v>4219</v>
      </c>
      <c r="M953" s="386"/>
      <c r="N953" s="386"/>
      <c r="O953" s="386"/>
      <c r="P953" s="386"/>
      <c r="Q953" s="386"/>
    </row>
    <row r="954" spans="1:17" s="1659" customFormat="1" ht="30" customHeight="1" x14ac:dyDescent="0.2">
      <c r="A954" s="7705"/>
      <c r="B954" s="7653"/>
      <c r="C954" s="7724"/>
      <c r="D954" s="4266">
        <v>520000000</v>
      </c>
      <c r="E954" s="4268"/>
      <c r="F954" s="4266"/>
      <c r="G954" s="4266"/>
      <c r="H954" s="4266"/>
      <c r="I954" s="4266"/>
      <c r="J954" s="4266"/>
      <c r="K954" s="4267"/>
      <c r="L954" s="4344" t="s">
        <v>5126</v>
      </c>
      <c r="M954" s="386"/>
      <c r="N954" s="386"/>
      <c r="O954" s="386"/>
      <c r="P954" s="386"/>
      <c r="Q954" s="386"/>
    </row>
    <row r="955" spans="1:17" s="1659" customFormat="1" ht="30" customHeight="1" x14ac:dyDescent="0.2">
      <c r="A955" s="7703"/>
      <c r="B955" s="7652" t="s">
        <v>4046</v>
      </c>
      <c r="C955" s="7723" t="s">
        <v>990</v>
      </c>
      <c r="D955" s="4260">
        <v>47000000</v>
      </c>
      <c r="E955" s="4274">
        <v>0.05</v>
      </c>
      <c r="F955" s="4260">
        <f>D955*E955</f>
        <v>2350000</v>
      </c>
      <c r="G955" s="7563">
        <v>7000000</v>
      </c>
      <c r="H955" s="7563" t="s">
        <v>6756</v>
      </c>
      <c r="I955" s="7563" t="s">
        <v>4766</v>
      </c>
      <c r="J955" s="7563">
        <f>G955</f>
        <v>7000000</v>
      </c>
      <c r="K955" s="7563">
        <f>(F955+F956+F957)-J955</f>
        <v>0</v>
      </c>
      <c r="L955" s="4343"/>
      <c r="M955" s="386"/>
      <c r="N955" s="386"/>
      <c r="O955" s="386"/>
      <c r="P955" s="386"/>
      <c r="Q955" s="386"/>
    </row>
    <row r="956" spans="1:17" s="1659" customFormat="1" ht="30" customHeight="1" x14ac:dyDescent="0.2">
      <c r="A956" s="7704"/>
      <c r="B956" s="7665"/>
      <c r="C956" s="7747"/>
      <c r="D956" s="4308">
        <v>90000000</v>
      </c>
      <c r="E956" s="4274">
        <v>0.05</v>
      </c>
      <c r="F956" s="4309">
        <f>D956*E956</f>
        <v>4500000</v>
      </c>
      <c r="G956" s="7586"/>
      <c r="H956" s="7586"/>
      <c r="I956" s="7586"/>
      <c r="J956" s="7586"/>
      <c r="K956" s="7586"/>
      <c r="L956" s="4320"/>
      <c r="M956" s="386"/>
      <c r="N956" s="386"/>
      <c r="O956" s="386"/>
      <c r="P956" s="386"/>
      <c r="Q956" s="386"/>
    </row>
    <row r="957" spans="1:17" s="1659" customFormat="1" ht="30" customHeight="1" x14ac:dyDescent="0.2">
      <c r="A957" s="7705"/>
      <c r="B957" s="7653"/>
      <c r="C957" s="7724"/>
      <c r="D957" s="4308">
        <v>3000000</v>
      </c>
      <c r="E957" s="4274">
        <v>0.05</v>
      </c>
      <c r="F957" s="4309">
        <f>D957*E957</f>
        <v>150000</v>
      </c>
      <c r="G957" s="7564"/>
      <c r="H957" s="7564"/>
      <c r="I957" s="7564"/>
      <c r="J957" s="7564"/>
      <c r="K957" s="7564"/>
      <c r="L957" s="4320"/>
      <c r="M957" s="386"/>
      <c r="N957" s="386"/>
      <c r="O957" s="386"/>
      <c r="P957" s="386"/>
      <c r="Q957" s="386"/>
    </row>
    <row r="958" spans="1:17" s="1659" customFormat="1" ht="30" customHeight="1" x14ac:dyDescent="0.2">
      <c r="A958" s="4348"/>
      <c r="B958" s="4279" t="s">
        <v>4079</v>
      </c>
      <c r="C958" s="4300" t="s">
        <v>1652</v>
      </c>
      <c r="D958" s="4308">
        <v>100000000</v>
      </c>
      <c r="E958" s="4274">
        <v>0.05</v>
      </c>
      <c r="F958" s="4309">
        <f>D958*E958</f>
        <v>5000000</v>
      </c>
      <c r="G958" s="4268">
        <v>5000000</v>
      </c>
      <c r="H958" s="4268" t="s">
        <v>6251</v>
      </c>
      <c r="I958" s="4308" t="s">
        <v>4884</v>
      </c>
      <c r="J958" s="4268">
        <f t="shared" ref="J958:J960" si="105">G958</f>
        <v>5000000</v>
      </c>
      <c r="K958" s="4268">
        <f>F958-J958</f>
        <v>0</v>
      </c>
      <c r="L958" s="4320" t="s">
        <v>6255</v>
      </c>
      <c r="M958" s="386"/>
      <c r="N958" s="386"/>
      <c r="O958" s="386"/>
      <c r="P958" s="386"/>
      <c r="Q958" s="386"/>
    </row>
    <row r="959" spans="1:17" s="1659" customFormat="1" ht="30" customHeight="1" x14ac:dyDescent="0.2">
      <c r="A959" s="4348"/>
      <c r="B959" s="4338" t="s">
        <v>4083</v>
      </c>
      <c r="C959" s="4300"/>
      <c r="D959" s="452"/>
      <c r="E959" s="4290"/>
      <c r="F959" s="597"/>
      <c r="G959" s="4268"/>
      <c r="H959" s="4268"/>
      <c r="I959" s="937">
        <v>5423044873</v>
      </c>
      <c r="J959" s="4268">
        <f t="shared" si="105"/>
        <v>0</v>
      </c>
      <c r="K959" s="4281"/>
      <c r="L959" s="4320"/>
      <c r="M959" s="386"/>
      <c r="N959" s="386"/>
      <c r="O959" s="386"/>
      <c r="P959" s="386"/>
      <c r="Q959" s="386"/>
    </row>
    <row r="960" spans="1:17" s="1659" customFormat="1" ht="30" customHeight="1" x14ac:dyDescent="0.2">
      <c r="A960" s="7703"/>
      <c r="B960" s="7652" t="s">
        <v>4100</v>
      </c>
      <c r="C960" s="7723" t="s">
        <v>1796</v>
      </c>
      <c r="D960" s="4260">
        <v>11000000</v>
      </c>
      <c r="E960" s="4336">
        <v>0.05</v>
      </c>
      <c r="F960" s="4260">
        <f>D960*E960</f>
        <v>550000</v>
      </c>
      <c r="G960" s="7563">
        <v>2050000</v>
      </c>
      <c r="H960" s="7563" t="s">
        <v>3284</v>
      </c>
      <c r="I960" s="7563" t="s">
        <v>6025</v>
      </c>
      <c r="J960" s="7563">
        <f t="shared" si="105"/>
        <v>2050000</v>
      </c>
      <c r="K960" s="7563">
        <f>(F960+F961)-J960</f>
        <v>0</v>
      </c>
      <c r="L960" s="4320"/>
      <c r="M960" s="386"/>
      <c r="N960" s="386"/>
      <c r="O960" s="386"/>
      <c r="P960" s="386"/>
      <c r="Q960" s="386"/>
    </row>
    <row r="961" spans="1:17" s="1659" customFormat="1" ht="30" customHeight="1" x14ac:dyDescent="0.2">
      <c r="A961" s="7705"/>
      <c r="B961" s="7653"/>
      <c r="C961" s="7724"/>
      <c r="D961" s="4308">
        <v>30000000</v>
      </c>
      <c r="E961" s="4274">
        <v>0.05</v>
      </c>
      <c r="F961" s="4309">
        <f>D961*E961</f>
        <v>1500000</v>
      </c>
      <c r="G961" s="7564"/>
      <c r="H961" s="7564"/>
      <c r="I961" s="7564"/>
      <c r="J961" s="7564"/>
      <c r="K961" s="7564"/>
      <c r="L961" s="4320"/>
      <c r="M961" s="386"/>
      <c r="N961" s="386"/>
      <c r="O961" s="386"/>
      <c r="P961" s="386"/>
      <c r="Q961" s="386"/>
    </row>
    <row r="962" spans="1:17" s="1659" customFormat="1" ht="30" customHeight="1" x14ac:dyDescent="0.2">
      <c r="A962" s="4348"/>
      <c r="B962" s="4338" t="s">
        <v>4114</v>
      </c>
      <c r="C962" s="4300" t="s">
        <v>1172</v>
      </c>
      <c r="D962" s="4308">
        <v>50000000</v>
      </c>
      <c r="E962" s="4274">
        <v>0.05</v>
      </c>
      <c r="F962" s="4309">
        <f>D962*E962</f>
        <v>2500000</v>
      </c>
      <c r="G962" s="4268"/>
      <c r="H962" s="4268"/>
      <c r="I962" s="4308"/>
      <c r="J962" s="4268"/>
      <c r="K962" s="4268"/>
      <c r="L962" s="4320"/>
      <c r="M962" s="386"/>
      <c r="N962" s="386"/>
      <c r="O962" s="386"/>
      <c r="P962" s="386"/>
      <c r="Q962" s="386"/>
    </row>
    <row r="963" spans="1:17" s="1659" customFormat="1" ht="30" customHeight="1" x14ac:dyDescent="0.2">
      <c r="A963" s="4348"/>
      <c r="B963" s="4338" t="s">
        <v>4115</v>
      </c>
      <c r="C963" s="4300"/>
      <c r="D963" s="4308">
        <v>5000000</v>
      </c>
      <c r="E963" s="4274"/>
      <c r="F963" s="4309"/>
      <c r="G963" s="4268"/>
      <c r="H963" s="4268"/>
      <c r="I963" s="4308"/>
      <c r="J963" s="4268"/>
      <c r="K963" s="4268"/>
      <c r="L963" s="4320"/>
      <c r="M963" s="386"/>
      <c r="N963" s="386"/>
      <c r="O963" s="386"/>
      <c r="P963" s="386"/>
      <c r="Q963" s="386"/>
    </row>
    <row r="964" spans="1:17" s="1659" customFormat="1" ht="30" customHeight="1" x14ac:dyDescent="0.2">
      <c r="A964" s="4348"/>
      <c r="B964" s="4338" t="s">
        <v>4116</v>
      </c>
      <c r="C964" s="4300" t="s">
        <v>1172</v>
      </c>
      <c r="D964" s="4308">
        <v>70000000</v>
      </c>
      <c r="E964" s="4274">
        <v>0.06</v>
      </c>
      <c r="F964" s="4309">
        <f>D964*E964</f>
        <v>4200000</v>
      </c>
      <c r="G964" s="4268"/>
      <c r="H964" s="4268"/>
      <c r="I964" s="4308"/>
      <c r="J964" s="4268"/>
      <c r="K964" s="4268"/>
      <c r="L964" s="4320"/>
      <c r="M964" s="386"/>
      <c r="N964" s="386"/>
      <c r="O964" s="386"/>
      <c r="P964" s="386"/>
      <c r="Q964" s="386"/>
    </row>
    <row r="965" spans="1:17" s="1659" customFormat="1" ht="30" customHeight="1" x14ac:dyDescent="0.2">
      <c r="A965" s="4348"/>
      <c r="B965" s="4338" t="s">
        <v>4131</v>
      </c>
      <c r="C965" s="4300"/>
      <c r="D965" s="4308">
        <v>45000000</v>
      </c>
      <c r="E965" s="4274">
        <v>0.05</v>
      </c>
      <c r="F965" s="4309">
        <f>D965*E965</f>
        <v>2250000</v>
      </c>
      <c r="G965" s="4260">
        <v>2250000</v>
      </c>
      <c r="H965" s="4260" t="s">
        <v>6220</v>
      </c>
      <c r="I965" s="4260" t="s">
        <v>1695</v>
      </c>
      <c r="J965" s="4260">
        <f>G965</f>
        <v>2250000</v>
      </c>
      <c r="K965" s="4268">
        <f>F965-J965</f>
        <v>0</v>
      </c>
      <c r="L965" s="4320" t="s">
        <v>6228</v>
      </c>
      <c r="M965" s="386"/>
      <c r="N965" s="386"/>
      <c r="O965" s="386"/>
      <c r="P965" s="386"/>
      <c r="Q965" s="386"/>
    </row>
    <row r="966" spans="1:17" s="1659" customFormat="1" ht="30" customHeight="1" x14ac:dyDescent="0.2">
      <c r="A966" s="4348"/>
      <c r="B966" s="4338" t="s">
        <v>4242</v>
      </c>
      <c r="C966" s="4300" t="s">
        <v>1299</v>
      </c>
      <c r="D966" s="4308">
        <v>60000000</v>
      </c>
      <c r="E966" s="4274">
        <v>0.05</v>
      </c>
      <c r="F966" s="4309">
        <f>D966*E966</f>
        <v>3000000</v>
      </c>
      <c r="G966" s="4268">
        <v>3000000</v>
      </c>
      <c r="H966" s="4268" t="s">
        <v>6440</v>
      </c>
      <c r="I966" s="4308" t="s">
        <v>5760</v>
      </c>
      <c r="J966" s="4268">
        <f>G966</f>
        <v>3000000</v>
      </c>
      <c r="K966" s="4268">
        <f>F966-J966</f>
        <v>0</v>
      </c>
      <c r="L966" s="4320" t="s">
        <v>5364</v>
      </c>
      <c r="M966" s="386"/>
      <c r="N966" s="386"/>
      <c r="O966" s="386"/>
      <c r="P966" s="386"/>
      <c r="Q966" s="386"/>
    </row>
    <row r="967" spans="1:17" s="1659" customFormat="1" ht="30" customHeight="1" x14ac:dyDescent="0.2">
      <c r="A967" s="4348"/>
      <c r="B967" s="4338" t="s">
        <v>4139</v>
      </c>
      <c r="C967" s="4300"/>
      <c r="D967" s="4308">
        <v>10000000</v>
      </c>
      <c r="E967" s="4274"/>
      <c r="F967" s="4309"/>
      <c r="G967" s="4268"/>
      <c r="H967" s="4268"/>
      <c r="I967" s="4308"/>
      <c r="J967" s="4268"/>
      <c r="K967" s="4268"/>
      <c r="L967" s="7732"/>
      <c r="M967" s="7733"/>
      <c r="N967" s="7733"/>
      <c r="O967" s="7734"/>
      <c r="P967" s="386"/>
      <c r="Q967" s="386"/>
    </row>
    <row r="968" spans="1:17" s="1659" customFormat="1" ht="30" customHeight="1" x14ac:dyDescent="0.2">
      <c r="A968" s="4348"/>
      <c r="B968" s="4338" t="s">
        <v>4142</v>
      </c>
      <c r="C968" s="4337"/>
      <c r="D968" s="4260">
        <v>200000000</v>
      </c>
      <c r="E968" s="4336">
        <v>7.0000000000000007E-2</v>
      </c>
      <c r="F968" s="4260">
        <f>D968*E968</f>
        <v>14000000.000000002</v>
      </c>
      <c r="G968" s="4308">
        <v>14000000</v>
      </c>
      <c r="H968" s="4274" t="s">
        <v>6759</v>
      </c>
      <c r="I968" s="4309" t="s">
        <v>815</v>
      </c>
      <c r="J968" s="4308">
        <f>G968</f>
        <v>14000000</v>
      </c>
      <c r="K968" s="4268">
        <f>F968-J968</f>
        <v>0</v>
      </c>
      <c r="L968" s="7732"/>
      <c r="M968" s="7733"/>
      <c r="N968" s="7733"/>
      <c r="O968" s="7734"/>
      <c r="P968" s="386"/>
      <c r="Q968" s="386"/>
    </row>
    <row r="969" spans="1:17" s="1659" customFormat="1" ht="30" customHeight="1" x14ac:dyDescent="0.2">
      <c r="A969" s="4348"/>
      <c r="B969" s="4386" t="s">
        <v>4155</v>
      </c>
      <c r="C969" s="4300"/>
      <c r="D969" s="452"/>
      <c r="E969" s="4290"/>
      <c r="F969" s="597"/>
      <c r="G969" s="4268"/>
      <c r="H969" s="4268"/>
      <c r="I969" s="4308" t="s">
        <v>4156</v>
      </c>
      <c r="J969" s="4268">
        <f>G969</f>
        <v>0</v>
      </c>
      <c r="K969" s="4268"/>
      <c r="L969" s="4320"/>
      <c r="M969" s="4349"/>
      <c r="N969" s="4349"/>
      <c r="O969" s="4349"/>
      <c r="P969" s="386"/>
      <c r="Q969" s="386"/>
    </row>
    <row r="970" spans="1:17" s="1659" customFormat="1" ht="30" customHeight="1" x14ac:dyDescent="0.2">
      <c r="A970" s="4348"/>
      <c r="B970" s="4386" t="s">
        <v>4157</v>
      </c>
      <c r="C970" s="4300"/>
      <c r="D970" s="452"/>
      <c r="E970" s="4290"/>
      <c r="F970" s="597"/>
      <c r="G970" s="4268"/>
      <c r="H970" s="4268"/>
      <c r="I970" s="4308" t="s">
        <v>4158</v>
      </c>
      <c r="J970" s="4268">
        <f>G970</f>
        <v>0</v>
      </c>
      <c r="K970" s="4268"/>
      <c r="L970" s="4320"/>
      <c r="M970" s="4349"/>
      <c r="N970" s="4349"/>
      <c r="O970" s="4349"/>
      <c r="P970" s="386"/>
      <c r="Q970" s="386"/>
    </row>
    <row r="971" spans="1:17" s="1659" customFormat="1" ht="30" customHeight="1" x14ac:dyDescent="0.2">
      <c r="A971" s="4348"/>
      <c r="B971" s="4386" t="s">
        <v>4160</v>
      </c>
      <c r="C971" s="4300"/>
      <c r="D971" s="452"/>
      <c r="E971" s="4290"/>
      <c r="F971" s="597"/>
      <c r="G971" s="4268"/>
      <c r="H971" s="4268"/>
      <c r="I971" s="4308" t="s">
        <v>4161</v>
      </c>
      <c r="J971" s="4268">
        <f>G971</f>
        <v>0</v>
      </c>
      <c r="K971" s="4268"/>
      <c r="L971" s="4320"/>
      <c r="M971" s="4349"/>
      <c r="N971" s="4349"/>
      <c r="O971" s="4349"/>
      <c r="P971" s="386"/>
      <c r="Q971" s="386"/>
    </row>
    <row r="972" spans="1:17" s="1659" customFormat="1" ht="30" customHeight="1" x14ac:dyDescent="0.2">
      <c r="A972" s="7990"/>
      <c r="B972" s="8078" t="s">
        <v>4162</v>
      </c>
      <c r="C972" s="8416" t="s">
        <v>392</v>
      </c>
      <c r="D972" s="8001">
        <v>70000000</v>
      </c>
      <c r="E972" s="8083">
        <v>0.06</v>
      </c>
      <c r="F972" s="8001">
        <f>D972*E972</f>
        <v>4200000</v>
      </c>
      <c r="G972" s="8270" t="s">
        <v>4674</v>
      </c>
      <c r="H972" s="8271"/>
      <c r="I972" s="8271"/>
      <c r="J972" s="8272"/>
      <c r="K972" s="4664"/>
      <c r="L972" s="4326" t="s">
        <v>4208</v>
      </c>
      <c r="M972" s="4349"/>
      <c r="N972" s="4349"/>
      <c r="O972" s="4349"/>
      <c r="P972" s="386"/>
      <c r="Q972" s="386"/>
    </row>
    <row r="973" spans="1:17" s="1659" customFormat="1" ht="30" customHeight="1" x14ac:dyDescent="0.2">
      <c r="A973" s="7990"/>
      <c r="B973" s="8078"/>
      <c r="C973" s="8416"/>
      <c r="D973" s="8002"/>
      <c r="E973" s="8084"/>
      <c r="F973" s="8002"/>
      <c r="G973" s="8273"/>
      <c r="H973" s="8274"/>
      <c r="I973" s="8274"/>
      <c r="J973" s="8275"/>
      <c r="K973" s="4664"/>
      <c r="L973" s="4344" t="s">
        <v>4209</v>
      </c>
      <c r="M973" s="4349"/>
      <c r="N973" s="4349"/>
      <c r="O973" s="4349"/>
      <c r="P973" s="386"/>
      <c r="Q973" s="386"/>
    </row>
    <row r="974" spans="1:17" s="1659" customFormat="1" ht="30" customHeight="1" x14ac:dyDescent="0.2">
      <c r="A974" s="7990"/>
      <c r="B974" s="8078"/>
      <c r="C974" s="8416"/>
      <c r="D974" s="4360">
        <v>10000000</v>
      </c>
      <c r="E974" s="4368">
        <v>0.06</v>
      </c>
      <c r="F974" s="4360">
        <f t="shared" ref="F974:F981" si="106">D974*E974</f>
        <v>600000</v>
      </c>
      <c r="G974" s="8045"/>
      <c r="H974" s="8046"/>
      <c r="I974" s="8046"/>
      <c r="J974" s="8047"/>
      <c r="K974" s="4664"/>
      <c r="L974" s="4344" t="s">
        <v>4270</v>
      </c>
      <c r="M974" s="4349"/>
      <c r="N974" s="4349"/>
      <c r="O974" s="4349"/>
      <c r="P974" s="386"/>
      <c r="Q974" s="386"/>
    </row>
    <row r="975" spans="1:17" s="1659" customFormat="1" ht="30" customHeight="1" x14ac:dyDescent="0.2">
      <c r="A975" s="7990"/>
      <c r="B975" s="8078"/>
      <c r="C975" s="8416"/>
      <c r="D975" s="4379">
        <f>D972+D974+F972+F974</f>
        <v>84800000</v>
      </c>
      <c r="E975" s="679">
        <v>0.06</v>
      </c>
      <c r="F975" s="4379">
        <f t="shared" si="106"/>
        <v>5088000</v>
      </c>
      <c r="G975" s="8264" t="s">
        <v>4832</v>
      </c>
      <c r="H975" s="8264"/>
      <c r="I975" s="8264"/>
      <c r="J975" s="8264"/>
      <c r="K975" s="4663"/>
      <c r="L975" s="4344"/>
      <c r="M975" s="4349"/>
      <c r="N975" s="4349"/>
      <c r="O975" s="4349"/>
      <c r="P975" s="386"/>
      <c r="Q975" s="386"/>
    </row>
    <row r="976" spans="1:17" s="1659" customFormat="1" ht="30" customHeight="1" x14ac:dyDescent="0.2">
      <c r="A976" s="7990"/>
      <c r="B976" s="8078"/>
      <c r="C976" s="8416"/>
      <c r="D976" s="4379">
        <f>D975+F975</f>
        <v>89888000</v>
      </c>
      <c r="E976" s="679">
        <v>0.06</v>
      </c>
      <c r="F976" s="4379">
        <f t="shared" si="106"/>
        <v>5393280</v>
      </c>
      <c r="G976" s="8264" t="s">
        <v>6392</v>
      </c>
      <c r="H976" s="8264"/>
      <c r="I976" s="8264"/>
      <c r="J976" s="8264"/>
      <c r="K976" s="4663"/>
      <c r="L976" s="4344"/>
      <c r="M976" s="4349"/>
      <c r="N976" s="4349"/>
      <c r="O976" s="4349"/>
      <c r="P976" s="386"/>
      <c r="Q976" s="386"/>
    </row>
    <row r="977" spans="1:17" s="1659" customFormat="1" ht="30" customHeight="1" x14ac:dyDescent="0.2">
      <c r="A977" s="7990"/>
      <c r="B977" s="8078"/>
      <c r="C977" s="8416"/>
      <c r="D977" s="4632">
        <f>D976+F976</f>
        <v>95281280</v>
      </c>
      <c r="E977" s="679">
        <v>0.06</v>
      </c>
      <c r="F977" s="4632">
        <f>D977*E977</f>
        <v>5716876.7999999998</v>
      </c>
      <c r="G977" s="4643">
        <v>5717000</v>
      </c>
      <c r="H977" s="4643" t="s">
        <v>6395</v>
      </c>
      <c r="I977" s="4643" t="s">
        <v>2986</v>
      </c>
      <c r="J977" s="4643">
        <f>G977</f>
        <v>5717000</v>
      </c>
      <c r="K977" s="4643">
        <f>F977-J977</f>
        <v>-123.20000000018626</v>
      </c>
      <c r="L977" s="4630"/>
      <c r="M977" s="4631"/>
      <c r="N977" s="4631"/>
      <c r="O977" s="4631"/>
      <c r="P977" s="386"/>
      <c r="Q977" s="386"/>
    </row>
    <row r="978" spans="1:17" s="1659" customFormat="1" ht="30" customHeight="1" x14ac:dyDescent="0.2">
      <c r="A978" s="7990"/>
      <c r="B978" s="8078"/>
      <c r="C978" s="8416"/>
      <c r="D978" s="4646">
        <v>100000000</v>
      </c>
      <c r="E978" s="2519">
        <v>0.06</v>
      </c>
      <c r="F978" s="4646">
        <f t="shared" si="106"/>
        <v>6000000</v>
      </c>
      <c r="G978" s="4649"/>
      <c r="H978" s="4649"/>
      <c r="I978" s="2032"/>
      <c r="J978" s="4648"/>
      <c r="K978" s="4648"/>
      <c r="L978" s="4344" t="s">
        <v>4371</v>
      </c>
      <c r="M978" s="4349"/>
      <c r="N978" s="4349"/>
      <c r="O978" s="4349"/>
      <c r="P978" s="386"/>
      <c r="Q978" s="386"/>
    </row>
    <row r="979" spans="1:17" s="1659" customFormat="1" ht="30" customHeight="1" x14ac:dyDescent="0.2">
      <c r="A979" s="4348"/>
      <c r="B979" s="4338" t="s">
        <v>4186</v>
      </c>
      <c r="C979" s="4337"/>
      <c r="D979" s="4260">
        <v>120000000</v>
      </c>
      <c r="E979" s="4336">
        <v>0.05</v>
      </c>
      <c r="F979" s="4260">
        <f t="shared" si="106"/>
        <v>6000000</v>
      </c>
      <c r="G979" s="4268">
        <v>6000000</v>
      </c>
      <c r="H979" s="4268" t="s">
        <v>6192</v>
      </c>
      <c r="I979" s="4260" t="s">
        <v>5061</v>
      </c>
      <c r="J979" s="4260">
        <f>G979</f>
        <v>6000000</v>
      </c>
      <c r="K979" s="4260">
        <f>F979-J979</f>
        <v>0</v>
      </c>
      <c r="L979" s="4320" t="s">
        <v>4990</v>
      </c>
      <c r="M979" s="4349"/>
      <c r="N979" s="4349"/>
      <c r="O979" s="4349"/>
      <c r="P979" s="386"/>
      <c r="Q979" s="386"/>
    </row>
    <row r="980" spans="1:17" s="1659" customFormat="1" ht="30" customHeight="1" x14ac:dyDescent="0.2">
      <c r="A980" s="4348"/>
      <c r="B980" s="4338" t="s">
        <v>4196</v>
      </c>
      <c r="C980" s="4337" t="s">
        <v>1306</v>
      </c>
      <c r="D980" s="4260">
        <v>100000000</v>
      </c>
      <c r="E980" s="4336">
        <v>0.05</v>
      </c>
      <c r="F980" s="4260">
        <f t="shared" si="106"/>
        <v>5000000</v>
      </c>
      <c r="G980" s="4268">
        <v>5000000</v>
      </c>
      <c r="H980" s="4268" t="s">
        <v>6577</v>
      </c>
      <c r="I980" s="4308" t="s">
        <v>5844</v>
      </c>
      <c r="J980" s="4268">
        <f>G980</f>
        <v>5000000</v>
      </c>
      <c r="K980" s="4268">
        <f>F980-J980</f>
        <v>0</v>
      </c>
      <c r="L980" s="4320" t="s">
        <v>5809</v>
      </c>
      <c r="M980" s="4349"/>
      <c r="N980" s="4349"/>
      <c r="O980" s="4349"/>
      <c r="P980" s="386"/>
      <c r="Q980" s="386"/>
    </row>
    <row r="981" spans="1:17" s="1659" customFormat="1" ht="30" customHeight="1" x14ac:dyDescent="0.2">
      <c r="A981" s="4431"/>
      <c r="B981" s="4426" t="s">
        <v>4213</v>
      </c>
      <c r="C981" s="4425" t="s">
        <v>4105</v>
      </c>
      <c r="D981" s="4400">
        <v>100000000</v>
      </c>
      <c r="E981" s="4424">
        <v>7.0000000000000007E-2</v>
      </c>
      <c r="F981" s="4400">
        <f t="shared" si="106"/>
        <v>7000000.0000000009</v>
      </c>
      <c r="G981" s="4268">
        <v>7000000</v>
      </c>
      <c r="H981" s="4268" t="s">
        <v>6125</v>
      </c>
      <c r="I981" s="4308" t="s">
        <v>4845</v>
      </c>
      <c r="J981" s="4268">
        <f>G981</f>
        <v>7000000</v>
      </c>
      <c r="K981" s="4268">
        <f>F981-J981</f>
        <v>0</v>
      </c>
      <c r="L981" s="4378" t="s">
        <v>4906</v>
      </c>
      <c r="M981" s="4349"/>
      <c r="N981" s="4349"/>
      <c r="O981" s="4349"/>
      <c r="P981" s="386"/>
      <c r="Q981" s="386"/>
    </row>
    <row r="982" spans="1:17" s="1659" customFormat="1" ht="30" customHeight="1" x14ac:dyDescent="0.2">
      <c r="A982" s="4348"/>
      <c r="B982" s="4338" t="s">
        <v>4292</v>
      </c>
      <c r="C982" s="4337"/>
      <c r="D982" s="4260"/>
      <c r="E982" s="4274"/>
      <c r="F982" s="4268"/>
      <c r="G982" s="4268"/>
      <c r="H982" s="4268"/>
      <c r="I982" s="4308"/>
      <c r="J982" s="4268"/>
      <c r="K982" s="4268"/>
      <c r="L982" s="4242" t="s">
        <v>6056</v>
      </c>
      <c r="M982" s="4349"/>
      <c r="N982" s="4349"/>
      <c r="O982" s="4349"/>
      <c r="P982" s="386"/>
      <c r="Q982" s="386"/>
    </row>
    <row r="983" spans="1:17" s="1659" customFormat="1" ht="30" customHeight="1" x14ac:dyDescent="0.2">
      <c r="A983" s="4348"/>
      <c r="B983" s="4338" t="s">
        <v>4295</v>
      </c>
      <c r="C983" s="4337" t="s">
        <v>4296</v>
      </c>
      <c r="D983" s="4260">
        <v>80000000</v>
      </c>
      <c r="E983" s="4336">
        <v>0.05</v>
      </c>
      <c r="F983" s="4260">
        <f>D983*E983</f>
        <v>4000000</v>
      </c>
      <c r="G983" s="4268">
        <v>4000000</v>
      </c>
      <c r="H983" s="4268" t="s">
        <v>6759</v>
      </c>
      <c r="I983" s="4308" t="s">
        <v>1720</v>
      </c>
      <c r="J983" s="4268">
        <f t="shared" ref="J983:J1002" si="107">G983</f>
        <v>4000000</v>
      </c>
      <c r="K983" s="4268">
        <f>F983-J983</f>
        <v>0</v>
      </c>
      <c r="L983" s="4378" t="s">
        <v>4670</v>
      </c>
      <c r="M983" s="4349"/>
      <c r="N983" s="4349"/>
      <c r="O983" s="4349"/>
      <c r="P983" s="386"/>
      <c r="Q983" s="386"/>
    </row>
    <row r="984" spans="1:17" s="1659" customFormat="1" ht="30" customHeight="1" x14ac:dyDescent="0.2">
      <c r="A984" s="19"/>
      <c r="B984" s="4338" t="s">
        <v>4332</v>
      </c>
      <c r="C984" s="4337" t="s">
        <v>402</v>
      </c>
      <c r="D984" s="4260">
        <v>200000000</v>
      </c>
      <c r="E984" s="4336">
        <v>0.05</v>
      </c>
      <c r="F984" s="4260">
        <f>D984*E984</f>
        <v>10000000</v>
      </c>
      <c r="G984" s="4268">
        <v>10000000</v>
      </c>
      <c r="H984" s="4268" t="s">
        <v>6220</v>
      </c>
      <c r="I984" s="4308" t="s">
        <v>1220</v>
      </c>
      <c r="J984" s="4268">
        <f t="shared" si="107"/>
        <v>10000000</v>
      </c>
      <c r="K984" s="4268">
        <f>F984-J984</f>
        <v>0</v>
      </c>
      <c r="L984" s="4378" t="s">
        <v>4795</v>
      </c>
      <c r="M984" s="4349"/>
      <c r="N984" s="4349"/>
      <c r="O984" s="4349"/>
      <c r="P984" s="386"/>
      <c r="Q984" s="386"/>
    </row>
    <row r="985" spans="1:17" s="1659" customFormat="1" ht="30" customHeight="1" x14ac:dyDescent="0.2">
      <c r="A985" s="4348"/>
      <c r="B985" s="4338" t="s">
        <v>4368</v>
      </c>
      <c r="C985" s="4337"/>
      <c r="D985" s="452"/>
      <c r="E985" s="4290"/>
      <c r="F985" s="597"/>
      <c r="G985" s="4268"/>
      <c r="H985" s="4268"/>
      <c r="I985" s="4308" t="s">
        <v>2986</v>
      </c>
      <c r="J985" s="4268">
        <f t="shared" si="107"/>
        <v>0</v>
      </c>
      <c r="K985" s="4268"/>
      <c r="L985" s="4378"/>
      <c r="M985" s="4349"/>
      <c r="N985" s="4349"/>
      <c r="O985" s="4349"/>
      <c r="P985" s="386"/>
      <c r="Q985" s="386"/>
    </row>
    <row r="986" spans="1:17" s="1659" customFormat="1" ht="30" customHeight="1" x14ac:dyDescent="0.2">
      <c r="A986" s="7703"/>
      <c r="B986" s="7652" t="s">
        <v>4374</v>
      </c>
      <c r="C986" s="7723" t="s">
        <v>1718</v>
      </c>
      <c r="D986" s="7563">
        <v>100000000</v>
      </c>
      <c r="E986" s="7659">
        <v>0.05</v>
      </c>
      <c r="F986" s="7563">
        <f>D986*E986</f>
        <v>5000000</v>
      </c>
      <c r="G986" s="4268">
        <v>500000</v>
      </c>
      <c r="H986" s="4268" t="s">
        <v>6368</v>
      </c>
      <c r="I986" s="4308" t="s">
        <v>5014</v>
      </c>
      <c r="J986" s="7563">
        <f>G986+G987</f>
        <v>5000000</v>
      </c>
      <c r="K986" s="7563">
        <f>F986-J986</f>
        <v>0</v>
      </c>
      <c r="L986" s="4320" t="s">
        <v>4375</v>
      </c>
      <c r="M986" s="4349"/>
      <c r="N986" s="4349"/>
      <c r="O986" s="4349"/>
      <c r="P986" s="386"/>
      <c r="Q986" s="386"/>
    </row>
    <row r="987" spans="1:17" s="1659" customFormat="1" ht="30" customHeight="1" x14ac:dyDescent="0.2">
      <c r="A987" s="7705"/>
      <c r="B987" s="7653"/>
      <c r="C987" s="7724"/>
      <c r="D987" s="7564"/>
      <c r="E987" s="7660"/>
      <c r="F987" s="7564"/>
      <c r="G987" s="4595">
        <v>4500000</v>
      </c>
      <c r="H987" s="4595" t="s">
        <v>6368</v>
      </c>
      <c r="I987" s="4604" t="s">
        <v>5014</v>
      </c>
      <c r="J987" s="7564"/>
      <c r="K987" s="7564"/>
      <c r="L987" s="4607"/>
      <c r="M987" s="4613"/>
      <c r="N987" s="4613"/>
      <c r="O987" s="4613"/>
      <c r="P987" s="386"/>
      <c r="Q987" s="386"/>
    </row>
    <row r="988" spans="1:17" s="1659" customFormat="1" ht="30" customHeight="1" x14ac:dyDescent="0.2">
      <c r="A988" s="7703"/>
      <c r="B988" s="7652" t="s">
        <v>5361</v>
      </c>
      <c r="C988" s="7723" t="s">
        <v>262</v>
      </c>
      <c r="D988" s="7563">
        <v>115000000</v>
      </c>
      <c r="E988" s="7659">
        <v>0.05</v>
      </c>
      <c r="F988" s="7563">
        <f>D988*E988</f>
        <v>5750000</v>
      </c>
      <c r="G988" s="7732" t="s">
        <v>5655</v>
      </c>
      <c r="H988" s="7733"/>
      <c r="I988" s="7733"/>
      <c r="J988" s="7734"/>
      <c r="K988" s="4268"/>
      <c r="L988" s="4320" t="s">
        <v>5711</v>
      </c>
      <c r="M988" s="4349"/>
      <c r="N988" s="4349"/>
      <c r="O988" s="4349"/>
      <c r="P988" s="386"/>
      <c r="Q988" s="386"/>
    </row>
    <row r="989" spans="1:17" s="1659" customFormat="1" ht="30" customHeight="1" x14ac:dyDescent="0.2">
      <c r="A989" s="7704"/>
      <c r="B989" s="7665"/>
      <c r="C989" s="7747"/>
      <c r="D989" s="7564"/>
      <c r="E989" s="7660"/>
      <c r="F989" s="7564"/>
      <c r="G989" s="4595">
        <v>750000</v>
      </c>
      <c r="H989" s="4595" t="s">
        <v>6362</v>
      </c>
      <c r="I989" s="4595" t="s">
        <v>6365</v>
      </c>
      <c r="J989" s="4595">
        <f>G989</f>
        <v>750000</v>
      </c>
      <c r="K989" s="4268"/>
      <c r="L989" s="4320" t="s">
        <v>5712</v>
      </c>
      <c r="M989" s="4349"/>
      <c r="N989" s="4349"/>
      <c r="O989" s="4349"/>
      <c r="P989" s="386"/>
      <c r="Q989" s="386"/>
    </row>
    <row r="990" spans="1:17" s="1659" customFormat="1" ht="30" customHeight="1" x14ac:dyDescent="0.2">
      <c r="A990" s="7705"/>
      <c r="B990" s="7653"/>
      <c r="C990" s="7724"/>
      <c r="D990" s="4604">
        <v>5000000</v>
      </c>
      <c r="E990" s="4598">
        <v>0.05</v>
      </c>
      <c r="F990" s="4605">
        <f>D990*E990</f>
        <v>250000</v>
      </c>
      <c r="G990" s="7732" t="s">
        <v>5710</v>
      </c>
      <c r="H990" s="7733"/>
      <c r="I990" s="7733"/>
      <c r="J990" s="7734"/>
      <c r="K990" s="4597"/>
      <c r="L990" s="4607"/>
      <c r="M990" s="4613"/>
      <c r="N990" s="4613"/>
      <c r="O990" s="4613"/>
      <c r="P990" s="386"/>
      <c r="Q990" s="386"/>
    </row>
    <row r="991" spans="1:17" s="1659" customFormat="1" ht="30" customHeight="1" x14ac:dyDescent="0.2">
      <c r="A991" s="4348"/>
      <c r="B991" s="4338" t="s">
        <v>4376</v>
      </c>
      <c r="C991" s="4337" t="s">
        <v>1718</v>
      </c>
      <c r="D991" s="4308">
        <v>70000000</v>
      </c>
      <c r="E991" s="4274">
        <v>7.0000000000000007E-2</v>
      </c>
      <c r="F991" s="4309">
        <f>D991*E991</f>
        <v>4900000.0000000009</v>
      </c>
      <c r="G991" s="4268">
        <v>4900000</v>
      </c>
      <c r="H991" s="4268" t="s">
        <v>3807</v>
      </c>
      <c r="I991" s="4308" t="s">
        <v>4928</v>
      </c>
      <c r="J991" s="4268">
        <f t="shared" si="107"/>
        <v>4900000</v>
      </c>
      <c r="K991" s="4268">
        <f t="shared" ref="K991:K1000" si="108">F991-J991</f>
        <v>0</v>
      </c>
      <c r="L991" s="4378" t="s">
        <v>4992</v>
      </c>
      <c r="M991" s="4349"/>
      <c r="N991" s="4349"/>
      <c r="O991" s="4349"/>
      <c r="P991" s="386"/>
      <c r="Q991" s="386"/>
    </row>
    <row r="992" spans="1:17" s="1659" customFormat="1" ht="30" customHeight="1" x14ac:dyDescent="0.2">
      <c r="A992" s="4348"/>
      <c r="B992" s="4338" t="s">
        <v>4393</v>
      </c>
      <c r="C992" s="4337"/>
      <c r="D992" s="4308">
        <v>350000000</v>
      </c>
      <c r="E992" s="4274">
        <v>7.0000000000000007E-2</v>
      </c>
      <c r="F992" s="4309">
        <f>D992*E992</f>
        <v>24500000.000000004</v>
      </c>
      <c r="G992" s="4268">
        <v>24500000</v>
      </c>
      <c r="H992" s="4268" t="s">
        <v>3807</v>
      </c>
      <c r="I992" s="4308" t="s">
        <v>4900</v>
      </c>
      <c r="J992" s="4268">
        <f t="shared" si="107"/>
        <v>24500000</v>
      </c>
      <c r="K992" s="4268">
        <f t="shared" si="108"/>
        <v>0</v>
      </c>
      <c r="L992" s="4378" t="s">
        <v>4394</v>
      </c>
      <c r="M992" s="4349"/>
      <c r="N992" s="4349"/>
      <c r="O992" s="4349"/>
      <c r="P992" s="386"/>
      <c r="Q992" s="386"/>
    </row>
    <row r="993" spans="1:17" s="1659" customFormat="1" ht="30" customHeight="1" x14ac:dyDescent="0.2">
      <c r="A993" s="4348"/>
      <c r="B993" s="4338" t="s">
        <v>4397</v>
      </c>
      <c r="C993" s="4337"/>
      <c r="D993" s="4308">
        <v>50000000</v>
      </c>
      <c r="E993" s="4274">
        <v>0.05</v>
      </c>
      <c r="F993" s="4309">
        <f t="shared" ref="F993:F1000" si="109">D993*E993</f>
        <v>2500000</v>
      </c>
      <c r="G993" s="4268">
        <v>2500000</v>
      </c>
      <c r="H993" s="4268" t="s">
        <v>3807</v>
      </c>
      <c r="I993" s="4308" t="s">
        <v>4526</v>
      </c>
      <c r="J993" s="4268">
        <f t="shared" si="107"/>
        <v>2500000</v>
      </c>
      <c r="K993" s="4268">
        <f t="shared" si="108"/>
        <v>0</v>
      </c>
      <c r="L993" s="4378" t="s">
        <v>4398</v>
      </c>
      <c r="M993" s="4349"/>
      <c r="N993" s="4349"/>
      <c r="O993" s="4349"/>
      <c r="P993" s="386"/>
      <c r="Q993" s="386"/>
    </row>
    <row r="994" spans="1:17" s="1659" customFormat="1" ht="30" customHeight="1" x14ac:dyDescent="0.2">
      <c r="A994" s="4348"/>
      <c r="B994" s="4338" t="s">
        <v>5013</v>
      </c>
      <c r="C994" s="4337" t="s">
        <v>1652</v>
      </c>
      <c r="D994" s="4308">
        <v>100000000</v>
      </c>
      <c r="E994" s="4274">
        <v>0.05</v>
      </c>
      <c r="F994" s="4309">
        <f t="shared" si="109"/>
        <v>5000000</v>
      </c>
      <c r="G994" s="4268">
        <v>5000000</v>
      </c>
      <c r="H994" s="4268" t="s">
        <v>3807</v>
      </c>
      <c r="I994" s="4308" t="s">
        <v>4406</v>
      </c>
      <c r="J994" s="4268">
        <f t="shared" si="107"/>
        <v>5000000</v>
      </c>
      <c r="K994" s="4268">
        <f t="shared" si="108"/>
        <v>0</v>
      </c>
      <c r="L994" s="4378"/>
      <c r="M994" s="4349"/>
      <c r="N994" s="4349"/>
      <c r="O994" s="4349"/>
      <c r="P994" s="386"/>
      <c r="Q994" s="386"/>
    </row>
    <row r="995" spans="1:17" s="1659" customFormat="1" ht="30" customHeight="1" x14ac:dyDescent="0.2">
      <c r="A995" s="4348"/>
      <c r="B995" s="4338" t="s">
        <v>4410</v>
      </c>
      <c r="C995" s="4337"/>
      <c r="D995" s="4308">
        <v>50000000</v>
      </c>
      <c r="E995" s="4274">
        <v>0.05</v>
      </c>
      <c r="F995" s="4309">
        <f t="shared" si="109"/>
        <v>2500000</v>
      </c>
      <c r="G995" s="4268">
        <v>2500000</v>
      </c>
      <c r="H995" s="4268" t="s">
        <v>6354</v>
      </c>
      <c r="I995" s="4308" t="s">
        <v>4411</v>
      </c>
      <c r="J995" s="4268">
        <f t="shared" si="107"/>
        <v>2500000</v>
      </c>
      <c r="K995" s="4268">
        <f t="shared" si="108"/>
        <v>0</v>
      </c>
      <c r="L995" s="4378"/>
      <c r="M995" s="4349"/>
      <c r="N995" s="4349"/>
      <c r="O995" s="4349"/>
      <c r="P995" s="386"/>
      <c r="Q995" s="386"/>
    </row>
    <row r="996" spans="1:17" s="1659" customFormat="1" ht="30" customHeight="1" x14ac:dyDescent="0.2">
      <c r="A996" s="4348"/>
      <c r="B996" s="4338" t="s">
        <v>5005</v>
      </c>
      <c r="C996" s="4337" t="s">
        <v>262</v>
      </c>
      <c r="D996" s="4308">
        <v>20000000</v>
      </c>
      <c r="E996" s="4274">
        <v>0.05</v>
      </c>
      <c r="F996" s="4309">
        <f t="shared" si="109"/>
        <v>1000000</v>
      </c>
      <c r="G996" s="4268">
        <v>1000000</v>
      </c>
      <c r="H996" s="4268" t="s">
        <v>6368</v>
      </c>
      <c r="I996" s="4308" t="s">
        <v>5571</v>
      </c>
      <c r="J996" s="4268">
        <f t="shared" si="107"/>
        <v>1000000</v>
      </c>
      <c r="K996" s="4268">
        <f t="shared" si="108"/>
        <v>0</v>
      </c>
      <c r="L996" s="4378" t="s">
        <v>5036</v>
      </c>
      <c r="M996" s="4349"/>
      <c r="N996" s="4349"/>
      <c r="O996" s="4349"/>
      <c r="P996" s="386"/>
      <c r="Q996" s="386"/>
    </row>
    <row r="997" spans="1:17" s="1659" customFormat="1" ht="30" customHeight="1" x14ac:dyDescent="0.2">
      <c r="A997" s="4348"/>
      <c r="B997" s="4338" t="s">
        <v>4432</v>
      </c>
      <c r="C997" s="4337" t="s">
        <v>2644</v>
      </c>
      <c r="D997" s="4308">
        <v>300000000</v>
      </c>
      <c r="E997" s="4274">
        <v>0.05</v>
      </c>
      <c r="F997" s="4309">
        <f t="shared" si="109"/>
        <v>15000000</v>
      </c>
      <c r="G997" s="4268">
        <v>15000000</v>
      </c>
      <c r="H997" s="4268" t="s">
        <v>6192</v>
      </c>
      <c r="I997" s="4308" t="s">
        <v>1063</v>
      </c>
      <c r="J997" s="4268">
        <f t="shared" si="107"/>
        <v>15000000</v>
      </c>
      <c r="K997" s="4268">
        <f t="shared" si="108"/>
        <v>0</v>
      </c>
      <c r="L997" s="4378" t="s">
        <v>4435</v>
      </c>
      <c r="M997" s="4349"/>
      <c r="N997" s="4349"/>
      <c r="O997" s="4349"/>
      <c r="P997" s="386"/>
      <c r="Q997" s="386"/>
    </row>
    <row r="998" spans="1:17" s="1659" customFormat="1" ht="30" customHeight="1" x14ac:dyDescent="0.2">
      <c r="A998" s="4348"/>
      <c r="B998" s="4338" t="s">
        <v>4433</v>
      </c>
      <c r="C998" s="4337" t="s">
        <v>371</v>
      </c>
      <c r="D998" s="4308">
        <v>200000000</v>
      </c>
      <c r="E998" s="4274">
        <v>0.05</v>
      </c>
      <c r="F998" s="4309">
        <f t="shared" si="109"/>
        <v>10000000</v>
      </c>
      <c r="G998" s="4268">
        <v>10000000</v>
      </c>
      <c r="H998" s="4268" t="s">
        <v>6395</v>
      </c>
      <c r="I998" s="4308" t="s">
        <v>4167</v>
      </c>
      <c r="J998" s="4268">
        <f t="shared" si="107"/>
        <v>10000000</v>
      </c>
      <c r="K998" s="4268">
        <f t="shared" si="108"/>
        <v>0</v>
      </c>
      <c r="L998" s="4378" t="s">
        <v>4434</v>
      </c>
      <c r="M998" s="4349"/>
      <c r="N998" s="4349"/>
      <c r="O998" s="4349"/>
      <c r="P998" s="386"/>
      <c r="Q998" s="386"/>
    </row>
    <row r="999" spans="1:17" s="1659" customFormat="1" ht="30" customHeight="1" x14ac:dyDescent="0.2">
      <c r="A999" s="4348"/>
      <c r="B999" s="4338" t="s">
        <v>4454</v>
      </c>
      <c r="C999" s="4337" t="s">
        <v>262</v>
      </c>
      <c r="D999" s="4308">
        <v>120000000</v>
      </c>
      <c r="E999" s="4274">
        <v>0.06</v>
      </c>
      <c r="F999" s="4309">
        <f t="shared" si="109"/>
        <v>7200000</v>
      </c>
      <c r="G999" s="4268">
        <v>7200000</v>
      </c>
      <c r="H999" s="4268" t="s">
        <v>6368</v>
      </c>
      <c r="I999" s="4308" t="s">
        <v>4455</v>
      </c>
      <c r="J999" s="4268">
        <f t="shared" si="107"/>
        <v>7200000</v>
      </c>
      <c r="K999" s="4268">
        <f t="shared" si="108"/>
        <v>0</v>
      </c>
      <c r="L999" s="4378" t="s">
        <v>4456</v>
      </c>
      <c r="M999" s="4349"/>
      <c r="N999" s="4349"/>
      <c r="O999" s="4349"/>
      <c r="P999" s="386"/>
      <c r="Q999" s="386"/>
    </row>
    <row r="1000" spans="1:17" s="1659" customFormat="1" ht="30" customHeight="1" x14ac:dyDescent="0.2">
      <c r="A1000" s="7652"/>
      <c r="B1000" s="7652" t="s">
        <v>4468</v>
      </c>
      <c r="C1000" s="7723" t="s">
        <v>1300</v>
      </c>
      <c r="D1000" s="4308">
        <v>75000000</v>
      </c>
      <c r="E1000" s="4274">
        <v>0.05</v>
      </c>
      <c r="F1000" s="4309">
        <f t="shared" si="109"/>
        <v>3750000</v>
      </c>
      <c r="G1000" s="4268">
        <v>3750000</v>
      </c>
      <c r="H1000" s="4268" t="s">
        <v>4491</v>
      </c>
      <c r="I1000" s="4308" t="s">
        <v>5095</v>
      </c>
      <c r="J1000" s="4268">
        <f t="shared" si="107"/>
        <v>3750000</v>
      </c>
      <c r="K1000" s="4268">
        <f t="shared" si="108"/>
        <v>0</v>
      </c>
      <c r="L1000" s="4378" t="s">
        <v>4469</v>
      </c>
      <c r="M1000" s="4349"/>
      <c r="N1000" s="4349"/>
      <c r="O1000" s="4349"/>
      <c r="P1000" s="386"/>
      <c r="Q1000" s="386"/>
    </row>
    <row r="1001" spans="1:17" s="1659" customFormat="1" ht="30" customHeight="1" x14ac:dyDescent="0.2">
      <c r="A1001" s="7653"/>
      <c r="B1001" s="7653"/>
      <c r="C1001" s="7724"/>
      <c r="D1001" s="4650">
        <v>35000000</v>
      </c>
      <c r="E1001" s="4647"/>
      <c r="F1001" s="4651"/>
      <c r="G1001" s="7732" t="s">
        <v>6411</v>
      </c>
      <c r="H1001" s="7733"/>
      <c r="I1001" s="7733"/>
      <c r="J1001" s="7734"/>
      <c r="K1001" s="4644"/>
      <c r="L1001" s="4662" t="s">
        <v>6410</v>
      </c>
      <c r="M1001" s="4659"/>
      <c r="N1001" s="4659"/>
      <c r="O1001" s="4659"/>
      <c r="P1001" s="386"/>
      <c r="Q1001" s="386"/>
    </row>
    <row r="1002" spans="1:17" s="1659" customFormat="1" ht="30" customHeight="1" x14ac:dyDescent="0.2">
      <c r="A1002" s="7703"/>
      <c r="B1002" s="7652" t="s">
        <v>4496</v>
      </c>
      <c r="C1002" s="7723" t="s">
        <v>1287</v>
      </c>
      <c r="D1002" s="4308">
        <v>100000000</v>
      </c>
      <c r="E1002" s="4274">
        <v>0.06</v>
      </c>
      <c r="F1002" s="4309">
        <f>D1002*E1002</f>
        <v>6000000</v>
      </c>
      <c r="G1002" s="7563">
        <v>15600000</v>
      </c>
      <c r="H1002" s="7563" t="s">
        <v>6512</v>
      </c>
      <c r="I1002" s="7563" t="s">
        <v>5133</v>
      </c>
      <c r="J1002" s="7563">
        <f t="shared" si="107"/>
        <v>15600000</v>
      </c>
      <c r="K1002" s="7563">
        <f>F1005-J1002</f>
        <v>0</v>
      </c>
      <c r="L1002" s="4378"/>
      <c r="M1002" s="4349"/>
      <c r="N1002" s="4349"/>
      <c r="O1002" s="4349"/>
      <c r="P1002" s="386"/>
      <c r="Q1002" s="386"/>
    </row>
    <row r="1003" spans="1:17" s="1659" customFormat="1" ht="30" customHeight="1" x14ac:dyDescent="0.2">
      <c r="A1003" s="7704"/>
      <c r="B1003" s="7665"/>
      <c r="C1003" s="7747"/>
      <c r="D1003" s="7563">
        <v>160000000</v>
      </c>
      <c r="E1003" s="7659">
        <v>0.06</v>
      </c>
      <c r="F1003" s="7563">
        <f>D1003*E1003</f>
        <v>9600000</v>
      </c>
      <c r="G1003" s="7586"/>
      <c r="H1003" s="7586"/>
      <c r="I1003" s="7586"/>
      <c r="J1003" s="7586"/>
      <c r="K1003" s="7586"/>
      <c r="L1003" s="4378" t="s">
        <v>5307</v>
      </c>
      <c r="M1003" s="4349"/>
      <c r="N1003" s="4349"/>
      <c r="O1003" s="4349"/>
      <c r="P1003" s="386"/>
      <c r="Q1003" s="386"/>
    </row>
    <row r="1004" spans="1:17" s="1659" customFormat="1" ht="30" customHeight="1" x14ac:dyDescent="0.2">
      <c r="A1004" s="7704"/>
      <c r="B1004" s="7665"/>
      <c r="C1004" s="7747"/>
      <c r="D1004" s="7564"/>
      <c r="E1004" s="7660"/>
      <c r="F1004" s="7564"/>
      <c r="G1004" s="7586"/>
      <c r="H1004" s="7586"/>
      <c r="I1004" s="7586"/>
      <c r="J1004" s="7586"/>
      <c r="K1004" s="7586"/>
      <c r="L1004" s="4378" t="s">
        <v>5406</v>
      </c>
      <c r="M1004" s="4349"/>
      <c r="N1004" s="4349"/>
      <c r="O1004" s="4349"/>
      <c r="P1004" s="386"/>
      <c r="Q1004" s="386"/>
    </row>
    <row r="1005" spans="1:17" s="1659" customFormat="1" ht="30" customHeight="1" x14ac:dyDescent="0.2">
      <c r="A1005" s="7705"/>
      <c r="B1005" s="7653"/>
      <c r="C1005" s="7724"/>
      <c r="D1005" s="4362">
        <f>D1002+D1003</f>
        <v>260000000</v>
      </c>
      <c r="E1005" s="4296">
        <v>0.06</v>
      </c>
      <c r="F1005" s="4363">
        <f>D1005*E1005</f>
        <v>15600000</v>
      </c>
      <c r="G1005" s="7564"/>
      <c r="H1005" s="7564"/>
      <c r="I1005" s="7564"/>
      <c r="J1005" s="7564"/>
      <c r="K1005" s="7564"/>
      <c r="L1005" s="4378" t="s">
        <v>5707</v>
      </c>
      <c r="M1005" s="4349"/>
      <c r="N1005" s="4349"/>
      <c r="O1005" s="4349"/>
      <c r="P1005" s="386"/>
      <c r="Q1005" s="386"/>
    </row>
    <row r="1006" spans="1:17" s="1659" customFormat="1" ht="30" customHeight="1" x14ac:dyDescent="0.2">
      <c r="A1006" s="7703"/>
      <c r="B1006" s="7652" t="s">
        <v>4494</v>
      </c>
      <c r="C1006" s="7723" t="s">
        <v>1287</v>
      </c>
      <c r="D1006" s="4260">
        <v>150000000</v>
      </c>
      <c r="E1006" s="4274">
        <v>0.06</v>
      </c>
      <c r="F1006" s="4268">
        <f>D1006*E1006</f>
        <v>9000000</v>
      </c>
      <c r="G1006" s="7991" t="s">
        <v>5309</v>
      </c>
      <c r="H1006" s="7992"/>
      <c r="I1006" s="7992"/>
      <c r="J1006" s="7993"/>
      <c r="K1006" s="4268"/>
      <c r="L1006" s="4327" t="s">
        <v>4495</v>
      </c>
      <c r="M1006" s="4349"/>
      <c r="N1006" s="4349"/>
      <c r="O1006" s="4349"/>
      <c r="P1006" s="386"/>
      <c r="Q1006" s="386"/>
    </row>
    <row r="1007" spans="1:17" s="1659" customFormat="1" ht="30" customHeight="1" x14ac:dyDescent="0.2">
      <c r="A1007" s="7704"/>
      <c r="B1007" s="7665"/>
      <c r="C1007" s="7747"/>
      <c r="D1007" s="4260">
        <v>130000000</v>
      </c>
      <c r="E1007" s="4274">
        <v>0.06</v>
      </c>
      <c r="F1007" s="4268">
        <f>D1007*E1007</f>
        <v>7800000</v>
      </c>
      <c r="G1007" s="7997"/>
      <c r="H1007" s="7998"/>
      <c r="I1007" s="7998"/>
      <c r="J1007" s="7999"/>
      <c r="K1007" s="4268"/>
      <c r="L1007" s="4378" t="s">
        <v>5308</v>
      </c>
      <c r="M1007" s="4349"/>
      <c r="N1007" s="4349"/>
      <c r="O1007" s="4349"/>
      <c r="P1007" s="386"/>
      <c r="Q1007" s="386"/>
    </row>
    <row r="1008" spans="1:17" s="1659" customFormat="1" ht="30" customHeight="1" x14ac:dyDescent="0.2">
      <c r="A1008" s="7705"/>
      <c r="B1008" s="7653"/>
      <c r="C1008" s="7724"/>
      <c r="D1008" s="4265">
        <f>D1006+D1007</f>
        <v>280000000</v>
      </c>
      <c r="E1008" s="4296">
        <v>0.06</v>
      </c>
      <c r="F1008" s="4283">
        <f>D1008*E1008</f>
        <v>16800000</v>
      </c>
      <c r="G1008" s="4268">
        <v>16800000</v>
      </c>
      <c r="H1008" s="4268" t="s">
        <v>6512</v>
      </c>
      <c r="I1008" s="4308" t="s">
        <v>2078</v>
      </c>
      <c r="J1008" s="4268">
        <f>G1008</f>
        <v>16800000</v>
      </c>
      <c r="K1008" s="4268">
        <f>F1008-J1008</f>
        <v>0</v>
      </c>
      <c r="L1008" s="4327" t="s">
        <v>5662</v>
      </c>
      <c r="M1008" s="4349"/>
      <c r="N1008" s="4349"/>
      <c r="O1008" s="4349"/>
      <c r="P1008" s="386"/>
      <c r="Q1008" s="386"/>
    </row>
    <row r="1009" spans="1:17" s="1659" customFormat="1" ht="30" customHeight="1" x14ac:dyDescent="0.2">
      <c r="A1009" s="7703"/>
      <c r="B1009" s="7652" t="s">
        <v>4513</v>
      </c>
      <c r="C1009" s="4337"/>
      <c r="D1009" s="4260">
        <v>20000000</v>
      </c>
      <c r="E1009" s="4274">
        <f>F1009/D1009</f>
        <v>0.06</v>
      </c>
      <c r="F1009" s="4268">
        <v>1200000</v>
      </c>
      <c r="G1009" s="4268"/>
      <c r="H1009" s="4268"/>
      <c r="I1009" s="4308" t="s">
        <v>4526</v>
      </c>
      <c r="J1009" s="4268">
        <f>G1009</f>
        <v>0</v>
      </c>
      <c r="K1009" s="4268"/>
      <c r="L1009" s="4327" t="s">
        <v>4525</v>
      </c>
      <c r="M1009" s="4349"/>
      <c r="N1009" s="4349"/>
      <c r="O1009" s="4349"/>
      <c r="P1009" s="386"/>
      <c r="Q1009" s="386"/>
    </row>
    <row r="1010" spans="1:17" s="1659" customFormat="1" ht="30" customHeight="1" x14ac:dyDescent="0.2">
      <c r="A1010" s="7705"/>
      <c r="B1010" s="7653"/>
      <c r="C1010" s="4337" t="s">
        <v>1138</v>
      </c>
      <c r="D1010" s="4260">
        <v>130000000</v>
      </c>
      <c r="E1010" s="4274">
        <v>7.0000000000000007E-2</v>
      </c>
      <c r="F1010" s="4268">
        <v>9000000</v>
      </c>
      <c r="G1010" s="4268"/>
      <c r="H1010" s="4268"/>
      <c r="I1010" s="4308" t="s">
        <v>4526</v>
      </c>
      <c r="J1010" s="4268">
        <f>G1010</f>
        <v>0</v>
      </c>
      <c r="K1010" s="4268"/>
      <c r="L1010" s="4327" t="s">
        <v>6034</v>
      </c>
      <c r="M1010" s="4349"/>
      <c r="N1010" s="4349"/>
      <c r="O1010" s="4349"/>
      <c r="P1010" s="386"/>
      <c r="Q1010" s="386"/>
    </row>
    <row r="1011" spans="1:17" s="1659" customFormat="1" ht="30" customHeight="1" x14ac:dyDescent="0.2">
      <c r="A1011" s="7703"/>
      <c r="B1011" s="7652" t="s">
        <v>3186</v>
      </c>
      <c r="C1011" s="7723" t="s">
        <v>889</v>
      </c>
      <c r="D1011" s="7563">
        <v>150000000</v>
      </c>
      <c r="E1011" s="7659">
        <v>0.06</v>
      </c>
      <c r="F1011" s="7563">
        <f>D1011*E1011</f>
        <v>9000000</v>
      </c>
      <c r="G1011" s="7563"/>
      <c r="H1011" s="7563"/>
      <c r="I1011" s="7563" t="s">
        <v>4782</v>
      </c>
      <c r="J1011" s="7563">
        <f>G1011</f>
        <v>0</v>
      </c>
      <c r="K1011" s="7563">
        <f>G1011-J1011</f>
        <v>0</v>
      </c>
      <c r="L1011" s="4327" t="s">
        <v>4682</v>
      </c>
      <c r="M1011" s="4349"/>
      <c r="N1011" s="4349"/>
      <c r="O1011" s="4349"/>
      <c r="P1011" s="386"/>
      <c r="Q1011" s="386"/>
    </row>
    <row r="1012" spans="1:17" s="1659" customFormat="1" ht="30" customHeight="1" x14ac:dyDescent="0.2">
      <c r="A1012" s="7705"/>
      <c r="B1012" s="7653"/>
      <c r="C1012" s="7724"/>
      <c r="D1012" s="7564"/>
      <c r="E1012" s="7660"/>
      <c r="F1012" s="7564"/>
      <c r="G1012" s="7564"/>
      <c r="H1012" s="7564"/>
      <c r="I1012" s="7564"/>
      <c r="J1012" s="7564"/>
      <c r="K1012" s="7564"/>
      <c r="L1012" s="4327" t="s">
        <v>4681</v>
      </c>
      <c r="M1012" s="4349"/>
      <c r="N1012" s="4349"/>
      <c r="O1012" s="4349"/>
      <c r="P1012" s="386"/>
      <c r="Q1012" s="386"/>
    </row>
    <row r="1013" spans="1:17" s="1659" customFormat="1" ht="30" customHeight="1" x14ac:dyDescent="0.2">
      <c r="A1013" s="7703"/>
      <c r="B1013" s="7652" t="s">
        <v>4527</v>
      </c>
      <c r="C1013" s="8341" t="s">
        <v>2278</v>
      </c>
      <c r="D1013" s="4260">
        <v>100000000</v>
      </c>
      <c r="E1013" s="4274">
        <v>0.05</v>
      </c>
      <c r="F1013" s="4268">
        <v>5000000</v>
      </c>
      <c r="G1013" s="4268">
        <v>5000000</v>
      </c>
      <c r="H1013" s="4268" t="s">
        <v>6435</v>
      </c>
      <c r="I1013" s="4308" t="s">
        <v>5757</v>
      </c>
      <c r="J1013" s="4268">
        <f>F1013</f>
        <v>5000000</v>
      </c>
      <c r="K1013" s="4268">
        <f>F1013-J1013</f>
        <v>0</v>
      </c>
      <c r="L1013" s="4327" t="s">
        <v>5835</v>
      </c>
      <c r="M1013" s="4349"/>
      <c r="N1013" s="4349"/>
      <c r="O1013" s="4349"/>
      <c r="P1013" s="386"/>
      <c r="Q1013" s="386"/>
    </row>
    <row r="1014" spans="1:17" s="1659" customFormat="1" ht="30" customHeight="1" x14ac:dyDescent="0.2">
      <c r="A1014" s="7705"/>
      <c r="B1014" s="7653"/>
      <c r="C1014" s="8343"/>
      <c r="D1014" s="4665">
        <v>30000000</v>
      </c>
      <c r="E1014" s="4667"/>
      <c r="F1014" s="4666"/>
      <c r="G1014" s="4666"/>
      <c r="H1014" s="4666"/>
      <c r="I1014" s="4668"/>
      <c r="J1014" s="4666"/>
      <c r="K1014" s="4666"/>
      <c r="L1014" s="4669" t="s">
        <v>6423</v>
      </c>
      <c r="M1014" s="4670"/>
      <c r="N1014" s="4670"/>
      <c r="O1014" s="4670"/>
      <c r="P1014" s="386"/>
      <c r="Q1014" s="386"/>
    </row>
    <row r="1015" spans="1:17" s="1659" customFormat="1" ht="30" customHeight="1" x14ac:dyDescent="0.2">
      <c r="A1015" s="4348"/>
      <c r="B1015" s="4338" t="s">
        <v>5135</v>
      </c>
      <c r="C1015" s="4337" t="s">
        <v>3007</v>
      </c>
      <c r="D1015" s="4260">
        <v>10000000</v>
      </c>
      <c r="E1015" s="4274">
        <v>0.05</v>
      </c>
      <c r="F1015" s="4268">
        <f>D1015*E1015</f>
        <v>500000</v>
      </c>
      <c r="G1015" s="4268">
        <v>500000</v>
      </c>
      <c r="H1015" s="4268" t="s">
        <v>6435</v>
      </c>
      <c r="I1015" s="4308" t="s">
        <v>6437</v>
      </c>
      <c r="J1015" s="4268">
        <f>G1015</f>
        <v>500000</v>
      </c>
      <c r="K1015" s="4268">
        <f>F1015-J1015</f>
        <v>0</v>
      </c>
      <c r="L1015" s="4327" t="s">
        <v>5136</v>
      </c>
      <c r="M1015" s="4349"/>
      <c r="N1015" s="4349"/>
      <c r="O1015" s="4349"/>
      <c r="P1015" s="386"/>
      <c r="Q1015" s="386"/>
    </row>
    <row r="1016" spans="1:17" s="1659" customFormat="1" ht="30" customHeight="1" x14ac:dyDescent="0.2">
      <c r="A1016" s="4348"/>
      <c r="B1016" s="4338" t="s">
        <v>4537</v>
      </c>
      <c r="C1016" s="4337" t="s">
        <v>1299</v>
      </c>
      <c r="D1016" s="4260">
        <v>100000000</v>
      </c>
      <c r="E1016" s="4274">
        <v>0.05</v>
      </c>
      <c r="F1016" s="4268">
        <f>D1016*E1016</f>
        <v>5000000</v>
      </c>
      <c r="G1016" s="4268">
        <v>5000000</v>
      </c>
      <c r="H1016" s="4268" t="s">
        <v>6440</v>
      </c>
      <c r="I1016" s="4308" t="s">
        <v>5212</v>
      </c>
      <c r="J1016" s="4268">
        <f>G1016</f>
        <v>5000000</v>
      </c>
      <c r="K1016" s="4268">
        <f>F1016-J1016</f>
        <v>0</v>
      </c>
      <c r="L1016" s="4327" t="s">
        <v>4538</v>
      </c>
      <c r="M1016" s="4349"/>
      <c r="N1016" s="4349"/>
      <c r="O1016" s="4349"/>
      <c r="P1016" s="386"/>
      <c r="Q1016" s="386"/>
    </row>
    <row r="1017" spans="1:17" s="1659" customFormat="1" ht="30" customHeight="1" x14ac:dyDescent="0.2">
      <c r="A1017" s="4348"/>
      <c r="B1017" s="4338" t="s">
        <v>105</v>
      </c>
      <c r="C1017" s="4337" t="s">
        <v>990</v>
      </c>
      <c r="D1017" s="4260">
        <v>200000000</v>
      </c>
      <c r="E1017" s="4274">
        <v>7.0000000000000007E-2</v>
      </c>
      <c r="F1017" s="4268">
        <f>D1017*E1017</f>
        <v>14000000.000000002</v>
      </c>
      <c r="G1017" s="4268">
        <v>14000000</v>
      </c>
      <c r="H1017" s="4268" t="s">
        <v>6756</v>
      </c>
      <c r="I1017" s="4308" t="s">
        <v>2794</v>
      </c>
      <c r="J1017" s="4268">
        <f>G1017</f>
        <v>14000000</v>
      </c>
      <c r="K1017" s="4268">
        <f>F1017-J1017</f>
        <v>0</v>
      </c>
      <c r="L1017" s="4327"/>
      <c r="M1017" s="4349"/>
      <c r="N1017" s="4349"/>
      <c r="O1017" s="4349"/>
      <c r="P1017" s="386"/>
      <c r="Q1017" s="386"/>
    </row>
    <row r="1018" spans="1:17" s="1659" customFormat="1" ht="30" customHeight="1" x14ac:dyDescent="0.2">
      <c r="A1018" s="7703"/>
      <c r="B1018" s="7652" t="s">
        <v>4550</v>
      </c>
      <c r="C1018" s="7723" t="s">
        <v>1299</v>
      </c>
      <c r="D1018" s="7563">
        <v>120000000</v>
      </c>
      <c r="E1018" s="7659">
        <v>7.0000000000000007E-2</v>
      </c>
      <c r="F1018" s="7563">
        <f>D1018*E1018</f>
        <v>8400000</v>
      </c>
      <c r="G1018" s="7563">
        <v>8400000</v>
      </c>
      <c r="H1018" s="7563" t="s">
        <v>6577</v>
      </c>
      <c r="I1018" s="7563" t="s">
        <v>5499</v>
      </c>
      <c r="J1018" s="7563">
        <f>G1018+G1019</f>
        <v>8400000</v>
      </c>
      <c r="K1018" s="7563">
        <f>F1018-J1018</f>
        <v>0</v>
      </c>
      <c r="L1018" s="4327" t="s">
        <v>4551</v>
      </c>
      <c r="M1018" s="4349"/>
      <c r="N1018" s="4349"/>
      <c r="O1018" s="4349"/>
      <c r="P1018" s="386"/>
      <c r="Q1018" s="386"/>
    </row>
    <row r="1019" spans="1:17" s="1659" customFormat="1" ht="30" customHeight="1" x14ac:dyDescent="0.2">
      <c r="A1019" s="7705"/>
      <c r="B1019" s="7653"/>
      <c r="C1019" s="7724"/>
      <c r="D1019" s="7564"/>
      <c r="E1019" s="7660"/>
      <c r="F1019" s="7564"/>
      <c r="G1019" s="7564"/>
      <c r="H1019" s="7564"/>
      <c r="I1019" s="7564"/>
      <c r="J1019" s="7564"/>
      <c r="K1019" s="7564"/>
      <c r="L1019" s="4327" t="s">
        <v>5148</v>
      </c>
      <c r="M1019" s="4349"/>
      <c r="N1019" s="4349"/>
      <c r="O1019" s="4349"/>
      <c r="P1019" s="386"/>
      <c r="Q1019" s="386"/>
    </row>
    <row r="1020" spans="1:17" s="1659" customFormat="1" ht="30" customHeight="1" x14ac:dyDescent="0.2">
      <c r="A1020" s="4348"/>
      <c r="B1020" s="4338" t="s">
        <v>4577</v>
      </c>
      <c r="C1020" s="4337" t="s">
        <v>371</v>
      </c>
      <c r="D1020" s="4260">
        <v>50000000</v>
      </c>
      <c r="E1020" s="4274">
        <v>0.05</v>
      </c>
      <c r="F1020" s="4268">
        <f>D1020*E1020</f>
        <v>2500000</v>
      </c>
      <c r="G1020" s="4268">
        <v>2500000</v>
      </c>
      <c r="H1020" s="4268" t="s">
        <v>6395</v>
      </c>
      <c r="I1020" s="4308" t="s">
        <v>4578</v>
      </c>
      <c r="J1020" s="4268">
        <f t="shared" ref="J1020:J1027" si="110">G1020</f>
        <v>2500000</v>
      </c>
      <c r="K1020" s="4268">
        <f>F1020-G1020</f>
        <v>0</v>
      </c>
      <c r="L1020" s="4327" t="s">
        <v>5094</v>
      </c>
      <c r="M1020" s="4349"/>
      <c r="N1020" s="4349"/>
      <c r="O1020" s="4349"/>
      <c r="P1020" s="386"/>
      <c r="Q1020" s="386"/>
    </row>
    <row r="1021" spans="1:17" s="1659" customFormat="1" ht="30" customHeight="1" x14ac:dyDescent="0.2">
      <c r="A1021" s="4348"/>
      <c r="B1021" s="4338" t="s">
        <v>4657</v>
      </c>
      <c r="C1021" s="4337" t="s">
        <v>990</v>
      </c>
      <c r="D1021" s="4260">
        <v>10000000</v>
      </c>
      <c r="E1021" s="4336">
        <v>0.05</v>
      </c>
      <c r="F1021" s="4260">
        <f>D1021*E1021</f>
        <v>500000</v>
      </c>
      <c r="G1021" s="4260">
        <v>500000</v>
      </c>
      <c r="H1021" s="4260" t="s">
        <v>6756</v>
      </c>
      <c r="I1021" s="4260" t="s">
        <v>4841</v>
      </c>
      <c r="J1021" s="4260">
        <f t="shared" si="110"/>
        <v>500000</v>
      </c>
      <c r="K1021" s="4268">
        <f t="shared" ref="K1021:K1026" si="111">F1021-J1021</f>
        <v>0</v>
      </c>
      <c r="L1021" s="4378" t="s">
        <v>4658</v>
      </c>
      <c r="M1021" s="4349"/>
      <c r="N1021" s="4349"/>
      <c r="O1021" s="4349"/>
      <c r="P1021" s="386"/>
      <c r="Q1021" s="386"/>
    </row>
    <row r="1022" spans="1:17" s="1659" customFormat="1" ht="30" customHeight="1" x14ac:dyDescent="0.2">
      <c r="A1022" s="4348"/>
      <c r="B1022" s="4338" t="s">
        <v>4667</v>
      </c>
      <c r="C1022" s="4337" t="s">
        <v>1796</v>
      </c>
      <c r="D1022" s="4260">
        <v>100000000</v>
      </c>
      <c r="E1022" s="4274">
        <v>7.0000000000000007E-2</v>
      </c>
      <c r="F1022" s="4268">
        <f>D1022*E1022</f>
        <v>7000000.0000000009</v>
      </c>
      <c r="G1022" s="4268"/>
      <c r="H1022" s="4268"/>
      <c r="I1022" s="4308" t="s">
        <v>4787</v>
      </c>
      <c r="J1022" s="4268">
        <f t="shared" si="110"/>
        <v>0</v>
      </c>
      <c r="K1022" s="4268">
        <f t="shared" si="111"/>
        <v>7000000.0000000009</v>
      </c>
      <c r="L1022" s="4327"/>
      <c r="M1022" s="4349"/>
      <c r="N1022" s="4349"/>
      <c r="O1022" s="4349"/>
      <c r="P1022" s="386"/>
      <c r="Q1022" s="386"/>
    </row>
    <row r="1023" spans="1:17" s="1659" customFormat="1" ht="30" customHeight="1" x14ac:dyDescent="0.2">
      <c r="A1023" s="4348"/>
      <c r="B1023" s="4338" t="s">
        <v>4668</v>
      </c>
      <c r="C1023" s="4337"/>
      <c r="D1023" s="4260">
        <v>100000000</v>
      </c>
      <c r="E1023" s="4274">
        <v>7.0000000000000007E-2</v>
      </c>
      <c r="F1023" s="4268">
        <f t="shared" ref="F1023:F1026" si="112">D1023*E1023</f>
        <v>7000000.0000000009</v>
      </c>
      <c r="G1023" s="4268"/>
      <c r="H1023" s="4268"/>
      <c r="I1023" s="4308" t="s">
        <v>4861</v>
      </c>
      <c r="J1023" s="4268">
        <f t="shared" si="110"/>
        <v>0</v>
      </c>
      <c r="K1023" s="4268">
        <f t="shared" si="111"/>
        <v>7000000.0000000009</v>
      </c>
      <c r="L1023" s="4327"/>
      <c r="M1023" s="4349"/>
      <c r="N1023" s="4349"/>
      <c r="O1023" s="4349"/>
      <c r="P1023" s="386"/>
      <c r="Q1023" s="386"/>
    </row>
    <row r="1024" spans="1:17" s="1659" customFormat="1" ht="30" customHeight="1" x14ac:dyDescent="0.2">
      <c r="A1024" s="4348"/>
      <c r="B1024" s="4338" t="s">
        <v>4669</v>
      </c>
      <c r="C1024" s="4337"/>
      <c r="D1024" s="4260">
        <v>35000000</v>
      </c>
      <c r="E1024" s="4274">
        <v>7.0000000000000007E-2</v>
      </c>
      <c r="F1024" s="4268">
        <f t="shared" si="112"/>
        <v>2450000.0000000005</v>
      </c>
      <c r="G1024" s="4268"/>
      <c r="H1024" s="4268"/>
      <c r="I1024" s="4308" t="s">
        <v>4862</v>
      </c>
      <c r="J1024" s="4268">
        <f t="shared" si="110"/>
        <v>0</v>
      </c>
      <c r="K1024" s="4268">
        <f t="shared" si="111"/>
        <v>2450000.0000000005</v>
      </c>
      <c r="L1024" s="4327"/>
      <c r="M1024" s="4349"/>
      <c r="N1024" s="4349"/>
      <c r="O1024" s="4349"/>
      <c r="P1024" s="386"/>
      <c r="Q1024" s="386"/>
    </row>
    <row r="1025" spans="1:17" s="1659" customFormat="1" ht="30" customHeight="1" x14ac:dyDescent="0.2">
      <c r="A1025" s="4348"/>
      <c r="B1025" s="4338" t="s">
        <v>4676</v>
      </c>
      <c r="C1025" s="4337" t="s">
        <v>1287</v>
      </c>
      <c r="D1025" s="4260">
        <v>110000000</v>
      </c>
      <c r="E1025" s="4274">
        <v>0.05</v>
      </c>
      <c r="F1025" s="4268">
        <f t="shared" si="112"/>
        <v>5500000</v>
      </c>
      <c r="G1025" s="4268">
        <v>5500000</v>
      </c>
      <c r="H1025" s="4268" t="s">
        <v>6435</v>
      </c>
      <c r="I1025" s="4308" t="s">
        <v>5759</v>
      </c>
      <c r="J1025" s="4268">
        <f t="shared" si="110"/>
        <v>5500000</v>
      </c>
      <c r="K1025" s="4268">
        <f t="shared" si="111"/>
        <v>0</v>
      </c>
      <c r="L1025" s="4327" t="s">
        <v>4677</v>
      </c>
      <c r="M1025" s="4349"/>
      <c r="N1025" s="4349"/>
      <c r="O1025" s="4349"/>
      <c r="P1025" s="386"/>
      <c r="Q1025" s="386"/>
    </row>
    <row r="1026" spans="1:17" s="1659" customFormat="1" ht="30" customHeight="1" x14ac:dyDescent="0.2">
      <c r="A1026" s="7703"/>
      <c r="B1026" s="7652" t="s">
        <v>4755</v>
      </c>
      <c r="C1026" s="7723" t="s">
        <v>1796</v>
      </c>
      <c r="D1026" s="7563">
        <v>50000000</v>
      </c>
      <c r="E1026" s="7659">
        <v>0.05</v>
      </c>
      <c r="F1026" s="7563">
        <f t="shared" si="112"/>
        <v>2500000</v>
      </c>
      <c r="G1026" s="4922">
        <v>2500000</v>
      </c>
      <c r="H1026" s="4922" t="s">
        <v>6125</v>
      </c>
      <c r="I1026" s="4922" t="s">
        <v>5331</v>
      </c>
      <c r="J1026" s="4922">
        <f t="shared" si="110"/>
        <v>2500000</v>
      </c>
      <c r="K1026" s="4922">
        <f t="shared" si="111"/>
        <v>0</v>
      </c>
      <c r="L1026" s="4378" t="s">
        <v>4756</v>
      </c>
      <c r="M1026" s="4349"/>
      <c r="N1026" s="4349"/>
      <c r="O1026" s="4349"/>
      <c r="P1026" s="386"/>
      <c r="Q1026" s="386"/>
    </row>
    <row r="1027" spans="1:17" s="1659" customFormat="1" ht="30" customHeight="1" x14ac:dyDescent="0.2">
      <c r="A1027" s="7705"/>
      <c r="B1027" s="7653"/>
      <c r="C1027" s="7724"/>
      <c r="D1027" s="7564"/>
      <c r="E1027" s="7660"/>
      <c r="F1027" s="7564"/>
      <c r="G1027" s="4922">
        <v>2500000</v>
      </c>
      <c r="H1027" s="4922" t="s">
        <v>6762</v>
      </c>
      <c r="I1027" s="4922" t="s">
        <v>5331</v>
      </c>
      <c r="J1027" s="4922">
        <f t="shared" si="110"/>
        <v>2500000</v>
      </c>
      <c r="K1027" s="4922">
        <f>F1026-J1027</f>
        <v>0</v>
      </c>
      <c r="L1027" s="4378" t="s">
        <v>5242</v>
      </c>
      <c r="M1027" s="4349"/>
      <c r="N1027" s="4349"/>
      <c r="O1027" s="4349"/>
      <c r="P1027" s="386"/>
      <c r="Q1027" s="386"/>
    </row>
    <row r="1028" spans="1:17" s="1659" customFormat="1" ht="30" customHeight="1" x14ac:dyDescent="0.2">
      <c r="A1028" s="4348"/>
      <c r="B1028" s="4338" t="s">
        <v>229</v>
      </c>
      <c r="C1028" s="4337" t="s">
        <v>1306</v>
      </c>
      <c r="D1028" s="4260">
        <v>60000000</v>
      </c>
      <c r="E1028" s="4274">
        <v>0.05</v>
      </c>
      <c r="F1028" s="4268">
        <f t="shared" ref="F1028:F1033" si="113">D1028*E1028</f>
        <v>3000000</v>
      </c>
      <c r="G1028" s="4268">
        <v>3000000</v>
      </c>
      <c r="H1028" s="4268" t="s">
        <v>3634</v>
      </c>
      <c r="I1028" s="4308" t="s">
        <v>1063</v>
      </c>
      <c r="J1028" s="4268">
        <f t="shared" ref="J1028:J1035" si="114">G1028</f>
        <v>3000000</v>
      </c>
      <c r="K1028" s="4268">
        <f t="shared" ref="K1028:K1035" si="115">F1028-J1028</f>
        <v>0</v>
      </c>
      <c r="L1028" s="4327"/>
      <c r="M1028" s="4349"/>
      <c r="N1028" s="4349"/>
      <c r="O1028" s="4349"/>
      <c r="P1028" s="386"/>
      <c r="Q1028" s="386"/>
    </row>
    <row r="1029" spans="1:17" s="1659" customFormat="1" ht="30" customHeight="1" x14ac:dyDescent="0.2">
      <c r="A1029" s="4348"/>
      <c r="B1029" s="4338" t="s">
        <v>4792</v>
      </c>
      <c r="C1029" s="4337" t="s">
        <v>2278</v>
      </c>
      <c r="D1029" s="4260">
        <v>200000000</v>
      </c>
      <c r="E1029" s="4274">
        <v>7.0000000000000007E-2</v>
      </c>
      <c r="F1029" s="4268">
        <f t="shared" si="113"/>
        <v>14000000.000000002</v>
      </c>
      <c r="G1029" s="4268">
        <v>14000000</v>
      </c>
      <c r="H1029" s="4268" t="s">
        <v>6435</v>
      </c>
      <c r="I1029" s="4308" t="s">
        <v>5122</v>
      </c>
      <c r="J1029" s="4268">
        <f t="shared" si="114"/>
        <v>14000000</v>
      </c>
      <c r="K1029" s="4268">
        <f t="shared" si="115"/>
        <v>0</v>
      </c>
      <c r="L1029" s="4327" t="s">
        <v>4977</v>
      </c>
      <c r="M1029" s="4349"/>
      <c r="N1029" s="4349"/>
      <c r="O1029" s="4349"/>
      <c r="P1029" s="386"/>
      <c r="Q1029" s="386"/>
    </row>
    <row r="1030" spans="1:17" s="1659" customFormat="1" ht="30" customHeight="1" x14ac:dyDescent="0.2">
      <c r="A1030" s="4348"/>
      <c r="B1030" s="4338" t="s">
        <v>5040</v>
      </c>
      <c r="C1030" s="4337" t="s">
        <v>1300</v>
      </c>
      <c r="D1030" s="4260">
        <v>250000000</v>
      </c>
      <c r="E1030" s="4274">
        <v>7.0000000000000007E-2</v>
      </c>
      <c r="F1030" s="4268">
        <f t="shared" si="113"/>
        <v>17500000</v>
      </c>
      <c r="G1030" s="4268">
        <v>17500000</v>
      </c>
      <c r="H1030" s="4268" t="s">
        <v>6512</v>
      </c>
      <c r="I1030" s="4308" t="s">
        <v>5132</v>
      </c>
      <c r="J1030" s="4268">
        <f t="shared" si="114"/>
        <v>17500000</v>
      </c>
      <c r="K1030" s="4268">
        <f t="shared" si="115"/>
        <v>0</v>
      </c>
      <c r="L1030" s="4327" t="s">
        <v>5600</v>
      </c>
      <c r="M1030" s="4349"/>
      <c r="N1030" s="4349"/>
      <c r="O1030" s="4349"/>
      <c r="P1030" s="386"/>
      <c r="Q1030" s="386"/>
    </row>
    <row r="1031" spans="1:17" s="1659" customFormat="1" ht="30" customHeight="1" x14ac:dyDescent="0.2">
      <c r="A1031" s="4348"/>
      <c r="B1031" s="4338" t="s">
        <v>4914</v>
      </c>
      <c r="C1031" s="4337" t="s">
        <v>1299</v>
      </c>
      <c r="D1031" s="4260">
        <v>200000000</v>
      </c>
      <c r="E1031" s="4274">
        <v>5.5E-2</v>
      </c>
      <c r="F1031" s="4268">
        <f t="shared" si="113"/>
        <v>11000000</v>
      </c>
      <c r="G1031" s="4268">
        <v>11000000</v>
      </c>
      <c r="H1031" s="4268" t="s">
        <v>3634</v>
      </c>
      <c r="I1031" s="4308" t="s">
        <v>4581</v>
      </c>
      <c r="J1031" s="4268">
        <f t="shared" si="114"/>
        <v>11000000</v>
      </c>
      <c r="K1031" s="4268">
        <f t="shared" si="115"/>
        <v>0</v>
      </c>
      <c r="L1031" s="4327" t="s">
        <v>4915</v>
      </c>
      <c r="M1031" s="4349"/>
      <c r="N1031" s="4349"/>
      <c r="O1031" s="4349"/>
      <c r="P1031" s="386"/>
      <c r="Q1031" s="386"/>
    </row>
    <row r="1032" spans="1:17" s="1659" customFormat="1" ht="30" customHeight="1" x14ac:dyDescent="0.2">
      <c r="A1032" s="4348"/>
      <c r="B1032" s="4338" t="s">
        <v>4922</v>
      </c>
      <c r="C1032" s="4337"/>
      <c r="D1032" s="4260">
        <v>600000000</v>
      </c>
      <c r="E1032" s="4274">
        <v>7.0000000000000007E-2</v>
      </c>
      <c r="F1032" s="4268">
        <f t="shared" si="113"/>
        <v>42000000.000000007</v>
      </c>
      <c r="G1032" s="4268">
        <v>42000000</v>
      </c>
      <c r="H1032" s="4268" t="s">
        <v>6386</v>
      </c>
      <c r="I1032" s="4308" t="s">
        <v>5604</v>
      </c>
      <c r="J1032" s="4268">
        <f t="shared" si="114"/>
        <v>42000000</v>
      </c>
      <c r="K1032" s="4268">
        <f t="shared" si="115"/>
        <v>0</v>
      </c>
      <c r="L1032" s="4327" t="s">
        <v>5656</v>
      </c>
      <c r="M1032" s="4349"/>
      <c r="N1032" s="4349"/>
      <c r="O1032" s="4349"/>
      <c r="P1032" s="386"/>
      <c r="Q1032" s="386"/>
    </row>
    <row r="1033" spans="1:17" s="1659" customFormat="1" ht="30" customHeight="1" x14ac:dyDescent="0.2">
      <c r="A1033" s="4348"/>
      <c r="B1033" s="4338" t="s">
        <v>4969</v>
      </c>
      <c r="C1033" s="4337" t="s">
        <v>1718</v>
      </c>
      <c r="D1033" s="4260">
        <v>100000000</v>
      </c>
      <c r="E1033" s="4274">
        <v>0.05</v>
      </c>
      <c r="F1033" s="4268">
        <f t="shared" si="113"/>
        <v>5000000</v>
      </c>
      <c r="G1033" s="4268">
        <v>5000000</v>
      </c>
      <c r="H1033" s="4268" t="s">
        <v>6354</v>
      </c>
      <c r="I1033" s="4308" t="s">
        <v>6358</v>
      </c>
      <c r="J1033" s="4268">
        <f t="shared" si="114"/>
        <v>5000000</v>
      </c>
      <c r="K1033" s="4268">
        <f t="shared" si="115"/>
        <v>0</v>
      </c>
      <c r="L1033" s="4327" t="s">
        <v>4970</v>
      </c>
      <c r="M1033" s="4349"/>
      <c r="N1033" s="4349"/>
      <c r="O1033" s="4349"/>
      <c r="P1033" s="386"/>
      <c r="Q1033" s="386"/>
    </row>
    <row r="1034" spans="1:17" s="1659" customFormat="1" ht="30" customHeight="1" x14ac:dyDescent="0.2">
      <c r="A1034" s="4348"/>
      <c r="B1034" s="4338" t="s">
        <v>4967</v>
      </c>
      <c r="C1034" s="4337" t="s">
        <v>3483</v>
      </c>
      <c r="D1034" s="4260">
        <v>150000000</v>
      </c>
      <c r="E1034" s="4274">
        <v>5.6000000000000001E-2</v>
      </c>
      <c r="F1034" s="4268">
        <v>8500000</v>
      </c>
      <c r="G1034" s="4268">
        <v>8500000</v>
      </c>
      <c r="H1034" s="4268" t="s">
        <v>3807</v>
      </c>
      <c r="I1034" s="4308" t="s">
        <v>5515</v>
      </c>
      <c r="J1034" s="4268">
        <f t="shared" si="114"/>
        <v>8500000</v>
      </c>
      <c r="K1034" s="4268">
        <f t="shared" si="115"/>
        <v>0</v>
      </c>
      <c r="L1034" s="4327" t="s">
        <v>4968</v>
      </c>
      <c r="M1034" s="4349"/>
      <c r="N1034" s="4349"/>
      <c r="O1034" s="4349"/>
      <c r="P1034" s="386"/>
      <c r="Q1034" s="386"/>
    </row>
    <row r="1035" spans="1:17" s="1659" customFormat="1" ht="30" customHeight="1" x14ac:dyDescent="0.2">
      <c r="A1035" s="4348"/>
      <c r="B1035" s="4338" t="s">
        <v>5019</v>
      </c>
      <c r="C1035" s="4300"/>
      <c r="D1035" s="4268">
        <v>130000000</v>
      </c>
      <c r="E1035" s="4274">
        <v>0.05</v>
      </c>
      <c r="F1035" s="4268">
        <f>D1035*E1035</f>
        <v>6500000</v>
      </c>
      <c r="G1035" s="4268">
        <v>6500000</v>
      </c>
      <c r="H1035" s="4268" t="s">
        <v>6440</v>
      </c>
      <c r="I1035" s="4308" t="s">
        <v>1220</v>
      </c>
      <c r="J1035" s="4268">
        <f t="shared" si="114"/>
        <v>6500000</v>
      </c>
      <c r="K1035" s="4268">
        <f t="shared" si="115"/>
        <v>0</v>
      </c>
      <c r="L1035" s="4327" t="s">
        <v>5020</v>
      </c>
      <c r="M1035" s="4349"/>
      <c r="N1035" s="4349"/>
      <c r="O1035" s="4349"/>
      <c r="P1035" s="386"/>
      <c r="Q1035" s="386"/>
    </row>
    <row r="1036" spans="1:17" s="1659" customFormat="1" ht="30" customHeight="1" x14ac:dyDescent="0.2">
      <c r="A1036" s="7703"/>
      <c r="B1036" s="7652" t="s">
        <v>5021</v>
      </c>
      <c r="C1036" s="7723" t="s">
        <v>1287</v>
      </c>
      <c r="D1036" s="4268">
        <v>200000000</v>
      </c>
      <c r="E1036" s="4274">
        <v>0.05</v>
      </c>
      <c r="F1036" s="4268">
        <f>D1036*E1036</f>
        <v>10000000</v>
      </c>
      <c r="G1036" s="7563">
        <v>20000000</v>
      </c>
      <c r="H1036" s="7563" t="s">
        <v>6512</v>
      </c>
      <c r="I1036" s="7563" t="s">
        <v>5708</v>
      </c>
      <c r="J1036" s="7563">
        <f>G1036</f>
        <v>20000000</v>
      </c>
      <c r="K1036" s="7563">
        <f>F1038-J1036</f>
        <v>0</v>
      </c>
      <c r="L1036" s="4327" t="s">
        <v>5022</v>
      </c>
      <c r="M1036" s="4349"/>
      <c r="N1036" s="4349"/>
      <c r="O1036" s="4349"/>
      <c r="P1036" s="386"/>
      <c r="Q1036" s="386"/>
    </row>
    <row r="1037" spans="1:17" s="1659" customFormat="1" ht="30" customHeight="1" x14ac:dyDescent="0.2">
      <c r="A1037" s="7704"/>
      <c r="B1037" s="7665"/>
      <c r="C1037" s="7747"/>
      <c r="D1037" s="4268">
        <v>200000000</v>
      </c>
      <c r="E1037" s="4274">
        <v>0.05</v>
      </c>
      <c r="F1037" s="4268">
        <f>D1037*E1037</f>
        <v>10000000</v>
      </c>
      <c r="G1037" s="7586"/>
      <c r="H1037" s="7586"/>
      <c r="I1037" s="7586"/>
      <c r="J1037" s="7586"/>
      <c r="K1037" s="7586"/>
      <c r="L1037" s="4327" t="s">
        <v>5151</v>
      </c>
      <c r="M1037" s="4349"/>
      <c r="N1037" s="4349"/>
      <c r="O1037" s="4349"/>
      <c r="P1037" s="386"/>
      <c r="Q1037" s="386"/>
    </row>
    <row r="1038" spans="1:17" s="1659" customFormat="1" ht="30" customHeight="1" x14ac:dyDescent="0.2">
      <c r="A1038" s="7705"/>
      <c r="B1038" s="7653"/>
      <c r="C1038" s="7724"/>
      <c r="D1038" s="4357">
        <v>400000000</v>
      </c>
      <c r="E1038" s="4359">
        <v>0.05</v>
      </c>
      <c r="F1038" s="4357">
        <f>D1038*E1038</f>
        <v>20000000</v>
      </c>
      <c r="G1038" s="7564"/>
      <c r="H1038" s="7564"/>
      <c r="I1038" s="7564"/>
      <c r="J1038" s="7564"/>
      <c r="K1038" s="7564"/>
      <c r="L1038" s="4327" t="s">
        <v>5709</v>
      </c>
      <c r="M1038" s="4349"/>
      <c r="N1038" s="4349"/>
      <c r="O1038" s="4349"/>
      <c r="P1038" s="386"/>
      <c r="Q1038" s="386"/>
    </row>
    <row r="1039" spans="1:17" s="1659" customFormat="1" ht="30" customHeight="1" x14ac:dyDescent="0.2">
      <c r="A1039" s="4348"/>
      <c r="B1039" s="4338" t="s">
        <v>5033</v>
      </c>
      <c r="C1039" s="4300"/>
      <c r="D1039" s="4281"/>
      <c r="E1039" s="4290"/>
      <c r="F1039" s="4281"/>
      <c r="G1039" s="4268"/>
      <c r="H1039" s="4268"/>
      <c r="I1039" s="4308" t="s">
        <v>5034</v>
      </c>
      <c r="J1039" s="4268">
        <f>G1039</f>
        <v>0</v>
      </c>
      <c r="K1039" s="4281">
        <f>F1039-J1039</f>
        <v>0</v>
      </c>
      <c r="L1039" s="4327"/>
      <c r="M1039" s="4349"/>
      <c r="N1039" s="4349"/>
      <c r="O1039" s="4349"/>
      <c r="P1039" s="386"/>
      <c r="Q1039" s="386"/>
    </row>
    <row r="1040" spans="1:17" s="1659" customFormat="1" ht="30" customHeight="1" x14ac:dyDescent="0.2">
      <c r="A1040" s="4382"/>
      <c r="B1040" s="4338" t="s">
        <v>5037</v>
      </c>
      <c r="C1040" s="4300" t="s">
        <v>371</v>
      </c>
      <c r="D1040" s="4268">
        <v>60000000</v>
      </c>
      <c r="E1040" s="4274">
        <v>0.06</v>
      </c>
      <c r="F1040" s="4268">
        <f t="shared" ref="F1040:F1045" si="116">D1040*E1040</f>
        <v>3600000</v>
      </c>
      <c r="G1040" s="4268"/>
      <c r="H1040" s="4268"/>
      <c r="I1040" s="4308"/>
      <c r="J1040" s="4268"/>
      <c r="K1040" s="4268"/>
      <c r="L1040" s="4327" t="s">
        <v>5038</v>
      </c>
      <c r="M1040" s="4349"/>
      <c r="N1040" s="4349"/>
      <c r="O1040" s="4349"/>
      <c r="P1040" s="386"/>
      <c r="Q1040" s="386"/>
    </row>
    <row r="1041" spans="1:17" s="1659" customFormat="1" ht="30" customHeight="1" x14ac:dyDescent="0.2">
      <c r="A1041" s="4382"/>
      <c r="B1041" s="4338" t="s">
        <v>5053</v>
      </c>
      <c r="C1041" s="4300"/>
      <c r="D1041" s="4268">
        <v>300000000</v>
      </c>
      <c r="E1041" s="4274">
        <v>0.05</v>
      </c>
      <c r="F1041" s="4268">
        <f t="shared" si="116"/>
        <v>15000000</v>
      </c>
      <c r="G1041" s="4268">
        <v>15000000</v>
      </c>
      <c r="H1041" s="4268" t="s">
        <v>6368</v>
      </c>
      <c r="I1041" s="4308" t="s">
        <v>5059</v>
      </c>
      <c r="J1041" s="4268">
        <f t="shared" ref="J1041:J1048" si="117">G1041</f>
        <v>15000000</v>
      </c>
      <c r="K1041" s="4268">
        <f>F1041-J1041</f>
        <v>0</v>
      </c>
      <c r="L1041" s="4327"/>
      <c r="M1041" s="4349"/>
      <c r="N1041" s="4349"/>
      <c r="O1041" s="4349"/>
      <c r="P1041" s="386"/>
      <c r="Q1041" s="386"/>
    </row>
    <row r="1042" spans="1:17" s="1659" customFormat="1" ht="30" customHeight="1" x14ac:dyDescent="0.2">
      <c r="A1042" s="4382"/>
      <c r="B1042" s="4338" t="s">
        <v>5064</v>
      </c>
      <c r="C1042" s="4300" t="s">
        <v>372</v>
      </c>
      <c r="D1042" s="4268">
        <v>700000000</v>
      </c>
      <c r="E1042" s="4274">
        <v>6.5000000000000002E-2</v>
      </c>
      <c r="F1042" s="4268">
        <f t="shared" si="116"/>
        <v>45500000</v>
      </c>
      <c r="G1042" s="4268">
        <v>45500000</v>
      </c>
      <c r="H1042" s="4268" t="s">
        <v>6368</v>
      </c>
      <c r="I1042" s="4308" t="s">
        <v>5520</v>
      </c>
      <c r="J1042" s="4268">
        <f t="shared" si="117"/>
        <v>45500000</v>
      </c>
      <c r="K1042" s="4268">
        <f>F1042-J1042</f>
        <v>0</v>
      </c>
      <c r="L1042" s="4327" t="s">
        <v>5066</v>
      </c>
      <c r="M1042" s="4349"/>
      <c r="N1042" s="4349"/>
      <c r="O1042" s="4349"/>
      <c r="P1042" s="386"/>
      <c r="Q1042" s="386"/>
    </row>
    <row r="1043" spans="1:17" s="1659" customFormat="1" ht="30" customHeight="1" x14ac:dyDescent="0.2">
      <c r="A1043" s="4382"/>
      <c r="B1043" s="4338" t="s">
        <v>5065</v>
      </c>
      <c r="C1043" s="4300" t="s">
        <v>372</v>
      </c>
      <c r="D1043" s="4268">
        <v>400000000</v>
      </c>
      <c r="E1043" s="4274">
        <v>6.5000000000000002E-2</v>
      </c>
      <c r="F1043" s="4268">
        <f t="shared" si="116"/>
        <v>26000000</v>
      </c>
      <c r="G1043" s="4268">
        <v>26000000</v>
      </c>
      <c r="H1043" s="4268" t="s">
        <v>6368</v>
      </c>
      <c r="I1043" s="4308" t="s">
        <v>5519</v>
      </c>
      <c r="J1043" s="4268">
        <f t="shared" si="117"/>
        <v>26000000</v>
      </c>
      <c r="K1043" s="4268">
        <f>F1043-J1043</f>
        <v>0</v>
      </c>
      <c r="L1043" s="4327" t="s">
        <v>5066</v>
      </c>
      <c r="M1043" s="4349"/>
      <c r="N1043" s="4349"/>
      <c r="O1043" s="4349"/>
      <c r="P1043" s="386"/>
      <c r="Q1043" s="386"/>
    </row>
    <row r="1044" spans="1:17" s="1659" customFormat="1" ht="30" customHeight="1" x14ac:dyDescent="0.2">
      <c r="A1044" s="4348"/>
      <c r="B1044" s="19" t="s">
        <v>5067</v>
      </c>
      <c r="C1044" s="378" t="s">
        <v>990</v>
      </c>
      <c r="D1044" s="4260">
        <v>32000000</v>
      </c>
      <c r="E1044" s="4336">
        <v>0.05</v>
      </c>
      <c r="F1044" s="4260">
        <f t="shared" si="116"/>
        <v>1600000</v>
      </c>
      <c r="G1044" s="4260">
        <v>1600000</v>
      </c>
      <c r="H1044" s="4260" t="s">
        <v>6693</v>
      </c>
      <c r="I1044" s="4260" t="s">
        <v>5316</v>
      </c>
      <c r="J1044" s="4260">
        <f t="shared" si="117"/>
        <v>1600000</v>
      </c>
      <c r="K1044" s="4260">
        <f>F1044-J1044</f>
        <v>0</v>
      </c>
      <c r="L1044" s="4327" t="s">
        <v>5219</v>
      </c>
      <c r="M1044" s="4349"/>
      <c r="N1044" s="4349"/>
      <c r="O1044" s="4349"/>
      <c r="P1044" s="386"/>
      <c r="Q1044" s="386"/>
    </row>
    <row r="1045" spans="1:17" s="1659" customFormat="1" ht="30" customHeight="1" x14ac:dyDescent="0.2">
      <c r="A1045" s="4382"/>
      <c r="B1045" s="4279" t="s">
        <v>5113</v>
      </c>
      <c r="C1045" s="4300" t="s">
        <v>1291</v>
      </c>
      <c r="D1045" s="4268">
        <v>500000000</v>
      </c>
      <c r="E1045" s="4274">
        <v>0.05</v>
      </c>
      <c r="F1045" s="4268">
        <f t="shared" si="116"/>
        <v>25000000</v>
      </c>
      <c r="G1045" s="4268">
        <v>25000000</v>
      </c>
      <c r="H1045" s="4268" t="s">
        <v>6512</v>
      </c>
      <c r="I1045" s="4308" t="s">
        <v>5114</v>
      </c>
      <c r="J1045" s="4268">
        <f t="shared" si="117"/>
        <v>25000000</v>
      </c>
      <c r="K1045" s="4268">
        <f>F1045-J1045</f>
        <v>0</v>
      </c>
      <c r="L1045" s="4327"/>
      <c r="M1045" s="4349"/>
      <c r="N1045" s="4349"/>
      <c r="O1045" s="4349"/>
      <c r="P1045" s="386"/>
      <c r="Q1045" s="386"/>
    </row>
    <row r="1046" spans="1:17" s="1659" customFormat="1" ht="30" customHeight="1" x14ac:dyDescent="0.2">
      <c r="A1046" s="4382"/>
      <c r="B1046" s="4386" t="s">
        <v>5124</v>
      </c>
      <c r="C1046" s="4300"/>
      <c r="D1046" s="4281"/>
      <c r="E1046" s="4290"/>
      <c r="F1046" s="4281"/>
      <c r="G1046" s="4268"/>
      <c r="H1046" s="4268"/>
      <c r="I1046" s="4308" t="s">
        <v>5125</v>
      </c>
      <c r="J1046" s="4268">
        <f t="shared" si="117"/>
        <v>0</v>
      </c>
      <c r="K1046" s="4268"/>
      <c r="L1046" s="4327"/>
      <c r="M1046" s="4349"/>
      <c r="N1046" s="4349"/>
      <c r="O1046" s="4349"/>
      <c r="P1046" s="386"/>
      <c r="Q1046" s="386"/>
    </row>
    <row r="1047" spans="1:17" s="1659" customFormat="1" ht="30" customHeight="1" x14ac:dyDescent="0.2">
      <c r="A1047" s="4382"/>
      <c r="B1047" s="4386" t="s">
        <v>5129</v>
      </c>
      <c r="C1047" s="4300"/>
      <c r="D1047" s="4281"/>
      <c r="E1047" s="4290"/>
      <c r="F1047" s="4281"/>
      <c r="G1047" s="4268">
        <v>3150000</v>
      </c>
      <c r="H1047" s="4268" t="s">
        <v>6360</v>
      </c>
      <c r="I1047" s="4308" t="s">
        <v>6361</v>
      </c>
      <c r="J1047" s="4268">
        <f t="shared" si="117"/>
        <v>3150000</v>
      </c>
      <c r="K1047" s="4268"/>
      <c r="L1047" s="4327"/>
      <c r="M1047" s="4349"/>
      <c r="N1047" s="4349"/>
      <c r="O1047" s="4349"/>
      <c r="P1047" s="386"/>
      <c r="Q1047" s="386"/>
    </row>
    <row r="1048" spans="1:17" s="1659" customFormat="1" ht="30" customHeight="1" x14ac:dyDescent="0.2">
      <c r="A1048" s="4382"/>
      <c r="B1048" s="4338" t="s">
        <v>5218</v>
      </c>
      <c r="C1048" s="4300" t="s">
        <v>990</v>
      </c>
      <c r="D1048" s="4268">
        <v>50000000</v>
      </c>
      <c r="E1048" s="4274">
        <v>0.05</v>
      </c>
      <c r="F1048" s="4268">
        <f>D1048*E1048</f>
        <v>2500000</v>
      </c>
      <c r="G1048" s="4268">
        <v>2500000</v>
      </c>
      <c r="H1048" s="4268" t="s">
        <v>6693</v>
      </c>
      <c r="I1048" s="4308" t="s">
        <v>6694</v>
      </c>
      <c r="J1048" s="4268">
        <f t="shared" si="117"/>
        <v>2500000</v>
      </c>
      <c r="K1048" s="4268">
        <f>F1048-J1048</f>
        <v>0</v>
      </c>
      <c r="L1048" s="4327" t="s">
        <v>6695</v>
      </c>
      <c r="M1048" s="4349"/>
      <c r="N1048" s="4349"/>
      <c r="O1048" s="4349"/>
      <c r="P1048" s="386"/>
      <c r="Q1048" s="386"/>
    </row>
    <row r="1049" spans="1:17" s="1659" customFormat="1" ht="30" customHeight="1" x14ac:dyDescent="0.2">
      <c r="A1049" s="7703"/>
      <c r="B1049" s="7652" t="s">
        <v>5241</v>
      </c>
      <c r="C1049" s="7723" t="s">
        <v>1306</v>
      </c>
      <c r="D1049" s="7563">
        <v>100000000</v>
      </c>
      <c r="E1049" s="7659">
        <v>7.0000000000000007E-2</v>
      </c>
      <c r="F1049" s="7563">
        <f>D1049*E1049</f>
        <v>7000000.0000000009</v>
      </c>
      <c r="G1049" s="4268"/>
      <c r="H1049" s="4268"/>
      <c r="I1049" s="4308"/>
      <c r="J1049" s="4268"/>
      <c r="K1049" s="4268"/>
      <c r="L1049" s="4327" t="s">
        <v>5322</v>
      </c>
      <c r="M1049" s="4349"/>
      <c r="N1049" s="4349"/>
      <c r="O1049" s="4349"/>
      <c r="P1049" s="386"/>
      <c r="Q1049" s="386"/>
    </row>
    <row r="1050" spans="1:17" s="1659" customFormat="1" ht="30" customHeight="1" x14ac:dyDescent="0.2">
      <c r="A1050" s="7704"/>
      <c r="B1050" s="7665"/>
      <c r="C1050" s="7747"/>
      <c r="D1050" s="7564"/>
      <c r="E1050" s="7660"/>
      <c r="F1050" s="7564"/>
      <c r="G1050" s="4268"/>
      <c r="H1050" s="4268"/>
      <c r="I1050" s="4308"/>
      <c r="J1050" s="4268"/>
      <c r="K1050" s="4268"/>
      <c r="L1050" s="4327" t="s">
        <v>5794</v>
      </c>
      <c r="M1050" s="4349"/>
      <c r="N1050" s="4349"/>
      <c r="O1050" s="4349"/>
      <c r="P1050" s="386"/>
      <c r="Q1050" s="386"/>
    </row>
    <row r="1051" spans="1:17" s="1659" customFormat="1" ht="30" customHeight="1" x14ac:dyDescent="0.2">
      <c r="A1051" s="7704"/>
      <c r="B1051" s="7665"/>
      <c r="C1051" s="7747"/>
      <c r="D1051" s="4268">
        <v>280000000</v>
      </c>
      <c r="E1051" s="4274">
        <v>7.0000000000000007E-2</v>
      </c>
      <c r="F1051" s="4268">
        <f t="shared" ref="F1051:F1059" si="118">D1051*E1051</f>
        <v>19600000.000000004</v>
      </c>
      <c r="G1051" s="4268"/>
      <c r="H1051" s="4268"/>
      <c r="I1051" s="4308"/>
      <c r="J1051" s="4268"/>
      <c r="K1051" s="4268"/>
      <c r="L1051" s="4327" t="s">
        <v>5795</v>
      </c>
      <c r="M1051" s="4349"/>
      <c r="N1051" s="4349"/>
      <c r="O1051" s="4349"/>
      <c r="P1051" s="386"/>
      <c r="Q1051" s="386"/>
    </row>
    <row r="1052" spans="1:17" s="1659" customFormat="1" ht="30" customHeight="1" x14ac:dyDescent="0.2">
      <c r="A1052" s="7704"/>
      <c r="B1052" s="7665"/>
      <c r="C1052" s="7747"/>
      <c r="D1052" s="4268">
        <v>745000000</v>
      </c>
      <c r="E1052" s="4274">
        <v>7.0000000000000007E-2</v>
      </c>
      <c r="F1052" s="4268">
        <f t="shared" si="118"/>
        <v>52150000.000000007</v>
      </c>
      <c r="G1052" s="7732" t="s">
        <v>5984</v>
      </c>
      <c r="H1052" s="7733"/>
      <c r="I1052" s="7733"/>
      <c r="J1052" s="7734"/>
      <c r="K1052" s="4268"/>
      <c r="L1052" s="4327"/>
      <c r="M1052" s="4349"/>
      <c r="N1052" s="4349"/>
      <c r="O1052" s="4349"/>
      <c r="P1052" s="386"/>
      <c r="Q1052" s="386"/>
    </row>
    <row r="1053" spans="1:17" s="1659" customFormat="1" ht="30" customHeight="1" x14ac:dyDescent="0.2">
      <c r="A1053" s="7704"/>
      <c r="B1053" s="7665"/>
      <c r="C1053" s="7747"/>
      <c r="D1053" s="4357">
        <f>SUM(D1049:D1052)</f>
        <v>1125000000</v>
      </c>
      <c r="E1053" s="4359">
        <v>7.0000000000000007E-2</v>
      </c>
      <c r="F1053" s="4357">
        <f t="shared" si="118"/>
        <v>78750000.000000015</v>
      </c>
      <c r="G1053" s="7732" t="s">
        <v>5983</v>
      </c>
      <c r="H1053" s="7733"/>
      <c r="I1053" s="7733"/>
      <c r="J1053" s="7734"/>
      <c r="K1053" s="4268"/>
      <c r="L1053" s="4327"/>
      <c r="M1053" s="4349"/>
      <c r="N1053" s="4349"/>
      <c r="O1053" s="4349"/>
      <c r="P1053" s="386"/>
      <c r="Q1053" s="386"/>
    </row>
    <row r="1054" spans="1:17" s="1659" customFormat="1" ht="30" customHeight="1" x14ac:dyDescent="0.2">
      <c r="A1054" s="7704"/>
      <c r="B1054" s="7665"/>
      <c r="C1054" s="7747"/>
      <c r="D1054" s="8026">
        <v>1275000000</v>
      </c>
      <c r="E1054" s="8405">
        <v>7.0000000000000007E-2</v>
      </c>
      <c r="F1054" s="8026">
        <f t="shared" si="118"/>
        <v>89250000.000000015</v>
      </c>
      <c r="G1054" s="7732" t="s">
        <v>6008</v>
      </c>
      <c r="H1054" s="7733"/>
      <c r="I1054" s="7733"/>
      <c r="J1054" s="7734"/>
      <c r="K1054" s="4268"/>
      <c r="L1054" s="4327" t="s">
        <v>6009</v>
      </c>
      <c r="M1054" s="4349"/>
      <c r="N1054" s="4349"/>
      <c r="O1054" s="4349"/>
      <c r="P1054" s="386"/>
      <c r="Q1054" s="386"/>
    </row>
    <row r="1055" spans="1:17" s="1659" customFormat="1" ht="30" customHeight="1" x14ac:dyDescent="0.2">
      <c r="A1055" s="7705"/>
      <c r="B1055" s="7653"/>
      <c r="C1055" s="7724"/>
      <c r="D1055" s="8027"/>
      <c r="E1055" s="8406"/>
      <c r="F1055" s="8027"/>
      <c r="G1055" s="4768">
        <v>89250000</v>
      </c>
      <c r="H1055" s="4768" t="s">
        <v>6622</v>
      </c>
      <c r="I1055" s="4768" t="s">
        <v>6626</v>
      </c>
      <c r="J1055" s="4768">
        <f t="shared" ref="J1055:J1062" si="119">G1055</f>
        <v>89250000</v>
      </c>
      <c r="K1055" s="4774">
        <f>F1054-J1055</f>
        <v>0</v>
      </c>
      <c r="L1055" s="4798"/>
      <c r="M1055" s="4808"/>
      <c r="N1055" s="4808"/>
      <c r="O1055" s="4808"/>
      <c r="P1055" s="386"/>
      <c r="Q1055" s="386"/>
    </row>
    <row r="1056" spans="1:17" s="1659" customFormat="1" ht="30" customHeight="1" x14ac:dyDescent="0.2">
      <c r="A1056" s="7703"/>
      <c r="B1056" s="7652" t="s">
        <v>5243</v>
      </c>
      <c r="C1056" s="7723" t="s">
        <v>1081</v>
      </c>
      <c r="D1056" s="4268">
        <v>50000000</v>
      </c>
      <c r="E1056" s="4274">
        <v>0.05</v>
      </c>
      <c r="F1056" s="4268">
        <f t="shared" si="118"/>
        <v>2500000</v>
      </c>
      <c r="G1056" s="4922">
        <v>2500000</v>
      </c>
      <c r="H1056" s="4922" t="s">
        <v>6759</v>
      </c>
      <c r="I1056" s="4922" t="s">
        <v>5994</v>
      </c>
      <c r="J1056" s="4922">
        <f t="shared" si="119"/>
        <v>2500000</v>
      </c>
      <c r="K1056" s="4922">
        <f>F1056-J1056</f>
        <v>0</v>
      </c>
      <c r="L1056" s="4327" t="s">
        <v>5278</v>
      </c>
      <c r="M1056" s="4349" t="s">
        <v>5277</v>
      </c>
      <c r="N1056" s="4349"/>
      <c r="O1056" s="4349"/>
      <c r="P1056" s="386"/>
      <c r="Q1056" s="386"/>
    </row>
    <row r="1057" spans="1:17" s="1659" customFormat="1" ht="30" customHeight="1" x14ac:dyDescent="0.2">
      <c r="A1057" s="7705"/>
      <c r="B1057" s="7653"/>
      <c r="C1057" s="7724"/>
      <c r="D1057" s="4869">
        <v>30000000</v>
      </c>
      <c r="E1057" s="4875">
        <v>0.05</v>
      </c>
      <c r="F1057" s="4869">
        <f t="shared" si="118"/>
        <v>1500000</v>
      </c>
      <c r="G1057" s="4922"/>
      <c r="H1057" s="4922"/>
      <c r="I1057" s="4922"/>
      <c r="J1057" s="4922"/>
      <c r="K1057" s="4922"/>
      <c r="L1057" s="4896" t="s">
        <v>6748</v>
      </c>
      <c r="M1057" s="4902"/>
      <c r="N1057" s="4902"/>
      <c r="O1057" s="4902"/>
      <c r="P1057" s="386"/>
      <c r="Q1057" s="386"/>
    </row>
    <row r="1058" spans="1:17" s="1659" customFormat="1" ht="30" customHeight="1" x14ac:dyDescent="0.2">
      <c r="A1058" s="4382"/>
      <c r="B1058" s="4338" t="s">
        <v>5250</v>
      </c>
      <c r="C1058" s="4337" t="s">
        <v>1138</v>
      </c>
      <c r="D1058" s="4260">
        <v>100000000</v>
      </c>
      <c r="E1058" s="4274">
        <v>0.05</v>
      </c>
      <c r="F1058" s="4268">
        <f t="shared" si="118"/>
        <v>5000000</v>
      </c>
      <c r="G1058" s="4268">
        <v>5000000</v>
      </c>
      <c r="H1058" s="4268" t="s">
        <v>6756</v>
      </c>
      <c r="I1058" s="4308" t="s">
        <v>5997</v>
      </c>
      <c r="J1058" s="4268">
        <f t="shared" si="119"/>
        <v>5000000</v>
      </c>
      <c r="K1058" s="4268">
        <f>F1058-J1058</f>
        <v>0</v>
      </c>
      <c r="L1058" s="4327" t="s">
        <v>5251</v>
      </c>
      <c r="M1058" s="4349"/>
      <c r="N1058" s="4349"/>
      <c r="O1058" s="4349"/>
      <c r="P1058" s="386"/>
      <c r="Q1058" s="386"/>
    </row>
    <row r="1059" spans="1:17" s="1659" customFormat="1" ht="30" customHeight="1" x14ac:dyDescent="0.2">
      <c r="A1059" s="4382"/>
      <c r="B1059" s="4338" t="s">
        <v>5252</v>
      </c>
      <c r="C1059" s="4300" t="s">
        <v>942</v>
      </c>
      <c r="D1059" s="4268">
        <v>200000000</v>
      </c>
      <c r="E1059" s="4274">
        <v>5.5E-2</v>
      </c>
      <c r="F1059" s="4268">
        <f t="shared" si="118"/>
        <v>11000000</v>
      </c>
      <c r="G1059" s="4268">
        <v>11000000</v>
      </c>
      <c r="H1059" s="4268" t="s">
        <v>6125</v>
      </c>
      <c r="I1059" s="4308" t="s">
        <v>6141</v>
      </c>
      <c r="J1059" s="4268">
        <f t="shared" si="119"/>
        <v>11000000</v>
      </c>
      <c r="K1059" s="4268">
        <f>F1059-J1059</f>
        <v>0</v>
      </c>
      <c r="L1059" s="4327" t="s">
        <v>5305</v>
      </c>
      <c r="M1059" s="4349"/>
      <c r="N1059" s="4349"/>
      <c r="O1059" s="4349"/>
      <c r="P1059" s="386"/>
      <c r="Q1059" s="386"/>
    </row>
    <row r="1060" spans="1:17" s="1659" customFormat="1" ht="30" customHeight="1" x14ac:dyDescent="0.2">
      <c r="A1060" s="4382"/>
      <c r="B1060" s="4338" t="s">
        <v>5304</v>
      </c>
      <c r="C1060" s="4300"/>
      <c r="D1060" s="4281"/>
      <c r="E1060" s="4290"/>
      <c r="F1060" s="4281"/>
      <c r="G1060" s="4268"/>
      <c r="H1060" s="4268"/>
      <c r="I1060" s="4308" t="s">
        <v>4147</v>
      </c>
      <c r="J1060" s="4268">
        <f t="shared" si="119"/>
        <v>0</v>
      </c>
      <c r="K1060" s="4281"/>
      <c r="L1060" s="4327"/>
      <c r="M1060" s="4349"/>
      <c r="N1060" s="4349"/>
      <c r="O1060" s="4349"/>
      <c r="P1060" s="386"/>
      <c r="Q1060" s="386"/>
    </row>
    <row r="1061" spans="1:17" s="1659" customFormat="1" ht="30" customHeight="1" x14ac:dyDescent="0.2">
      <c r="A1061" s="7703"/>
      <c r="B1061" s="7652" t="s">
        <v>5310</v>
      </c>
      <c r="C1061" s="7723"/>
      <c r="D1061" s="7563">
        <v>30000000</v>
      </c>
      <c r="E1061" s="7659">
        <v>0.05</v>
      </c>
      <c r="F1061" s="7563">
        <f>D1061*E1061</f>
        <v>1500000</v>
      </c>
      <c r="G1061" s="4268">
        <v>1500000</v>
      </c>
      <c r="H1061" s="4268" t="s">
        <v>6125</v>
      </c>
      <c r="I1061" s="4308" t="s">
        <v>6139</v>
      </c>
      <c r="J1061" s="4268">
        <f t="shared" si="119"/>
        <v>1500000</v>
      </c>
      <c r="K1061" s="4268">
        <f>F1061-J1061</f>
        <v>0</v>
      </c>
      <c r="L1061" s="4327" t="s">
        <v>5435</v>
      </c>
      <c r="M1061" s="4349"/>
      <c r="N1061" s="4349"/>
      <c r="O1061" s="4349"/>
      <c r="P1061" s="386"/>
      <c r="Q1061" s="386"/>
    </row>
    <row r="1062" spans="1:17" s="1659" customFormat="1" ht="30" customHeight="1" x14ac:dyDescent="0.2">
      <c r="A1062" s="7705"/>
      <c r="B1062" s="7653"/>
      <c r="C1062" s="7724"/>
      <c r="D1062" s="7564"/>
      <c r="E1062" s="7660"/>
      <c r="F1062" s="7564"/>
      <c r="G1062" s="4925">
        <v>1500000</v>
      </c>
      <c r="H1062" s="4925" t="s">
        <v>6756</v>
      </c>
      <c r="I1062" s="4928" t="s">
        <v>6139</v>
      </c>
      <c r="J1062" s="4925">
        <f t="shared" si="119"/>
        <v>1500000</v>
      </c>
      <c r="K1062" s="4925">
        <f>F1061-J1062</f>
        <v>0</v>
      </c>
      <c r="L1062" s="4935" t="s">
        <v>5482</v>
      </c>
      <c r="M1062" s="4939"/>
      <c r="N1062" s="4939"/>
      <c r="O1062" s="4939"/>
      <c r="P1062" s="386"/>
      <c r="Q1062" s="386"/>
    </row>
    <row r="1063" spans="1:17" s="1659" customFormat="1" ht="30" customHeight="1" x14ac:dyDescent="0.2">
      <c r="A1063" s="4382"/>
      <c r="B1063" s="4338" t="s">
        <v>5311</v>
      </c>
      <c r="C1063" s="4300"/>
      <c r="D1063" s="4268">
        <v>10000000</v>
      </c>
      <c r="E1063" s="4274">
        <v>0.05</v>
      </c>
      <c r="F1063" s="4268">
        <f>D1063*E1063</f>
        <v>500000</v>
      </c>
      <c r="G1063" s="4268"/>
      <c r="H1063" s="4268"/>
      <c r="I1063" s="4308"/>
      <c r="J1063" s="4268"/>
      <c r="K1063" s="4268"/>
      <c r="L1063" s="4327" t="s">
        <v>5437</v>
      </c>
      <c r="M1063" s="4349"/>
      <c r="N1063" s="4349"/>
      <c r="O1063" s="4349"/>
      <c r="P1063" s="386"/>
      <c r="Q1063" s="386"/>
    </row>
    <row r="1064" spans="1:17" s="1659" customFormat="1" ht="30" customHeight="1" x14ac:dyDescent="0.2">
      <c r="A1064" s="4382"/>
      <c r="B1064" s="4338" t="s">
        <v>5319</v>
      </c>
      <c r="C1064" s="4300"/>
      <c r="D1064" s="4268">
        <v>110000000</v>
      </c>
      <c r="E1064" s="4274">
        <v>0.05</v>
      </c>
      <c r="F1064" s="4268">
        <f>D1064*E1064</f>
        <v>5500000</v>
      </c>
      <c r="G1064" s="4268">
        <v>5500000</v>
      </c>
      <c r="H1064" s="4268" t="s">
        <v>6192</v>
      </c>
      <c r="I1064" s="4308" t="s">
        <v>6194</v>
      </c>
      <c r="J1064" s="4268">
        <f>G1064</f>
        <v>5500000</v>
      </c>
      <c r="K1064" s="4268">
        <f>F1064-J1064</f>
        <v>0</v>
      </c>
      <c r="L1064" s="4327" t="s">
        <v>5320</v>
      </c>
      <c r="M1064" s="4349"/>
      <c r="N1064" s="4349"/>
      <c r="O1064" s="4349"/>
      <c r="P1064" s="386"/>
      <c r="Q1064" s="386"/>
    </row>
    <row r="1065" spans="1:17" s="1659" customFormat="1" ht="30" customHeight="1" x14ac:dyDescent="0.2">
      <c r="A1065" s="4382"/>
      <c r="B1065" s="4338" t="s">
        <v>5325</v>
      </c>
      <c r="C1065" s="4300"/>
      <c r="D1065" s="4281"/>
      <c r="E1065" s="4290"/>
      <c r="F1065" s="4281"/>
      <c r="G1065" s="4268"/>
      <c r="H1065" s="4268"/>
      <c r="I1065" s="4308" t="s">
        <v>5326</v>
      </c>
      <c r="J1065" s="4268">
        <f>G1065</f>
        <v>0</v>
      </c>
      <c r="K1065" s="4268"/>
      <c r="L1065" s="3476" t="s">
        <v>5327</v>
      </c>
      <c r="M1065" s="4349"/>
      <c r="N1065" s="4349"/>
      <c r="O1065" s="4349"/>
      <c r="P1065" s="386"/>
      <c r="Q1065" s="386"/>
    </row>
    <row r="1066" spans="1:17" s="1659" customFormat="1" ht="30" customHeight="1" x14ac:dyDescent="0.2">
      <c r="A1066" s="4382"/>
      <c r="B1066" s="4338" t="s">
        <v>5332</v>
      </c>
      <c r="C1066" s="4300"/>
      <c r="D1066" s="4268">
        <v>30000000</v>
      </c>
      <c r="E1066" s="4274">
        <v>7.0000000000000007E-2</v>
      </c>
      <c r="F1066" s="4268">
        <f>D1066*E1066</f>
        <v>2100000</v>
      </c>
      <c r="G1066" s="4268">
        <v>2100000</v>
      </c>
      <c r="H1066" s="4268" t="s">
        <v>6594</v>
      </c>
      <c r="I1066" s="4308" t="s">
        <v>5918</v>
      </c>
      <c r="J1066" s="4268">
        <f>G1066</f>
        <v>2100000</v>
      </c>
      <c r="K1066" s="4268">
        <f>F1066-J1066</f>
        <v>0</v>
      </c>
      <c r="L1066" s="4327"/>
      <c r="M1066" s="4349"/>
      <c r="N1066" s="4349"/>
      <c r="O1066" s="4349"/>
      <c r="P1066" s="386"/>
      <c r="Q1066" s="386"/>
    </row>
    <row r="1067" spans="1:17" s="1659" customFormat="1" ht="30" customHeight="1" x14ac:dyDescent="0.2">
      <c r="A1067" s="7703"/>
      <c r="B1067" s="7652" t="s">
        <v>5362</v>
      </c>
      <c r="C1067" s="7723"/>
      <c r="D1067" s="7563">
        <v>11000000</v>
      </c>
      <c r="E1067" s="7659">
        <v>0.06</v>
      </c>
      <c r="F1067" s="7563">
        <f>D1067*E1067</f>
        <v>660000</v>
      </c>
      <c r="G1067" s="7563">
        <v>600000</v>
      </c>
      <c r="H1067" s="7563" t="s">
        <v>6512</v>
      </c>
      <c r="I1067" s="7563" t="s">
        <v>6532</v>
      </c>
      <c r="J1067" s="7563">
        <f>G1067</f>
        <v>600000</v>
      </c>
      <c r="K1067" s="7563"/>
      <c r="L1067" s="4327" t="s">
        <v>5363</v>
      </c>
      <c r="M1067" s="4349"/>
      <c r="N1067" s="4349"/>
      <c r="O1067" s="4349"/>
      <c r="P1067" s="386"/>
      <c r="Q1067" s="386"/>
    </row>
    <row r="1068" spans="1:17" s="1659" customFormat="1" ht="30" customHeight="1" x14ac:dyDescent="0.2">
      <c r="A1068" s="7704"/>
      <c r="B1068" s="7665"/>
      <c r="C1068" s="7747"/>
      <c r="D1068" s="7564"/>
      <c r="E1068" s="7660"/>
      <c r="F1068" s="7564"/>
      <c r="G1068" s="7586"/>
      <c r="H1068" s="7586"/>
      <c r="I1068" s="7586"/>
      <c r="J1068" s="7586"/>
      <c r="K1068" s="7586"/>
      <c r="L1068" s="4735" t="s">
        <v>5642</v>
      </c>
      <c r="M1068" s="4570"/>
      <c r="N1068" s="4570"/>
      <c r="O1068" s="4570"/>
      <c r="P1068" s="386"/>
      <c r="Q1068" s="386"/>
    </row>
    <row r="1069" spans="1:17" s="1659" customFormat="1" ht="30" customHeight="1" x14ac:dyDescent="0.2">
      <c r="A1069" s="7705"/>
      <c r="B1069" s="7653"/>
      <c r="C1069" s="7724"/>
      <c r="D1069" s="4725">
        <v>2000000</v>
      </c>
      <c r="E1069" s="4730">
        <v>0.06</v>
      </c>
      <c r="F1069" s="4725">
        <f>D1069*E1069</f>
        <v>120000</v>
      </c>
      <c r="G1069" s="7564"/>
      <c r="H1069" s="7564"/>
      <c r="I1069" s="7564"/>
      <c r="J1069" s="7564"/>
      <c r="K1069" s="7564"/>
      <c r="L1069" s="4735" t="s">
        <v>6308</v>
      </c>
      <c r="M1069" s="4734"/>
      <c r="N1069" s="4734"/>
      <c r="O1069" s="4734"/>
      <c r="P1069" s="386"/>
      <c r="Q1069" s="386"/>
    </row>
    <row r="1070" spans="1:17" s="1659" customFormat="1" ht="30" customHeight="1" x14ac:dyDescent="0.2">
      <c r="A1070" s="7703"/>
      <c r="B1070" s="7652" t="s">
        <v>5365</v>
      </c>
      <c r="C1070" s="7723"/>
      <c r="D1070" s="7563"/>
      <c r="E1070" s="7659"/>
      <c r="F1070" s="7563"/>
      <c r="G1070" s="4268"/>
      <c r="H1070" s="4268"/>
      <c r="I1070" s="4308" t="s">
        <v>678</v>
      </c>
      <c r="J1070" s="7563">
        <f>G1070+G1071</f>
        <v>0</v>
      </c>
      <c r="K1070" s="7563"/>
      <c r="L1070" s="7674" t="s">
        <v>5366</v>
      </c>
      <c r="M1070" s="4349"/>
      <c r="N1070" s="4349"/>
      <c r="O1070" s="4349"/>
      <c r="P1070" s="386"/>
      <c r="Q1070" s="386"/>
    </row>
    <row r="1071" spans="1:17" s="1659" customFormat="1" ht="30" customHeight="1" x14ac:dyDescent="0.2">
      <c r="A1071" s="7705"/>
      <c r="B1071" s="7653"/>
      <c r="C1071" s="7724"/>
      <c r="D1071" s="7564"/>
      <c r="E1071" s="7660"/>
      <c r="F1071" s="7564"/>
      <c r="G1071" s="4268"/>
      <c r="H1071" s="4268"/>
      <c r="I1071" s="4308" t="s">
        <v>5418</v>
      </c>
      <c r="J1071" s="7564"/>
      <c r="K1071" s="7564"/>
      <c r="L1071" s="7675"/>
      <c r="M1071" s="4349"/>
      <c r="N1071" s="4349"/>
      <c r="O1071" s="4349"/>
      <c r="P1071" s="386"/>
      <c r="Q1071" s="386"/>
    </row>
    <row r="1072" spans="1:17" s="1659" customFormat="1" ht="30" customHeight="1" x14ac:dyDescent="0.2">
      <c r="A1072" s="7703"/>
      <c r="B1072" s="7652" t="s">
        <v>5370</v>
      </c>
      <c r="C1072" s="7723" t="s">
        <v>4223</v>
      </c>
      <c r="D1072" s="7563">
        <v>285000000</v>
      </c>
      <c r="E1072" s="7659">
        <v>5.5E-2</v>
      </c>
      <c r="F1072" s="7563">
        <f>D1072*E1072</f>
        <v>15675000</v>
      </c>
      <c r="G1072" s="7470" t="s">
        <v>5526</v>
      </c>
      <c r="H1072" s="7493"/>
      <c r="I1072" s="7493"/>
      <c r="J1072" s="7510"/>
      <c r="K1072" s="4268"/>
      <c r="L1072" s="4327" t="s">
        <v>5525</v>
      </c>
      <c r="M1072" s="4349"/>
      <c r="N1072" s="4349"/>
      <c r="O1072" s="4349"/>
      <c r="P1072" s="386"/>
      <c r="Q1072" s="386"/>
    </row>
    <row r="1073" spans="1:17" s="1659" customFormat="1" ht="30" customHeight="1" x14ac:dyDescent="0.2">
      <c r="A1073" s="7705"/>
      <c r="B1073" s="7653"/>
      <c r="C1073" s="7724"/>
      <c r="D1073" s="7564"/>
      <c r="E1073" s="7660"/>
      <c r="F1073" s="7564"/>
      <c r="G1073" s="4643">
        <v>675000</v>
      </c>
      <c r="H1073" s="4643" t="s">
        <v>6395</v>
      </c>
      <c r="I1073" s="4643" t="s">
        <v>6396</v>
      </c>
      <c r="J1073" s="4643">
        <f>G1073</f>
        <v>675000</v>
      </c>
      <c r="K1073" s="4645">
        <f>F1072-J1073</f>
        <v>15000000</v>
      </c>
      <c r="L1073" s="4655"/>
      <c r="M1073" s="4659"/>
      <c r="N1073" s="4659"/>
      <c r="O1073" s="4659"/>
      <c r="P1073" s="386"/>
      <c r="Q1073" s="386"/>
    </row>
    <row r="1074" spans="1:17" s="1659" customFormat="1" ht="30" customHeight="1" x14ac:dyDescent="0.2">
      <c r="A1074" s="4382"/>
      <c r="B1074" s="4338" t="s">
        <v>5401</v>
      </c>
      <c r="C1074" s="4300"/>
      <c r="D1074" s="4281"/>
      <c r="E1074" s="4290"/>
      <c r="F1074" s="4281"/>
      <c r="G1074" s="4268"/>
      <c r="H1074" s="4268"/>
      <c r="I1074" s="4308" t="s">
        <v>5402</v>
      </c>
      <c r="J1074" s="4268">
        <f>G1074</f>
        <v>0</v>
      </c>
      <c r="K1074" s="4281"/>
      <c r="L1074" s="4327"/>
      <c r="M1074" s="4349"/>
      <c r="N1074" s="4349"/>
      <c r="O1074" s="4349"/>
      <c r="P1074" s="386"/>
      <c r="Q1074" s="386"/>
    </row>
    <row r="1075" spans="1:17" s="1659" customFormat="1" ht="30" customHeight="1" x14ac:dyDescent="0.2">
      <c r="A1075" s="4382"/>
      <c r="B1075" s="4338" t="s">
        <v>5421</v>
      </c>
      <c r="C1075" s="4300"/>
      <c r="D1075" s="4281"/>
      <c r="E1075" s="4290"/>
      <c r="F1075" s="4281"/>
      <c r="G1075" s="4260"/>
      <c r="H1075" s="4260"/>
      <c r="I1075" s="4260" t="s">
        <v>5422</v>
      </c>
      <c r="J1075" s="4260">
        <f>G1075</f>
        <v>0</v>
      </c>
      <c r="K1075" s="4281"/>
      <c r="L1075" s="4327"/>
      <c r="M1075" s="4349"/>
      <c r="N1075" s="4349"/>
      <c r="O1075" s="4349"/>
      <c r="P1075" s="386"/>
      <c r="Q1075" s="386"/>
    </row>
    <row r="1076" spans="1:17" s="1659" customFormat="1" ht="30" customHeight="1" x14ac:dyDescent="0.2">
      <c r="A1076" s="4382"/>
      <c r="B1076" s="4386" t="s">
        <v>5407</v>
      </c>
      <c r="C1076" s="4321"/>
      <c r="D1076" s="4281">
        <v>70000000</v>
      </c>
      <c r="E1076" s="4290"/>
      <c r="F1076" s="4281"/>
      <c r="G1076" s="7552" t="s">
        <v>5410</v>
      </c>
      <c r="H1076" s="7843"/>
      <c r="I1076" s="7843"/>
      <c r="J1076" s="7844"/>
      <c r="K1076" s="4281"/>
      <c r="L1076" s="3476" t="s">
        <v>5675</v>
      </c>
      <c r="M1076" s="4349"/>
      <c r="N1076" s="4349"/>
      <c r="O1076" s="4349"/>
      <c r="P1076" s="386"/>
      <c r="Q1076" s="386"/>
    </row>
    <row r="1077" spans="1:17" s="1659" customFormat="1" ht="30" customHeight="1" x14ac:dyDescent="0.2">
      <c r="A1077" s="4382"/>
      <c r="B1077" s="4338" t="s">
        <v>5411</v>
      </c>
      <c r="C1077" s="4300"/>
      <c r="D1077" s="4268">
        <v>8000000</v>
      </c>
      <c r="E1077" s="4274">
        <v>0.05</v>
      </c>
      <c r="F1077" s="4268">
        <f>D1077*E1077</f>
        <v>400000</v>
      </c>
      <c r="G1077" s="4478">
        <v>400000</v>
      </c>
      <c r="H1077" s="4478" t="s">
        <v>6223</v>
      </c>
      <c r="I1077" s="4478" t="s">
        <v>6245</v>
      </c>
      <c r="J1077" s="4478">
        <f>G1077</f>
        <v>400000</v>
      </c>
      <c r="K1077" s="4268">
        <f>F1077-J1077</f>
        <v>0</v>
      </c>
      <c r="L1077" s="4327" t="s">
        <v>6244</v>
      </c>
      <c r="M1077" s="4349"/>
      <c r="N1077" s="4349"/>
      <c r="O1077" s="4349"/>
      <c r="P1077" s="386"/>
      <c r="Q1077" s="386"/>
    </row>
    <row r="1078" spans="1:17" s="1659" customFormat="1" ht="30" customHeight="1" x14ac:dyDescent="0.2">
      <c r="A1078" s="7703"/>
      <c r="B1078" s="7652" t="s">
        <v>5676</v>
      </c>
      <c r="C1078" s="7723"/>
      <c r="D1078" s="7563">
        <v>260000000</v>
      </c>
      <c r="E1078" s="7659">
        <v>0.05</v>
      </c>
      <c r="F1078" s="7563">
        <f>D1078*E1078</f>
        <v>13000000</v>
      </c>
      <c r="G1078" s="8000" t="s">
        <v>6232</v>
      </c>
      <c r="H1078" s="8000"/>
      <c r="I1078" s="8000"/>
      <c r="J1078" s="8000"/>
      <c r="K1078" s="1604"/>
      <c r="L1078" s="4502" t="s">
        <v>6233</v>
      </c>
      <c r="M1078" s="4513"/>
      <c r="N1078" s="4513"/>
      <c r="O1078" s="4513"/>
      <c r="P1078" s="386"/>
      <c r="Q1078" s="386"/>
    </row>
    <row r="1079" spans="1:17" s="1659" customFormat="1" ht="30" customHeight="1" x14ac:dyDescent="0.2">
      <c r="A1079" s="7705"/>
      <c r="B1079" s="7653"/>
      <c r="C1079" s="7724"/>
      <c r="D1079" s="7564"/>
      <c r="E1079" s="7660"/>
      <c r="F1079" s="7564"/>
      <c r="G1079" s="4478">
        <v>13000000</v>
      </c>
      <c r="H1079" s="4478" t="s">
        <v>6220</v>
      </c>
      <c r="I1079" s="4478" t="s">
        <v>1810</v>
      </c>
      <c r="J1079" s="4478">
        <f>G1079</f>
        <v>13000000</v>
      </c>
      <c r="K1079" s="4268">
        <f>F1078-J1079</f>
        <v>0</v>
      </c>
      <c r="L1079" s="4327" t="s">
        <v>5415</v>
      </c>
      <c r="M1079" s="4349"/>
      <c r="N1079" s="4349"/>
      <c r="O1079" s="4349"/>
      <c r="P1079" s="386"/>
      <c r="Q1079" s="386"/>
    </row>
    <row r="1080" spans="1:17" s="1659" customFormat="1" ht="30" customHeight="1" x14ac:dyDescent="0.2">
      <c r="A1080" s="8357"/>
      <c r="B1080" s="7717" t="s">
        <v>5426</v>
      </c>
      <c r="C1080" s="7723"/>
      <c r="D1080" s="7494" t="s">
        <v>5427</v>
      </c>
      <c r="E1080" s="7495"/>
      <c r="F1080" s="7768"/>
      <c r="G1080" s="4260"/>
      <c r="H1080" s="4260"/>
      <c r="I1080" s="4260" t="s">
        <v>4111</v>
      </c>
      <c r="J1080" s="7563">
        <f>G1080+G1081+G1082</f>
        <v>0</v>
      </c>
      <c r="K1080" s="7563">
        <f>130000000-J1080</f>
        <v>130000000</v>
      </c>
      <c r="L1080" s="4327" t="s">
        <v>5428</v>
      </c>
      <c r="M1080" s="4349"/>
      <c r="N1080" s="4349"/>
      <c r="O1080" s="4349"/>
      <c r="P1080" s="386"/>
      <c r="Q1080" s="386"/>
    </row>
    <row r="1081" spans="1:17" s="1659" customFormat="1" ht="30" customHeight="1" x14ac:dyDescent="0.2">
      <c r="A1081" s="8358"/>
      <c r="B1081" s="7717"/>
      <c r="C1081" s="7747"/>
      <c r="D1081" s="7877"/>
      <c r="E1081" s="7524"/>
      <c r="F1081" s="7878"/>
      <c r="G1081" s="4268"/>
      <c r="H1081" s="4268"/>
      <c r="I1081" s="4308" t="s">
        <v>4111</v>
      </c>
      <c r="J1081" s="7586"/>
      <c r="K1081" s="7586"/>
      <c r="L1081" s="4327"/>
      <c r="M1081" s="4349"/>
      <c r="N1081" s="4349"/>
      <c r="O1081" s="4349"/>
      <c r="P1081" s="386"/>
      <c r="Q1081" s="386"/>
    </row>
    <row r="1082" spans="1:17" s="1659" customFormat="1" ht="30" customHeight="1" x14ac:dyDescent="0.2">
      <c r="A1082" s="8359"/>
      <c r="B1082" s="7717"/>
      <c r="C1082" s="7724"/>
      <c r="D1082" s="7769"/>
      <c r="E1082" s="7805"/>
      <c r="F1082" s="7770"/>
      <c r="G1082" s="4268"/>
      <c r="H1082" s="4268"/>
      <c r="I1082" s="4308" t="s">
        <v>5589</v>
      </c>
      <c r="J1082" s="7564"/>
      <c r="K1082" s="7564"/>
      <c r="L1082" s="4327"/>
      <c r="M1082" s="4349"/>
      <c r="N1082" s="4349"/>
      <c r="O1082" s="4349"/>
      <c r="P1082" s="386"/>
      <c r="Q1082" s="386"/>
    </row>
    <row r="1083" spans="1:17" s="1659" customFormat="1" ht="30" customHeight="1" x14ac:dyDescent="0.2">
      <c r="A1083" s="7703"/>
      <c r="B1083" s="7652" t="s">
        <v>5440</v>
      </c>
      <c r="C1083" s="7723" t="s">
        <v>1718</v>
      </c>
      <c r="D1083" s="7846">
        <v>250000000</v>
      </c>
      <c r="E1083" s="7659">
        <v>0.06</v>
      </c>
      <c r="F1083" s="7563">
        <f>D1083*E1083</f>
        <v>15000000</v>
      </c>
      <c r="G1083" s="7732" t="s">
        <v>6796</v>
      </c>
      <c r="H1083" s="7733"/>
      <c r="I1083" s="7733"/>
      <c r="J1083" s="7734"/>
      <c r="K1083" s="4268"/>
      <c r="L1083" s="4327" t="s">
        <v>5441</v>
      </c>
      <c r="M1083" s="4349"/>
      <c r="N1083" s="4349"/>
      <c r="O1083" s="4349"/>
      <c r="P1083" s="386"/>
      <c r="Q1083" s="386"/>
    </row>
    <row r="1084" spans="1:17" s="1659" customFormat="1" ht="30" customHeight="1" x14ac:dyDescent="0.2">
      <c r="A1084" s="7705"/>
      <c r="B1084" s="7653"/>
      <c r="C1084" s="7724"/>
      <c r="D1084" s="7848"/>
      <c r="E1084" s="7660"/>
      <c r="F1084" s="7564"/>
      <c r="G1084" s="4620">
        <v>15000000</v>
      </c>
      <c r="H1084" s="4620" t="s">
        <v>6368</v>
      </c>
      <c r="I1084" s="4620" t="s">
        <v>6385</v>
      </c>
      <c r="J1084" s="4620">
        <f>G1084</f>
        <v>15000000</v>
      </c>
      <c r="K1084" s="4621">
        <f>F1083-J1084</f>
        <v>0</v>
      </c>
      <c r="L1084" s="4625"/>
      <c r="M1084" s="4627"/>
      <c r="N1084" s="4627"/>
      <c r="O1084" s="4627"/>
      <c r="P1084" s="386"/>
      <c r="Q1084" s="386"/>
    </row>
    <row r="1085" spans="1:17" s="1659" customFormat="1" ht="30" customHeight="1" x14ac:dyDescent="0.2">
      <c r="A1085" s="7703"/>
      <c r="B1085" s="7652" t="s">
        <v>5452</v>
      </c>
      <c r="C1085" s="7723" t="s">
        <v>1718</v>
      </c>
      <c r="D1085" s="7563">
        <v>200000000</v>
      </c>
      <c r="E1085" s="7659">
        <v>0.06</v>
      </c>
      <c r="F1085" s="7563">
        <f>D1085*E1085</f>
        <v>12000000</v>
      </c>
      <c r="G1085" s="7732" t="s">
        <v>6296</v>
      </c>
      <c r="H1085" s="7733"/>
      <c r="I1085" s="7733"/>
      <c r="J1085" s="7734"/>
      <c r="K1085" s="4268"/>
      <c r="L1085" s="4327" t="s">
        <v>5455</v>
      </c>
      <c r="M1085" s="4349"/>
      <c r="N1085" s="4349"/>
      <c r="O1085" s="4349"/>
      <c r="P1085" s="386"/>
      <c r="Q1085" s="386"/>
    </row>
    <row r="1086" spans="1:17" s="1659" customFormat="1" ht="30" customHeight="1" x14ac:dyDescent="0.2">
      <c r="A1086" s="7704"/>
      <c r="B1086" s="7665"/>
      <c r="C1086" s="7747"/>
      <c r="D1086" s="7586"/>
      <c r="E1086" s="7676"/>
      <c r="F1086" s="7586"/>
      <c r="G1086" s="7732" t="s">
        <v>6297</v>
      </c>
      <c r="H1086" s="7733"/>
      <c r="I1086" s="7733"/>
      <c r="J1086" s="7734"/>
      <c r="K1086" s="4546"/>
      <c r="L1086" s="4566" t="s">
        <v>5965</v>
      </c>
      <c r="M1086" s="4570"/>
      <c r="N1086" s="4570"/>
      <c r="O1086" s="4570"/>
      <c r="P1086" s="386"/>
      <c r="Q1086" s="386"/>
    </row>
    <row r="1087" spans="1:17" s="1659" customFormat="1" ht="30" customHeight="1" x14ac:dyDescent="0.2">
      <c r="A1087" s="7704"/>
      <c r="B1087" s="7665"/>
      <c r="C1087" s="7747"/>
      <c r="D1087" s="7586"/>
      <c r="E1087" s="7676"/>
      <c r="F1087" s="7586"/>
      <c r="G1087" s="7732" t="s">
        <v>6298</v>
      </c>
      <c r="H1087" s="7733"/>
      <c r="I1087" s="7733"/>
      <c r="J1087" s="7734"/>
      <c r="K1087" s="4268"/>
      <c r="L1087" s="4327" t="s">
        <v>6299</v>
      </c>
      <c r="M1087" s="4349"/>
      <c r="N1087" s="4349"/>
      <c r="O1087" s="4349"/>
      <c r="P1087" s="386"/>
      <c r="Q1087" s="386"/>
    </row>
    <row r="1088" spans="1:17" s="1659" customFormat="1" ht="30" customHeight="1" x14ac:dyDescent="0.2">
      <c r="A1088" s="7705"/>
      <c r="B1088" s="7653"/>
      <c r="C1088" s="7724"/>
      <c r="D1088" s="7564"/>
      <c r="E1088" s="7660"/>
      <c r="F1088" s="7564"/>
      <c r="G1088" s="4581">
        <v>8400000</v>
      </c>
      <c r="H1088" s="4581" t="s">
        <v>6354</v>
      </c>
      <c r="I1088" s="4581" t="s">
        <v>6357</v>
      </c>
      <c r="J1088" s="4581">
        <f>G1088</f>
        <v>8400000</v>
      </c>
      <c r="K1088" s="4584"/>
      <c r="L1088" s="4589"/>
      <c r="M1088" s="4592"/>
      <c r="N1088" s="4592"/>
      <c r="O1088" s="4592"/>
      <c r="P1088" s="386"/>
      <c r="Q1088" s="386"/>
    </row>
    <row r="1089" spans="1:17" s="1659" customFormat="1" ht="30" customHeight="1" x14ac:dyDescent="0.2">
      <c r="A1089" s="4919"/>
      <c r="B1089" s="4921" t="s">
        <v>5462</v>
      </c>
      <c r="C1089" s="4916" t="s">
        <v>889</v>
      </c>
      <c r="D1089" s="4914">
        <v>20000000</v>
      </c>
      <c r="E1089" s="4915">
        <v>7.0000000000000007E-2</v>
      </c>
      <c r="F1089" s="4914">
        <f>D1089*E1089</f>
        <v>1400000.0000000002</v>
      </c>
      <c r="G1089" s="4914"/>
      <c r="H1089" s="4914"/>
      <c r="I1089" s="4917"/>
      <c r="J1089" s="4914"/>
      <c r="K1089" s="4914"/>
      <c r="L1089" s="4918" t="s">
        <v>6085</v>
      </c>
      <c r="M1089" s="4920"/>
      <c r="N1089" s="4920"/>
      <c r="O1089" s="4920"/>
      <c r="P1089" s="386"/>
      <c r="Q1089" s="386"/>
    </row>
    <row r="1090" spans="1:17" s="1659" customFormat="1" ht="30" customHeight="1" x14ac:dyDescent="0.2">
      <c r="A1090" s="7990"/>
      <c r="B1090" s="7717" t="s">
        <v>5506</v>
      </c>
      <c r="C1090" s="7723" t="s">
        <v>371</v>
      </c>
      <c r="D1090" s="4268">
        <v>125000000</v>
      </c>
      <c r="E1090" s="4274">
        <v>0.06</v>
      </c>
      <c r="F1090" s="4268">
        <f>D1090*E1090</f>
        <v>7500000</v>
      </c>
      <c r="G1090" s="4260">
        <v>7500000</v>
      </c>
      <c r="H1090" s="4260" t="s">
        <v>6408</v>
      </c>
      <c r="I1090" s="4260" t="s">
        <v>6430</v>
      </c>
      <c r="J1090" s="4260">
        <f>G1090</f>
        <v>7500000</v>
      </c>
      <c r="K1090" s="4268">
        <f>F1090-J1090</f>
        <v>0</v>
      </c>
      <c r="L1090" s="4327" t="s">
        <v>5597</v>
      </c>
      <c r="M1090" s="4349"/>
      <c r="N1090" s="4349"/>
      <c r="O1090" s="4349"/>
      <c r="P1090" s="386"/>
      <c r="Q1090" s="386"/>
    </row>
    <row r="1091" spans="1:17" s="1659" customFormat="1" ht="30" customHeight="1" x14ac:dyDescent="0.2">
      <c r="A1091" s="7990"/>
      <c r="B1091" s="7717"/>
      <c r="C1091" s="7724"/>
      <c r="D1091" s="4738">
        <v>180000000</v>
      </c>
      <c r="E1091" s="4744">
        <v>6.5000000000000002E-2</v>
      </c>
      <c r="F1091" s="4738">
        <f>D1091*E1091</f>
        <v>11700000</v>
      </c>
      <c r="G1091" s="4738"/>
      <c r="H1091" s="4738"/>
      <c r="I1091" s="4752"/>
      <c r="J1091" s="4738"/>
      <c r="K1091" s="4738"/>
      <c r="L1091" s="4759" t="s">
        <v>6564</v>
      </c>
      <c r="M1091" s="4760"/>
      <c r="N1091" s="4760"/>
      <c r="O1091" s="4760"/>
      <c r="P1091" s="386"/>
      <c r="Q1091" s="386"/>
    </row>
    <row r="1092" spans="1:17" s="1659" customFormat="1" ht="30" customHeight="1" x14ac:dyDescent="0.2">
      <c r="A1092" s="4348"/>
      <c r="B1092" s="3823"/>
      <c r="C1092" s="4300"/>
      <c r="D1092" s="4268">
        <v>43000000</v>
      </c>
      <c r="E1092" s="4274">
        <v>0.05</v>
      </c>
      <c r="F1092" s="4268">
        <f>D1092*E1092</f>
        <v>2150000</v>
      </c>
      <c r="G1092" s="4268"/>
      <c r="H1092" s="4268"/>
      <c r="I1092" s="4308"/>
      <c r="J1092" s="4268"/>
      <c r="K1092" s="4268"/>
      <c r="L1092" s="4327" t="s">
        <v>5509</v>
      </c>
      <c r="M1092" s="4349"/>
      <c r="N1092" s="4349"/>
      <c r="O1092" s="4349"/>
      <c r="P1092" s="386"/>
      <c r="Q1092" s="386"/>
    </row>
    <row r="1093" spans="1:17" s="1659" customFormat="1" ht="30" customHeight="1" x14ac:dyDescent="0.2">
      <c r="A1093" s="7703"/>
      <c r="B1093" s="7652" t="s">
        <v>1473</v>
      </c>
      <c r="C1093" s="7723" t="s">
        <v>262</v>
      </c>
      <c r="D1093" s="7563">
        <v>150000000</v>
      </c>
      <c r="E1093" s="7659">
        <v>5.7000000000000002E-2</v>
      </c>
      <c r="F1093" s="7563">
        <v>8500000</v>
      </c>
      <c r="G1093" s="7470" t="s">
        <v>5654</v>
      </c>
      <c r="H1093" s="7493"/>
      <c r="I1093" s="7493"/>
      <c r="J1093" s="7510"/>
      <c r="K1093" s="4268"/>
      <c r="L1093" s="4327" t="s">
        <v>5510</v>
      </c>
      <c r="M1093" s="4349"/>
      <c r="N1093" s="4349"/>
      <c r="O1093" s="4349"/>
      <c r="P1093" s="386"/>
      <c r="Q1093" s="386"/>
    </row>
    <row r="1094" spans="1:17" s="1659" customFormat="1" ht="30" customHeight="1" x14ac:dyDescent="0.2">
      <c r="A1094" s="7705"/>
      <c r="B1094" s="7653"/>
      <c r="C1094" s="7724"/>
      <c r="D1094" s="7564"/>
      <c r="E1094" s="7660"/>
      <c r="F1094" s="7564"/>
      <c r="G1094" s="4595">
        <v>8500000</v>
      </c>
      <c r="H1094" s="4595" t="s">
        <v>6368</v>
      </c>
      <c r="I1094" s="4595" t="s">
        <v>6369</v>
      </c>
      <c r="J1094" s="4595">
        <f>G1094</f>
        <v>8500000</v>
      </c>
      <c r="K1094" s="4597">
        <f>F1093-J1094</f>
        <v>0</v>
      </c>
      <c r="L1094" s="4611"/>
      <c r="M1094" s="4613"/>
      <c r="N1094" s="4613"/>
      <c r="O1094" s="4613"/>
      <c r="P1094" s="386"/>
      <c r="Q1094" s="386"/>
    </row>
    <row r="1095" spans="1:17" s="1659" customFormat="1" ht="30" customHeight="1" x14ac:dyDescent="0.2">
      <c r="A1095" s="4348"/>
      <c r="B1095" s="1339" t="s">
        <v>5512</v>
      </c>
      <c r="C1095" s="4300"/>
      <c r="D1095" s="4268">
        <v>40000000</v>
      </c>
      <c r="E1095" s="4274"/>
      <c r="F1095" s="4268"/>
      <c r="G1095" s="4268"/>
      <c r="H1095" s="4268"/>
      <c r="I1095" s="4308"/>
      <c r="J1095" s="4268"/>
      <c r="K1095" s="4268"/>
      <c r="L1095" s="4327" t="s">
        <v>5513</v>
      </c>
      <c r="M1095" s="4349"/>
      <c r="N1095" s="4349"/>
      <c r="O1095" s="4349"/>
      <c r="P1095" s="386"/>
      <c r="Q1095" s="386"/>
    </row>
    <row r="1096" spans="1:17" s="1659" customFormat="1" ht="30" customHeight="1" x14ac:dyDescent="0.2">
      <c r="A1096" s="4348"/>
      <c r="B1096" s="1339" t="s">
        <v>5527</v>
      </c>
      <c r="C1096" s="4300" t="s">
        <v>4223</v>
      </c>
      <c r="D1096" s="4268">
        <v>300000000</v>
      </c>
      <c r="E1096" s="4274">
        <v>0.06</v>
      </c>
      <c r="F1096" s="4268">
        <f>D1096*E1096</f>
        <v>18000000</v>
      </c>
      <c r="G1096" s="4268"/>
      <c r="H1096" s="4268"/>
      <c r="I1096" s="4308"/>
      <c r="J1096" s="4268"/>
      <c r="K1096" s="4268"/>
      <c r="L1096" s="4327" t="s">
        <v>5529</v>
      </c>
      <c r="M1096" s="4349"/>
      <c r="N1096" s="4349"/>
      <c r="O1096" s="4349"/>
      <c r="P1096" s="386"/>
      <c r="Q1096" s="386"/>
    </row>
    <row r="1097" spans="1:17" s="1659" customFormat="1" ht="30" customHeight="1" x14ac:dyDescent="0.2">
      <c r="A1097" s="4348"/>
      <c r="B1097" s="1339" t="s">
        <v>5545</v>
      </c>
      <c r="C1097" s="4300" t="s">
        <v>371</v>
      </c>
      <c r="D1097" s="4268">
        <v>100000000</v>
      </c>
      <c r="E1097" s="4274">
        <v>0.05</v>
      </c>
      <c r="F1097" s="4268">
        <f>D1097*E1097</f>
        <v>5000000</v>
      </c>
      <c r="G1097" s="4268"/>
      <c r="H1097" s="4268"/>
      <c r="I1097" s="4308"/>
      <c r="J1097" s="4268"/>
      <c r="K1097" s="4268"/>
      <c r="L1097" s="4327" t="s">
        <v>5546</v>
      </c>
      <c r="M1097" s="4349"/>
      <c r="N1097" s="4349"/>
      <c r="O1097" s="4349"/>
      <c r="P1097" s="386"/>
      <c r="Q1097" s="386"/>
    </row>
    <row r="1098" spans="1:17" s="1659" customFormat="1" ht="30" customHeight="1" x14ac:dyDescent="0.2">
      <c r="A1098" s="7703"/>
      <c r="B1098" s="7652" t="s">
        <v>5547</v>
      </c>
      <c r="C1098" s="7723"/>
      <c r="D1098" s="7563">
        <v>40000000</v>
      </c>
      <c r="E1098" s="7659">
        <v>0.05</v>
      </c>
      <c r="F1098" s="7563">
        <f>D1098*E1098</f>
        <v>2000000</v>
      </c>
      <c r="G1098" s="7732" t="s">
        <v>5549</v>
      </c>
      <c r="H1098" s="7733"/>
      <c r="I1098" s="7733"/>
      <c r="J1098" s="7734"/>
      <c r="K1098" s="4268"/>
      <c r="L1098" s="4242" t="s">
        <v>6505</v>
      </c>
      <c r="M1098" s="4349"/>
      <c r="N1098" s="4349"/>
      <c r="O1098" s="4349"/>
      <c r="P1098" s="386"/>
      <c r="Q1098" s="386"/>
    </row>
    <row r="1099" spans="1:17" s="1659" customFormat="1" ht="30" customHeight="1" x14ac:dyDescent="0.2">
      <c r="A1099" s="7704"/>
      <c r="B1099" s="7665"/>
      <c r="C1099" s="7747"/>
      <c r="D1099" s="7564"/>
      <c r="E1099" s="7660"/>
      <c r="F1099" s="7564"/>
      <c r="G1099" s="7732" t="s">
        <v>5550</v>
      </c>
      <c r="H1099" s="7733"/>
      <c r="I1099" s="7733"/>
      <c r="J1099" s="7734"/>
      <c r="K1099" s="4268"/>
      <c r="L1099" s="4327"/>
      <c r="M1099" s="4349"/>
      <c r="N1099" s="4349"/>
      <c r="O1099" s="4349"/>
      <c r="P1099" s="386"/>
      <c r="Q1099" s="386"/>
    </row>
    <row r="1100" spans="1:17" s="1659" customFormat="1" ht="30" customHeight="1" x14ac:dyDescent="0.2">
      <c r="A1100" s="7705"/>
      <c r="B1100" s="7653"/>
      <c r="C1100" s="7724"/>
      <c r="D1100" s="7470" t="s">
        <v>6555</v>
      </c>
      <c r="E1100" s="7493"/>
      <c r="F1100" s="7510"/>
      <c r="G1100" s="4736">
        <v>42000000</v>
      </c>
      <c r="H1100" s="4736" t="s">
        <v>6512</v>
      </c>
      <c r="I1100" s="4736" t="s">
        <v>6556</v>
      </c>
      <c r="J1100" s="4736">
        <f>G1100</f>
        <v>42000000</v>
      </c>
      <c r="K1100" s="4738"/>
      <c r="L1100" s="4759"/>
      <c r="M1100" s="4760"/>
      <c r="N1100" s="4760"/>
      <c r="O1100" s="4760"/>
      <c r="P1100" s="386"/>
      <c r="Q1100" s="386"/>
    </row>
    <row r="1101" spans="1:17" s="1659" customFormat="1" ht="30" customHeight="1" x14ac:dyDescent="0.2">
      <c r="A1101" s="7703"/>
      <c r="B1101" s="7652" t="s">
        <v>5551</v>
      </c>
      <c r="C1101" s="7723"/>
      <c r="D1101" s="7846">
        <v>40000000</v>
      </c>
      <c r="E1101" s="7659">
        <v>0.04</v>
      </c>
      <c r="F1101" s="7563">
        <f>D1101*E1101</f>
        <v>1600000</v>
      </c>
      <c r="G1101" s="7732" t="s">
        <v>5552</v>
      </c>
      <c r="H1101" s="7733"/>
      <c r="I1101" s="7733"/>
      <c r="J1101" s="7734"/>
      <c r="K1101" s="4268"/>
      <c r="L1101" s="4327" t="s">
        <v>5553</v>
      </c>
      <c r="M1101" s="4349"/>
      <c r="N1101" s="4349"/>
      <c r="O1101" s="4349"/>
      <c r="P1101" s="386"/>
      <c r="Q1101" s="386"/>
    </row>
    <row r="1102" spans="1:17" s="1659" customFormat="1" ht="30" customHeight="1" x14ac:dyDescent="0.2">
      <c r="A1102" s="7705"/>
      <c r="B1102" s="7653"/>
      <c r="C1102" s="7724"/>
      <c r="D1102" s="7848"/>
      <c r="E1102" s="7660"/>
      <c r="F1102" s="7564"/>
      <c r="G1102" s="4620">
        <v>1600000</v>
      </c>
      <c r="H1102" s="4620" t="s">
        <v>6386</v>
      </c>
      <c r="I1102" s="4620" t="s">
        <v>6390</v>
      </c>
      <c r="J1102" s="4620">
        <f>G1102</f>
        <v>1600000</v>
      </c>
      <c r="K1102" s="4621">
        <f>F1101-J1102</f>
        <v>0</v>
      </c>
      <c r="L1102" s="4625"/>
      <c r="M1102" s="4627"/>
      <c r="N1102" s="4627"/>
      <c r="O1102" s="4627"/>
      <c r="P1102" s="386"/>
      <c r="Q1102" s="386"/>
    </row>
    <row r="1103" spans="1:17" s="1659" customFormat="1" ht="30" customHeight="1" x14ac:dyDescent="0.2">
      <c r="A1103" s="7703"/>
      <c r="B1103" s="7652" t="s">
        <v>5562</v>
      </c>
      <c r="C1103" s="7723"/>
      <c r="D1103" s="7563">
        <v>100000000</v>
      </c>
      <c r="E1103" s="7659">
        <v>0.05</v>
      </c>
      <c r="F1103" s="7563">
        <f>D1103*E1103</f>
        <v>5000000</v>
      </c>
      <c r="G1103" s="7563">
        <v>5000000</v>
      </c>
      <c r="H1103" s="7563" t="s">
        <v>3807</v>
      </c>
      <c r="I1103" s="7563" t="s">
        <v>5563</v>
      </c>
      <c r="J1103" s="7563">
        <f>G1103</f>
        <v>5000000</v>
      </c>
      <c r="K1103" s="7563">
        <f>F1103-J1103</f>
        <v>0</v>
      </c>
      <c r="L1103" s="4327" t="s">
        <v>5657</v>
      </c>
      <c r="M1103" s="4349"/>
      <c r="N1103" s="4349"/>
      <c r="O1103" s="4349"/>
      <c r="P1103" s="386"/>
      <c r="Q1103" s="386"/>
    </row>
    <row r="1104" spans="1:17" s="1659" customFormat="1" ht="30" customHeight="1" x14ac:dyDescent="0.2">
      <c r="A1104" s="7705"/>
      <c r="B1104" s="7653"/>
      <c r="C1104" s="7724"/>
      <c r="D1104" s="7564"/>
      <c r="E1104" s="7660"/>
      <c r="F1104" s="7564"/>
      <c r="G1104" s="7564"/>
      <c r="H1104" s="7564"/>
      <c r="I1104" s="7564"/>
      <c r="J1104" s="7564"/>
      <c r="K1104" s="7564"/>
      <c r="L1104" s="4327" t="s">
        <v>5807</v>
      </c>
      <c r="M1104" s="4349"/>
      <c r="N1104" s="4349"/>
      <c r="O1104" s="4349"/>
      <c r="P1104" s="386"/>
      <c r="Q1104" s="386"/>
    </row>
    <row r="1105" spans="1:17" s="1659" customFormat="1" ht="30" customHeight="1" x14ac:dyDescent="0.2">
      <c r="A1105" s="4315"/>
      <c r="B1105" s="1339" t="s">
        <v>5573</v>
      </c>
      <c r="C1105" s="4300" t="s">
        <v>371</v>
      </c>
      <c r="D1105" s="4268">
        <v>150000000</v>
      </c>
      <c r="E1105" s="4274">
        <v>0.06</v>
      </c>
      <c r="F1105" s="4268">
        <f t="shared" ref="F1105:F1113" si="120">D1105*E1105</f>
        <v>9000000</v>
      </c>
      <c r="G1105" s="4260">
        <v>9000000</v>
      </c>
      <c r="H1105" s="4260" t="s">
        <v>4491</v>
      </c>
      <c r="I1105" s="4260" t="s">
        <v>4141</v>
      </c>
      <c r="J1105" s="4260">
        <f>G1105</f>
        <v>9000000</v>
      </c>
      <c r="K1105" s="4268">
        <f>F1105-J1105</f>
        <v>0</v>
      </c>
      <c r="L1105" s="4327"/>
      <c r="M1105" s="4349"/>
      <c r="N1105" s="4349"/>
      <c r="O1105" s="4349"/>
      <c r="P1105" s="386"/>
      <c r="Q1105" s="386"/>
    </row>
    <row r="1106" spans="1:17" s="1659" customFormat="1" ht="30" customHeight="1" x14ac:dyDescent="0.2">
      <c r="A1106" s="4315"/>
      <c r="B1106" s="1339" t="s">
        <v>5574</v>
      </c>
      <c r="C1106" s="4629" t="s">
        <v>371</v>
      </c>
      <c r="D1106" s="4268">
        <v>80000000</v>
      </c>
      <c r="E1106" s="4274">
        <v>0.06</v>
      </c>
      <c r="F1106" s="4268">
        <f t="shared" si="120"/>
        <v>4800000</v>
      </c>
      <c r="G1106" s="4260">
        <v>4800000</v>
      </c>
      <c r="H1106" s="4260" t="s">
        <v>6395</v>
      </c>
      <c r="I1106" s="4260" t="s">
        <v>6398</v>
      </c>
      <c r="J1106" s="4260">
        <f>G1106</f>
        <v>4800000</v>
      </c>
      <c r="K1106" s="4268">
        <f>F1106-J1106</f>
        <v>0</v>
      </c>
      <c r="L1106" s="4327"/>
      <c r="M1106" s="4349"/>
      <c r="N1106" s="4349"/>
      <c r="O1106" s="4349"/>
      <c r="P1106" s="386"/>
      <c r="Q1106" s="386"/>
    </row>
    <row r="1107" spans="1:17" s="1659" customFormat="1" ht="30" customHeight="1" x14ac:dyDescent="0.2">
      <c r="A1107" s="7703"/>
      <c r="B1107" s="7652" t="s">
        <v>64</v>
      </c>
      <c r="C1107" s="7723"/>
      <c r="D1107" s="7563">
        <v>20000000</v>
      </c>
      <c r="E1107" s="7659">
        <v>0.05</v>
      </c>
      <c r="F1107" s="7563">
        <f t="shared" si="120"/>
        <v>1000000</v>
      </c>
      <c r="G1107" s="7732" t="s">
        <v>5742</v>
      </c>
      <c r="H1107" s="7733"/>
      <c r="I1107" s="7733"/>
      <c r="J1107" s="7734"/>
      <c r="K1107" s="4268"/>
      <c r="L1107" s="4327" t="s">
        <v>5640</v>
      </c>
      <c r="M1107" s="4349"/>
      <c r="N1107" s="4349"/>
      <c r="O1107" s="4349"/>
      <c r="P1107" s="386"/>
      <c r="Q1107" s="386"/>
    </row>
    <row r="1108" spans="1:17" s="1659" customFormat="1" ht="30" customHeight="1" x14ac:dyDescent="0.2">
      <c r="A1108" s="7705"/>
      <c r="B1108" s="7653"/>
      <c r="C1108" s="7724"/>
      <c r="D1108" s="7564"/>
      <c r="E1108" s="7660"/>
      <c r="F1108" s="7564"/>
      <c r="G1108" s="4768">
        <v>1000000</v>
      </c>
      <c r="H1108" s="4768" t="s">
        <v>6622</v>
      </c>
      <c r="I1108" s="4768" t="s">
        <v>6627</v>
      </c>
      <c r="J1108" s="4768">
        <f>G1108</f>
        <v>1000000</v>
      </c>
      <c r="K1108" s="4774">
        <f>F1107-J1108</f>
        <v>0</v>
      </c>
      <c r="L1108" s="4813"/>
      <c r="M1108" s="4808"/>
      <c r="N1108" s="4808"/>
      <c r="O1108" s="4808"/>
      <c r="P1108" s="386"/>
      <c r="Q1108" s="386"/>
    </row>
    <row r="1109" spans="1:17" s="1659" customFormat="1" ht="30" customHeight="1" x14ac:dyDescent="0.2">
      <c r="A1109" s="7703"/>
      <c r="B1109" s="7652" t="s">
        <v>5638</v>
      </c>
      <c r="C1109" s="7723" t="s">
        <v>3390</v>
      </c>
      <c r="D1109" s="7563">
        <v>8000000</v>
      </c>
      <c r="E1109" s="7659">
        <v>0.05</v>
      </c>
      <c r="F1109" s="7563">
        <f t="shared" si="120"/>
        <v>400000</v>
      </c>
      <c r="G1109" s="7732" t="s">
        <v>5741</v>
      </c>
      <c r="H1109" s="7733"/>
      <c r="I1109" s="7733"/>
      <c r="J1109" s="7734"/>
      <c r="K1109" s="4268"/>
      <c r="L1109" s="7674" t="s">
        <v>5668</v>
      </c>
      <c r="M1109" s="4349"/>
      <c r="N1109" s="4349"/>
      <c r="O1109" s="4349"/>
      <c r="P1109" s="386"/>
      <c r="Q1109" s="386"/>
    </row>
    <row r="1110" spans="1:17" s="1659" customFormat="1" ht="30" customHeight="1" x14ac:dyDescent="0.2">
      <c r="A1110" s="7705"/>
      <c r="B1110" s="7653"/>
      <c r="C1110" s="7724"/>
      <c r="D1110" s="7564"/>
      <c r="E1110" s="7660"/>
      <c r="F1110" s="7564"/>
      <c r="G1110" s="4768">
        <v>400000</v>
      </c>
      <c r="H1110" s="4768" t="s">
        <v>6577</v>
      </c>
      <c r="I1110" s="4768" t="s">
        <v>6578</v>
      </c>
      <c r="J1110" s="4768">
        <f>G1110</f>
        <v>400000</v>
      </c>
      <c r="K1110" s="4774">
        <f>F1109-J1110</f>
        <v>0</v>
      </c>
      <c r="L1110" s="8186"/>
      <c r="M1110" s="4808"/>
      <c r="N1110" s="4808"/>
      <c r="O1110" s="4808"/>
      <c r="P1110" s="386"/>
      <c r="Q1110" s="386"/>
    </row>
    <row r="1111" spans="1:17" s="1659" customFormat="1" ht="30" customHeight="1" x14ac:dyDescent="0.2">
      <c r="A1111" s="7703"/>
      <c r="B1111" s="7652" t="s">
        <v>5639</v>
      </c>
      <c r="C1111" s="7723"/>
      <c r="D1111" s="7846">
        <v>12000000</v>
      </c>
      <c r="E1111" s="7659">
        <v>0.05</v>
      </c>
      <c r="F1111" s="7563">
        <f t="shared" si="120"/>
        <v>600000</v>
      </c>
      <c r="G1111" s="7732" t="s">
        <v>5743</v>
      </c>
      <c r="H1111" s="7733"/>
      <c r="I1111" s="7733"/>
      <c r="J1111" s="7734"/>
      <c r="K1111" s="4268"/>
      <c r="L1111" s="7675"/>
      <c r="M1111" s="4349"/>
      <c r="N1111" s="4349"/>
      <c r="O1111" s="4349"/>
      <c r="P1111" s="386"/>
      <c r="Q1111" s="386"/>
    </row>
    <row r="1112" spans="1:17" s="1659" customFormat="1" ht="30" customHeight="1" x14ac:dyDescent="0.2">
      <c r="A1112" s="7705"/>
      <c r="B1112" s="7653"/>
      <c r="C1112" s="7724"/>
      <c r="D1112" s="7848"/>
      <c r="E1112" s="7660"/>
      <c r="F1112" s="7564"/>
      <c r="G1112" s="4768">
        <v>600000</v>
      </c>
      <c r="H1112" s="4768" t="s">
        <v>6577</v>
      </c>
      <c r="I1112" s="4768" t="s">
        <v>6579</v>
      </c>
      <c r="J1112" s="4768">
        <f>G1112</f>
        <v>600000</v>
      </c>
      <c r="K1112" s="4774">
        <f>F1111-J1112</f>
        <v>0</v>
      </c>
      <c r="L1112" s="4798"/>
      <c r="M1112" s="4808"/>
      <c r="N1112" s="4808"/>
      <c r="O1112" s="4808"/>
      <c r="P1112" s="386"/>
      <c r="Q1112" s="386"/>
    </row>
    <row r="1113" spans="1:17" s="1659" customFormat="1" ht="30" customHeight="1" x14ac:dyDescent="0.2">
      <c r="A1113" s="4315"/>
      <c r="B1113" s="1339" t="s">
        <v>5660</v>
      </c>
      <c r="C1113" s="4300"/>
      <c r="D1113" s="4268">
        <v>50000000</v>
      </c>
      <c r="E1113" s="4274">
        <v>0.05</v>
      </c>
      <c r="F1113" s="4268">
        <f t="shared" si="120"/>
        <v>2500000</v>
      </c>
      <c r="G1113" s="4268">
        <v>2500000</v>
      </c>
      <c r="H1113" s="4268" t="s">
        <v>6152</v>
      </c>
      <c r="I1113" s="4308" t="s">
        <v>815</v>
      </c>
      <c r="J1113" s="4268">
        <f>G1113</f>
        <v>2500000</v>
      </c>
      <c r="K1113" s="4268">
        <f>F1113-J1113</f>
        <v>0</v>
      </c>
      <c r="L1113" s="4327" t="s">
        <v>5661</v>
      </c>
      <c r="M1113" s="4349"/>
      <c r="N1113" s="4349"/>
      <c r="O1113" s="4349"/>
      <c r="P1113" s="386"/>
      <c r="Q1113" s="386"/>
    </row>
    <row r="1114" spans="1:17" s="1659" customFormat="1" ht="30" customHeight="1" x14ac:dyDescent="0.2">
      <c r="A1114" s="4315"/>
      <c r="B1114" s="1339" t="s">
        <v>5684</v>
      </c>
      <c r="C1114" s="4300"/>
      <c r="D1114" s="4268">
        <v>20000000</v>
      </c>
      <c r="E1114" s="4274">
        <v>0.05</v>
      </c>
      <c r="F1114" s="4268">
        <f t="shared" ref="F1114:F1126" si="121">D1114*E1114</f>
        <v>1000000</v>
      </c>
      <c r="G1114" s="7732" t="s">
        <v>5685</v>
      </c>
      <c r="H1114" s="7733"/>
      <c r="I1114" s="7733"/>
      <c r="J1114" s="7733"/>
      <c r="K1114" s="7734"/>
      <c r="L1114" s="4327" t="s">
        <v>5686</v>
      </c>
      <c r="M1114" s="4349"/>
      <c r="N1114" s="4349"/>
      <c r="O1114" s="4349"/>
      <c r="P1114" s="386"/>
      <c r="Q1114" s="386"/>
    </row>
    <row r="1115" spans="1:17" s="1659" customFormat="1" ht="30" customHeight="1" x14ac:dyDescent="0.2">
      <c r="A1115" s="7703"/>
      <c r="B1115" s="7652" t="s">
        <v>5738</v>
      </c>
      <c r="C1115" s="7723" t="s">
        <v>3007</v>
      </c>
      <c r="D1115" s="4268">
        <v>200000000</v>
      </c>
      <c r="E1115" s="4274">
        <v>6.5000000000000002E-2</v>
      </c>
      <c r="F1115" s="4268">
        <f t="shared" si="121"/>
        <v>13000000</v>
      </c>
      <c r="G1115" s="7732" t="s">
        <v>5728</v>
      </c>
      <c r="H1115" s="7733"/>
      <c r="I1115" s="7733"/>
      <c r="J1115" s="7734"/>
      <c r="K1115" s="7563">
        <f>(F1115+F1116)-J1117</f>
        <v>250000</v>
      </c>
      <c r="L1115" s="4327" t="s">
        <v>5687</v>
      </c>
      <c r="M1115" s="4349"/>
      <c r="N1115" s="4349"/>
      <c r="O1115" s="4349"/>
      <c r="P1115" s="386"/>
      <c r="Q1115" s="386"/>
    </row>
    <row r="1116" spans="1:17" s="1659" customFormat="1" ht="30" customHeight="1" x14ac:dyDescent="0.2">
      <c r="A1116" s="7704"/>
      <c r="B1116" s="7665"/>
      <c r="C1116" s="7747"/>
      <c r="D1116" s="7563">
        <v>350000000</v>
      </c>
      <c r="E1116" s="7659">
        <v>6.5000000000000002E-2</v>
      </c>
      <c r="F1116" s="7563">
        <f t="shared" si="121"/>
        <v>22750000</v>
      </c>
      <c r="G1116" s="7732" t="s">
        <v>5739</v>
      </c>
      <c r="H1116" s="7733"/>
      <c r="I1116" s="7733"/>
      <c r="J1116" s="7734"/>
      <c r="K1116" s="7586"/>
      <c r="L1116" s="4327" t="s">
        <v>5947</v>
      </c>
      <c r="M1116" s="4349"/>
      <c r="N1116" s="4349"/>
      <c r="O1116" s="4349"/>
      <c r="P1116" s="386"/>
      <c r="Q1116" s="386"/>
    </row>
    <row r="1117" spans="1:17" s="1659" customFormat="1" ht="30" customHeight="1" x14ac:dyDescent="0.2">
      <c r="A1117" s="7705"/>
      <c r="B1117" s="7653"/>
      <c r="C1117" s="7724"/>
      <c r="D1117" s="7564"/>
      <c r="E1117" s="7660"/>
      <c r="F1117" s="7564"/>
      <c r="G1117" s="4768">
        <v>35500000</v>
      </c>
      <c r="H1117" s="4768" t="s">
        <v>3634</v>
      </c>
      <c r="I1117" s="4768" t="s">
        <v>6572</v>
      </c>
      <c r="J1117" s="4768">
        <f>G1117</f>
        <v>35500000</v>
      </c>
      <c r="K1117" s="7564"/>
      <c r="L1117" s="4798"/>
      <c r="M1117" s="4808"/>
      <c r="N1117" s="4808"/>
      <c r="O1117" s="4808"/>
      <c r="P1117" s="386"/>
      <c r="Q1117" s="386"/>
    </row>
    <row r="1118" spans="1:17" s="1659" customFormat="1" ht="30" customHeight="1" x14ac:dyDescent="0.2">
      <c r="A1118" s="7703"/>
      <c r="B1118" s="7652" t="s">
        <v>5688</v>
      </c>
      <c r="C1118" s="7723" t="s">
        <v>1300</v>
      </c>
      <c r="D1118" s="7563">
        <v>4000000</v>
      </c>
      <c r="E1118" s="7659">
        <v>7.0000000000000007E-2</v>
      </c>
      <c r="F1118" s="7563">
        <f t="shared" si="121"/>
        <v>280000</v>
      </c>
      <c r="G1118" s="7732" t="s">
        <v>6379</v>
      </c>
      <c r="H1118" s="7733"/>
      <c r="I1118" s="7733"/>
      <c r="J1118" s="7734"/>
      <c r="K1118" s="4268"/>
      <c r="L1118" s="4327" t="s">
        <v>5689</v>
      </c>
      <c r="M1118" s="4349"/>
      <c r="N1118" s="4349"/>
      <c r="O1118" s="4349"/>
      <c r="P1118" s="386"/>
      <c r="Q1118" s="386"/>
    </row>
    <row r="1119" spans="1:17" s="1659" customFormat="1" ht="30" customHeight="1" x14ac:dyDescent="0.2">
      <c r="A1119" s="7704"/>
      <c r="B1119" s="7665"/>
      <c r="C1119" s="7747"/>
      <c r="D1119" s="7586"/>
      <c r="E1119" s="7676"/>
      <c r="F1119" s="7586"/>
      <c r="G1119" s="4736">
        <v>280000</v>
      </c>
      <c r="H1119" s="4736" t="s">
        <v>6440</v>
      </c>
      <c r="I1119" s="4736" t="s">
        <v>6565</v>
      </c>
      <c r="J1119" s="4736">
        <f>G1119</f>
        <v>280000</v>
      </c>
      <c r="K1119" s="4738">
        <f>F1118-J1119</f>
        <v>0</v>
      </c>
      <c r="L1119" s="4759"/>
      <c r="M1119" s="4760"/>
      <c r="N1119" s="4760"/>
      <c r="O1119" s="4760"/>
      <c r="P1119" s="386"/>
      <c r="Q1119" s="386"/>
    </row>
    <row r="1120" spans="1:17" s="1659" customFormat="1" ht="30" customHeight="1" x14ac:dyDescent="0.2">
      <c r="A1120" s="7704"/>
      <c r="B1120" s="7665"/>
      <c r="C1120" s="7747"/>
      <c r="D1120" s="7586"/>
      <c r="E1120" s="7676"/>
      <c r="F1120" s="7586"/>
      <c r="G1120" s="4774">
        <v>280000</v>
      </c>
      <c r="H1120" s="4774" t="s">
        <v>6622</v>
      </c>
      <c r="I1120" s="4791" t="s">
        <v>6623</v>
      </c>
      <c r="J1120" s="4774">
        <f>G1120</f>
        <v>280000</v>
      </c>
      <c r="K1120" s="4774">
        <f>F1118-J1120</f>
        <v>0</v>
      </c>
      <c r="L1120" s="4798" t="s">
        <v>6571</v>
      </c>
      <c r="M1120" s="4808"/>
      <c r="N1120" s="4808"/>
      <c r="O1120" s="4808"/>
      <c r="P1120" s="386"/>
      <c r="Q1120" s="386"/>
    </row>
    <row r="1121" spans="1:17" s="1659" customFormat="1" ht="30" customHeight="1" x14ac:dyDescent="0.2">
      <c r="A1121" s="7705"/>
      <c r="B1121" s="7653"/>
      <c r="C1121" s="7724"/>
      <c r="D1121" s="7564"/>
      <c r="E1121" s="7660"/>
      <c r="F1121" s="7564"/>
      <c r="G1121" s="7732" t="s">
        <v>6624</v>
      </c>
      <c r="H1121" s="7733"/>
      <c r="I1121" s="7733"/>
      <c r="J1121" s="7734"/>
      <c r="K1121" s="4774"/>
      <c r="L1121" s="4798"/>
      <c r="M1121" s="4808"/>
      <c r="N1121" s="4808"/>
      <c r="O1121" s="4808"/>
      <c r="P1121" s="386"/>
      <c r="Q1121" s="386"/>
    </row>
    <row r="1122" spans="1:17" s="1659" customFormat="1" ht="30" customHeight="1" x14ac:dyDescent="0.2">
      <c r="A1122" s="4315"/>
      <c r="B1122" s="1339" t="s">
        <v>5690</v>
      </c>
      <c r="C1122" s="4300"/>
      <c r="D1122" s="4268">
        <v>1000000000</v>
      </c>
      <c r="E1122" s="4274">
        <v>7.0000000000000007E-2</v>
      </c>
      <c r="F1122" s="4268">
        <f t="shared" si="121"/>
        <v>70000000</v>
      </c>
      <c r="G1122" s="4268"/>
      <c r="H1122" s="4268"/>
      <c r="I1122" s="4308"/>
      <c r="J1122" s="4268"/>
      <c r="K1122" s="4268"/>
      <c r="L1122" s="4327"/>
      <c r="M1122" s="4349"/>
      <c r="N1122" s="4349"/>
      <c r="O1122" s="4349"/>
      <c r="P1122" s="386"/>
      <c r="Q1122" s="386"/>
    </row>
    <row r="1123" spans="1:17" s="1659" customFormat="1" ht="30" customHeight="1" x14ac:dyDescent="0.2">
      <c r="A1123" s="7703"/>
      <c r="B1123" s="7652" t="s">
        <v>5691</v>
      </c>
      <c r="C1123" s="7723" t="s">
        <v>1287</v>
      </c>
      <c r="D1123" s="7563">
        <v>60000000</v>
      </c>
      <c r="E1123" s="7659">
        <v>0.05</v>
      </c>
      <c r="F1123" s="7563">
        <f t="shared" si="121"/>
        <v>3000000</v>
      </c>
      <c r="G1123" s="7732" t="s">
        <v>5883</v>
      </c>
      <c r="H1123" s="7733"/>
      <c r="I1123" s="7733"/>
      <c r="J1123" s="7734"/>
      <c r="K1123" s="4268"/>
      <c r="L1123" s="4327" t="s">
        <v>6279</v>
      </c>
      <c r="M1123" s="4349"/>
      <c r="N1123" s="4349"/>
      <c r="O1123" s="4349"/>
      <c r="P1123" s="386"/>
      <c r="Q1123" s="386"/>
    </row>
    <row r="1124" spans="1:17" s="1659" customFormat="1" ht="30" customHeight="1" x14ac:dyDescent="0.2">
      <c r="A1124" s="7704"/>
      <c r="B1124" s="7665"/>
      <c r="C1124" s="7724"/>
      <c r="D1124" s="7564"/>
      <c r="E1124" s="7660"/>
      <c r="F1124" s="7564"/>
      <c r="G1124" s="4679">
        <v>2897000</v>
      </c>
      <c r="H1124" s="4679" t="s">
        <v>6408</v>
      </c>
      <c r="I1124" s="4679" t="s">
        <v>6429</v>
      </c>
      <c r="J1124" s="4679">
        <f>G1124</f>
        <v>2897000</v>
      </c>
      <c r="K1124" s="4680"/>
      <c r="L1124" s="4689"/>
      <c r="M1124" s="4691"/>
      <c r="N1124" s="4691"/>
      <c r="O1124" s="4691"/>
      <c r="P1124" s="386"/>
      <c r="Q1124" s="386"/>
    </row>
    <row r="1125" spans="1:17" s="1659" customFormat="1" ht="30" customHeight="1" x14ac:dyDescent="0.2">
      <c r="A1125" s="7705"/>
      <c r="B1125" s="7653"/>
      <c r="C1125" s="4688" t="s">
        <v>3483</v>
      </c>
      <c r="D1125" s="4482">
        <v>40000000</v>
      </c>
      <c r="E1125" s="4485">
        <v>0.05</v>
      </c>
      <c r="F1125" s="4482">
        <f t="shared" si="121"/>
        <v>2000000</v>
      </c>
      <c r="G1125" s="7732" t="s">
        <v>6420</v>
      </c>
      <c r="H1125" s="7733"/>
      <c r="I1125" s="7733"/>
      <c r="J1125" s="7734"/>
      <c r="K1125" s="4482"/>
      <c r="L1125" s="4502" t="s">
        <v>6278</v>
      </c>
      <c r="M1125" s="4513"/>
      <c r="N1125" s="4513"/>
      <c r="O1125" s="4513"/>
      <c r="P1125" s="386"/>
      <c r="Q1125" s="386"/>
    </row>
    <row r="1126" spans="1:17" s="1659" customFormat="1" ht="30" customHeight="1" x14ac:dyDescent="0.2">
      <c r="A1126" s="4315"/>
      <c r="B1126" s="1339" t="s">
        <v>5848</v>
      </c>
      <c r="C1126" s="4300" t="s">
        <v>1299</v>
      </c>
      <c r="D1126" s="4268">
        <v>350000000</v>
      </c>
      <c r="E1126" s="4274">
        <v>0.05</v>
      </c>
      <c r="F1126" s="4268">
        <f t="shared" si="121"/>
        <v>17500000</v>
      </c>
      <c r="G1126" s="4268">
        <v>17500000</v>
      </c>
      <c r="H1126" s="4268" t="s">
        <v>6594</v>
      </c>
      <c r="I1126" s="4308" t="s">
        <v>1063</v>
      </c>
      <c r="J1126" s="4268">
        <f>G1126</f>
        <v>17500000</v>
      </c>
      <c r="K1126" s="4268">
        <f>F1126-J1126</f>
        <v>0</v>
      </c>
      <c r="L1126" s="4327" t="s">
        <v>5874</v>
      </c>
      <c r="M1126" s="4349"/>
      <c r="N1126" s="4349"/>
      <c r="O1126" s="4349"/>
      <c r="P1126" s="386"/>
      <c r="Q1126" s="386"/>
    </row>
    <row r="1127" spans="1:17" s="1659" customFormat="1" ht="30" customHeight="1" x14ac:dyDescent="0.2">
      <c r="A1127" s="7703"/>
      <c r="B1127" s="7652" t="s">
        <v>5715</v>
      </c>
      <c r="C1127" s="7723" t="s">
        <v>1299</v>
      </c>
      <c r="D1127" s="7563">
        <v>100000000</v>
      </c>
      <c r="E1127" s="7659">
        <v>5.5E-2</v>
      </c>
      <c r="F1127" s="7563">
        <f>D1127*E1127</f>
        <v>5500000</v>
      </c>
      <c r="G1127" s="7732" t="s">
        <v>5717</v>
      </c>
      <c r="H1127" s="7733"/>
      <c r="I1127" s="7733"/>
      <c r="J1127" s="7734"/>
      <c r="K1127" s="4268"/>
      <c r="L1127" s="4327" t="s">
        <v>5716</v>
      </c>
      <c r="M1127" s="4349"/>
      <c r="N1127" s="4349"/>
      <c r="O1127" s="4349"/>
      <c r="P1127" s="386"/>
      <c r="Q1127" s="386"/>
    </row>
    <row r="1128" spans="1:17" s="1659" customFormat="1" ht="30" customHeight="1" x14ac:dyDescent="0.2">
      <c r="A1128" s="7704"/>
      <c r="B1128" s="7665"/>
      <c r="C1128" s="7747"/>
      <c r="D1128" s="7586"/>
      <c r="E1128" s="7676"/>
      <c r="F1128" s="7586"/>
      <c r="G1128" s="4768">
        <v>5500000</v>
      </c>
      <c r="H1128" s="4768" t="s">
        <v>3634</v>
      </c>
      <c r="I1128" s="4768" t="s">
        <v>4776</v>
      </c>
      <c r="J1128" s="4768">
        <f>G1128</f>
        <v>5500000</v>
      </c>
      <c r="K1128" s="4774">
        <f>F1127-J1128</f>
        <v>0</v>
      </c>
      <c r="L1128" s="4813"/>
      <c r="M1128" s="4808"/>
      <c r="N1128" s="4808"/>
      <c r="O1128" s="4808"/>
      <c r="P1128" s="386"/>
      <c r="Q1128" s="386"/>
    </row>
    <row r="1129" spans="1:17" s="1659" customFormat="1" ht="30" customHeight="1" x14ac:dyDescent="0.2">
      <c r="A1129" s="7704"/>
      <c r="B1129" s="7665"/>
      <c r="C1129" s="7747"/>
      <c r="D1129" s="7586"/>
      <c r="E1129" s="7676"/>
      <c r="F1129" s="7586"/>
      <c r="G1129" s="4768">
        <v>7000000</v>
      </c>
      <c r="H1129" s="4768" t="s">
        <v>3634</v>
      </c>
      <c r="I1129" s="4768" t="s">
        <v>4776</v>
      </c>
      <c r="J1129" s="4768">
        <f>G1129</f>
        <v>7000000</v>
      </c>
      <c r="K1129" s="4774"/>
      <c r="L1129" s="4813" t="s">
        <v>6571</v>
      </c>
      <c r="M1129" s="4808"/>
      <c r="N1129" s="4808"/>
      <c r="O1129" s="4808"/>
      <c r="P1129" s="386"/>
      <c r="Q1129" s="386"/>
    </row>
    <row r="1130" spans="1:17" s="1659" customFormat="1" ht="30" customHeight="1" x14ac:dyDescent="0.2">
      <c r="A1130" s="7705"/>
      <c r="B1130" s="7653"/>
      <c r="C1130" s="7724"/>
      <c r="D1130" s="7564"/>
      <c r="E1130" s="7660"/>
      <c r="F1130" s="7564"/>
      <c r="G1130" s="7732" t="s">
        <v>6648</v>
      </c>
      <c r="H1130" s="7733"/>
      <c r="I1130" s="7733"/>
      <c r="J1130" s="7734"/>
      <c r="K1130" s="4774"/>
      <c r="L1130" s="4813"/>
      <c r="M1130" s="4808"/>
      <c r="N1130" s="4808"/>
      <c r="O1130" s="4808"/>
      <c r="P1130" s="386"/>
      <c r="Q1130" s="386"/>
    </row>
    <row r="1131" spans="1:17" s="1659" customFormat="1" ht="30" customHeight="1" x14ac:dyDescent="0.2">
      <c r="A1131" s="7703"/>
      <c r="B1131" s="7652" t="s">
        <v>5732</v>
      </c>
      <c r="C1131" s="7723" t="s">
        <v>3390</v>
      </c>
      <c r="D1131" s="7563">
        <v>80000000</v>
      </c>
      <c r="E1131" s="7659">
        <v>7.0000000000000007E-2</v>
      </c>
      <c r="F1131" s="7563">
        <f t="shared" ref="F1131:F1140" si="122">D1131*E1131</f>
        <v>5600000.0000000009</v>
      </c>
      <c r="G1131" s="7732" t="s">
        <v>6158</v>
      </c>
      <c r="H1131" s="7733"/>
      <c r="I1131" s="7733"/>
      <c r="J1131" s="7734"/>
      <c r="K1131" s="4268"/>
      <c r="L1131" s="7674" t="s">
        <v>5731</v>
      </c>
      <c r="M1131" s="4349"/>
      <c r="N1131" s="4349"/>
      <c r="O1131" s="4349"/>
      <c r="P1131" s="386"/>
      <c r="Q1131" s="386"/>
    </row>
    <row r="1132" spans="1:17" s="1659" customFormat="1" ht="30" customHeight="1" x14ac:dyDescent="0.2">
      <c r="A1132" s="7705"/>
      <c r="B1132" s="7653"/>
      <c r="C1132" s="7724"/>
      <c r="D1132" s="7564"/>
      <c r="E1132" s="7660"/>
      <c r="F1132" s="7564"/>
      <c r="G1132" s="4736">
        <v>6720000</v>
      </c>
      <c r="H1132" s="4736" t="s">
        <v>6440</v>
      </c>
      <c r="I1132" s="4736" t="s">
        <v>6554</v>
      </c>
      <c r="J1132" s="4736">
        <f>G1132</f>
        <v>6720000</v>
      </c>
      <c r="K1132" s="4738"/>
      <c r="L1132" s="7675"/>
      <c r="M1132" s="4760"/>
      <c r="N1132" s="4760"/>
      <c r="O1132" s="4760"/>
      <c r="P1132" s="386"/>
      <c r="Q1132" s="386"/>
    </row>
    <row r="1133" spans="1:17" s="1659" customFormat="1" ht="30" customHeight="1" x14ac:dyDescent="0.2">
      <c r="A1133" s="4315"/>
      <c r="B1133" s="1339" t="s">
        <v>5744</v>
      </c>
      <c r="C1133" s="4300"/>
      <c r="D1133" s="4268">
        <v>50000000</v>
      </c>
      <c r="E1133" s="4274">
        <v>0.05</v>
      </c>
      <c r="F1133" s="4268">
        <f t="shared" si="122"/>
        <v>2500000</v>
      </c>
      <c r="G1133" s="4268"/>
      <c r="H1133" s="4268"/>
      <c r="I1133" s="4308"/>
      <c r="J1133" s="4268"/>
      <c r="K1133" s="4268"/>
      <c r="L1133" s="4327" t="s">
        <v>5745</v>
      </c>
      <c r="M1133" s="4349"/>
      <c r="N1133" s="4349"/>
      <c r="O1133" s="4349"/>
      <c r="P1133" s="386"/>
      <c r="Q1133" s="386"/>
    </row>
    <row r="1134" spans="1:17" s="1659" customFormat="1" ht="30" customHeight="1" x14ac:dyDescent="0.2">
      <c r="A1134" s="7703"/>
      <c r="B1134" s="7652" t="s">
        <v>5762</v>
      </c>
      <c r="C1134" s="7723"/>
      <c r="D1134" s="7563">
        <v>150000000</v>
      </c>
      <c r="E1134" s="7659">
        <v>0.05</v>
      </c>
      <c r="F1134" s="7563">
        <f t="shared" si="122"/>
        <v>7500000</v>
      </c>
      <c r="G1134" s="7732" t="s">
        <v>5872</v>
      </c>
      <c r="H1134" s="7733"/>
      <c r="I1134" s="7733"/>
      <c r="J1134" s="7734"/>
      <c r="K1134" s="4268"/>
      <c r="L1134" s="7674" t="s">
        <v>5763</v>
      </c>
      <c r="M1134" s="4349"/>
      <c r="N1134" s="4349"/>
      <c r="O1134" s="4349"/>
      <c r="P1134" s="386"/>
      <c r="Q1134" s="386"/>
    </row>
    <row r="1135" spans="1:17" s="1659" customFormat="1" ht="30" customHeight="1" x14ac:dyDescent="0.2">
      <c r="A1135" s="7704"/>
      <c r="B1135" s="7665"/>
      <c r="C1135" s="7747"/>
      <c r="D1135" s="7586"/>
      <c r="E1135" s="7676"/>
      <c r="F1135" s="7586"/>
      <c r="G1135" s="7732" t="s">
        <v>5873</v>
      </c>
      <c r="H1135" s="7733"/>
      <c r="I1135" s="7733"/>
      <c r="J1135" s="7734"/>
      <c r="K1135" s="4268"/>
      <c r="L1135" s="7675"/>
      <c r="M1135" s="4349"/>
      <c r="N1135" s="4349"/>
      <c r="O1135" s="4349"/>
      <c r="P1135" s="386"/>
      <c r="Q1135" s="386"/>
    </row>
    <row r="1136" spans="1:17" s="1659" customFormat="1" ht="30" customHeight="1" x14ac:dyDescent="0.2">
      <c r="A1136" s="7705"/>
      <c r="B1136" s="7653"/>
      <c r="C1136" s="7724"/>
      <c r="D1136" s="7564"/>
      <c r="E1136" s="7660"/>
      <c r="F1136" s="7564"/>
      <c r="G1136" s="4736">
        <v>7500000</v>
      </c>
      <c r="H1136" s="4736" t="s">
        <v>6440</v>
      </c>
      <c r="I1136" s="4736" t="s">
        <v>1220</v>
      </c>
      <c r="J1136" s="4736">
        <f>G1136</f>
        <v>7500000</v>
      </c>
      <c r="K1136" s="4738">
        <f>F1134-J1136</f>
        <v>0</v>
      </c>
      <c r="L1136" s="4759"/>
      <c r="M1136" s="4760"/>
      <c r="N1136" s="4760"/>
      <c r="O1136" s="4760"/>
      <c r="P1136" s="386"/>
      <c r="Q1136" s="386"/>
    </row>
    <row r="1137" spans="1:17" s="1659" customFormat="1" ht="30" customHeight="1" x14ac:dyDescent="0.2">
      <c r="A1137" s="4315"/>
      <c r="B1137" s="1339" t="s">
        <v>5771</v>
      </c>
      <c r="C1137" s="4300" t="s">
        <v>1306</v>
      </c>
      <c r="D1137" s="4268">
        <v>150000000</v>
      </c>
      <c r="E1137" s="4274">
        <v>0.06</v>
      </c>
      <c r="F1137" s="4268">
        <f t="shared" si="122"/>
        <v>9000000</v>
      </c>
      <c r="G1137" s="4268">
        <v>9000000</v>
      </c>
      <c r="H1137" s="4268" t="s">
        <v>3634</v>
      </c>
      <c r="I1137" s="4308" t="s">
        <v>6567</v>
      </c>
      <c r="J1137" s="4268">
        <f>G1137</f>
        <v>9000000</v>
      </c>
      <c r="K1137" s="4268">
        <f>F1137-J1137</f>
        <v>0</v>
      </c>
      <c r="L1137" s="4327" t="s">
        <v>5810</v>
      </c>
      <c r="M1137" s="4349"/>
      <c r="N1137" s="4349"/>
      <c r="O1137" s="4349"/>
      <c r="P1137" s="386"/>
      <c r="Q1137" s="386"/>
    </row>
    <row r="1138" spans="1:17" s="1659" customFormat="1" ht="30" customHeight="1" x14ac:dyDescent="0.2">
      <c r="A1138" s="7703"/>
      <c r="B1138" s="7652" t="s">
        <v>5772</v>
      </c>
      <c r="C1138" s="7723" t="s">
        <v>3390</v>
      </c>
      <c r="D1138" s="7563">
        <v>20000000</v>
      </c>
      <c r="E1138" s="7659">
        <v>0.05</v>
      </c>
      <c r="F1138" s="7563">
        <f t="shared" si="122"/>
        <v>1000000</v>
      </c>
      <c r="G1138" s="7732" t="s">
        <v>5792</v>
      </c>
      <c r="H1138" s="7733"/>
      <c r="I1138" s="7733"/>
      <c r="J1138" s="7734"/>
      <c r="K1138" s="4268"/>
      <c r="L1138" s="4327" t="s">
        <v>5686</v>
      </c>
      <c r="M1138" s="4349"/>
      <c r="N1138" s="4349"/>
      <c r="O1138" s="4349"/>
      <c r="P1138" s="386"/>
      <c r="Q1138" s="386"/>
    </row>
    <row r="1139" spans="1:17" s="1659" customFormat="1" ht="30" customHeight="1" x14ac:dyDescent="0.2">
      <c r="A1139" s="7705"/>
      <c r="B1139" s="7653"/>
      <c r="C1139" s="7724"/>
      <c r="D1139" s="7564"/>
      <c r="E1139" s="7660"/>
      <c r="F1139" s="7564"/>
      <c r="G1139" s="4768">
        <v>1000000</v>
      </c>
      <c r="H1139" s="4768" t="s">
        <v>6582</v>
      </c>
      <c r="I1139" s="4768" t="s">
        <v>6583</v>
      </c>
      <c r="J1139" s="4768">
        <f>G1139</f>
        <v>1000000</v>
      </c>
      <c r="K1139" s="4773">
        <f>F1138-J1139</f>
        <v>0</v>
      </c>
      <c r="L1139" s="4813"/>
      <c r="M1139" s="4808"/>
      <c r="N1139" s="4808"/>
      <c r="O1139" s="4808"/>
      <c r="P1139" s="386"/>
      <c r="Q1139" s="386"/>
    </row>
    <row r="1140" spans="1:17" s="1659" customFormat="1" ht="30" customHeight="1" x14ac:dyDescent="0.2">
      <c r="A1140" s="7703"/>
      <c r="B1140" s="7652" t="s">
        <v>5805</v>
      </c>
      <c r="C1140" s="7723" t="s">
        <v>1306</v>
      </c>
      <c r="D1140" s="7563">
        <v>50000000</v>
      </c>
      <c r="E1140" s="7659">
        <v>0.05</v>
      </c>
      <c r="F1140" s="7563">
        <f t="shared" si="122"/>
        <v>2500000</v>
      </c>
      <c r="G1140" s="8381" t="s">
        <v>6314</v>
      </c>
      <c r="H1140" s="8382"/>
      <c r="I1140" s="8382"/>
      <c r="J1140" s="8383"/>
      <c r="K1140" s="7563"/>
      <c r="L1140" s="7674" t="s">
        <v>5806</v>
      </c>
      <c r="M1140" s="4349"/>
      <c r="N1140" s="4349"/>
      <c r="O1140" s="4349"/>
      <c r="P1140" s="386"/>
      <c r="Q1140" s="386"/>
    </row>
    <row r="1141" spans="1:17" s="1659" customFormat="1" ht="30" customHeight="1" x14ac:dyDescent="0.2">
      <c r="A1141" s="7704"/>
      <c r="B1141" s="7665"/>
      <c r="C1141" s="7747"/>
      <c r="D1141" s="7586"/>
      <c r="E1141" s="7676"/>
      <c r="F1141" s="7586"/>
      <c r="G1141" s="8381" t="s">
        <v>6311</v>
      </c>
      <c r="H1141" s="8382"/>
      <c r="I1141" s="8382"/>
      <c r="J1141" s="8383"/>
      <c r="K1141" s="7586"/>
      <c r="L1141" s="8186"/>
      <c r="M1141" s="4570"/>
      <c r="N1141" s="4570"/>
      <c r="O1141" s="4570"/>
      <c r="P1141" s="386"/>
      <c r="Q1141" s="386"/>
    </row>
    <row r="1142" spans="1:17" s="1659" customFormat="1" ht="30" customHeight="1" x14ac:dyDescent="0.2">
      <c r="A1142" s="7704"/>
      <c r="B1142" s="7665"/>
      <c r="C1142" s="7747"/>
      <c r="D1142" s="7586"/>
      <c r="E1142" s="7676"/>
      <c r="F1142" s="7586"/>
      <c r="G1142" s="8381" t="s">
        <v>6312</v>
      </c>
      <c r="H1142" s="8382"/>
      <c r="I1142" s="8382"/>
      <c r="J1142" s="8383"/>
      <c r="K1142" s="7586"/>
      <c r="L1142" s="8186"/>
      <c r="M1142" s="4570"/>
      <c r="N1142" s="4570"/>
      <c r="O1142" s="4570"/>
      <c r="P1142" s="386"/>
      <c r="Q1142" s="386"/>
    </row>
    <row r="1143" spans="1:17" s="1659" customFormat="1" ht="30" customHeight="1" x14ac:dyDescent="0.2">
      <c r="A1143" s="7704"/>
      <c r="B1143" s="7665"/>
      <c r="C1143" s="7747"/>
      <c r="D1143" s="7586"/>
      <c r="E1143" s="7676"/>
      <c r="F1143" s="7586"/>
      <c r="G1143" s="8381" t="s">
        <v>6313</v>
      </c>
      <c r="H1143" s="8382"/>
      <c r="I1143" s="8382"/>
      <c r="J1143" s="8383"/>
      <c r="K1143" s="7564"/>
      <c r="L1143" s="7675"/>
      <c r="M1143" s="4349"/>
      <c r="N1143" s="4349"/>
      <c r="O1143" s="4349"/>
      <c r="P1143" s="386"/>
      <c r="Q1143" s="386"/>
    </row>
    <row r="1144" spans="1:17" s="1659" customFormat="1" ht="30" customHeight="1" x14ac:dyDescent="0.2">
      <c r="A1144" s="7705"/>
      <c r="B1144" s="7653"/>
      <c r="C1144" s="7724"/>
      <c r="D1144" s="7564"/>
      <c r="E1144" s="7660"/>
      <c r="F1144" s="7564"/>
      <c r="G1144" s="4768">
        <v>1870000</v>
      </c>
      <c r="H1144" s="4768" t="s">
        <v>6582</v>
      </c>
      <c r="I1144" s="4768" t="s">
        <v>6584</v>
      </c>
      <c r="J1144" s="4768">
        <f>G1144</f>
        <v>1870000</v>
      </c>
      <c r="K1144" s="4774"/>
      <c r="L1144" s="4798"/>
      <c r="M1144" s="4808"/>
      <c r="N1144" s="4808"/>
      <c r="O1144" s="4808"/>
      <c r="P1144" s="386"/>
      <c r="Q1144" s="386"/>
    </row>
    <row r="1145" spans="1:17" s="1659" customFormat="1" ht="30" customHeight="1" x14ac:dyDescent="0.2">
      <c r="A1145" s="4562"/>
      <c r="B1145" s="1339" t="s">
        <v>5923</v>
      </c>
      <c r="C1145" s="4560" t="s">
        <v>262</v>
      </c>
      <c r="D1145" s="4546">
        <v>100000000</v>
      </c>
      <c r="E1145" s="4554"/>
      <c r="F1145" s="4546"/>
      <c r="G1145" s="4543"/>
      <c r="H1145" s="4543"/>
      <c r="I1145" s="4543"/>
      <c r="J1145" s="4543"/>
      <c r="K1145" s="4546"/>
      <c r="L1145" s="4566" t="s">
        <v>5924</v>
      </c>
      <c r="M1145" s="4570"/>
      <c r="N1145" s="4570"/>
      <c r="O1145" s="4570"/>
      <c r="P1145" s="386"/>
      <c r="Q1145" s="386"/>
    </row>
    <row r="1146" spans="1:17" s="1659" customFormat="1" ht="30" customHeight="1" x14ac:dyDescent="0.2">
      <c r="A1146" s="4315"/>
      <c r="B1146" s="1339" t="s">
        <v>5970</v>
      </c>
      <c r="C1146" s="4300" t="s">
        <v>942</v>
      </c>
      <c r="D1146" s="4268">
        <v>100000000</v>
      </c>
      <c r="E1146" s="4274">
        <v>0.06</v>
      </c>
      <c r="F1146" s="4268">
        <f>D1146*E1146</f>
        <v>6000000</v>
      </c>
      <c r="G1146" s="7732" t="s">
        <v>6028</v>
      </c>
      <c r="H1146" s="7733"/>
      <c r="I1146" s="7733"/>
      <c r="J1146" s="7734"/>
      <c r="K1146" s="4268"/>
      <c r="L1146" s="4327" t="s">
        <v>5971</v>
      </c>
      <c r="M1146" s="4349"/>
      <c r="N1146" s="4349"/>
      <c r="O1146" s="4349"/>
      <c r="P1146" s="386"/>
      <c r="Q1146" s="386"/>
    </row>
    <row r="1147" spans="1:17" s="1659" customFormat="1" ht="30" customHeight="1" x14ac:dyDescent="0.2">
      <c r="A1147" s="7703"/>
      <c r="B1147" s="7652" t="s">
        <v>5975</v>
      </c>
      <c r="C1147" s="7723" t="s">
        <v>3483</v>
      </c>
      <c r="D1147" s="7563">
        <v>270000000</v>
      </c>
      <c r="E1147" s="7659">
        <v>0.06</v>
      </c>
      <c r="F1147" s="7563">
        <f>D1147*E1147</f>
        <v>16200000</v>
      </c>
      <c r="G1147" s="7563">
        <v>16200000</v>
      </c>
      <c r="H1147" s="7563" t="s">
        <v>3807</v>
      </c>
      <c r="I1147" s="7563" t="s">
        <v>4141</v>
      </c>
      <c r="J1147" s="7563">
        <f>G1147</f>
        <v>16200000</v>
      </c>
      <c r="K1147" s="7563">
        <f>F1147-J1147</f>
        <v>0</v>
      </c>
      <c r="L1147" s="4327" t="s">
        <v>5976</v>
      </c>
      <c r="M1147" s="4349"/>
      <c r="N1147" s="4349"/>
      <c r="O1147" s="4349"/>
      <c r="P1147" s="386"/>
      <c r="Q1147" s="386"/>
    </row>
    <row r="1148" spans="1:17" s="1659" customFormat="1" ht="30" customHeight="1" x14ac:dyDescent="0.2">
      <c r="A1148" s="7704"/>
      <c r="B1148" s="7665"/>
      <c r="C1148" s="7747"/>
      <c r="D1148" s="7586"/>
      <c r="E1148" s="7676"/>
      <c r="F1148" s="7586"/>
      <c r="G1148" s="7586"/>
      <c r="H1148" s="7586"/>
      <c r="I1148" s="7586"/>
      <c r="J1148" s="7586"/>
      <c r="K1148" s="7586"/>
      <c r="L1148" s="4327" t="s">
        <v>5977</v>
      </c>
      <c r="M1148" s="4349"/>
      <c r="N1148" s="4349"/>
      <c r="O1148" s="4349"/>
      <c r="P1148" s="386"/>
      <c r="Q1148" s="386"/>
    </row>
    <row r="1149" spans="1:17" s="1659" customFormat="1" ht="30" customHeight="1" x14ac:dyDescent="0.2">
      <c r="A1149" s="7705"/>
      <c r="B1149" s="7653"/>
      <c r="C1149" s="7724"/>
      <c r="D1149" s="7564"/>
      <c r="E1149" s="7660"/>
      <c r="F1149" s="7564"/>
      <c r="G1149" s="7564"/>
      <c r="H1149" s="7564"/>
      <c r="I1149" s="7564"/>
      <c r="J1149" s="7564"/>
      <c r="K1149" s="7564"/>
      <c r="L1149" s="4327" t="s">
        <v>5978</v>
      </c>
      <c r="M1149" s="4349"/>
      <c r="N1149" s="4349"/>
      <c r="O1149" s="4349"/>
      <c r="P1149" s="386"/>
      <c r="Q1149" s="386"/>
    </row>
    <row r="1150" spans="1:17" s="1659" customFormat="1" ht="30" customHeight="1" x14ac:dyDescent="0.2">
      <c r="A1150" s="7703"/>
      <c r="B1150" s="7652" t="s">
        <v>5980</v>
      </c>
      <c r="C1150" s="7723" t="s">
        <v>942</v>
      </c>
      <c r="D1150" s="4268">
        <v>490000000</v>
      </c>
      <c r="E1150" s="4274">
        <v>0.06</v>
      </c>
      <c r="F1150" s="4268">
        <f>D1150*E1150</f>
        <v>29400000</v>
      </c>
      <c r="G1150" s="7732" t="s">
        <v>6013</v>
      </c>
      <c r="H1150" s="7733"/>
      <c r="I1150" s="7733"/>
      <c r="J1150" s="7733"/>
      <c r="K1150" s="7734"/>
      <c r="L1150" s="4242" t="s">
        <v>6702</v>
      </c>
      <c r="M1150" s="4349"/>
      <c r="N1150" s="4349"/>
      <c r="O1150" s="4349"/>
      <c r="P1150" s="386"/>
      <c r="Q1150" s="386"/>
    </row>
    <row r="1151" spans="1:17" s="1659" customFormat="1" ht="30" customHeight="1" x14ac:dyDescent="0.2">
      <c r="A1151" s="7704"/>
      <c r="B1151" s="7665"/>
      <c r="C1151" s="7747"/>
      <c r="D1151" s="4869">
        <v>30000000</v>
      </c>
      <c r="E1151" s="4875">
        <v>0.06</v>
      </c>
      <c r="F1151" s="4869">
        <f t="shared" ref="F1151:F1156" si="123">D1151*E1151</f>
        <v>1800000</v>
      </c>
      <c r="G1151" s="8000" t="s">
        <v>6704</v>
      </c>
      <c r="H1151" s="8000"/>
      <c r="I1151" s="8000"/>
      <c r="J1151" s="8000"/>
      <c r="K1151" s="4905"/>
      <c r="L1151" s="4242"/>
      <c r="M1151" s="4902"/>
      <c r="N1151" s="4902"/>
      <c r="O1151" s="4902"/>
      <c r="P1151" s="386"/>
      <c r="Q1151" s="386"/>
    </row>
    <row r="1152" spans="1:17" s="1659" customFormat="1" ht="30" customHeight="1" x14ac:dyDescent="0.2">
      <c r="A1152" s="7704"/>
      <c r="B1152" s="7665"/>
      <c r="C1152" s="7747"/>
      <c r="D1152" s="4869">
        <v>60000000</v>
      </c>
      <c r="E1152" s="4875">
        <v>0.06</v>
      </c>
      <c r="F1152" s="4869">
        <f t="shared" si="123"/>
        <v>3600000</v>
      </c>
      <c r="G1152" s="7732" t="s">
        <v>6705</v>
      </c>
      <c r="H1152" s="7733"/>
      <c r="I1152" s="7733"/>
      <c r="J1152" s="7734"/>
      <c r="K1152" s="4905"/>
      <c r="L1152" s="4242"/>
      <c r="M1152" s="4902"/>
      <c r="N1152" s="4902"/>
      <c r="O1152" s="4902"/>
      <c r="P1152" s="386"/>
      <c r="Q1152" s="386"/>
    </row>
    <row r="1153" spans="1:17" s="1659" customFormat="1" ht="30" customHeight="1" x14ac:dyDescent="0.2">
      <c r="A1153" s="7704"/>
      <c r="B1153" s="7665"/>
      <c r="C1153" s="7747"/>
      <c r="D1153" s="4869">
        <v>75000000</v>
      </c>
      <c r="E1153" s="4875">
        <v>0.06</v>
      </c>
      <c r="F1153" s="4869">
        <f t="shared" si="123"/>
        <v>4500000</v>
      </c>
      <c r="G1153" s="7732" t="s">
        <v>6706</v>
      </c>
      <c r="H1153" s="7733"/>
      <c r="I1153" s="7733"/>
      <c r="J1153" s="7734"/>
      <c r="K1153" s="4905"/>
      <c r="L1153" s="4242"/>
      <c r="M1153" s="4902"/>
      <c r="N1153" s="4902"/>
      <c r="O1153" s="4902"/>
      <c r="P1153" s="386"/>
      <c r="Q1153" s="386"/>
    </row>
    <row r="1154" spans="1:17" s="1659" customFormat="1" ht="30" customHeight="1" x14ac:dyDescent="0.2">
      <c r="A1154" s="7704"/>
      <c r="B1154" s="7665"/>
      <c r="C1154" s="7747"/>
      <c r="D1154" s="4869">
        <v>75000000</v>
      </c>
      <c r="E1154" s="4875">
        <v>0.06</v>
      </c>
      <c r="F1154" s="4869">
        <f t="shared" si="123"/>
        <v>4500000</v>
      </c>
      <c r="G1154" s="7732" t="s">
        <v>6707</v>
      </c>
      <c r="H1154" s="7733"/>
      <c r="I1154" s="7733"/>
      <c r="J1154" s="7734"/>
      <c r="K1154" s="4905"/>
      <c r="L1154" s="4242"/>
      <c r="M1154" s="4902"/>
      <c r="N1154" s="4902"/>
      <c r="O1154" s="4902"/>
      <c r="P1154" s="386"/>
      <c r="Q1154" s="386"/>
    </row>
    <row r="1155" spans="1:17" s="1659" customFormat="1" ht="30" customHeight="1" x14ac:dyDescent="0.2">
      <c r="A1155" s="7704"/>
      <c r="B1155" s="7665"/>
      <c r="C1155" s="7747"/>
      <c r="D1155" s="4869">
        <v>70000000</v>
      </c>
      <c r="E1155" s="4875">
        <v>0.06</v>
      </c>
      <c r="F1155" s="4869">
        <f t="shared" si="123"/>
        <v>4200000</v>
      </c>
      <c r="G1155" s="7732" t="s">
        <v>6708</v>
      </c>
      <c r="H1155" s="7733"/>
      <c r="I1155" s="7733"/>
      <c r="J1155" s="7734"/>
      <c r="K1155" s="4905"/>
      <c r="L1155" s="4242"/>
      <c r="M1155" s="4902"/>
      <c r="N1155" s="4902"/>
      <c r="O1155" s="4902"/>
      <c r="P1155" s="386"/>
      <c r="Q1155" s="386"/>
    </row>
    <row r="1156" spans="1:17" s="1659" customFormat="1" ht="30" customHeight="1" x14ac:dyDescent="0.2">
      <c r="A1156" s="7704"/>
      <c r="B1156" s="7665"/>
      <c r="C1156" s="7747"/>
      <c r="D1156" s="4869">
        <v>70000000</v>
      </c>
      <c r="E1156" s="4875">
        <v>0.06</v>
      </c>
      <c r="F1156" s="4869">
        <f t="shared" si="123"/>
        <v>4200000</v>
      </c>
      <c r="G1156" s="7732" t="s">
        <v>6709</v>
      </c>
      <c r="H1156" s="7733"/>
      <c r="I1156" s="7733"/>
      <c r="J1156" s="7734"/>
      <c r="K1156" s="4905"/>
      <c r="L1156" s="4242"/>
      <c r="M1156" s="4902"/>
      <c r="N1156" s="4902"/>
      <c r="O1156" s="4902"/>
      <c r="P1156" s="386"/>
      <c r="Q1156" s="386"/>
    </row>
    <row r="1157" spans="1:17" s="1659" customFormat="1" ht="30" customHeight="1" x14ac:dyDescent="0.2">
      <c r="A1157" s="7705"/>
      <c r="B1157" s="7653"/>
      <c r="C1157" s="7724"/>
      <c r="D1157" s="4909">
        <v>870000000</v>
      </c>
      <c r="E1157" s="4910">
        <v>0.06</v>
      </c>
      <c r="F1157" s="4909">
        <f>D1157*E1157</f>
        <v>52200000</v>
      </c>
      <c r="G1157" s="8000" t="s">
        <v>6703</v>
      </c>
      <c r="H1157" s="8000"/>
      <c r="I1157" s="8000"/>
      <c r="J1157" s="8000"/>
      <c r="K1157" s="4905"/>
      <c r="L1157" s="4896" t="s">
        <v>6701</v>
      </c>
      <c r="M1157" s="4902"/>
      <c r="N1157" s="4902"/>
      <c r="O1157" s="4902"/>
      <c r="P1157" s="386"/>
      <c r="Q1157" s="386"/>
    </row>
    <row r="1158" spans="1:17" s="1659" customFormat="1" ht="30" customHeight="1" x14ac:dyDescent="0.2">
      <c r="A1158" s="4315"/>
      <c r="B1158" s="1339" t="s">
        <v>5985</v>
      </c>
      <c r="C1158" s="4300" t="s">
        <v>1081</v>
      </c>
      <c r="D1158" s="4268">
        <v>40000000</v>
      </c>
      <c r="E1158" s="4274">
        <v>0.05</v>
      </c>
      <c r="F1158" s="4268">
        <f>D1158*E1158</f>
        <v>2000000</v>
      </c>
      <c r="G1158" s="4922">
        <v>2000000</v>
      </c>
      <c r="H1158" s="4922" t="s">
        <v>6759</v>
      </c>
      <c r="I1158" s="4922" t="s">
        <v>6761</v>
      </c>
      <c r="J1158" s="4922">
        <f>G1158</f>
        <v>2000000</v>
      </c>
      <c r="K1158" s="4268">
        <f>F1158-J1158</f>
        <v>0</v>
      </c>
      <c r="L1158" s="4327" t="s">
        <v>6760</v>
      </c>
      <c r="M1158" s="4349"/>
      <c r="N1158" s="4349"/>
      <c r="O1158" s="4349"/>
      <c r="P1158" s="386"/>
      <c r="Q1158" s="386"/>
    </row>
    <row r="1159" spans="1:17" s="1659" customFormat="1" ht="30" customHeight="1" x14ac:dyDescent="0.2">
      <c r="A1159" s="7703"/>
      <c r="B1159" s="7652" t="s">
        <v>6017</v>
      </c>
      <c r="C1159" s="7723" t="s">
        <v>3323</v>
      </c>
      <c r="D1159" s="7563">
        <v>1900000000</v>
      </c>
      <c r="E1159" s="7659">
        <v>7.0000000000000007E-2</v>
      </c>
      <c r="F1159" s="7563">
        <f>D1159*E1159</f>
        <v>133000000.00000001</v>
      </c>
      <c r="G1159" s="7732" t="s">
        <v>6018</v>
      </c>
      <c r="H1159" s="7733"/>
      <c r="I1159" s="7733"/>
      <c r="J1159" s="7733"/>
      <c r="K1159" s="7734"/>
      <c r="L1159" s="7674" t="s">
        <v>6019</v>
      </c>
      <c r="M1159" s="4349"/>
      <c r="N1159" s="4349"/>
      <c r="O1159" s="4349"/>
      <c r="P1159" s="386"/>
      <c r="Q1159" s="386"/>
    </row>
    <row r="1160" spans="1:17" s="1659" customFormat="1" ht="30" customHeight="1" x14ac:dyDescent="0.2">
      <c r="A1160" s="7705"/>
      <c r="B1160" s="7653"/>
      <c r="C1160" s="7724"/>
      <c r="D1160" s="7564"/>
      <c r="E1160" s="7660"/>
      <c r="F1160" s="7564"/>
      <c r="G1160" s="7732" t="s">
        <v>6763</v>
      </c>
      <c r="H1160" s="7733"/>
      <c r="I1160" s="7733"/>
      <c r="J1160" s="7734"/>
      <c r="K1160" s="4922"/>
      <c r="L1160" s="7675"/>
      <c r="M1160" s="4939"/>
      <c r="N1160" s="4939"/>
      <c r="O1160" s="4939"/>
      <c r="P1160" s="386"/>
      <c r="Q1160" s="386"/>
    </row>
    <row r="1161" spans="1:17" s="1659" customFormat="1" ht="30" customHeight="1" x14ac:dyDescent="0.2">
      <c r="A1161" s="4315"/>
      <c r="B1161" s="1339" t="s">
        <v>6031</v>
      </c>
      <c r="C1161" s="4300"/>
      <c r="D1161" s="4268">
        <v>120000000</v>
      </c>
      <c r="E1161" s="4274"/>
      <c r="F1161" s="4268"/>
      <c r="G1161" s="7732" t="s">
        <v>6033</v>
      </c>
      <c r="H1161" s="7733"/>
      <c r="I1161" s="7733"/>
      <c r="J1161" s="7734"/>
      <c r="K1161" s="4268"/>
      <c r="L1161" s="4327" t="s">
        <v>6032</v>
      </c>
      <c r="M1161" s="4349"/>
      <c r="N1161" s="4349"/>
      <c r="O1161" s="4349"/>
      <c r="P1161" s="386"/>
      <c r="Q1161" s="386"/>
    </row>
    <row r="1162" spans="1:17" s="1659" customFormat="1" ht="30" customHeight="1" x14ac:dyDescent="0.2">
      <c r="A1162" s="7703"/>
      <c r="B1162" s="7652" t="s">
        <v>6035</v>
      </c>
      <c r="C1162" s="7723" t="s">
        <v>942</v>
      </c>
      <c r="D1162" s="7563">
        <v>80000000</v>
      </c>
      <c r="E1162" s="7659">
        <v>5.5E-2</v>
      </c>
      <c r="F1162" s="7563">
        <f>D1162*E1162</f>
        <v>4400000</v>
      </c>
      <c r="G1162" s="7732" t="s">
        <v>6037</v>
      </c>
      <c r="H1162" s="7733"/>
      <c r="I1162" s="7733"/>
      <c r="J1162" s="7733"/>
      <c r="K1162" s="7734"/>
      <c r="L1162" s="4327" t="s">
        <v>6036</v>
      </c>
      <c r="M1162" s="4349"/>
      <c r="N1162" s="4349"/>
      <c r="O1162" s="4349"/>
      <c r="P1162" s="386"/>
      <c r="Q1162" s="386"/>
    </row>
    <row r="1163" spans="1:17" s="1659" customFormat="1" ht="30" customHeight="1" x14ac:dyDescent="0.2">
      <c r="A1163" s="7705"/>
      <c r="B1163" s="7653"/>
      <c r="C1163" s="7724"/>
      <c r="D1163" s="7564"/>
      <c r="E1163" s="7660"/>
      <c r="F1163" s="7564"/>
      <c r="G1163" s="4922">
        <v>4400000</v>
      </c>
      <c r="H1163" s="4922" t="s">
        <v>6762</v>
      </c>
      <c r="I1163" s="4922" t="s">
        <v>2409</v>
      </c>
      <c r="J1163" s="4922">
        <f>G1163</f>
        <v>4400000</v>
      </c>
      <c r="K1163" s="4922">
        <f>F1162-J1163</f>
        <v>0</v>
      </c>
      <c r="L1163" s="4935"/>
      <c r="M1163" s="4939"/>
      <c r="N1163" s="4939"/>
      <c r="O1163" s="4939"/>
      <c r="P1163" s="386"/>
      <c r="Q1163" s="386"/>
    </row>
    <row r="1164" spans="1:17" s="1659" customFormat="1" ht="30" customHeight="1" x14ac:dyDescent="0.2">
      <c r="A1164" s="4348"/>
      <c r="B1164" s="1339" t="s">
        <v>6053</v>
      </c>
      <c r="C1164" s="4300"/>
      <c r="D1164" s="4268">
        <v>200000000</v>
      </c>
      <c r="E1164" s="4274">
        <v>0.06</v>
      </c>
      <c r="F1164" s="4268">
        <f>D1164*E1164</f>
        <v>12000000</v>
      </c>
      <c r="G1164" s="7732" t="s">
        <v>6055</v>
      </c>
      <c r="H1164" s="7733"/>
      <c r="I1164" s="7733"/>
      <c r="J1164" s="7734"/>
      <c r="K1164" s="4268"/>
      <c r="L1164" s="4327" t="s">
        <v>6054</v>
      </c>
      <c r="M1164" s="4349"/>
      <c r="N1164" s="4349"/>
      <c r="O1164" s="4349"/>
      <c r="P1164" s="386"/>
      <c r="Q1164" s="386"/>
    </row>
    <row r="1165" spans="1:17" s="1659" customFormat="1" ht="30" customHeight="1" x14ac:dyDescent="0.2">
      <c r="A1165" s="7703"/>
      <c r="B1165" s="7652" t="s">
        <v>4767</v>
      </c>
      <c r="C1165" s="7723" t="s">
        <v>989</v>
      </c>
      <c r="D1165" s="7563">
        <v>4200000</v>
      </c>
      <c r="E1165" s="7659">
        <v>0.05</v>
      </c>
      <c r="F1165" s="7563">
        <f>D1165*E1165</f>
        <v>210000</v>
      </c>
      <c r="G1165" s="4268">
        <v>210000</v>
      </c>
      <c r="H1165" s="7482" t="s">
        <v>6125</v>
      </c>
      <c r="I1165" s="7482" t="s">
        <v>6137</v>
      </c>
      <c r="J1165" s="7482" t="e">
        <f>G1165+G1166+G1167+G1168+G1178</f>
        <v>#VALUE!</v>
      </c>
      <c r="K1165" s="7563"/>
      <c r="L1165" s="4327" t="s">
        <v>4905</v>
      </c>
      <c r="M1165" s="4349"/>
      <c r="N1165" s="4349"/>
      <c r="O1165" s="4349"/>
      <c r="P1165" s="386"/>
      <c r="Q1165" s="386"/>
    </row>
    <row r="1166" spans="1:17" s="1659" customFormat="1" ht="30" customHeight="1" x14ac:dyDescent="0.2">
      <c r="A1166" s="7704"/>
      <c r="B1166" s="7665"/>
      <c r="C1166" s="7747"/>
      <c r="D1166" s="7586"/>
      <c r="E1166" s="7676"/>
      <c r="F1166" s="7586"/>
      <c r="G1166" s="4260">
        <v>210000</v>
      </c>
      <c r="H1166" s="7482"/>
      <c r="I1166" s="7482"/>
      <c r="J1166" s="7482"/>
      <c r="K1166" s="7586"/>
      <c r="L1166" s="4350" t="s">
        <v>4906</v>
      </c>
      <c r="M1166" s="4349"/>
      <c r="N1166" s="4349"/>
      <c r="O1166" s="4349"/>
      <c r="P1166" s="386"/>
      <c r="Q1166" s="386"/>
    </row>
    <row r="1167" spans="1:17" s="1659" customFormat="1" ht="30" customHeight="1" x14ac:dyDescent="0.2">
      <c r="A1167" s="7704"/>
      <c r="B1167" s="7665"/>
      <c r="C1167" s="7747"/>
      <c r="D1167" s="7586"/>
      <c r="E1167" s="7676"/>
      <c r="F1167" s="7586"/>
      <c r="G1167" s="4260">
        <v>210000</v>
      </c>
      <c r="H1167" s="7482"/>
      <c r="I1167" s="7482"/>
      <c r="J1167" s="7482"/>
      <c r="K1167" s="7586"/>
      <c r="L1167" s="4350" t="s">
        <v>5482</v>
      </c>
      <c r="M1167" s="4349"/>
      <c r="N1167" s="4349"/>
      <c r="O1167" s="4349"/>
      <c r="P1167" s="386"/>
      <c r="Q1167" s="386"/>
    </row>
    <row r="1168" spans="1:17" s="1659" customFormat="1" ht="30" customHeight="1" x14ac:dyDescent="0.2">
      <c r="A1168" s="7705"/>
      <c r="B1168" s="7653"/>
      <c r="C1168" s="7724"/>
      <c r="D1168" s="7564"/>
      <c r="E1168" s="7660"/>
      <c r="F1168" s="7564"/>
      <c r="G1168" s="4260">
        <v>170000</v>
      </c>
      <c r="H1168" s="7482"/>
      <c r="I1168" s="7482"/>
      <c r="J1168" s="7482"/>
      <c r="K1168" s="7564"/>
      <c r="L1168" s="4350" t="s">
        <v>6138</v>
      </c>
      <c r="M1168" s="4349"/>
      <c r="N1168" s="4349"/>
      <c r="O1168" s="4349"/>
      <c r="P1168" s="386"/>
      <c r="Q1168" s="386"/>
    </row>
    <row r="1169" spans="1:17" s="1659" customFormat="1" ht="30" customHeight="1" x14ac:dyDescent="0.2">
      <c r="A1169" s="7703"/>
      <c r="B1169" s="7652" t="s">
        <v>6143</v>
      </c>
      <c r="C1169" s="7723"/>
      <c r="D1169" s="4404">
        <v>1100000000</v>
      </c>
      <c r="E1169" s="4407"/>
      <c r="F1169" s="4404"/>
      <c r="G1169" s="7494" t="s">
        <v>6256</v>
      </c>
      <c r="H1169" s="7495"/>
      <c r="I1169" s="7495"/>
      <c r="J1169" s="7768"/>
      <c r="K1169" s="4404"/>
      <c r="L1169" s="4421" t="s">
        <v>6335</v>
      </c>
      <c r="M1169" s="4432"/>
      <c r="N1169" s="4432"/>
      <c r="O1169" s="4432"/>
      <c r="P1169" s="386"/>
      <c r="Q1169" s="386"/>
    </row>
    <row r="1170" spans="1:17" s="1659" customFormat="1" ht="30" customHeight="1" x14ac:dyDescent="0.2">
      <c r="A1170" s="7705"/>
      <c r="B1170" s="7653"/>
      <c r="C1170" s="7724"/>
      <c r="D1170" s="4443">
        <v>50000000</v>
      </c>
      <c r="E1170" s="4453"/>
      <c r="F1170" s="4443"/>
      <c r="G1170" s="7769"/>
      <c r="H1170" s="7805"/>
      <c r="I1170" s="7805"/>
      <c r="J1170" s="7770"/>
      <c r="K1170" s="4443"/>
      <c r="L1170" s="4465" t="s">
        <v>6203</v>
      </c>
      <c r="M1170" s="4469"/>
      <c r="N1170" s="4469"/>
      <c r="O1170" s="4469"/>
      <c r="P1170" s="386"/>
      <c r="Q1170" s="386"/>
    </row>
    <row r="1171" spans="1:17" s="1659" customFormat="1" ht="30" customHeight="1" x14ac:dyDescent="0.2">
      <c r="A1171" s="4416"/>
      <c r="B1171" s="1339" t="s">
        <v>6144</v>
      </c>
      <c r="C1171" s="4413"/>
      <c r="D1171" s="4404">
        <v>100000000</v>
      </c>
      <c r="E1171" s="4407">
        <v>7.0000000000000007E-2</v>
      </c>
      <c r="F1171" s="4404">
        <f>D1171*E1171</f>
        <v>7000000.0000000009</v>
      </c>
      <c r="G1171" s="4404"/>
      <c r="H1171" s="4404"/>
      <c r="I1171" s="4404"/>
      <c r="J1171" s="4404"/>
      <c r="K1171" s="4404"/>
      <c r="L1171" s="4421" t="s">
        <v>6145</v>
      </c>
      <c r="M1171" s="4432"/>
      <c r="N1171" s="4432"/>
      <c r="O1171" s="4432"/>
      <c r="P1171" s="386"/>
      <c r="Q1171" s="386"/>
    </row>
    <row r="1172" spans="1:17" s="1659" customFormat="1" ht="30" customHeight="1" x14ac:dyDescent="0.2">
      <c r="A1172" s="4416"/>
      <c r="B1172" s="1339" t="s">
        <v>6163</v>
      </c>
      <c r="C1172" s="4413"/>
      <c r="D1172" s="7470" t="s">
        <v>6164</v>
      </c>
      <c r="E1172" s="7493"/>
      <c r="F1172" s="7510"/>
      <c r="G1172" s="4404">
        <v>30000000</v>
      </c>
      <c r="H1172" s="4404" t="s">
        <v>6152</v>
      </c>
      <c r="I1172" s="4404" t="s">
        <v>5759</v>
      </c>
      <c r="J1172" s="4404">
        <f>G1172</f>
        <v>30000000</v>
      </c>
      <c r="K1172" s="4404"/>
      <c r="L1172" s="4421"/>
      <c r="M1172" s="4432"/>
      <c r="N1172" s="4432"/>
      <c r="O1172" s="4432"/>
      <c r="P1172" s="386"/>
      <c r="Q1172" s="386"/>
    </row>
    <row r="1173" spans="1:17" s="1659" customFormat="1" ht="30" customHeight="1" x14ac:dyDescent="0.2">
      <c r="A1173" s="4416"/>
      <c r="B1173" s="1339" t="s">
        <v>6167</v>
      </c>
      <c r="C1173" s="4413"/>
      <c r="D1173" s="7470" t="s">
        <v>6168</v>
      </c>
      <c r="E1173" s="7493"/>
      <c r="F1173" s="7510"/>
      <c r="G1173" s="7732" t="s">
        <v>6169</v>
      </c>
      <c r="H1173" s="7733"/>
      <c r="I1173" s="7733"/>
      <c r="J1173" s="7734"/>
      <c r="K1173" s="4404"/>
      <c r="L1173" s="4421"/>
      <c r="M1173" s="4432"/>
      <c r="N1173" s="4432"/>
      <c r="O1173" s="4432"/>
      <c r="P1173" s="386"/>
      <c r="Q1173" s="386"/>
    </row>
    <row r="1174" spans="1:17" s="1659" customFormat="1" ht="30" customHeight="1" x14ac:dyDescent="0.2">
      <c r="A1174" s="4416"/>
      <c r="B1174" s="1339" t="s">
        <v>6172</v>
      </c>
      <c r="C1174" s="4413" t="s">
        <v>2644</v>
      </c>
      <c r="D1174" s="4440">
        <v>100000000</v>
      </c>
      <c r="E1174" s="4727">
        <v>0.05</v>
      </c>
      <c r="F1174" s="4440">
        <f>D1174*E1174</f>
        <v>5000000</v>
      </c>
      <c r="G1174" s="7732" t="s">
        <v>6173</v>
      </c>
      <c r="H1174" s="7733"/>
      <c r="I1174" s="7733"/>
      <c r="J1174" s="7734"/>
      <c r="K1174" s="4404"/>
      <c r="L1174" s="4421" t="s">
        <v>6174</v>
      </c>
      <c r="M1174" s="4432"/>
      <c r="N1174" s="4432"/>
      <c r="O1174" s="4432"/>
      <c r="P1174" s="386"/>
      <c r="Q1174" s="386"/>
    </row>
    <row r="1175" spans="1:17" s="1659" customFormat="1" ht="30" customHeight="1" x14ac:dyDescent="0.2">
      <c r="A1175" s="4416"/>
      <c r="B1175" s="1339" t="s">
        <v>6176</v>
      </c>
      <c r="C1175" s="4413"/>
      <c r="D1175" s="4444"/>
      <c r="E1175" s="4444"/>
      <c r="F1175" s="4444"/>
      <c r="G1175" s="4404">
        <v>35000000</v>
      </c>
      <c r="H1175" s="4404" t="s">
        <v>6152</v>
      </c>
      <c r="I1175" s="4404" t="s">
        <v>6177</v>
      </c>
      <c r="J1175" s="4404">
        <f>G1175</f>
        <v>35000000</v>
      </c>
      <c r="K1175" s="4454">
        <f>F1175-J1175</f>
        <v>-35000000</v>
      </c>
      <c r="L1175" s="4421"/>
      <c r="M1175" s="4432"/>
      <c r="N1175" s="4432"/>
      <c r="O1175" s="4432"/>
      <c r="P1175" s="386"/>
      <c r="Q1175" s="386"/>
    </row>
    <row r="1176" spans="1:17" s="1659" customFormat="1" ht="30" customHeight="1" x14ac:dyDescent="0.2">
      <c r="A1176" s="7703"/>
      <c r="B1176" s="7703" t="s">
        <v>6295</v>
      </c>
      <c r="C1176" s="7723" t="s">
        <v>262</v>
      </c>
      <c r="D1176" s="7563">
        <v>50000000</v>
      </c>
      <c r="E1176" s="7659">
        <v>7.0000000000000007E-2</v>
      </c>
      <c r="F1176" s="7563">
        <f>D1176*E1176</f>
        <v>3500000.0000000005</v>
      </c>
      <c r="G1176" s="7991" t="s">
        <v>5756</v>
      </c>
      <c r="H1176" s="7992"/>
      <c r="I1176" s="7992"/>
      <c r="J1176" s="7993"/>
      <c r="K1176" s="4538"/>
      <c r="L1176" s="4540" t="s">
        <v>5631</v>
      </c>
      <c r="M1176" s="4542"/>
      <c r="N1176" s="4542"/>
      <c r="O1176" s="4542"/>
      <c r="P1176" s="386"/>
      <c r="Q1176" s="386"/>
    </row>
    <row r="1177" spans="1:17" s="1659" customFormat="1" ht="30" customHeight="1" x14ac:dyDescent="0.2">
      <c r="A1177" s="7704"/>
      <c r="B1177" s="7704"/>
      <c r="C1177" s="7747"/>
      <c r="D1177" s="7564"/>
      <c r="E1177" s="7660"/>
      <c r="F1177" s="7564"/>
      <c r="G1177" s="4725">
        <v>2824000</v>
      </c>
      <c r="H1177" s="4725" t="s">
        <v>6512</v>
      </c>
      <c r="I1177" s="4725" t="s">
        <v>6527</v>
      </c>
      <c r="J1177" s="4725">
        <f>G1177</f>
        <v>2824000</v>
      </c>
      <c r="K1177" s="4538"/>
      <c r="L1177" s="4540" t="s">
        <v>5632</v>
      </c>
      <c r="M1177" s="4542"/>
      <c r="N1177" s="4542"/>
      <c r="O1177" s="4542"/>
      <c r="P1177" s="386"/>
      <c r="Q1177" s="386"/>
    </row>
    <row r="1178" spans="1:17" s="1659" customFormat="1" ht="30" customHeight="1" x14ac:dyDescent="0.2">
      <c r="A1178" s="7704"/>
      <c r="B1178" s="7704"/>
      <c r="C1178" s="7747"/>
      <c r="D1178" s="8378">
        <v>1000000000</v>
      </c>
      <c r="E1178" s="8375"/>
      <c r="F1178" s="8378"/>
      <c r="G1178" s="8384" t="s">
        <v>6184</v>
      </c>
      <c r="H1178" s="8385"/>
      <c r="I1178" s="8385"/>
      <c r="J1178" s="8386"/>
      <c r="K1178" s="4594"/>
      <c r="L1178" s="4619" t="s">
        <v>6183</v>
      </c>
      <c r="M1178" s="4432"/>
      <c r="N1178" s="4432"/>
      <c r="O1178" s="4432"/>
      <c r="P1178" s="386"/>
      <c r="Q1178" s="386"/>
    </row>
    <row r="1179" spans="1:17" s="1659" customFormat="1" ht="30" customHeight="1" x14ac:dyDescent="0.2">
      <c r="A1179" s="7704"/>
      <c r="B1179" s="7704"/>
      <c r="C1179" s="7747"/>
      <c r="D1179" s="8379"/>
      <c r="E1179" s="8376"/>
      <c r="F1179" s="8379"/>
      <c r="G1179" s="8387" t="s">
        <v>6185</v>
      </c>
      <c r="H1179" s="8388"/>
      <c r="I1179" s="8388"/>
      <c r="J1179" s="8389"/>
      <c r="K1179" s="4594"/>
      <c r="L1179" s="4619" t="s">
        <v>6182</v>
      </c>
      <c r="M1179" s="4469"/>
      <c r="N1179" s="4469"/>
      <c r="O1179" s="4469"/>
      <c r="P1179" s="386"/>
      <c r="Q1179" s="386"/>
    </row>
    <row r="1180" spans="1:17" s="1659" customFormat="1" ht="30" customHeight="1" x14ac:dyDescent="0.2">
      <c r="A1180" s="7704"/>
      <c r="B1180" s="7704"/>
      <c r="C1180" s="7747"/>
      <c r="D1180" s="8379"/>
      <c r="E1180" s="8376"/>
      <c r="F1180" s="8379"/>
      <c r="G1180" s="7732" t="s">
        <v>6346</v>
      </c>
      <c r="H1180" s="7733"/>
      <c r="I1180" s="7733"/>
      <c r="J1180" s="7734"/>
      <c r="K1180" s="4594"/>
      <c r="L1180" s="4619"/>
      <c r="M1180" s="4592"/>
      <c r="N1180" s="4592"/>
      <c r="O1180" s="4592"/>
      <c r="P1180" s="386"/>
      <c r="Q1180" s="386"/>
    </row>
    <row r="1181" spans="1:17" s="1659" customFormat="1" ht="30" customHeight="1" x14ac:dyDescent="0.2">
      <c r="A1181" s="7704"/>
      <c r="B1181" s="7704"/>
      <c r="C1181" s="7747"/>
      <c r="D1181" s="8379"/>
      <c r="E1181" s="8376"/>
      <c r="F1181" s="8379"/>
      <c r="G1181" s="7732" t="s">
        <v>6340</v>
      </c>
      <c r="H1181" s="7733"/>
      <c r="I1181" s="7733"/>
      <c r="J1181" s="7734"/>
      <c r="K1181" s="4594"/>
      <c r="L1181" s="4619"/>
      <c r="M1181" s="4592"/>
      <c r="N1181" s="4592"/>
      <c r="O1181" s="4592"/>
      <c r="P1181" s="386"/>
      <c r="Q1181" s="386"/>
    </row>
    <row r="1182" spans="1:17" s="1659" customFormat="1" ht="30" customHeight="1" x14ac:dyDescent="0.2">
      <c r="A1182" s="7704"/>
      <c r="B1182" s="7704"/>
      <c r="C1182" s="7747"/>
      <c r="D1182" s="8379"/>
      <c r="E1182" s="8376"/>
      <c r="F1182" s="8379"/>
      <c r="G1182" s="7732" t="s">
        <v>6348</v>
      </c>
      <c r="H1182" s="7733"/>
      <c r="I1182" s="7733"/>
      <c r="J1182" s="7734"/>
      <c r="K1182" s="4594"/>
      <c r="L1182" s="4619"/>
      <c r="M1182" s="4592"/>
      <c r="N1182" s="4592"/>
      <c r="O1182" s="4592"/>
      <c r="P1182" s="386"/>
      <c r="Q1182" s="386"/>
    </row>
    <row r="1183" spans="1:17" s="1659" customFormat="1" ht="30" customHeight="1" x14ac:dyDescent="0.2">
      <c r="A1183" s="7704"/>
      <c r="B1183" s="7704"/>
      <c r="C1183" s="7747"/>
      <c r="D1183" s="8379"/>
      <c r="E1183" s="8376"/>
      <c r="F1183" s="8379"/>
      <c r="G1183" s="7732" t="s">
        <v>6347</v>
      </c>
      <c r="H1183" s="7733"/>
      <c r="I1183" s="7733"/>
      <c r="J1183" s="7734"/>
      <c r="K1183" s="4594"/>
      <c r="L1183" s="4619"/>
      <c r="M1183" s="4592"/>
      <c r="N1183" s="4592"/>
      <c r="O1183" s="4592"/>
      <c r="P1183" s="386"/>
      <c r="Q1183" s="386"/>
    </row>
    <row r="1184" spans="1:17" s="1659" customFormat="1" ht="30" customHeight="1" x14ac:dyDescent="0.2">
      <c r="A1184" s="7704"/>
      <c r="B1184" s="7704"/>
      <c r="C1184" s="7747"/>
      <c r="D1184" s="8379"/>
      <c r="E1184" s="8376"/>
      <c r="F1184" s="8379"/>
      <c r="G1184" s="7732" t="s">
        <v>6341</v>
      </c>
      <c r="H1184" s="7733"/>
      <c r="I1184" s="7733"/>
      <c r="J1184" s="7734"/>
      <c r="K1184" s="4594"/>
      <c r="L1184" s="4619"/>
      <c r="M1184" s="4592"/>
      <c r="N1184" s="4592"/>
      <c r="O1184" s="4592"/>
      <c r="P1184" s="386"/>
      <c r="Q1184" s="386"/>
    </row>
    <row r="1185" spans="1:17" s="1659" customFormat="1" ht="30" customHeight="1" x14ac:dyDescent="0.2">
      <c r="A1185" s="7704"/>
      <c r="B1185" s="7704"/>
      <c r="C1185" s="7747"/>
      <c r="D1185" s="8379"/>
      <c r="E1185" s="8376"/>
      <c r="F1185" s="8379"/>
      <c r="G1185" s="7732" t="s">
        <v>6344</v>
      </c>
      <c r="H1185" s="7733"/>
      <c r="I1185" s="7733"/>
      <c r="J1185" s="7734"/>
      <c r="K1185" s="4594"/>
      <c r="L1185" s="4619"/>
      <c r="M1185" s="4592"/>
      <c r="N1185" s="4592"/>
      <c r="O1185" s="4592"/>
      <c r="P1185" s="386"/>
      <c r="Q1185" s="386"/>
    </row>
    <row r="1186" spans="1:17" s="1659" customFormat="1" ht="30" customHeight="1" x14ac:dyDescent="0.2">
      <c r="A1186" s="7704"/>
      <c r="B1186" s="7704"/>
      <c r="C1186" s="7747"/>
      <c r="D1186" s="8379"/>
      <c r="E1186" s="8376"/>
      <c r="F1186" s="8379"/>
      <c r="G1186" s="7732" t="s">
        <v>6345</v>
      </c>
      <c r="H1186" s="7733"/>
      <c r="I1186" s="7733"/>
      <c r="J1186" s="7734"/>
      <c r="K1186" s="4594"/>
      <c r="L1186" s="4619"/>
      <c r="M1186" s="4592"/>
      <c r="N1186" s="4592"/>
      <c r="O1186" s="4592"/>
      <c r="P1186" s="386"/>
      <c r="Q1186" s="386"/>
    </row>
    <row r="1187" spans="1:17" s="1659" customFormat="1" ht="30" customHeight="1" x14ac:dyDescent="0.2">
      <c r="A1187" s="7704"/>
      <c r="B1187" s="7704"/>
      <c r="C1187" s="7747"/>
      <c r="D1187" s="8379"/>
      <c r="E1187" s="8376"/>
      <c r="F1187" s="8379"/>
      <c r="G1187" s="7732" t="s">
        <v>6342</v>
      </c>
      <c r="H1187" s="7733"/>
      <c r="I1187" s="7733"/>
      <c r="J1187" s="7734"/>
      <c r="K1187" s="4594"/>
      <c r="L1187" s="4619"/>
      <c r="M1187" s="4592"/>
      <c r="N1187" s="4592"/>
      <c r="O1187" s="4592"/>
      <c r="P1187" s="386"/>
      <c r="Q1187" s="386"/>
    </row>
    <row r="1188" spans="1:17" s="1659" customFormat="1" ht="30" customHeight="1" x14ac:dyDescent="0.2">
      <c r="A1188" s="7704"/>
      <c r="B1188" s="7704"/>
      <c r="C1188" s="7747"/>
      <c r="D1188" s="8379"/>
      <c r="E1188" s="8376"/>
      <c r="F1188" s="8379"/>
      <c r="G1188" s="7732" t="s">
        <v>6343</v>
      </c>
      <c r="H1188" s="7733"/>
      <c r="I1188" s="7733"/>
      <c r="J1188" s="7734"/>
      <c r="K1188" s="4594"/>
      <c r="L1188" s="4619"/>
      <c r="M1188" s="4592"/>
      <c r="N1188" s="4592"/>
      <c r="O1188" s="4592"/>
      <c r="P1188" s="386"/>
      <c r="Q1188" s="386"/>
    </row>
    <row r="1189" spans="1:17" s="1659" customFormat="1" ht="30" customHeight="1" x14ac:dyDescent="0.2">
      <c r="A1189" s="7705"/>
      <c r="B1189" s="7705"/>
      <c r="C1189" s="7724"/>
      <c r="D1189" s="8380"/>
      <c r="E1189" s="8377"/>
      <c r="F1189" s="8380"/>
      <c r="G1189" s="7732" t="s">
        <v>6349</v>
      </c>
      <c r="H1189" s="7733"/>
      <c r="I1189" s="7733"/>
      <c r="J1189" s="7734"/>
      <c r="K1189" s="4594"/>
      <c r="L1189" s="4619"/>
      <c r="M1189" s="4592"/>
      <c r="N1189" s="4592"/>
      <c r="O1189" s="4592"/>
      <c r="P1189" s="386"/>
      <c r="Q1189" s="386"/>
    </row>
    <row r="1190" spans="1:17" s="1659" customFormat="1" ht="30" customHeight="1" x14ac:dyDescent="0.2">
      <c r="A1190" s="4467"/>
      <c r="B1190" s="1339" t="s">
        <v>6189</v>
      </c>
      <c r="C1190" s="4456" t="s">
        <v>392</v>
      </c>
      <c r="D1190" s="4443">
        <v>100000000</v>
      </c>
      <c r="E1190" s="4453">
        <v>0.04</v>
      </c>
      <c r="F1190" s="4443">
        <f>D1190*E1190</f>
        <v>4000000</v>
      </c>
      <c r="G1190" s="7732" t="s">
        <v>6284</v>
      </c>
      <c r="H1190" s="7733"/>
      <c r="I1190" s="7733"/>
      <c r="J1190" s="7734"/>
      <c r="K1190" s="4443"/>
      <c r="L1190" s="4465" t="s">
        <v>6190</v>
      </c>
      <c r="M1190" s="4469"/>
      <c r="N1190" s="4469"/>
      <c r="O1190" s="4469"/>
      <c r="P1190" s="386"/>
      <c r="Q1190" s="386"/>
    </row>
    <row r="1191" spans="1:17" s="1659" customFormat="1" ht="30" customHeight="1" x14ac:dyDescent="0.2">
      <c r="A1191" s="4512"/>
      <c r="B1191" s="1339" t="s">
        <v>6229</v>
      </c>
      <c r="C1191" s="4493"/>
      <c r="D1191" s="4482">
        <v>47000000</v>
      </c>
      <c r="E1191" s="4485">
        <v>4.2999999999999997E-2</v>
      </c>
      <c r="F1191" s="4482">
        <v>2000000</v>
      </c>
      <c r="G1191" s="4482">
        <v>2000000</v>
      </c>
      <c r="H1191" s="4482" t="s">
        <v>6220</v>
      </c>
      <c r="I1191" s="4494" t="s">
        <v>6230</v>
      </c>
      <c r="J1191" s="4482">
        <f>G1191</f>
        <v>2000000</v>
      </c>
      <c r="K1191" s="4482">
        <f>F1191-J1191</f>
        <v>0</v>
      </c>
      <c r="L1191" s="4502"/>
      <c r="M1191" s="4513"/>
      <c r="N1191" s="4513"/>
      <c r="O1191" s="4513"/>
      <c r="P1191" s="386"/>
      <c r="Q1191" s="386"/>
    </row>
    <row r="1192" spans="1:17" s="1659" customFormat="1" ht="30" customHeight="1" x14ac:dyDescent="0.2">
      <c r="A1192" s="7703"/>
      <c r="B1192" s="7652" t="s">
        <v>6271</v>
      </c>
      <c r="C1192" s="7723"/>
      <c r="D1192" s="7563">
        <v>150000000</v>
      </c>
      <c r="E1192" s="7659">
        <v>0.06</v>
      </c>
      <c r="F1192" s="7563">
        <f>D1192*E1192</f>
        <v>9000000</v>
      </c>
      <c r="G1192" s="7732" t="s">
        <v>6270</v>
      </c>
      <c r="H1192" s="7733"/>
      <c r="I1192" s="7733"/>
      <c r="J1192" s="7734"/>
      <c r="K1192" s="4482"/>
      <c r="L1192" s="4502" t="s">
        <v>6273</v>
      </c>
      <c r="M1192" s="4513"/>
      <c r="N1192" s="4513"/>
      <c r="O1192" s="4513"/>
      <c r="P1192" s="386"/>
      <c r="Q1192" s="386"/>
    </row>
    <row r="1193" spans="1:17" s="1659" customFormat="1" ht="30" customHeight="1" x14ac:dyDescent="0.2">
      <c r="A1193" s="7705"/>
      <c r="B1193" s="7653"/>
      <c r="C1193" s="7724"/>
      <c r="D1193" s="7564"/>
      <c r="E1193" s="7660"/>
      <c r="F1193" s="7564"/>
      <c r="G1193" s="7732" t="s">
        <v>6272</v>
      </c>
      <c r="H1193" s="7733"/>
      <c r="I1193" s="7733"/>
      <c r="J1193" s="7734"/>
      <c r="K1193" s="4482"/>
      <c r="L1193" s="4502" t="s">
        <v>6665</v>
      </c>
      <c r="M1193" s="4513"/>
      <c r="N1193" s="4513"/>
      <c r="O1193" s="4513"/>
      <c r="P1193" s="386"/>
      <c r="Q1193" s="386"/>
    </row>
    <row r="1194" spans="1:17" s="1659" customFormat="1" ht="30" customHeight="1" x14ac:dyDescent="0.2">
      <c r="A1194" s="4855"/>
      <c r="B1194" s="4846" t="s">
        <v>6667</v>
      </c>
      <c r="C1194" s="4851"/>
      <c r="D1194" s="4844">
        <v>50000000</v>
      </c>
      <c r="E1194" s="4847">
        <v>7.0000000000000007E-2</v>
      </c>
      <c r="F1194" s="4844">
        <f>D1194*E1194</f>
        <v>3500000.0000000005</v>
      </c>
      <c r="G1194" s="4848"/>
      <c r="H1194" s="4849"/>
      <c r="I1194" s="4849"/>
      <c r="J1194" s="4850"/>
      <c r="K1194" s="4845"/>
      <c r="L1194" s="4854" t="s">
        <v>6668</v>
      </c>
      <c r="M1194" s="4857"/>
      <c r="N1194" s="4857"/>
      <c r="O1194" s="4857"/>
      <c r="P1194" s="386"/>
      <c r="Q1194" s="386"/>
    </row>
    <row r="1195" spans="1:17" s="1659" customFormat="1" ht="30" customHeight="1" x14ac:dyDescent="0.2">
      <c r="A1195" s="7703"/>
      <c r="B1195" s="7652" t="s">
        <v>6352</v>
      </c>
      <c r="C1195" s="7723"/>
      <c r="D1195" s="7563">
        <v>100000000</v>
      </c>
      <c r="E1195" s="7659"/>
      <c r="F1195" s="7563"/>
      <c r="G1195" s="4543"/>
      <c r="H1195" s="4543"/>
      <c r="I1195" s="4543"/>
      <c r="J1195" s="4543"/>
      <c r="K1195" s="4546"/>
      <c r="L1195" s="4566" t="s">
        <v>6304</v>
      </c>
      <c r="M1195" s="4570"/>
      <c r="N1195" s="4570"/>
      <c r="O1195" s="4570"/>
      <c r="P1195" s="386"/>
      <c r="Q1195" s="386"/>
    </row>
    <row r="1196" spans="1:17" s="1659" customFormat="1" ht="30" customHeight="1" x14ac:dyDescent="0.2">
      <c r="A1196" s="7704"/>
      <c r="B1196" s="7665"/>
      <c r="C1196" s="7747"/>
      <c r="D1196" s="7586"/>
      <c r="E1196" s="7676"/>
      <c r="F1196" s="7586"/>
      <c r="G1196" s="4543"/>
      <c r="H1196" s="4543"/>
      <c r="I1196" s="4543"/>
      <c r="J1196" s="4543"/>
      <c r="K1196" s="4546"/>
      <c r="L1196" s="4566" t="s">
        <v>6305</v>
      </c>
      <c r="M1196" s="4570"/>
      <c r="N1196" s="4570"/>
      <c r="O1196" s="4570"/>
      <c r="P1196" s="386"/>
      <c r="Q1196" s="386"/>
    </row>
    <row r="1197" spans="1:17" s="1659" customFormat="1" ht="30" customHeight="1" x14ac:dyDescent="0.2">
      <c r="A1197" s="7705"/>
      <c r="B1197" s="7653"/>
      <c r="C1197" s="7724"/>
      <c r="D1197" s="7564"/>
      <c r="E1197" s="7660"/>
      <c r="F1197" s="7564"/>
      <c r="G1197" s="4543"/>
      <c r="H1197" s="4543"/>
      <c r="I1197" s="4543"/>
      <c r="J1197" s="4543"/>
      <c r="K1197" s="4546"/>
      <c r="L1197" s="4566" t="s">
        <v>6353</v>
      </c>
      <c r="M1197" s="4570"/>
      <c r="N1197" s="4570"/>
      <c r="O1197" s="4570"/>
      <c r="P1197" s="386"/>
      <c r="Q1197" s="386"/>
    </row>
    <row r="1198" spans="1:17" s="1659" customFormat="1" ht="30" customHeight="1" x14ac:dyDescent="0.2">
      <c r="A1198" s="4562"/>
      <c r="B1198" s="4555" t="s">
        <v>6306</v>
      </c>
      <c r="C1198" s="4560"/>
      <c r="D1198" s="4546">
        <v>20000000</v>
      </c>
      <c r="E1198" s="4554">
        <v>0.06</v>
      </c>
      <c r="F1198" s="4546">
        <f>D1198*E1198</f>
        <v>1200000</v>
      </c>
      <c r="G1198" s="4546">
        <v>1200000</v>
      </c>
      <c r="H1198" s="4546" t="s">
        <v>6368</v>
      </c>
      <c r="I1198" s="4561" t="s">
        <v>6384</v>
      </c>
      <c r="J1198" s="4546">
        <f>G1198</f>
        <v>1200000</v>
      </c>
      <c r="K1198" s="4546">
        <f>F1198-J1198</f>
        <v>0</v>
      </c>
      <c r="L1198" s="4566" t="s">
        <v>6307</v>
      </c>
      <c r="M1198" s="4570"/>
      <c r="N1198" s="4570"/>
      <c r="O1198" s="4570"/>
      <c r="P1198" s="386"/>
      <c r="Q1198" s="386"/>
    </row>
    <row r="1199" spans="1:17" s="1659" customFormat="1" ht="30" customHeight="1" x14ac:dyDescent="0.2">
      <c r="A1199" s="4562"/>
      <c r="B1199" s="4555" t="s">
        <v>6371</v>
      </c>
      <c r="C1199" s="4560"/>
      <c r="D1199" s="4546">
        <v>100000000</v>
      </c>
      <c r="E1199" s="4554"/>
      <c r="F1199" s="4546"/>
      <c r="G1199" s="233"/>
      <c r="H1199" s="233"/>
      <c r="I1199" s="233"/>
      <c r="J1199" s="233"/>
      <c r="K1199" s="4546"/>
      <c r="L1199" s="4611" t="s">
        <v>6372</v>
      </c>
      <c r="M1199" s="4570"/>
      <c r="N1199" s="4570"/>
      <c r="O1199" s="4570"/>
      <c r="P1199" s="386"/>
      <c r="Q1199" s="386"/>
    </row>
    <row r="1200" spans="1:17" s="1659" customFormat="1" ht="30" customHeight="1" x14ac:dyDescent="0.2">
      <c r="A1200" s="4606"/>
      <c r="B1200" s="4600" t="s">
        <v>6377</v>
      </c>
      <c r="C1200" s="4602"/>
      <c r="D1200" s="4597">
        <v>100000000</v>
      </c>
      <c r="E1200" s="4598"/>
      <c r="F1200" s="4597"/>
      <c r="G1200" s="7732" t="s">
        <v>6378</v>
      </c>
      <c r="H1200" s="7733"/>
      <c r="I1200" s="7733"/>
      <c r="J1200" s="7734"/>
      <c r="K1200" s="4597"/>
      <c r="L1200" s="4611"/>
      <c r="M1200" s="4613"/>
      <c r="N1200" s="4613"/>
      <c r="O1200" s="4613"/>
      <c r="P1200" s="386"/>
      <c r="Q1200" s="386"/>
    </row>
    <row r="1201" spans="1:17" s="1659" customFormat="1" ht="30" customHeight="1" x14ac:dyDescent="0.2">
      <c r="A1201" s="4606"/>
      <c r="B1201" s="4600" t="s">
        <v>6401</v>
      </c>
      <c r="C1201" s="4602"/>
      <c r="D1201" s="4597">
        <v>20000000</v>
      </c>
      <c r="E1201" s="4598">
        <v>0.05</v>
      </c>
      <c r="F1201" s="4597">
        <f>D1201*E1201</f>
        <v>1000000</v>
      </c>
      <c r="G1201" s="4645">
        <v>1000000</v>
      </c>
      <c r="H1201" s="4645" t="s">
        <v>4491</v>
      </c>
      <c r="I1201" s="4650" t="s">
        <v>6402</v>
      </c>
      <c r="J1201" s="4645">
        <f>G1201</f>
        <v>1000000</v>
      </c>
      <c r="K1201" s="4597">
        <f>F1201-J1201</f>
        <v>0</v>
      </c>
      <c r="L1201" s="4611" t="s">
        <v>6403</v>
      </c>
      <c r="M1201" s="4613"/>
      <c r="N1201" s="4613"/>
      <c r="O1201" s="4613"/>
      <c r="P1201" s="386"/>
      <c r="Q1201" s="386"/>
    </row>
    <row r="1202" spans="1:17" s="1659" customFormat="1" ht="30" customHeight="1" x14ac:dyDescent="0.2">
      <c r="A1202" s="4606"/>
      <c r="B1202" s="4600" t="s">
        <v>6415</v>
      </c>
      <c r="C1202" s="4602"/>
      <c r="D1202" s="4597">
        <v>90000000</v>
      </c>
      <c r="E1202" s="4598">
        <v>5.5E-2</v>
      </c>
      <c r="F1202" s="4597">
        <v>5000000</v>
      </c>
      <c r="G1202" s="7732" t="s">
        <v>6427</v>
      </c>
      <c r="H1202" s="7733"/>
      <c r="I1202" s="7733"/>
      <c r="J1202" s="7734"/>
      <c r="K1202" s="4597"/>
      <c r="L1202" s="4655" t="s">
        <v>6416</v>
      </c>
      <c r="M1202" s="4613"/>
      <c r="N1202" s="4613"/>
      <c r="O1202" s="4613"/>
      <c r="P1202" s="386"/>
      <c r="Q1202" s="386"/>
    </row>
    <row r="1203" spans="1:17" s="1659" customFormat="1" ht="30" customHeight="1" x14ac:dyDescent="0.2">
      <c r="A1203" s="4684"/>
      <c r="B1203" s="4681" t="s">
        <v>6433</v>
      </c>
      <c r="C1203" s="4683"/>
      <c r="D1203" s="4680">
        <v>100000000</v>
      </c>
      <c r="E1203" s="4682">
        <v>0.05</v>
      </c>
      <c r="F1203" s="4680">
        <f t="shared" ref="F1203:F1222" si="124">D1203*E1203</f>
        <v>5000000</v>
      </c>
      <c r="G1203" s="4679"/>
      <c r="H1203" s="4679"/>
      <c r="I1203" s="4679"/>
      <c r="J1203" s="4679"/>
      <c r="K1203" s="4680"/>
      <c r="L1203" s="4689" t="s">
        <v>6434</v>
      </c>
      <c r="M1203" s="4691"/>
      <c r="N1203" s="4691"/>
      <c r="O1203" s="4691"/>
      <c r="P1203" s="386"/>
      <c r="Q1203" s="386"/>
    </row>
    <row r="1204" spans="1:17" s="1659" customFormat="1" ht="30" customHeight="1" x14ac:dyDescent="0.2">
      <c r="A1204" s="7703"/>
      <c r="B1204" s="7652" t="s">
        <v>6470</v>
      </c>
      <c r="C1204" s="7723"/>
      <c r="D1204" s="7563">
        <v>25000000</v>
      </c>
      <c r="E1204" s="7659">
        <v>0.05</v>
      </c>
      <c r="F1204" s="7563">
        <f t="shared" si="124"/>
        <v>1250000</v>
      </c>
      <c r="G1204" s="7732" t="s">
        <v>6643</v>
      </c>
      <c r="H1204" s="7733"/>
      <c r="I1204" s="7733"/>
      <c r="J1204" s="7734"/>
      <c r="K1204" s="4680"/>
      <c r="L1204" s="4717" t="s">
        <v>6471</v>
      </c>
      <c r="M1204" s="4691"/>
      <c r="N1204" s="4691"/>
      <c r="O1204" s="4691"/>
      <c r="P1204" s="386"/>
      <c r="Q1204" s="386"/>
    </row>
    <row r="1205" spans="1:17" s="1659" customFormat="1" ht="30" customHeight="1" x14ac:dyDescent="0.2">
      <c r="A1205" s="7704"/>
      <c r="B1205" s="7665"/>
      <c r="C1205" s="7747"/>
      <c r="D1205" s="7586"/>
      <c r="E1205" s="7676"/>
      <c r="F1205" s="7586"/>
      <c r="G1205" s="7732" t="s">
        <v>6644</v>
      </c>
      <c r="H1205" s="7733"/>
      <c r="I1205" s="7733"/>
      <c r="J1205" s="7734"/>
      <c r="K1205" s="4819"/>
      <c r="L1205" s="4835"/>
      <c r="M1205" s="4838"/>
      <c r="N1205" s="4838"/>
      <c r="O1205" s="4838"/>
      <c r="P1205" s="386"/>
      <c r="Q1205" s="386"/>
    </row>
    <row r="1206" spans="1:17" s="1659" customFormat="1" ht="30" customHeight="1" x14ac:dyDescent="0.2">
      <c r="A1206" s="7705"/>
      <c r="B1206" s="7653"/>
      <c r="C1206" s="7724"/>
      <c r="D1206" s="7564"/>
      <c r="E1206" s="7660"/>
      <c r="F1206" s="7564"/>
      <c r="G1206" s="7470"/>
      <c r="H1206" s="7493"/>
      <c r="I1206" s="7493"/>
      <c r="J1206" s="7510"/>
      <c r="K1206" s="4819"/>
      <c r="L1206" s="4835"/>
      <c r="M1206" s="4838"/>
      <c r="N1206" s="4838"/>
      <c r="O1206" s="4838"/>
      <c r="P1206" s="386"/>
      <c r="Q1206" s="386"/>
    </row>
    <row r="1207" spans="1:17" s="1659" customFormat="1" ht="30" customHeight="1" x14ac:dyDescent="0.2">
      <c r="A1207" s="4712"/>
      <c r="B1207" s="4704" t="s">
        <v>6507</v>
      </c>
      <c r="C1207" s="4710"/>
      <c r="D1207" s="4702">
        <v>100000000</v>
      </c>
      <c r="E1207" s="4708">
        <v>0.05</v>
      </c>
      <c r="F1207" s="4702">
        <f t="shared" si="124"/>
        <v>5000000</v>
      </c>
      <c r="G1207" s="7732" t="s">
        <v>6508</v>
      </c>
      <c r="H1207" s="7733"/>
      <c r="I1207" s="7733"/>
      <c r="J1207" s="7734"/>
      <c r="K1207" s="4702"/>
      <c r="L1207" s="4717" t="s">
        <v>6506</v>
      </c>
      <c r="M1207" s="4719"/>
      <c r="N1207" s="4719"/>
      <c r="O1207" s="4719"/>
      <c r="P1207" s="386"/>
      <c r="Q1207" s="386"/>
    </row>
    <row r="1208" spans="1:17" s="1659" customFormat="1" ht="30" customHeight="1" x14ac:dyDescent="0.2">
      <c r="A1208" s="4829"/>
      <c r="B1208" s="4822" t="s">
        <v>6524</v>
      </c>
      <c r="C1208" s="4827"/>
      <c r="D1208" s="4819">
        <v>200000000</v>
      </c>
      <c r="E1208" s="4823">
        <v>0.05</v>
      </c>
      <c r="F1208" s="4819">
        <f t="shared" si="124"/>
        <v>10000000</v>
      </c>
      <c r="G1208" s="7732" t="s">
        <v>6526</v>
      </c>
      <c r="H1208" s="7733"/>
      <c r="I1208" s="7733"/>
      <c r="J1208" s="7734"/>
      <c r="K1208" s="4702"/>
      <c r="L1208" s="4717" t="s">
        <v>6525</v>
      </c>
      <c r="M1208" s="4719"/>
      <c r="N1208" s="4719"/>
      <c r="O1208" s="4719"/>
      <c r="P1208" s="386"/>
      <c r="Q1208" s="386"/>
    </row>
    <row r="1209" spans="1:17" s="1659" customFormat="1" ht="30" customHeight="1" x14ac:dyDescent="0.2">
      <c r="A1209" s="4753"/>
      <c r="B1209" s="4742" t="s">
        <v>6544</v>
      </c>
      <c r="C1209" s="4750"/>
      <c r="D1209" s="4738">
        <v>316000000</v>
      </c>
      <c r="E1209" s="4744">
        <v>7.0000000000000007E-2</v>
      </c>
      <c r="F1209" s="4738">
        <f t="shared" si="124"/>
        <v>22120000.000000004</v>
      </c>
      <c r="G1209" s="4736">
        <v>22120000</v>
      </c>
      <c r="H1209" s="4736" t="s">
        <v>6440</v>
      </c>
      <c r="I1209" s="4736" t="s">
        <v>6545</v>
      </c>
      <c r="J1209" s="4736">
        <f>G1209</f>
        <v>22120000</v>
      </c>
      <c r="K1209" s="4738"/>
      <c r="L1209" s="4759" t="s">
        <v>6546</v>
      </c>
      <c r="M1209" s="4760"/>
      <c r="N1209" s="4760"/>
      <c r="O1209" s="4760"/>
      <c r="P1209" s="386"/>
      <c r="Q1209" s="386"/>
    </row>
    <row r="1210" spans="1:17" s="1659" customFormat="1" ht="30" customHeight="1" x14ac:dyDescent="0.2">
      <c r="A1210" s="4753"/>
      <c r="B1210" s="4742" t="s">
        <v>6548</v>
      </c>
      <c r="C1210" s="4750"/>
      <c r="D1210" s="4738">
        <v>40000000</v>
      </c>
      <c r="E1210" s="4744">
        <v>0.05</v>
      </c>
      <c r="F1210" s="4738">
        <f t="shared" si="124"/>
        <v>2000000</v>
      </c>
      <c r="G1210" s="4736"/>
      <c r="H1210" s="4736"/>
      <c r="I1210" s="4736"/>
      <c r="J1210" s="4736"/>
      <c r="K1210" s="4738"/>
      <c r="L1210" s="4759" t="s">
        <v>6549</v>
      </c>
      <c r="M1210" s="4760"/>
      <c r="N1210" s="4760"/>
      <c r="O1210" s="4760"/>
      <c r="P1210" s="386"/>
      <c r="Q1210" s="386"/>
    </row>
    <row r="1211" spans="1:17" s="1659" customFormat="1" ht="30" customHeight="1" x14ac:dyDescent="0.2">
      <c r="A1211" s="4753"/>
      <c r="B1211" s="5277" t="s">
        <v>6550</v>
      </c>
      <c r="C1211" s="5286"/>
      <c r="D1211" s="5279">
        <v>60000000</v>
      </c>
      <c r="E1211" s="5278">
        <v>0.05</v>
      </c>
      <c r="F1211" s="5279">
        <f t="shared" si="124"/>
        <v>3000000</v>
      </c>
      <c r="G1211" s="5272"/>
      <c r="H1211" s="5272"/>
      <c r="I1211" s="5272"/>
      <c r="J1211" s="5272"/>
      <c r="K1211" s="5279"/>
      <c r="L1211" s="3476" t="s">
        <v>6551</v>
      </c>
      <c r="M1211" s="4760"/>
      <c r="N1211" s="4760"/>
      <c r="O1211" s="4760"/>
      <c r="P1211" s="386"/>
      <c r="Q1211" s="386"/>
    </row>
    <row r="1212" spans="1:17" s="1659" customFormat="1" ht="30" customHeight="1" x14ac:dyDescent="0.2">
      <c r="A1212" s="4794"/>
      <c r="B1212" s="4779" t="s">
        <v>6574</v>
      </c>
      <c r="C1212" s="4788"/>
      <c r="D1212" s="4774">
        <v>50000000</v>
      </c>
      <c r="E1212" s="4776">
        <v>0.05</v>
      </c>
      <c r="F1212" s="4774">
        <f t="shared" si="124"/>
        <v>2500000</v>
      </c>
      <c r="G1212" s="4774">
        <v>2500000</v>
      </c>
      <c r="H1212" s="4774" t="s">
        <v>3634</v>
      </c>
      <c r="I1212" s="4791" t="s">
        <v>6575</v>
      </c>
      <c r="J1212" s="4774">
        <f>G1212</f>
        <v>2500000</v>
      </c>
      <c r="K1212" s="4774">
        <f>F1212-J1212</f>
        <v>0</v>
      </c>
      <c r="L1212" s="4798" t="s">
        <v>6576</v>
      </c>
      <c r="M1212" s="4808"/>
      <c r="N1212" s="4808"/>
      <c r="O1212" s="4808"/>
      <c r="P1212" s="386"/>
      <c r="Q1212" s="386"/>
    </row>
    <row r="1213" spans="1:17" s="1659" customFormat="1" ht="30" customHeight="1" x14ac:dyDescent="0.2">
      <c r="A1213" s="4794"/>
      <c r="B1213" s="4779" t="s">
        <v>6585</v>
      </c>
      <c r="C1213" s="4788" t="s">
        <v>372</v>
      </c>
      <c r="D1213" s="4774">
        <v>20000000</v>
      </c>
      <c r="E1213" s="4776">
        <v>0.05</v>
      </c>
      <c r="F1213" s="4774">
        <f t="shared" si="124"/>
        <v>1000000</v>
      </c>
      <c r="G1213" s="7732" t="s">
        <v>6589</v>
      </c>
      <c r="H1213" s="7733"/>
      <c r="I1213" s="7733"/>
      <c r="J1213" s="7734"/>
      <c r="K1213" s="4774"/>
      <c r="L1213" s="4798" t="s">
        <v>6586</v>
      </c>
      <c r="M1213" s="4808"/>
      <c r="N1213" s="4808"/>
      <c r="O1213" s="4808"/>
      <c r="P1213" s="386"/>
      <c r="Q1213" s="386"/>
    </row>
    <row r="1214" spans="1:17" s="1659" customFormat="1" ht="30" customHeight="1" x14ac:dyDescent="0.2">
      <c r="A1214" s="4794"/>
      <c r="B1214" s="4779" t="s">
        <v>6587</v>
      </c>
      <c r="C1214" s="4788"/>
      <c r="D1214" s="4774">
        <v>44000000</v>
      </c>
      <c r="E1214" s="4776">
        <v>0.05</v>
      </c>
      <c r="F1214" s="4774">
        <f t="shared" si="124"/>
        <v>2200000</v>
      </c>
      <c r="G1214" s="4774"/>
      <c r="H1214" s="4774"/>
      <c r="I1214" s="4791"/>
      <c r="J1214" s="4774"/>
      <c r="K1214" s="4774"/>
      <c r="L1214" s="4798" t="s">
        <v>6588</v>
      </c>
      <c r="M1214" s="4808"/>
      <c r="N1214" s="4808"/>
      <c r="O1214" s="4808"/>
      <c r="P1214" s="386"/>
      <c r="Q1214" s="386"/>
    </row>
    <row r="1215" spans="1:17" s="1659" customFormat="1" ht="30" customHeight="1" x14ac:dyDescent="0.2">
      <c r="A1215" s="7703"/>
      <c r="B1215" s="7652" t="s">
        <v>6550</v>
      </c>
      <c r="C1215" s="7723" t="s">
        <v>1652</v>
      </c>
      <c r="D1215" s="5271">
        <v>50000000</v>
      </c>
      <c r="E1215" s="5276">
        <v>0.05</v>
      </c>
      <c r="F1215" s="5271">
        <f t="shared" si="124"/>
        <v>2500000</v>
      </c>
      <c r="G1215" s="7991" t="s">
        <v>6590</v>
      </c>
      <c r="H1215" s="7992"/>
      <c r="I1215" s="7992"/>
      <c r="J1215" s="7993"/>
      <c r="K1215" s="7563"/>
      <c r="L1215" s="4798" t="s">
        <v>6592</v>
      </c>
      <c r="M1215" s="4808"/>
      <c r="N1215" s="4808"/>
      <c r="O1215" s="4808"/>
      <c r="P1215" s="386"/>
      <c r="Q1215" s="386"/>
    </row>
    <row r="1216" spans="1:17" s="1659" customFormat="1" ht="30" customHeight="1" x14ac:dyDescent="0.2">
      <c r="A1216" s="7704"/>
      <c r="B1216" s="7665"/>
      <c r="C1216" s="7747"/>
      <c r="D1216" s="5271">
        <v>10000000</v>
      </c>
      <c r="E1216" s="5276">
        <v>0.05</v>
      </c>
      <c r="F1216" s="5271">
        <f t="shared" si="124"/>
        <v>500000</v>
      </c>
      <c r="G1216" s="7997"/>
      <c r="H1216" s="7998"/>
      <c r="I1216" s="7998"/>
      <c r="J1216" s="7999"/>
      <c r="K1216" s="7564"/>
      <c r="L1216" s="4798" t="s">
        <v>6593</v>
      </c>
      <c r="M1216" s="4808"/>
      <c r="N1216" s="4808"/>
      <c r="O1216" s="4808"/>
      <c r="P1216" s="386"/>
      <c r="Q1216" s="386"/>
    </row>
    <row r="1217" spans="1:17" s="1659" customFormat="1" ht="30" customHeight="1" x14ac:dyDescent="0.2">
      <c r="A1217" s="7705"/>
      <c r="B1217" s="7653"/>
      <c r="C1217" s="7724"/>
      <c r="D1217" s="5271">
        <v>90000000</v>
      </c>
      <c r="E1217" s="5276">
        <v>0.05</v>
      </c>
      <c r="F1217" s="5271">
        <f t="shared" si="124"/>
        <v>4500000</v>
      </c>
      <c r="G1217" s="5268"/>
      <c r="H1217" s="5268"/>
      <c r="I1217" s="5268"/>
      <c r="J1217" s="5268"/>
      <c r="K1217" s="5271"/>
      <c r="L1217" s="4798" t="s">
        <v>6591</v>
      </c>
      <c r="M1217" s="4808"/>
      <c r="N1217" s="4808"/>
      <c r="O1217" s="4808"/>
      <c r="P1217" s="386"/>
      <c r="Q1217" s="386"/>
    </row>
    <row r="1218" spans="1:17" s="1659" customFormat="1" ht="30" customHeight="1" x14ac:dyDescent="0.2">
      <c r="A1218" s="7703"/>
      <c r="B1218" s="7652" t="s">
        <v>6605</v>
      </c>
      <c r="C1218" s="7723" t="s">
        <v>3007</v>
      </c>
      <c r="D1218" s="7563">
        <v>40000000</v>
      </c>
      <c r="E1218" s="7659">
        <v>0.05</v>
      </c>
      <c r="F1218" s="7563">
        <f t="shared" si="124"/>
        <v>2000000</v>
      </c>
      <c r="G1218" s="4774"/>
      <c r="H1218" s="4774"/>
      <c r="I1218" s="4791"/>
      <c r="J1218" s="4774"/>
      <c r="K1218" s="4774"/>
      <c r="L1218" s="4798" t="s">
        <v>6608</v>
      </c>
      <c r="M1218" s="4808"/>
      <c r="N1218" s="4808"/>
      <c r="O1218" s="4808"/>
      <c r="P1218" s="386"/>
      <c r="Q1218" s="386"/>
    </row>
    <row r="1219" spans="1:17" s="1659" customFormat="1" ht="30" customHeight="1" x14ac:dyDescent="0.2">
      <c r="A1219" s="7705"/>
      <c r="B1219" s="7653"/>
      <c r="C1219" s="7724"/>
      <c r="D1219" s="7564"/>
      <c r="E1219" s="7660"/>
      <c r="F1219" s="7564"/>
      <c r="G1219" s="4774"/>
      <c r="H1219" s="4774"/>
      <c r="I1219" s="4791"/>
      <c r="J1219" s="4774"/>
      <c r="K1219" s="4774"/>
      <c r="L1219" s="4798" t="s">
        <v>6609</v>
      </c>
      <c r="M1219" s="4808"/>
      <c r="N1219" s="4808"/>
      <c r="O1219" s="4808"/>
      <c r="P1219" s="386"/>
      <c r="Q1219" s="386"/>
    </row>
    <row r="1220" spans="1:17" s="1659" customFormat="1" ht="30" customHeight="1" x14ac:dyDescent="0.2">
      <c r="A1220" s="4794"/>
      <c r="B1220" s="4779" t="s">
        <v>6617</v>
      </c>
      <c r="C1220" s="4788"/>
      <c r="D1220" s="4774">
        <v>200000000</v>
      </c>
      <c r="E1220" s="4776">
        <v>6.5000000000000002E-2</v>
      </c>
      <c r="F1220" s="4774">
        <f t="shared" si="124"/>
        <v>13000000</v>
      </c>
      <c r="G1220" s="4774"/>
      <c r="H1220" s="4774"/>
      <c r="I1220" s="4791"/>
      <c r="J1220" s="4774"/>
      <c r="K1220" s="4774"/>
      <c r="L1220" s="4798" t="s">
        <v>6619</v>
      </c>
      <c r="M1220" s="4808"/>
      <c r="N1220" s="4808"/>
      <c r="O1220" s="4808"/>
      <c r="P1220" s="386"/>
      <c r="Q1220" s="386"/>
    </row>
    <row r="1221" spans="1:17" s="1659" customFormat="1" ht="30" customHeight="1" x14ac:dyDescent="0.2">
      <c r="A1221" s="4794"/>
      <c r="B1221" s="4779" t="s">
        <v>6618</v>
      </c>
      <c r="C1221" s="4788"/>
      <c r="D1221" s="4774">
        <v>100000000</v>
      </c>
      <c r="E1221" s="4776">
        <v>6.5000000000000002E-2</v>
      </c>
      <c r="F1221" s="4774">
        <f t="shared" si="124"/>
        <v>6500000</v>
      </c>
      <c r="G1221" s="4774"/>
      <c r="H1221" s="4774"/>
      <c r="I1221" s="4791"/>
      <c r="J1221" s="4774"/>
      <c r="K1221" s="4774"/>
      <c r="L1221" s="4798" t="s">
        <v>6620</v>
      </c>
      <c r="M1221" s="4808"/>
      <c r="N1221" s="4808"/>
      <c r="O1221" s="4808"/>
      <c r="P1221" s="386"/>
      <c r="Q1221" s="386"/>
    </row>
    <row r="1222" spans="1:17" s="1659" customFormat="1" ht="30" customHeight="1" x14ac:dyDescent="0.2">
      <c r="A1222" s="4794"/>
      <c r="B1222" s="4779" t="s">
        <v>6633</v>
      </c>
      <c r="C1222" s="4788" t="s">
        <v>1306</v>
      </c>
      <c r="D1222" s="4774">
        <v>10000000</v>
      </c>
      <c r="E1222" s="4776">
        <v>7.0000000000000007E-2</v>
      </c>
      <c r="F1222" s="4774">
        <f t="shared" si="124"/>
        <v>700000.00000000012</v>
      </c>
      <c r="G1222" s="4774">
        <v>700000</v>
      </c>
      <c r="H1222" s="4774" t="s">
        <v>6622</v>
      </c>
      <c r="I1222" s="4791" t="s">
        <v>6634</v>
      </c>
      <c r="J1222" s="4774">
        <f>G1222</f>
        <v>700000</v>
      </c>
      <c r="K1222" s="4774">
        <f>F1222-J1222</f>
        <v>0</v>
      </c>
      <c r="L1222" s="4798" t="s">
        <v>6635</v>
      </c>
      <c r="M1222" s="4808"/>
      <c r="N1222" s="4808"/>
      <c r="O1222" s="4808"/>
      <c r="P1222" s="386"/>
      <c r="Q1222" s="386"/>
    </row>
    <row r="1223" spans="1:17" s="1659" customFormat="1" ht="30" customHeight="1" x14ac:dyDescent="0.2">
      <c r="A1223" s="4794"/>
      <c r="B1223" s="4779" t="s">
        <v>6650</v>
      </c>
      <c r="C1223" s="4788"/>
      <c r="D1223" s="4774"/>
      <c r="E1223" s="4776"/>
      <c r="F1223" s="4774"/>
      <c r="G1223" s="7732" t="s">
        <v>6651</v>
      </c>
      <c r="H1223" s="7733"/>
      <c r="I1223" s="7733"/>
      <c r="J1223" s="7734"/>
      <c r="K1223" s="4774"/>
      <c r="L1223" s="4798"/>
      <c r="M1223" s="4808"/>
      <c r="N1223" s="4808"/>
      <c r="O1223" s="4808"/>
      <c r="P1223" s="386"/>
      <c r="Q1223" s="386"/>
    </row>
    <row r="1224" spans="1:17" s="1659" customFormat="1" ht="30" customHeight="1" x14ac:dyDescent="0.2">
      <c r="A1224" s="7703"/>
      <c r="B1224" s="7652" t="s">
        <v>6658</v>
      </c>
      <c r="C1224" s="7723" t="s">
        <v>990</v>
      </c>
      <c r="D1224" s="7563">
        <v>65000000</v>
      </c>
      <c r="E1224" s="7659">
        <v>0.05</v>
      </c>
      <c r="F1224" s="7563">
        <f>D1224*E1224</f>
        <v>3250000</v>
      </c>
      <c r="G1224" s="7732" t="s">
        <v>6659</v>
      </c>
      <c r="H1224" s="7733"/>
      <c r="I1224" s="7733"/>
      <c r="J1224" s="7734"/>
      <c r="K1224" s="4819"/>
      <c r="L1224" s="7674" t="s">
        <v>6675</v>
      </c>
      <c r="M1224" s="4838"/>
      <c r="N1224" s="4838"/>
      <c r="O1224" s="4838"/>
      <c r="P1224" s="386"/>
      <c r="Q1224" s="386"/>
    </row>
    <row r="1225" spans="1:17" s="1659" customFormat="1" ht="30" customHeight="1" x14ac:dyDescent="0.2">
      <c r="A1225" s="7704"/>
      <c r="B1225" s="7665"/>
      <c r="C1225" s="7747"/>
      <c r="D1225" s="7586"/>
      <c r="E1225" s="7676"/>
      <c r="F1225" s="7586"/>
      <c r="G1225" s="7732" t="s">
        <v>6660</v>
      </c>
      <c r="H1225" s="7733"/>
      <c r="I1225" s="7733"/>
      <c r="J1225" s="7734"/>
      <c r="K1225" s="4819"/>
      <c r="L1225" s="8186"/>
      <c r="M1225" s="4838"/>
      <c r="N1225" s="4838"/>
      <c r="O1225" s="4838"/>
      <c r="P1225" s="386"/>
      <c r="Q1225" s="386"/>
    </row>
    <row r="1226" spans="1:17" s="1659" customFormat="1" ht="30" customHeight="1" x14ac:dyDescent="0.2">
      <c r="A1226" s="7705"/>
      <c r="B1226" s="7653"/>
      <c r="C1226" s="7724"/>
      <c r="D1226" s="7564"/>
      <c r="E1226" s="7660"/>
      <c r="F1226" s="7564"/>
      <c r="G1226" s="7732" t="s">
        <v>6661</v>
      </c>
      <c r="H1226" s="7733"/>
      <c r="I1226" s="7733"/>
      <c r="J1226" s="7734"/>
      <c r="K1226" s="4443"/>
      <c r="L1226" s="7675"/>
      <c r="M1226" s="4469"/>
      <c r="N1226" s="4469"/>
      <c r="O1226" s="4469"/>
      <c r="P1226" s="386"/>
      <c r="Q1226" s="386"/>
    </row>
    <row r="1227" spans="1:17" s="1659" customFormat="1" ht="30" customHeight="1" x14ac:dyDescent="0.2">
      <c r="A1227" s="7703"/>
      <c r="B1227" s="7652" t="s">
        <v>6678</v>
      </c>
      <c r="C1227" s="7723"/>
      <c r="D1227" s="7563">
        <v>45000000</v>
      </c>
      <c r="E1227" s="7659">
        <v>0.05</v>
      </c>
      <c r="F1227" s="7563">
        <f>D1227*E1227</f>
        <v>2250000</v>
      </c>
      <c r="G1227" s="7732" t="s">
        <v>6682</v>
      </c>
      <c r="H1227" s="7733"/>
      <c r="I1227" s="7733"/>
      <c r="J1227" s="7734"/>
      <c r="K1227" s="4866"/>
      <c r="L1227" s="4907" t="s">
        <v>6679</v>
      </c>
      <c r="M1227" s="4902"/>
      <c r="N1227" s="4902"/>
      <c r="O1227" s="4902"/>
      <c r="P1227" s="386"/>
      <c r="Q1227" s="386"/>
    </row>
    <row r="1228" spans="1:17" s="1659" customFormat="1" ht="30" customHeight="1" x14ac:dyDescent="0.2">
      <c r="A1228" s="7704"/>
      <c r="B1228" s="7665"/>
      <c r="C1228" s="7747"/>
      <c r="D1228" s="7586"/>
      <c r="E1228" s="7676"/>
      <c r="F1228" s="7586"/>
      <c r="G1228" s="4907"/>
      <c r="H1228" s="4907"/>
      <c r="I1228" s="4907"/>
      <c r="J1228" s="4907"/>
      <c r="K1228" s="4866"/>
      <c r="L1228" s="4907" t="s">
        <v>6680</v>
      </c>
      <c r="M1228" s="4902"/>
      <c r="N1228" s="4902"/>
      <c r="O1228" s="4902"/>
      <c r="P1228" s="386"/>
      <c r="Q1228" s="386"/>
    </row>
    <row r="1229" spans="1:17" s="1659" customFormat="1" ht="30" customHeight="1" x14ac:dyDescent="0.2">
      <c r="A1229" s="7705"/>
      <c r="B1229" s="7653"/>
      <c r="C1229" s="7724"/>
      <c r="D1229" s="7564"/>
      <c r="E1229" s="7660"/>
      <c r="F1229" s="7564"/>
      <c r="G1229" s="4907"/>
      <c r="H1229" s="4907"/>
      <c r="I1229" s="4907"/>
      <c r="J1229" s="4907"/>
      <c r="K1229" s="4866"/>
      <c r="L1229" s="4907" t="s">
        <v>6681</v>
      </c>
      <c r="M1229" s="4902"/>
      <c r="N1229" s="4902"/>
      <c r="O1229" s="4902"/>
      <c r="P1229" s="386"/>
      <c r="Q1229" s="386"/>
    </row>
    <row r="1230" spans="1:17" s="1659" customFormat="1" ht="30" customHeight="1" x14ac:dyDescent="0.2">
      <c r="A1230" s="4898"/>
      <c r="B1230" s="4877" t="s">
        <v>6684</v>
      </c>
      <c r="C1230" s="4889"/>
      <c r="D1230" s="4866">
        <v>100000000</v>
      </c>
      <c r="E1230" s="4888">
        <v>7.0000000000000007E-2</v>
      </c>
      <c r="F1230" s="4866">
        <f>D1230*E1230</f>
        <v>7000000.0000000009</v>
      </c>
      <c r="G1230" s="7732" t="s">
        <v>6686</v>
      </c>
      <c r="H1230" s="7733"/>
      <c r="I1230" s="7733"/>
      <c r="J1230" s="7734"/>
      <c r="K1230" s="4866"/>
      <c r="L1230" s="4896" t="s">
        <v>6685</v>
      </c>
      <c r="M1230" s="4902"/>
      <c r="N1230" s="4902"/>
      <c r="O1230" s="4902"/>
      <c r="P1230" s="386"/>
      <c r="Q1230" s="386"/>
    </row>
    <row r="1231" spans="1:17" s="1659" customFormat="1" ht="30" customHeight="1" x14ac:dyDescent="0.2">
      <c r="A1231" s="7703"/>
      <c r="B1231" s="7652" t="s">
        <v>6710</v>
      </c>
      <c r="C1231" s="7723" t="s">
        <v>1138</v>
      </c>
      <c r="D1231" s="7563">
        <v>100000000</v>
      </c>
      <c r="E1231" s="7659">
        <v>0.05</v>
      </c>
      <c r="F1231" s="7563">
        <f>D1231*E1231</f>
        <v>5000000</v>
      </c>
      <c r="G1231" s="7991" t="s">
        <v>6712</v>
      </c>
      <c r="H1231" s="7992"/>
      <c r="I1231" s="7992"/>
      <c r="J1231" s="7993"/>
      <c r="K1231" s="7563"/>
      <c r="L1231" s="4895" t="s">
        <v>6711</v>
      </c>
      <c r="M1231" s="4902"/>
      <c r="N1231" s="4902"/>
      <c r="O1231" s="4902"/>
      <c r="P1231" s="386"/>
      <c r="Q1231" s="386"/>
    </row>
    <row r="1232" spans="1:17" s="1659" customFormat="1" ht="30" customHeight="1" x14ac:dyDescent="0.2">
      <c r="A1232" s="7705"/>
      <c r="B1232" s="7653"/>
      <c r="C1232" s="7724"/>
      <c r="D1232" s="7564"/>
      <c r="E1232" s="7660"/>
      <c r="F1232" s="7564"/>
      <c r="G1232" s="7997"/>
      <c r="H1232" s="7998"/>
      <c r="I1232" s="7998"/>
      <c r="J1232" s="7999"/>
      <c r="K1232" s="7564"/>
      <c r="L1232" s="4896" t="s">
        <v>6719</v>
      </c>
      <c r="M1232" s="4902"/>
      <c r="N1232" s="4902"/>
      <c r="O1232" s="4902"/>
      <c r="P1232" s="386"/>
      <c r="Q1232" s="386"/>
    </row>
    <row r="1233" spans="1:17" s="1659" customFormat="1" ht="30" customHeight="1" x14ac:dyDescent="0.2">
      <c r="A1233" s="4898"/>
      <c r="B1233" s="4877" t="s">
        <v>6728</v>
      </c>
      <c r="C1233" s="4889"/>
      <c r="D1233" s="4866">
        <v>10000000</v>
      </c>
      <c r="E1233" s="4888">
        <v>0.05</v>
      </c>
      <c r="F1233" s="4866">
        <f>D1233*E1233</f>
        <v>500000</v>
      </c>
      <c r="G1233" s="4907"/>
      <c r="H1233" s="4907"/>
      <c r="I1233" s="4907"/>
      <c r="J1233" s="4907"/>
      <c r="K1233" s="4866"/>
      <c r="L1233" s="4895" t="s">
        <v>6729</v>
      </c>
      <c r="M1233" s="4902"/>
      <c r="N1233" s="4902"/>
      <c r="O1233" s="4902"/>
      <c r="P1233" s="386"/>
      <c r="Q1233" s="386"/>
    </row>
    <row r="1234" spans="1:17" s="1659" customFormat="1" ht="30" customHeight="1" x14ac:dyDescent="0.2">
      <c r="A1234" s="4898"/>
      <c r="B1234" s="4877" t="s">
        <v>6737</v>
      </c>
      <c r="C1234" s="4889"/>
      <c r="D1234" s="7470" t="s">
        <v>6738</v>
      </c>
      <c r="E1234" s="7493"/>
      <c r="F1234" s="7510"/>
      <c r="G1234" s="4866">
        <v>20000000</v>
      </c>
      <c r="H1234" s="4866" t="s">
        <v>6723</v>
      </c>
      <c r="I1234" s="4866" t="s">
        <v>6739</v>
      </c>
      <c r="J1234" s="4866">
        <f>G1234</f>
        <v>20000000</v>
      </c>
      <c r="K1234" s="4866">
        <f>20000000-J1234</f>
        <v>0</v>
      </c>
      <c r="L1234" s="4895"/>
      <c r="M1234" s="4902"/>
      <c r="N1234" s="4902"/>
      <c r="O1234" s="4902"/>
      <c r="P1234" s="386"/>
      <c r="Q1234" s="386"/>
    </row>
    <row r="1235" spans="1:17" s="1659" customFormat="1" ht="30" customHeight="1" x14ac:dyDescent="0.2">
      <c r="A1235" s="4898"/>
      <c r="B1235" s="4877" t="s">
        <v>6743</v>
      </c>
      <c r="C1235" s="4889" t="s">
        <v>6745</v>
      </c>
      <c r="D1235" s="4866">
        <v>35000000</v>
      </c>
      <c r="E1235" s="4888">
        <v>5.7000000000000002E-2</v>
      </c>
      <c r="F1235" s="4866">
        <v>2000000</v>
      </c>
      <c r="G1235" s="4907"/>
      <c r="H1235" s="4907"/>
      <c r="I1235" s="4907"/>
      <c r="J1235" s="4907"/>
      <c r="K1235" s="4866"/>
      <c r="L1235" s="4895" t="s">
        <v>6744</v>
      </c>
      <c r="M1235" s="4902"/>
      <c r="N1235" s="4902"/>
      <c r="O1235" s="4902"/>
      <c r="P1235" s="386"/>
      <c r="Q1235" s="386"/>
    </row>
    <row r="1236" spans="1:17" s="1659" customFormat="1" ht="30" customHeight="1" x14ac:dyDescent="0.2">
      <c r="A1236" s="4898"/>
      <c r="B1236" s="4877" t="s">
        <v>6746</v>
      </c>
      <c r="C1236" s="4889"/>
      <c r="D1236" s="4866">
        <v>40000000</v>
      </c>
      <c r="E1236" s="4888">
        <v>5.5E-2</v>
      </c>
      <c r="F1236" s="4866">
        <f>D1236*E1236</f>
        <v>2200000</v>
      </c>
      <c r="G1236" s="4907"/>
      <c r="H1236" s="4907"/>
      <c r="I1236" s="4907"/>
      <c r="J1236" s="4907"/>
      <c r="K1236" s="4866"/>
      <c r="L1236" s="4895" t="s">
        <v>6747</v>
      </c>
      <c r="M1236" s="4902"/>
      <c r="N1236" s="4902"/>
      <c r="O1236" s="4902"/>
      <c r="P1236" s="386"/>
      <c r="Q1236" s="386"/>
    </row>
    <row r="1237" spans="1:17" s="1659" customFormat="1" ht="30" customHeight="1" x14ac:dyDescent="0.2">
      <c r="A1237" s="7703"/>
      <c r="B1237" s="7652" t="s">
        <v>7236</v>
      </c>
      <c r="C1237" s="7723"/>
      <c r="D1237" s="7563">
        <v>22000000</v>
      </c>
      <c r="E1237" s="7659">
        <v>0.05</v>
      </c>
      <c r="F1237" s="7563">
        <f>D1237*E1237</f>
        <v>1100000</v>
      </c>
      <c r="G1237" s="7732" t="s">
        <v>7237</v>
      </c>
      <c r="H1237" s="7733"/>
      <c r="I1237" s="7733"/>
      <c r="J1237" s="7734"/>
      <c r="K1237" s="5561"/>
      <c r="L1237" s="5579"/>
      <c r="M1237" s="4902"/>
      <c r="N1237" s="4902"/>
      <c r="O1237" s="4902"/>
      <c r="P1237" s="386"/>
      <c r="Q1237" s="386"/>
    </row>
    <row r="1238" spans="1:17" s="1659" customFormat="1" ht="30" customHeight="1" x14ac:dyDescent="0.2">
      <c r="A1238" s="7704"/>
      <c r="B1238" s="7665"/>
      <c r="C1238" s="7747"/>
      <c r="D1238" s="7586"/>
      <c r="E1238" s="7676"/>
      <c r="F1238" s="7586"/>
      <c r="G1238" s="7732" t="s">
        <v>7238</v>
      </c>
      <c r="H1238" s="7733"/>
      <c r="I1238" s="7733"/>
      <c r="J1238" s="7734"/>
      <c r="K1238" s="4866"/>
      <c r="L1238" s="4895"/>
      <c r="M1238" s="4902"/>
      <c r="N1238" s="4902"/>
      <c r="O1238" s="4902"/>
      <c r="P1238" s="386"/>
      <c r="Q1238" s="386"/>
    </row>
    <row r="1239" spans="1:17" s="1659" customFormat="1" ht="30" customHeight="1" x14ac:dyDescent="0.2">
      <c r="A1239" s="7705"/>
      <c r="B1239" s="7653"/>
      <c r="C1239" s="7724"/>
      <c r="D1239" s="7564"/>
      <c r="E1239" s="7660"/>
      <c r="F1239" s="7564"/>
      <c r="G1239" s="7732" t="s">
        <v>7239</v>
      </c>
      <c r="H1239" s="7733"/>
      <c r="I1239" s="7733"/>
      <c r="J1239" s="7734"/>
      <c r="K1239" s="4866"/>
      <c r="L1239" s="4907"/>
      <c r="M1239" s="4902"/>
      <c r="N1239" s="4902"/>
      <c r="O1239" s="4902"/>
      <c r="P1239" s="386"/>
      <c r="Q1239" s="386"/>
    </row>
    <row r="1240" spans="1:17" s="1659" customFormat="1" ht="30" customHeight="1" x14ac:dyDescent="0.2">
      <c r="A1240" s="5582"/>
      <c r="B1240" s="4921"/>
      <c r="C1240" s="5569"/>
      <c r="D1240" s="5562"/>
      <c r="E1240" s="5566"/>
      <c r="F1240" s="5562"/>
      <c r="G1240" s="5576"/>
      <c r="H1240" s="5577"/>
      <c r="I1240" s="5577"/>
      <c r="J1240" s="5578"/>
      <c r="K1240" s="5562"/>
      <c r="L1240" s="5572"/>
      <c r="M1240" s="5575"/>
      <c r="N1240" s="5575"/>
      <c r="O1240" s="5575"/>
      <c r="P1240" s="386"/>
      <c r="Q1240" s="386"/>
    </row>
    <row r="1241" spans="1:17" ht="30" customHeight="1" x14ac:dyDescent="0.2">
      <c r="A1241" s="8013" t="s">
        <v>5338</v>
      </c>
      <c r="B1241" s="8014"/>
      <c r="C1241" s="1031"/>
      <c r="D1241" s="4372"/>
      <c r="E1241" s="4274"/>
      <c r="F1241" s="4268"/>
      <c r="G1241" s="4268"/>
      <c r="H1241" s="4268"/>
      <c r="I1241" s="4376"/>
      <c r="J1241" s="4268"/>
      <c r="K1241" s="4268"/>
      <c r="L1241" s="4279"/>
    </row>
  </sheetData>
  <mergeCells count="1862">
    <mergeCell ref="J880:J881"/>
    <mergeCell ref="D647:E647"/>
    <mergeCell ref="H782:H783"/>
    <mergeCell ref="G827:J827"/>
    <mergeCell ref="G823:J823"/>
    <mergeCell ref="C775:C780"/>
    <mergeCell ref="C741:C746"/>
    <mergeCell ref="D742:F746"/>
    <mergeCell ref="J742:J746"/>
    <mergeCell ref="G946:G947"/>
    <mergeCell ref="G657:K657"/>
    <mergeCell ref="J653:J654"/>
    <mergeCell ref="J687:J688"/>
    <mergeCell ref="A782:A783"/>
    <mergeCell ref="G852:J853"/>
    <mergeCell ref="A631:A666"/>
    <mergeCell ref="B631:B666"/>
    <mergeCell ref="A695:A700"/>
    <mergeCell ref="J714:J717"/>
    <mergeCell ref="K714:K717"/>
    <mergeCell ref="H738:H740"/>
    <mergeCell ref="I738:I740"/>
    <mergeCell ref="J738:J740"/>
    <mergeCell ref="B695:B700"/>
    <mergeCell ref="C852:C854"/>
    <mergeCell ref="D852:D854"/>
    <mergeCell ref="E852:E854"/>
    <mergeCell ref="F852:F854"/>
    <mergeCell ref="C873:C878"/>
    <mergeCell ref="D873:D878"/>
    <mergeCell ref="E873:E878"/>
    <mergeCell ref="F873:F878"/>
    <mergeCell ref="B889:B891"/>
    <mergeCell ref="A1006:A1008"/>
    <mergeCell ref="B1006:B1008"/>
    <mergeCell ref="A1134:A1136"/>
    <mergeCell ref="C1134:C1136"/>
    <mergeCell ref="D1134:D1136"/>
    <mergeCell ref="E1134:E1136"/>
    <mergeCell ref="F1134:F1136"/>
    <mergeCell ref="A1131:A1132"/>
    <mergeCell ref="C1056:C1057"/>
    <mergeCell ref="A939:A942"/>
    <mergeCell ref="B939:B942"/>
    <mergeCell ref="C939:C942"/>
    <mergeCell ref="A1090:A1091"/>
    <mergeCell ref="B1090:B1091"/>
    <mergeCell ref="A1036:A1038"/>
    <mergeCell ref="A1011:A1012"/>
    <mergeCell ref="A1013:A1014"/>
    <mergeCell ref="B986:B987"/>
    <mergeCell ref="C986:C987"/>
    <mergeCell ref="D986:D987"/>
    <mergeCell ref="E986:E987"/>
    <mergeCell ref="F986:F987"/>
    <mergeCell ref="A1072:A1073"/>
    <mergeCell ref="A988:A990"/>
    <mergeCell ref="A960:A961"/>
    <mergeCell ref="C1093:C1094"/>
    <mergeCell ref="D1093:D1094"/>
    <mergeCell ref="C927:C929"/>
    <mergeCell ref="C1026:C1027"/>
    <mergeCell ref="D1026:D1027"/>
    <mergeCell ref="E1026:E1027"/>
    <mergeCell ref="K419:K420"/>
    <mergeCell ref="I941:I942"/>
    <mergeCell ref="J941:J942"/>
    <mergeCell ref="K941:K942"/>
    <mergeCell ref="D1234:F1234"/>
    <mergeCell ref="B560:B575"/>
    <mergeCell ref="A560:A575"/>
    <mergeCell ref="C560:C575"/>
    <mergeCell ref="B1056:B1057"/>
    <mergeCell ref="A1056:A1057"/>
    <mergeCell ref="G149:J149"/>
    <mergeCell ref="G1231:J1232"/>
    <mergeCell ref="D1231:D1232"/>
    <mergeCell ref="E1231:E1232"/>
    <mergeCell ref="F1231:F1232"/>
    <mergeCell ref="C1231:C1232"/>
    <mergeCell ref="B1231:B1232"/>
    <mergeCell ref="A1231:A1232"/>
    <mergeCell ref="E1204:E1206"/>
    <mergeCell ref="F1204:F1206"/>
    <mergeCell ref="G1204:J1204"/>
    <mergeCell ref="G1205:J1205"/>
    <mergeCell ref="G1206:J1206"/>
    <mergeCell ref="G263:J263"/>
    <mergeCell ref="C1085:C1088"/>
    <mergeCell ref="C372:C374"/>
    <mergeCell ref="B931:B933"/>
    <mergeCell ref="C604:C605"/>
    <mergeCell ref="A847:A848"/>
    <mergeCell ref="A1162:A1163"/>
    <mergeCell ref="B1162:B1163"/>
    <mergeCell ref="C1162:C1163"/>
    <mergeCell ref="K1231:K1232"/>
    <mergeCell ref="G577:J577"/>
    <mergeCell ref="G579:J579"/>
    <mergeCell ref="A576:A582"/>
    <mergeCell ref="B576:B582"/>
    <mergeCell ref="C576:C582"/>
    <mergeCell ref="G580:J580"/>
    <mergeCell ref="G1230:J1230"/>
    <mergeCell ref="B1204:B1206"/>
    <mergeCell ref="A1204:A1206"/>
    <mergeCell ref="C1204:C1206"/>
    <mergeCell ref="D1204:D1206"/>
    <mergeCell ref="G1202:J1202"/>
    <mergeCell ref="D1123:D1124"/>
    <mergeCell ref="E1123:E1124"/>
    <mergeCell ref="F1123:F1124"/>
    <mergeCell ref="D1085:D1088"/>
    <mergeCell ref="G1226:J1226"/>
    <mergeCell ref="F1224:F1226"/>
    <mergeCell ref="E1224:E1226"/>
    <mergeCell ref="D1224:D1226"/>
    <mergeCell ref="C1224:C1226"/>
    <mergeCell ref="G648:K648"/>
    <mergeCell ref="F759:F760"/>
    <mergeCell ref="J919:J923"/>
    <mergeCell ref="G655:K655"/>
    <mergeCell ref="F695:F700"/>
    <mergeCell ref="C799:C800"/>
    <mergeCell ref="A1224:A1226"/>
    <mergeCell ref="G656:K656"/>
    <mergeCell ref="B711:B713"/>
    <mergeCell ref="B1224:B1226"/>
    <mergeCell ref="G181:J181"/>
    <mergeCell ref="G182:J182"/>
    <mergeCell ref="G465:J465"/>
    <mergeCell ref="D369:D371"/>
    <mergeCell ref="E369:E371"/>
    <mergeCell ref="F179:F182"/>
    <mergeCell ref="A873:A878"/>
    <mergeCell ref="A1150:A1157"/>
    <mergeCell ref="B1150:B1157"/>
    <mergeCell ref="C1150:C1157"/>
    <mergeCell ref="G1157:J1157"/>
    <mergeCell ref="G1151:J1151"/>
    <mergeCell ref="G1152:J1152"/>
    <mergeCell ref="G1153:J1153"/>
    <mergeCell ref="G1156:J1156"/>
    <mergeCell ref="E1085:E1088"/>
    <mergeCell ref="F1085:F1088"/>
    <mergeCell ref="D401:D402"/>
    <mergeCell ref="G543:G547"/>
    <mergeCell ref="J960:J961"/>
    <mergeCell ref="G919:G921"/>
    <mergeCell ref="D666:E666"/>
    <mergeCell ref="B903:B904"/>
    <mergeCell ref="A741:A746"/>
    <mergeCell ref="B707:B708"/>
    <mergeCell ref="F369:F371"/>
    <mergeCell ref="C369:C371"/>
    <mergeCell ref="B215:B222"/>
    <mergeCell ref="C375:C376"/>
    <mergeCell ref="B443:B448"/>
    <mergeCell ref="A443:A448"/>
    <mergeCell ref="C443:C448"/>
    <mergeCell ref="J280:J281"/>
    <mergeCell ref="G311:J311"/>
    <mergeCell ref="B366:B368"/>
    <mergeCell ref="C366:C368"/>
    <mergeCell ref="D366:D368"/>
    <mergeCell ref="G261:J261"/>
    <mergeCell ref="J372:J374"/>
    <mergeCell ref="G419:G420"/>
    <mergeCell ref="H419:H420"/>
    <mergeCell ref="I419:I420"/>
    <mergeCell ref="J419:J420"/>
    <mergeCell ref="L366:L368"/>
    <mergeCell ref="L369:L371"/>
    <mergeCell ref="B58:B61"/>
    <mergeCell ref="A58:A61"/>
    <mergeCell ref="C58:C61"/>
    <mergeCell ref="D61:F61"/>
    <mergeCell ref="G345:J345"/>
    <mergeCell ref="B344:B346"/>
    <mergeCell ref="A344:A346"/>
    <mergeCell ref="C344:C346"/>
    <mergeCell ref="D346:F346"/>
    <mergeCell ref="L262:L264"/>
    <mergeCell ref="D407:D408"/>
    <mergeCell ref="E407:E408"/>
    <mergeCell ref="F407:F408"/>
    <mergeCell ref="G414:G417"/>
    <mergeCell ref="H414:H417"/>
    <mergeCell ref="I414:I417"/>
    <mergeCell ref="J414:J417"/>
    <mergeCell ref="E401:E402"/>
    <mergeCell ref="A177:A182"/>
    <mergeCell ref="G402:J402"/>
    <mergeCell ref="D465:F465"/>
    <mergeCell ref="A463:A464"/>
    <mergeCell ref="H371:H372"/>
    <mergeCell ref="H460:H462"/>
    <mergeCell ref="A414:A417"/>
    <mergeCell ref="B414:B417"/>
    <mergeCell ref="C414:C417"/>
    <mergeCell ref="A327:A328"/>
    <mergeCell ref="A304:A305"/>
    <mergeCell ref="B304:B305"/>
    <mergeCell ref="G401:J401"/>
    <mergeCell ref="B419:B420"/>
    <mergeCell ref="C419:C420"/>
    <mergeCell ref="I431:I432"/>
    <mergeCell ref="A407:A408"/>
    <mergeCell ref="J369:J371"/>
    <mergeCell ref="C399:C402"/>
    <mergeCell ref="B375:B376"/>
    <mergeCell ref="G376:J376"/>
    <mergeCell ref="A399:A402"/>
    <mergeCell ref="E366:E368"/>
    <mergeCell ref="F401:F402"/>
    <mergeCell ref="C452:C454"/>
    <mergeCell ref="J366:J368"/>
    <mergeCell ref="L792:L793"/>
    <mergeCell ref="D1227:D1229"/>
    <mergeCell ref="E1227:E1229"/>
    <mergeCell ref="F1227:F1229"/>
    <mergeCell ref="C1227:C1229"/>
    <mergeCell ref="B1227:B1229"/>
    <mergeCell ref="A1227:A1229"/>
    <mergeCell ref="G1227:J1227"/>
    <mergeCell ref="C628:C630"/>
    <mergeCell ref="B628:B630"/>
    <mergeCell ref="A628:A630"/>
    <mergeCell ref="G1155:J1155"/>
    <mergeCell ref="G1154:J1154"/>
    <mergeCell ref="G672:J672"/>
    <mergeCell ref="A1098:A1100"/>
    <mergeCell ref="B1098:B1100"/>
    <mergeCell ref="C1098:C1100"/>
    <mergeCell ref="D1100:F1100"/>
    <mergeCell ref="G1207:J1207"/>
    <mergeCell ref="G1186:J1186"/>
    <mergeCell ref="G1185:J1185"/>
    <mergeCell ref="G1187:J1187"/>
    <mergeCell ref="G1188:J1188"/>
    <mergeCell ref="L908:L909"/>
    <mergeCell ref="L967:O967"/>
    <mergeCell ref="G1223:J1223"/>
    <mergeCell ref="G1224:J1224"/>
    <mergeCell ref="G1225:J1225"/>
    <mergeCell ref="A898:A899"/>
    <mergeCell ref="A1159:A1160"/>
    <mergeCell ref="B1159:B1160"/>
    <mergeCell ref="C1159:C1160"/>
    <mergeCell ref="A1176:A1189"/>
    <mergeCell ref="B1176:B1189"/>
    <mergeCell ref="C1176:C1189"/>
    <mergeCell ref="C1123:C1124"/>
    <mergeCell ref="A1093:A1094"/>
    <mergeCell ref="A1115:A1117"/>
    <mergeCell ref="A1140:A1144"/>
    <mergeCell ref="A1111:A1112"/>
    <mergeCell ref="D1111:D1112"/>
    <mergeCell ref="E1111:E1112"/>
    <mergeCell ref="C1109:C1110"/>
    <mergeCell ref="D1162:D1163"/>
    <mergeCell ref="E1162:E1163"/>
    <mergeCell ref="F1162:F1163"/>
    <mergeCell ref="F1109:F1110"/>
    <mergeCell ref="F1176:F1177"/>
    <mergeCell ref="L1224:L1226"/>
    <mergeCell ref="L1159:L1160"/>
    <mergeCell ref="B1195:B1197"/>
    <mergeCell ref="A1195:A1197"/>
    <mergeCell ref="C1195:C1197"/>
    <mergeCell ref="D1192:D1193"/>
    <mergeCell ref="E1192:E1193"/>
    <mergeCell ref="F1192:F1193"/>
    <mergeCell ref="B1115:B1117"/>
    <mergeCell ref="C1115:C1117"/>
    <mergeCell ref="B1109:B1110"/>
    <mergeCell ref="B1103:B1104"/>
    <mergeCell ref="L1140:L1143"/>
    <mergeCell ref="K1140:K1143"/>
    <mergeCell ref="G1121:J1121"/>
    <mergeCell ref="G1125:J1125"/>
    <mergeCell ref="C704:C705"/>
    <mergeCell ref="B704:B705"/>
    <mergeCell ref="A903:A904"/>
    <mergeCell ref="J939:J940"/>
    <mergeCell ref="C759:C760"/>
    <mergeCell ref="A794:A795"/>
    <mergeCell ref="C794:C795"/>
    <mergeCell ref="J794:J795"/>
    <mergeCell ref="H763:H764"/>
    <mergeCell ref="I763:I764"/>
    <mergeCell ref="D759:D760"/>
    <mergeCell ref="B873:B878"/>
    <mergeCell ref="C880:C882"/>
    <mergeCell ref="E880:E881"/>
    <mergeCell ref="A786:A787"/>
    <mergeCell ref="B786:B787"/>
    <mergeCell ref="I723:I724"/>
    <mergeCell ref="C786:C787"/>
    <mergeCell ref="G786:G787"/>
    <mergeCell ref="A763:A764"/>
    <mergeCell ref="B763:B764"/>
    <mergeCell ref="C763:C764"/>
    <mergeCell ref="G763:G764"/>
    <mergeCell ref="G759:J760"/>
    <mergeCell ref="D910:D912"/>
    <mergeCell ref="F919:F920"/>
    <mergeCell ref="E910:E912"/>
    <mergeCell ref="H939:H940"/>
    <mergeCell ref="B788:B793"/>
    <mergeCell ref="A788:A793"/>
    <mergeCell ref="C788:C793"/>
    <mergeCell ref="A889:A891"/>
    <mergeCell ref="D637:E637"/>
    <mergeCell ref="G638:K638"/>
    <mergeCell ref="G658:K658"/>
    <mergeCell ref="G659:K659"/>
    <mergeCell ref="F847:F848"/>
    <mergeCell ref="G707:G708"/>
    <mergeCell ref="B452:B454"/>
    <mergeCell ref="A606:A607"/>
    <mergeCell ref="B606:B607"/>
    <mergeCell ref="C606:C607"/>
    <mergeCell ref="A739:A740"/>
    <mergeCell ref="A775:A781"/>
    <mergeCell ref="B775:B781"/>
    <mergeCell ref="G460:G462"/>
    <mergeCell ref="J516:J522"/>
    <mergeCell ref="B516:B525"/>
    <mergeCell ref="C597:C598"/>
    <mergeCell ref="E678:F678"/>
    <mergeCell ref="E544:E546"/>
    <mergeCell ref="I606:I607"/>
    <mergeCell ref="H549:H552"/>
    <mergeCell ref="I549:I552"/>
    <mergeCell ref="J549:J552"/>
    <mergeCell ref="G549:G552"/>
    <mergeCell ref="B847:B848"/>
    <mergeCell ref="C847:C848"/>
    <mergeCell ref="D847:D848"/>
    <mergeCell ref="C771:C774"/>
    <mergeCell ref="A472:A473"/>
    <mergeCell ref="G796:J796"/>
    <mergeCell ref="D711:D713"/>
    <mergeCell ref="E711:E713"/>
    <mergeCell ref="I491:I494"/>
    <mergeCell ref="J491:J494"/>
    <mergeCell ref="C460:C462"/>
    <mergeCell ref="A452:A454"/>
    <mergeCell ref="G534:G535"/>
    <mergeCell ref="C695:C700"/>
    <mergeCell ref="G601:G603"/>
    <mergeCell ref="H601:H603"/>
    <mergeCell ref="I601:I603"/>
    <mergeCell ref="G633:K633"/>
    <mergeCell ref="C486:C487"/>
    <mergeCell ref="E486:E487"/>
    <mergeCell ref="K467:K468"/>
    <mergeCell ref="D463:F464"/>
    <mergeCell ref="C469:C471"/>
    <mergeCell ref="K543:K547"/>
    <mergeCell ref="G572:J572"/>
    <mergeCell ref="D505:E505"/>
    <mergeCell ref="D506:E506"/>
    <mergeCell ref="D500:E500"/>
    <mergeCell ref="G570:J570"/>
    <mergeCell ref="K534:K535"/>
    <mergeCell ref="F562:F566"/>
    <mergeCell ref="G568:J568"/>
    <mergeCell ref="G569:J569"/>
    <mergeCell ref="K539:K542"/>
    <mergeCell ref="K549:K552"/>
    <mergeCell ref="G563:J563"/>
    <mergeCell ref="H653:H654"/>
    <mergeCell ref="J621:J622"/>
    <mergeCell ref="I452:I454"/>
    <mergeCell ref="G502:J503"/>
    <mergeCell ref="G504:J506"/>
    <mergeCell ref="G192:J192"/>
    <mergeCell ref="G647:K647"/>
    <mergeCell ref="J1147:J1149"/>
    <mergeCell ref="E261:E264"/>
    <mergeCell ref="F261:F264"/>
    <mergeCell ref="D1061:D1062"/>
    <mergeCell ref="D179:D182"/>
    <mergeCell ref="E179:E182"/>
    <mergeCell ref="K372:K374"/>
    <mergeCell ref="G280:G281"/>
    <mergeCell ref="D229:D230"/>
    <mergeCell ref="E229:E230"/>
    <mergeCell ref="K477:K478"/>
    <mergeCell ref="G472:G473"/>
    <mergeCell ref="H472:H473"/>
    <mergeCell ref="I472:I473"/>
    <mergeCell ref="J472:J473"/>
    <mergeCell ref="K472:K473"/>
    <mergeCell ref="G464:J464"/>
    <mergeCell ref="G484:J484"/>
    <mergeCell ref="G491:G494"/>
    <mergeCell ref="K592:K593"/>
    <mergeCell ref="H491:H494"/>
    <mergeCell ref="G574:J574"/>
    <mergeCell ref="G575:J575"/>
    <mergeCell ref="D596:F596"/>
    <mergeCell ref="F711:F713"/>
    <mergeCell ref="D695:D700"/>
    <mergeCell ref="E695:E700"/>
    <mergeCell ref="D486:D487"/>
    <mergeCell ref="K414:K417"/>
    <mergeCell ref="A543:A547"/>
    <mergeCell ref="B543:B547"/>
    <mergeCell ref="C543:C547"/>
    <mergeCell ref="D544:D546"/>
    <mergeCell ref="F366:F368"/>
    <mergeCell ref="A366:A368"/>
    <mergeCell ref="E353:E354"/>
    <mergeCell ref="F353:F354"/>
    <mergeCell ref="B407:B408"/>
    <mergeCell ref="A460:A462"/>
    <mergeCell ref="B460:B462"/>
    <mergeCell ref="A469:A471"/>
    <mergeCell ref="K383:K384"/>
    <mergeCell ref="I460:I462"/>
    <mergeCell ref="J460:J462"/>
    <mergeCell ref="C467:C468"/>
    <mergeCell ref="G467:G468"/>
    <mergeCell ref="B463:B464"/>
    <mergeCell ref="C463:C464"/>
    <mergeCell ref="A474:A475"/>
    <mergeCell ref="J474:J475"/>
    <mergeCell ref="K474:K475"/>
    <mergeCell ref="K499:K501"/>
    <mergeCell ref="I543:I547"/>
    <mergeCell ref="J543:J547"/>
    <mergeCell ref="H528:H532"/>
    <mergeCell ref="I516:I522"/>
    <mergeCell ref="A527:A532"/>
    <mergeCell ref="G486:G487"/>
    <mergeCell ref="H486:H487"/>
    <mergeCell ref="I486:I487"/>
    <mergeCell ref="J486:J487"/>
    <mergeCell ref="K455:K457"/>
    <mergeCell ref="H452:H454"/>
    <mergeCell ref="H467:H468"/>
    <mergeCell ref="K460:K462"/>
    <mergeCell ref="D372:F374"/>
    <mergeCell ref="A375:A376"/>
    <mergeCell ref="B369:B374"/>
    <mergeCell ref="A369:A374"/>
    <mergeCell ref="D562:D566"/>
    <mergeCell ref="E562:E566"/>
    <mergeCell ref="I528:I532"/>
    <mergeCell ref="J528:J532"/>
    <mergeCell ref="J467:J468"/>
    <mergeCell ref="A1169:A1170"/>
    <mergeCell ref="C1169:C1170"/>
    <mergeCell ref="G469:G471"/>
    <mergeCell ref="H469:H471"/>
    <mergeCell ref="I469:I471"/>
    <mergeCell ref="A467:A468"/>
    <mergeCell ref="B467:B468"/>
    <mergeCell ref="I939:I940"/>
    <mergeCell ref="C946:C947"/>
    <mergeCell ref="K486:K487"/>
    <mergeCell ref="H1036:H1038"/>
    <mergeCell ref="I1036:I1038"/>
    <mergeCell ref="A516:A525"/>
    <mergeCell ref="A1009:A1010"/>
    <mergeCell ref="B1009:B1010"/>
    <mergeCell ref="A549:A554"/>
    <mergeCell ref="B469:B471"/>
    <mergeCell ref="F486:F487"/>
    <mergeCell ref="I467:I468"/>
    <mergeCell ref="B539:B542"/>
    <mergeCell ref="C539:C542"/>
    <mergeCell ref="H280:H281"/>
    <mergeCell ref="I280:I281"/>
    <mergeCell ref="J695:J700"/>
    <mergeCell ref="J685:J686"/>
    <mergeCell ref="K692:K694"/>
    <mergeCell ref="K369:K371"/>
    <mergeCell ref="G1109:J1109"/>
    <mergeCell ref="A431:A432"/>
    <mergeCell ref="C431:C432"/>
    <mergeCell ref="G516:G522"/>
    <mergeCell ref="H516:H522"/>
    <mergeCell ref="A486:A487"/>
    <mergeCell ref="B486:B487"/>
    <mergeCell ref="C407:C408"/>
    <mergeCell ref="A385:A386"/>
    <mergeCell ref="I371:I372"/>
    <mergeCell ref="A450:A451"/>
    <mergeCell ref="B450:B451"/>
    <mergeCell ref="C450:C451"/>
    <mergeCell ref="G450:G451"/>
    <mergeCell ref="H450:H451"/>
    <mergeCell ref="I450:I451"/>
    <mergeCell ref="J450:J451"/>
    <mergeCell ref="K450:K451"/>
    <mergeCell ref="J469:J471"/>
    <mergeCell ref="K469:K471"/>
    <mergeCell ref="B472:B473"/>
    <mergeCell ref="C472:C473"/>
    <mergeCell ref="K304:K305"/>
    <mergeCell ref="J295:J299"/>
    <mergeCell ref="C188:C189"/>
    <mergeCell ref="D188:D189"/>
    <mergeCell ref="B234:B239"/>
    <mergeCell ref="C234:C239"/>
    <mergeCell ref="A203:A208"/>
    <mergeCell ref="G243:G245"/>
    <mergeCell ref="H243:H245"/>
    <mergeCell ref="K322:K323"/>
    <mergeCell ref="A309:A313"/>
    <mergeCell ref="B309:B313"/>
    <mergeCell ref="C309:C313"/>
    <mergeCell ref="A322:A323"/>
    <mergeCell ref="B322:B323"/>
    <mergeCell ref="C322:C323"/>
    <mergeCell ref="I304:I305"/>
    <mergeCell ref="J304:J305"/>
    <mergeCell ref="C175:C176"/>
    <mergeCell ref="D185:F185"/>
    <mergeCell ref="H255:H257"/>
    <mergeCell ref="I255:I257"/>
    <mergeCell ref="G250:G251"/>
    <mergeCell ref="H250:H251"/>
    <mergeCell ref="G246:J246"/>
    <mergeCell ref="A229:A230"/>
    <mergeCell ref="C243:C247"/>
    <mergeCell ref="A234:A239"/>
    <mergeCell ref="B229:B230"/>
    <mergeCell ref="C229:C230"/>
    <mergeCell ref="F229:F230"/>
    <mergeCell ref="D261:D264"/>
    <mergeCell ref="A244:A247"/>
    <mergeCell ref="G247:J247"/>
    <mergeCell ref="E188:E189"/>
    <mergeCell ref="F188:F189"/>
    <mergeCell ref="B177:B182"/>
    <mergeCell ref="G264:J264"/>
    <mergeCell ref="I250:I251"/>
    <mergeCell ref="J250:J251"/>
    <mergeCell ref="A252:A253"/>
    <mergeCell ref="B252:B253"/>
    <mergeCell ref="C252:C253"/>
    <mergeCell ref="A250:A251"/>
    <mergeCell ref="C250:C251"/>
    <mergeCell ref="D250:D251"/>
    <mergeCell ref="E250:E251"/>
    <mergeCell ref="F250:F251"/>
    <mergeCell ref="D205:E205"/>
    <mergeCell ref="B199:B200"/>
    <mergeCell ref="A199:A200"/>
    <mergeCell ref="C199:C200"/>
    <mergeCell ref="B244:B247"/>
    <mergeCell ref="B203:B208"/>
    <mergeCell ref="C203:C208"/>
    <mergeCell ref="A191:A198"/>
    <mergeCell ref="B191:B198"/>
    <mergeCell ref="C191:C198"/>
    <mergeCell ref="G193:J193"/>
    <mergeCell ref="G198:J198"/>
    <mergeCell ref="B188:B189"/>
    <mergeCell ref="I243:I245"/>
    <mergeCell ref="D238:F238"/>
    <mergeCell ref="B259:B264"/>
    <mergeCell ref="A259:A264"/>
    <mergeCell ref="G262:J262"/>
    <mergeCell ref="C177:C182"/>
    <mergeCell ref="G180:J180"/>
    <mergeCell ref="K65:K67"/>
    <mergeCell ref="A45:A46"/>
    <mergeCell ref="B45:B46"/>
    <mergeCell ref="A52:A54"/>
    <mergeCell ref="B52:B54"/>
    <mergeCell ref="C52:C54"/>
    <mergeCell ref="D52:D54"/>
    <mergeCell ref="E52:E54"/>
    <mergeCell ref="B399:B402"/>
    <mergeCell ref="C516:C525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K53:K54"/>
    <mergeCell ref="A48:A51"/>
    <mergeCell ref="B48:B51"/>
    <mergeCell ref="C48:C51"/>
    <mergeCell ref="G48:G51"/>
    <mergeCell ref="H48:H51"/>
    <mergeCell ref="I48:I51"/>
    <mergeCell ref="A188:A189"/>
    <mergeCell ref="H170:H172"/>
    <mergeCell ref="I170:I172"/>
    <mergeCell ref="B93:B94"/>
    <mergeCell ref="A93:A94"/>
    <mergeCell ref="C93:C94"/>
    <mergeCell ref="A42:A44"/>
    <mergeCell ref="B42:B44"/>
    <mergeCell ref="F52:F54"/>
    <mergeCell ref="H14:H21"/>
    <mergeCell ref="B96:B97"/>
    <mergeCell ref="K3:K4"/>
    <mergeCell ref="A96:A97"/>
    <mergeCell ref="F99:F100"/>
    <mergeCell ref="E45:E46"/>
    <mergeCell ref="F45:F46"/>
    <mergeCell ref="A99:A100"/>
    <mergeCell ref="B99:B100"/>
    <mergeCell ref="L53:L54"/>
    <mergeCell ref="I42:I44"/>
    <mergeCell ref="J42:J44"/>
    <mergeCell ref="G42:G44"/>
    <mergeCell ref="H42:H44"/>
    <mergeCell ref="A31:A34"/>
    <mergeCell ref="B31:B34"/>
    <mergeCell ref="C31:C34"/>
    <mergeCell ref="A36:A38"/>
    <mergeCell ref="B36:B38"/>
    <mergeCell ref="C36:C38"/>
    <mergeCell ref="E36:E37"/>
    <mergeCell ref="K31:K34"/>
    <mergeCell ref="F36:F37"/>
    <mergeCell ref="J22:J23"/>
    <mergeCell ref="K22:K23"/>
    <mergeCell ref="C42:C44"/>
    <mergeCell ref="A65:A68"/>
    <mergeCell ref="B65:B68"/>
    <mergeCell ref="C65:C68"/>
    <mergeCell ref="G68:J68"/>
    <mergeCell ref="G65:J67"/>
    <mergeCell ref="H31:H34"/>
    <mergeCell ref="I31:I34"/>
    <mergeCell ref="J31:J34"/>
    <mergeCell ref="C45:C46"/>
    <mergeCell ref="J48:J51"/>
    <mergeCell ref="K48:K51"/>
    <mergeCell ref="G96:G97"/>
    <mergeCell ref="H96:H97"/>
    <mergeCell ref="I96:I97"/>
    <mergeCell ref="G94:J94"/>
    <mergeCell ref="J96:J97"/>
    <mergeCell ref="A3:A4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G14:G21"/>
    <mergeCell ref="D45:D46"/>
    <mergeCell ref="J80:J82"/>
    <mergeCell ref="K80:K82"/>
    <mergeCell ref="L80:L82"/>
    <mergeCell ref="G86:J86"/>
    <mergeCell ref="L76:L77"/>
    <mergeCell ref="C99:C100"/>
    <mergeCell ref="D99:D100"/>
    <mergeCell ref="E99:E100"/>
    <mergeCell ref="I14:I21"/>
    <mergeCell ref="J14:J21"/>
    <mergeCell ref="K15:K21"/>
    <mergeCell ref="G28:J28"/>
    <mergeCell ref="G36:G38"/>
    <mergeCell ref="H36:H38"/>
    <mergeCell ref="I36:I38"/>
    <mergeCell ref="J36:J38"/>
    <mergeCell ref="K36:K38"/>
    <mergeCell ref="C14:C21"/>
    <mergeCell ref="K42:K44"/>
    <mergeCell ref="G31:G34"/>
    <mergeCell ref="K58:K60"/>
    <mergeCell ref="G99:K99"/>
    <mergeCell ref="K96:K97"/>
    <mergeCell ref="G58:G60"/>
    <mergeCell ref="H58:H60"/>
    <mergeCell ref="I58:I60"/>
    <mergeCell ref="J53:J54"/>
    <mergeCell ref="J58:J60"/>
    <mergeCell ref="C96:C97"/>
    <mergeCell ref="K102:K104"/>
    <mergeCell ref="L102:L103"/>
    <mergeCell ref="A105:A109"/>
    <mergeCell ref="B105:B109"/>
    <mergeCell ref="C105:C109"/>
    <mergeCell ref="D105:D106"/>
    <mergeCell ref="E105:E106"/>
    <mergeCell ref="F105:F106"/>
    <mergeCell ref="A102:A104"/>
    <mergeCell ref="B102:B104"/>
    <mergeCell ref="C102:C104"/>
    <mergeCell ref="G102:G104"/>
    <mergeCell ref="H102:H104"/>
    <mergeCell ref="I102:I104"/>
    <mergeCell ref="L58:L60"/>
    <mergeCell ref="L74:L75"/>
    <mergeCell ref="B75:B78"/>
    <mergeCell ref="A75:A78"/>
    <mergeCell ref="C75:C78"/>
    <mergeCell ref="G74:J76"/>
    <mergeCell ref="D87:D88"/>
    <mergeCell ref="E87:E88"/>
    <mergeCell ref="F87:F88"/>
    <mergeCell ref="B80:B92"/>
    <mergeCell ref="A80:A92"/>
    <mergeCell ref="J105:J107"/>
    <mergeCell ref="D107:E107"/>
    <mergeCell ref="J102:J104"/>
    <mergeCell ref="C80:C92"/>
    <mergeCell ref="G77:J77"/>
    <mergeCell ref="K74:K75"/>
    <mergeCell ref="G87:J88"/>
    <mergeCell ref="L112:L114"/>
    <mergeCell ref="A115:A122"/>
    <mergeCell ref="B115:B122"/>
    <mergeCell ref="C115:C116"/>
    <mergeCell ref="D115:D116"/>
    <mergeCell ref="E115:E116"/>
    <mergeCell ref="F115:F116"/>
    <mergeCell ref="J115:J116"/>
    <mergeCell ref="K105:K107"/>
    <mergeCell ref="L110:L111"/>
    <mergeCell ref="A112:A114"/>
    <mergeCell ref="B112:B114"/>
    <mergeCell ref="C112:C114"/>
    <mergeCell ref="G112:G114"/>
    <mergeCell ref="H112:H114"/>
    <mergeCell ref="I112:I114"/>
    <mergeCell ref="J112:J114"/>
    <mergeCell ref="K112:K114"/>
    <mergeCell ref="A110:A111"/>
    <mergeCell ref="B110:B111"/>
    <mergeCell ref="C110:C111"/>
    <mergeCell ref="G110:G111"/>
    <mergeCell ref="H110:H111"/>
    <mergeCell ref="I110:I111"/>
    <mergeCell ref="J110:J111"/>
    <mergeCell ref="J134:J139"/>
    <mergeCell ref="C134:C139"/>
    <mergeCell ref="A131:A133"/>
    <mergeCell ref="H124:H126"/>
    <mergeCell ref="I124:I126"/>
    <mergeCell ref="J124:J126"/>
    <mergeCell ref="K124:K126"/>
    <mergeCell ref="K127:K128"/>
    <mergeCell ref="A124:A126"/>
    <mergeCell ref="B124:B126"/>
    <mergeCell ref="C124:C126"/>
    <mergeCell ref="G124:G126"/>
    <mergeCell ref="I127:I128"/>
    <mergeCell ref="J127:J128"/>
    <mergeCell ref="H127:H128"/>
    <mergeCell ref="K110:K111"/>
    <mergeCell ref="K115:K116"/>
    <mergeCell ref="C117:C122"/>
    <mergeCell ref="J117:J122"/>
    <mergeCell ref="K117:K122"/>
    <mergeCell ref="D143:F143"/>
    <mergeCell ref="B160:B162"/>
    <mergeCell ref="K134:K139"/>
    <mergeCell ref="K131:K133"/>
    <mergeCell ref="B131:B133"/>
    <mergeCell ref="C131:C133"/>
    <mergeCell ref="G134:G139"/>
    <mergeCell ref="I129:I130"/>
    <mergeCell ref="J129:J130"/>
    <mergeCell ref="K129:K130"/>
    <mergeCell ref="A142:A143"/>
    <mergeCell ref="B142:B143"/>
    <mergeCell ref="C142:C143"/>
    <mergeCell ref="A134:A139"/>
    <mergeCell ref="B134:B139"/>
    <mergeCell ref="L147:L148"/>
    <mergeCell ref="G151:J151"/>
    <mergeCell ref="G152:J152"/>
    <mergeCell ref="G153:J153"/>
    <mergeCell ref="G154:J154"/>
    <mergeCell ref="G155:J155"/>
    <mergeCell ref="A144:A148"/>
    <mergeCell ref="B144:B148"/>
    <mergeCell ref="C144:C148"/>
    <mergeCell ref="G147:G148"/>
    <mergeCell ref="H147:H148"/>
    <mergeCell ref="I147:I148"/>
    <mergeCell ref="J147:J148"/>
    <mergeCell ref="K147:K148"/>
    <mergeCell ref="G144:G145"/>
    <mergeCell ref="H144:H145"/>
    <mergeCell ref="I144:I145"/>
    <mergeCell ref="A151:A157"/>
    <mergeCell ref="C151:C157"/>
    <mergeCell ref="D156:D157"/>
    <mergeCell ref="E156:E157"/>
    <mergeCell ref="F156:F157"/>
    <mergeCell ref="J156:J157"/>
    <mergeCell ref="L163:L164"/>
    <mergeCell ref="J165:J166"/>
    <mergeCell ref="K165:K166"/>
    <mergeCell ref="G160:G161"/>
    <mergeCell ref="H160:H161"/>
    <mergeCell ref="I160:I161"/>
    <mergeCell ref="J160:J161"/>
    <mergeCell ref="K160:K161"/>
    <mergeCell ref="D163:D164"/>
    <mergeCell ref="E163:E164"/>
    <mergeCell ref="B151:B157"/>
    <mergeCell ref="C163:C168"/>
    <mergeCell ref="B163:B168"/>
    <mergeCell ref="J163:J164"/>
    <mergeCell ref="K163:K164"/>
    <mergeCell ref="A163:A168"/>
    <mergeCell ref="L177:L178"/>
    <mergeCell ref="J170:J172"/>
    <mergeCell ref="K170:K172"/>
    <mergeCell ref="G177:G178"/>
    <mergeCell ref="H177:H178"/>
    <mergeCell ref="I177:I178"/>
    <mergeCell ref="J177:J178"/>
    <mergeCell ref="K177:K178"/>
    <mergeCell ref="K167:K168"/>
    <mergeCell ref="J167:J168"/>
    <mergeCell ref="D167:D168"/>
    <mergeCell ref="E167:E168"/>
    <mergeCell ref="F167:F168"/>
    <mergeCell ref="G162:J162"/>
    <mergeCell ref="F163:F164"/>
    <mergeCell ref="G170:G172"/>
    <mergeCell ref="D176:F176"/>
    <mergeCell ref="D165:F166"/>
    <mergeCell ref="L212:L214"/>
    <mergeCell ref="G220:G221"/>
    <mergeCell ref="H220:H221"/>
    <mergeCell ref="I220:I221"/>
    <mergeCell ref="K209:K210"/>
    <mergeCell ref="A212:A214"/>
    <mergeCell ref="B212:B214"/>
    <mergeCell ref="C212:C214"/>
    <mergeCell ref="G212:G214"/>
    <mergeCell ref="H212:H214"/>
    <mergeCell ref="I212:I214"/>
    <mergeCell ref="J212:J214"/>
    <mergeCell ref="G215:G217"/>
    <mergeCell ref="H215:H217"/>
    <mergeCell ref="I215:I217"/>
    <mergeCell ref="J215:J217"/>
    <mergeCell ref="K215:K217"/>
    <mergeCell ref="J220:J221"/>
    <mergeCell ref="C215:C219"/>
    <mergeCell ref="A215:A222"/>
    <mergeCell ref="C220:C222"/>
    <mergeCell ref="C209:C211"/>
    <mergeCell ref="G209:J210"/>
    <mergeCell ref="K212:K214"/>
    <mergeCell ref="A209:A211"/>
    <mergeCell ref="B209:B211"/>
    <mergeCell ref="K220:K221"/>
    <mergeCell ref="K295:K299"/>
    <mergeCell ref="K293:K294"/>
    <mergeCell ref="K363:K364"/>
    <mergeCell ref="I322:I323"/>
    <mergeCell ref="C318:C321"/>
    <mergeCell ref="D320:D321"/>
    <mergeCell ref="E320:E321"/>
    <mergeCell ref="F320:F321"/>
    <mergeCell ref="B327:B328"/>
    <mergeCell ref="C327:C328"/>
    <mergeCell ref="J322:J323"/>
    <mergeCell ref="B318:B321"/>
    <mergeCell ref="A318:A321"/>
    <mergeCell ref="J293:J294"/>
    <mergeCell ref="G327:G328"/>
    <mergeCell ref="H327:H328"/>
    <mergeCell ref="I327:I328"/>
    <mergeCell ref="J327:J328"/>
    <mergeCell ref="G320:J320"/>
    <mergeCell ref="G319:J319"/>
    <mergeCell ref="G309:J310"/>
    <mergeCell ref="K327:K328"/>
    <mergeCell ref="G304:G305"/>
    <mergeCell ref="H304:H305"/>
    <mergeCell ref="A293:A299"/>
    <mergeCell ref="B293:B299"/>
    <mergeCell ref="C293:C299"/>
    <mergeCell ref="D293:D299"/>
    <mergeCell ref="E293:E299"/>
    <mergeCell ref="F293:F299"/>
    <mergeCell ref="L285:L286"/>
    <mergeCell ref="A287:A288"/>
    <mergeCell ref="B287:B288"/>
    <mergeCell ref="C287:C288"/>
    <mergeCell ref="D287:D288"/>
    <mergeCell ref="E287:E288"/>
    <mergeCell ref="F287:F288"/>
    <mergeCell ref="J287:J288"/>
    <mergeCell ref="A285:A286"/>
    <mergeCell ref="B285:B286"/>
    <mergeCell ref="C285:C286"/>
    <mergeCell ref="G285:G286"/>
    <mergeCell ref="H285:H286"/>
    <mergeCell ref="I285:I286"/>
    <mergeCell ref="G301:J301"/>
    <mergeCell ref="C304:C305"/>
    <mergeCell ref="J255:J257"/>
    <mergeCell ref="K255:K257"/>
    <mergeCell ref="G282:J282"/>
    <mergeCell ref="B279:B282"/>
    <mergeCell ref="D271:F273"/>
    <mergeCell ref="A270:A274"/>
    <mergeCell ref="B270:B274"/>
    <mergeCell ref="C270:C274"/>
    <mergeCell ref="L255:L256"/>
    <mergeCell ref="A255:A257"/>
    <mergeCell ref="B255:B257"/>
    <mergeCell ref="C255:C257"/>
    <mergeCell ref="G255:G257"/>
    <mergeCell ref="J285:J286"/>
    <mergeCell ref="K285:K286"/>
    <mergeCell ref="C261:C264"/>
    <mergeCell ref="L363:L364"/>
    <mergeCell ref="A363:A365"/>
    <mergeCell ref="B363:B365"/>
    <mergeCell ref="G363:G364"/>
    <mergeCell ref="H363:H364"/>
    <mergeCell ref="I363:I364"/>
    <mergeCell ref="J363:J364"/>
    <mergeCell ref="G344:J344"/>
    <mergeCell ref="L339:P339"/>
    <mergeCell ref="J329:J331"/>
    <mergeCell ref="K329:K331"/>
    <mergeCell ref="A336:A338"/>
    <mergeCell ref="B336:B338"/>
    <mergeCell ref="C336:C338"/>
    <mergeCell ref="G337:K337"/>
    <mergeCell ref="A329:A331"/>
    <mergeCell ref="B329:B331"/>
    <mergeCell ref="C329:C331"/>
    <mergeCell ref="G329:G331"/>
    <mergeCell ref="H329:H331"/>
    <mergeCell ref="I329:I331"/>
    <mergeCell ref="A353:A356"/>
    <mergeCell ref="B353:B356"/>
    <mergeCell ref="K353:K354"/>
    <mergeCell ref="C334:C335"/>
    <mergeCell ref="C353:C356"/>
    <mergeCell ref="D353:D354"/>
    <mergeCell ref="J353:J354"/>
    <mergeCell ref="D335:F335"/>
    <mergeCell ref="L385:L386"/>
    <mergeCell ref="A383:A384"/>
    <mergeCell ref="B383:B384"/>
    <mergeCell ref="C383:C384"/>
    <mergeCell ref="G383:G384"/>
    <mergeCell ref="H383:H384"/>
    <mergeCell ref="I383:I384"/>
    <mergeCell ref="J383:J384"/>
    <mergeCell ref="A379:A382"/>
    <mergeCell ref="B379:B382"/>
    <mergeCell ref="C379:C382"/>
    <mergeCell ref="J399:J400"/>
    <mergeCell ref="K399:K400"/>
    <mergeCell ref="A397:A398"/>
    <mergeCell ref="B397:B398"/>
    <mergeCell ref="C397:C398"/>
    <mergeCell ref="G399:G400"/>
    <mergeCell ref="H399:H400"/>
    <mergeCell ref="I399:I400"/>
    <mergeCell ref="C395:C396"/>
    <mergeCell ref="G395:G396"/>
    <mergeCell ref="H395:H396"/>
    <mergeCell ref="I395:I396"/>
    <mergeCell ref="J395:J396"/>
    <mergeCell ref="K379:K382"/>
    <mergeCell ref="K395:K396"/>
    <mergeCell ref="B385:B386"/>
    <mergeCell ref="G379:G382"/>
    <mergeCell ref="H379:H382"/>
    <mergeCell ref="I379:I382"/>
    <mergeCell ref="J379:J382"/>
    <mergeCell ref="I474:I475"/>
    <mergeCell ref="L450:L451"/>
    <mergeCell ref="A455:A459"/>
    <mergeCell ref="B455:B459"/>
    <mergeCell ref="C455:C459"/>
    <mergeCell ref="G455:G459"/>
    <mergeCell ref="H455:H459"/>
    <mergeCell ref="I455:I459"/>
    <mergeCell ref="J455:J459"/>
    <mergeCell ref="K452:K454"/>
    <mergeCell ref="J431:J432"/>
    <mergeCell ref="K431:K432"/>
    <mergeCell ref="J437:J438"/>
    <mergeCell ref="K437:K438"/>
    <mergeCell ref="G431:G432"/>
    <mergeCell ref="H431:H432"/>
    <mergeCell ref="A419:A420"/>
    <mergeCell ref="L437:L438"/>
    <mergeCell ref="A437:A438"/>
    <mergeCell ref="B437:B438"/>
    <mergeCell ref="C437:C438"/>
    <mergeCell ref="G437:G438"/>
    <mergeCell ref="H437:H438"/>
    <mergeCell ref="I437:I438"/>
    <mergeCell ref="J452:J454"/>
    <mergeCell ref="G452:G454"/>
    <mergeCell ref="A423:A426"/>
    <mergeCell ref="B423:B426"/>
    <mergeCell ref="K423:K424"/>
    <mergeCell ref="G436:J436"/>
    <mergeCell ref="G423:J424"/>
    <mergeCell ref="C423:C426"/>
    <mergeCell ref="C502:C506"/>
    <mergeCell ref="L472:L473"/>
    <mergeCell ref="L534:L535"/>
    <mergeCell ref="G597:G598"/>
    <mergeCell ref="H597:H598"/>
    <mergeCell ref="I597:I598"/>
    <mergeCell ref="J597:J598"/>
    <mergeCell ref="K597:K598"/>
    <mergeCell ref="D501:E501"/>
    <mergeCell ref="L492:L493"/>
    <mergeCell ref="B495:B501"/>
    <mergeCell ref="C495:C501"/>
    <mergeCell ref="G495:J498"/>
    <mergeCell ref="K495:K498"/>
    <mergeCell ref="D498:E498"/>
    <mergeCell ref="B491:B494"/>
    <mergeCell ref="C492:C493"/>
    <mergeCell ref="D503:E503"/>
    <mergeCell ref="K491:K494"/>
    <mergeCell ref="G539:G542"/>
    <mergeCell ref="L580:L581"/>
    <mergeCell ref="L477:L478"/>
    <mergeCell ref="B549:B554"/>
    <mergeCell ref="C549:C554"/>
    <mergeCell ref="B474:B475"/>
    <mergeCell ref="G477:G478"/>
    <mergeCell ref="H477:H478"/>
    <mergeCell ref="I477:I478"/>
    <mergeCell ref="J477:J478"/>
    <mergeCell ref="C474:C475"/>
    <mergeCell ref="G474:G475"/>
    <mergeCell ref="H474:H475"/>
    <mergeCell ref="A534:A535"/>
    <mergeCell ref="B534:B535"/>
    <mergeCell ref="C534:C535"/>
    <mergeCell ref="F544:F546"/>
    <mergeCell ref="A601:A603"/>
    <mergeCell ref="B601:B603"/>
    <mergeCell ref="J601:J603"/>
    <mergeCell ref="D603:E603"/>
    <mergeCell ref="G586:J586"/>
    <mergeCell ref="G587:J587"/>
    <mergeCell ref="G588:J588"/>
    <mergeCell ref="A483:A485"/>
    <mergeCell ref="B527:B532"/>
    <mergeCell ref="C527:C532"/>
    <mergeCell ref="G528:G532"/>
    <mergeCell ref="B483:B485"/>
    <mergeCell ref="C483:C485"/>
    <mergeCell ref="A495:A501"/>
    <mergeCell ref="A491:A494"/>
    <mergeCell ref="A539:A542"/>
    <mergeCell ref="H543:H547"/>
    <mergeCell ref="H539:H542"/>
    <mergeCell ref="H534:H535"/>
    <mergeCell ref="I534:I535"/>
    <mergeCell ref="J534:J535"/>
    <mergeCell ref="A595:A596"/>
    <mergeCell ref="A592:A593"/>
    <mergeCell ref="B592:B593"/>
    <mergeCell ref="B595:B596"/>
    <mergeCell ref="C595:C596"/>
    <mergeCell ref="B584:B589"/>
    <mergeCell ref="B502:B506"/>
    <mergeCell ref="L529:L532"/>
    <mergeCell ref="I539:I542"/>
    <mergeCell ref="J539:J542"/>
    <mergeCell ref="K528:K532"/>
    <mergeCell ref="C592:C593"/>
    <mergeCell ref="G592:G593"/>
    <mergeCell ref="H592:H593"/>
    <mergeCell ref="D576:D577"/>
    <mergeCell ref="E576:E577"/>
    <mergeCell ref="F576:F577"/>
    <mergeCell ref="G567:J567"/>
    <mergeCell ref="I592:I593"/>
    <mergeCell ref="J592:J593"/>
    <mergeCell ref="G561:J561"/>
    <mergeCell ref="G562:J562"/>
    <mergeCell ref="G571:J571"/>
    <mergeCell ref="I604:I605"/>
    <mergeCell ref="D573:F573"/>
    <mergeCell ref="G573:J573"/>
    <mergeCell ref="G565:J565"/>
    <mergeCell ref="G566:J566"/>
    <mergeCell ref="G564:J564"/>
    <mergeCell ref="G604:G605"/>
    <mergeCell ref="H604:H605"/>
    <mergeCell ref="G581:J581"/>
    <mergeCell ref="G584:J585"/>
    <mergeCell ref="K601:K603"/>
    <mergeCell ref="K604:K605"/>
    <mergeCell ref="D663:E663"/>
    <mergeCell ref="K653:K654"/>
    <mergeCell ref="G685:G686"/>
    <mergeCell ref="H685:H686"/>
    <mergeCell ref="I685:I686"/>
    <mergeCell ref="G664:J664"/>
    <mergeCell ref="G665:K665"/>
    <mergeCell ref="G641:K641"/>
    <mergeCell ref="D642:E642"/>
    <mergeCell ref="D645:E645"/>
    <mergeCell ref="G645:K645"/>
    <mergeCell ref="K685:K686"/>
    <mergeCell ref="I653:I654"/>
    <mergeCell ref="G666:J666"/>
    <mergeCell ref="D652:E654"/>
    <mergeCell ref="A604:A605"/>
    <mergeCell ref="A597:A598"/>
    <mergeCell ref="K606:K607"/>
    <mergeCell ref="C631:C666"/>
    <mergeCell ref="G606:G607"/>
    <mergeCell ref="H606:H607"/>
    <mergeCell ref="C615:C618"/>
    <mergeCell ref="J606:J607"/>
    <mergeCell ref="B681:B682"/>
    <mergeCell ref="B685:B688"/>
    <mergeCell ref="B604:B605"/>
    <mergeCell ref="C601:C603"/>
    <mergeCell ref="C685:C688"/>
    <mergeCell ref="D687:F688"/>
    <mergeCell ref="B597:B598"/>
    <mergeCell ref="G644:K644"/>
    <mergeCell ref="G632:K632"/>
    <mergeCell ref="K707:K708"/>
    <mergeCell ref="I707:I708"/>
    <mergeCell ref="J707:J708"/>
    <mergeCell ref="G649:K649"/>
    <mergeCell ref="G650:K650"/>
    <mergeCell ref="G635:K635"/>
    <mergeCell ref="G625:J625"/>
    <mergeCell ref="H714:H717"/>
    <mergeCell ref="I714:I717"/>
    <mergeCell ref="J604:J605"/>
    <mergeCell ref="L685:L686"/>
    <mergeCell ref="G626:J626"/>
    <mergeCell ref="G651:K651"/>
    <mergeCell ref="G646:K646"/>
    <mergeCell ref="L621:L622"/>
    <mergeCell ref="K621:K622"/>
    <mergeCell ref="G660:K660"/>
    <mergeCell ref="G661:K661"/>
    <mergeCell ref="G662:K662"/>
    <mergeCell ref="K687:K688"/>
    <mergeCell ref="H695:I695"/>
    <mergeCell ref="G616:J617"/>
    <mergeCell ref="H692:H694"/>
    <mergeCell ref="J711:J713"/>
    <mergeCell ref="H707:H708"/>
    <mergeCell ref="L692:L693"/>
    <mergeCell ref="G636:K636"/>
    <mergeCell ref="B692:B694"/>
    <mergeCell ref="A615:A618"/>
    <mergeCell ref="B615:B618"/>
    <mergeCell ref="K759:K760"/>
    <mergeCell ref="A726:A729"/>
    <mergeCell ref="B726:B729"/>
    <mergeCell ref="C726:C729"/>
    <mergeCell ref="G727:J727"/>
    <mergeCell ref="G728:J728"/>
    <mergeCell ref="A723:A724"/>
    <mergeCell ref="B723:B724"/>
    <mergeCell ref="C723:C724"/>
    <mergeCell ref="G723:G724"/>
    <mergeCell ref="A707:A708"/>
    <mergeCell ref="C707:C708"/>
    <mergeCell ref="A681:A682"/>
    <mergeCell ref="A692:A694"/>
    <mergeCell ref="A685:A688"/>
    <mergeCell ref="C738:C740"/>
    <mergeCell ref="B741:B746"/>
    <mergeCell ref="K742:K746"/>
    <mergeCell ref="K695:K700"/>
    <mergeCell ref="B621:B622"/>
    <mergeCell ref="C621:C622"/>
    <mergeCell ref="A753:A760"/>
    <mergeCell ref="C753:C757"/>
    <mergeCell ref="G753:G757"/>
    <mergeCell ref="H753:H757"/>
    <mergeCell ref="I753:I757"/>
    <mergeCell ref="J753:J757"/>
    <mergeCell ref="G758:J758"/>
    <mergeCell ref="B759:B760"/>
    <mergeCell ref="L939:L940"/>
    <mergeCell ref="C988:C990"/>
    <mergeCell ref="G990:J990"/>
    <mergeCell ref="D988:D989"/>
    <mergeCell ref="E988:E989"/>
    <mergeCell ref="G960:G961"/>
    <mergeCell ref="H960:H961"/>
    <mergeCell ref="K905:K906"/>
    <mergeCell ref="A910:A912"/>
    <mergeCell ref="K946:K947"/>
    <mergeCell ref="D949:F949"/>
    <mergeCell ref="A953:A954"/>
    <mergeCell ref="B953:B954"/>
    <mergeCell ref="C953:C954"/>
    <mergeCell ref="A946:A947"/>
    <mergeCell ref="L968:O968"/>
    <mergeCell ref="K986:K987"/>
    <mergeCell ref="B905:B906"/>
    <mergeCell ref="C905:C906"/>
    <mergeCell ref="B919:B923"/>
    <mergeCell ref="H919:H921"/>
    <mergeCell ref="I960:I961"/>
    <mergeCell ref="L941:L942"/>
    <mergeCell ref="G975:J975"/>
    <mergeCell ref="B955:B957"/>
    <mergeCell ref="A955:A957"/>
    <mergeCell ref="H941:H942"/>
    <mergeCell ref="A931:A933"/>
    <mergeCell ref="B910:B912"/>
    <mergeCell ref="F910:F912"/>
    <mergeCell ref="G911:J911"/>
    <mergeCell ref="I919:I921"/>
    <mergeCell ref="G907:J908"/>
    <mergeCell ref="A927:A929"/>
    <mergeCell ref="B946:B947"/>
    <mergeCell ref="C972:C978"/>
    <mergeCell ref="D972:D973"/>
    <mergeCell ref="E972:E973"/>
    <mergeCell ref="F972:F973"/>
    <mergeCell ref="G972:J974"/>
    <mergeCell ref="G976:J976"/>
    <mergeCell ref="G939:G940"/>
    <mergeCell ref="G922:G923"/>
    <mergeCell ref="H922:H923"/>
    <mergeCell ref="I922:I923"/>
    <mergeCell ref="G941:G942"/>
    <mergeCell ref="K1018:K1019"/>
    <mergeCell ref="G1011:G1012"/>
    <mergeCell ref="H1011:H1012"/>
    <mergeCell ref="C919:C923"/>
    <mergeCell ref="H946:H947"/>
    <mergeCell ref="I946:I947"/>
    <mergeCell ref="J946:J947"/>
    <mergeCell ref="C960:C961"/>
    <mergeCell ref="J928:J929"/>
    <mergeCell ref="E1011:E1012"/>
    <mergeCell ref="F1011:F1012"/>
    <mergeCell ref="I1011:I1012"/>
    <mergeCell ref="J1011:J1012"/>
    <mergeCell ref="A1018:A1019"/>
    <mergeCell ref="B1018:B1019"/>
    <mergeCell ref="C1018:C1019"/>
    <mergeCell ref="D1018:D1019"/>
    <mergeCell ref="E1018:E1019"/>
    <mergeCell ref="J986:J987"/>
    <mergeCell ref="J1036:J1038"/>
    <mergeCell ref="B972:B978"/>
    <mergeCell ref="K928:K929"/>
    <mergeCell ref="L1070:L1071"/>
    <mergeCell ref="G1072:J1072"/>
    <mergeCell ref="G1076:J1076"/>
    <mergeCell ref="G1001:J1001"/>
    <mergeCell ref="B1026:B1027"/>
    <mergeCell ref="A1061:A1062"/>
    <mergeCell ref="C1006:C1008"/>
    <mergeCell ref="G1006:J1007"/>
    <mergeCell ref="I1002:I1005"/>
    <mergeCell ref="F988:F989"/>
    <mergeCell ref="G1078:J1078"/>
    <mergeCell ref="L1131:L1132"/>
    <mergeCell ref="G1099:J1099"/>
    <mergeCell ref="D1080:F1082"/>
    <mergeCell ref="J1080:J1082"/>
    <mergeCell ref="D1070:D1071"/>
    <mergeCell ref="E1070:E1071"/>
    <mergeCell ref="F1070:F1071"/>
    <mergeCell ref="J1070:J1071"/>
    <mergeCell ref="K1070:K1071"/>
    <mergeCell ref="D1078:D1079"/>
    <mergeCell ref="G1123:J1123"/>
    <mergeCell ref="G1127:J1127"/>
    <mergeCell ref="K1080:K1082"/>
    <mergeCell ref="D1083:D1084"/>
    <mergeCell ref="G1087:J1087"/>
    <mergeCell ref="G1093:J1093"/>
    <mergeCell ref="F1072:F1073"/>
    <mergeCell ref="G1135:J1135"/>
    <mergeCell ref="G1138:J1138"/>
    <mergeCell ref="G1140:J1140"/>
    <mergeCell ref="D1116:D1117"/>
    <mergeCell ref="G1142:J1142"/>
    <mergeCell ref="G1143:J1143"/>
    <mergeCell ref="G1115:J1115"/>
    <mergeCell ref="F1111:F1112"/>
    <mergeCell ref="D1109:D1110"/>
    <mergeCell ref="E1109:E1110"/>
    <mergeCell ref="G1160:J1160"/>
    <mergeCell ref="G1085:J1085"/>
    <mergeCell ref="G1086:J1086"/>
    <mergeCell ref="B1093:B1094"/>
    <mergeCell ref="D1176:D1177"/>
    <mergeCell ref="E1176:E1177"/>
    <mergeCell ref="B1111:B1112"/>
    <mergeCell ref="G1116:J1116"/>
    <mergeCell ref="I1103:I1104"/>
    <mergeCell ref="J1103:J1104"/>
    <mergeCell ref="G1101:J1101"/>
    <mergeCell ref="C1111:C1112"/>
    <mergeCell ref="C1090:C1091"/>
    <mergeCell ref="B1134:B1136"/>
    <mergeCell ref="B1131:B1132"/>
    <mergeCell ref="C1131:C1132"/>
    <mergeCell ref="D1131:D1132"/>
    <mergeCell ref="E1131:E1132"/>
    <mergeCell ref="F1131:F1132"/>
    <mergeCell ref="D1159:D1160"/>
    <mergeCell ref="E1159:E1160"/>
    <mergeCell ref="F1159:F1160"/>
    <mergeCell ref="L1134:L1135"/>
    <mergeCell ref="J765:J766"/>
    <mergeCell ref="K765:K766"/>
    <mergeCell ref="L873:L878"/>
    <mergeCell ref="F869:F872"/>
    <mergeCell ref="G818:J818"/>
    <mergeCell ref="K786:K787"/>
    <mergeCell ref="D880:D881"/>
    <mergeCell ref="J885:J886"/>
    <mergeCell ref="G873:J873"/>
    <mergeCell ref="C849:C850"/>
    <mergeCell ref="D821:E821"/>
    <mergeCell ref="D816:E816"/>
    <mergeCell ref="D817:E817"/>
    <mergeCell ref="B802:B804"/>
    <mergeCell ref="B835:B836"/>
    <mergeCell ref="G874:J874"/>
    <mergeCell ref="G875:J875"/>
    <mergeCell ref="G876:J876"/>
    <mergeCell ref="D814:E814"/>
    <mergeCell ref="D815:E815"/>
    <mergeCell ref="E765:E766"/>
    <mergeCell ref="K782:K783"/>
    <mergeCell ref="G885:G886"/>
    <mergeCell ref="G909:J909"/>
    <mergeCell ref="H885:H886"/>
    <mergeCell ref="I885:I886"/>
    <mergeCell ref="L819:L820"/>
    <mergeCell ref="G821:J821"/>
    <mergeCell ref="G822:J822"/>
    <mergeCell ref="G882:J882"/>
    <mergeCell ref="H866:H872"/>
    <mergeCell ref="A806:A827"/>
    <mergeCell ref="K1147:K1149"/>
    <mergeCell ref="L1109:L1111"/>
    <mergeCell ref="G1111:J1111"/>
    <mergeCell ref="G1114:K1114"/>
    <mergeCell ref="H1103:H1104"/>
    <mergeCell ref="L759:L760"/>
    <mergeCell ref="A1241:B1241"/>
    <mergeCell ref="G1150:K1150"/>
    <mergeCell ref="G1159:K1159"/>
    <mergeCell ref="G1161:J1161"/>
    <mergeCell ref="G1162:K1162"/>
    <mergeCell ref="G1164:J1164"/>
    <mergeCell ref="G1146:J1146"/>
    <mergeCell ref="A1147:A1149"/>
    <mergeCell ref="B1147:B1149"/>
    <mergeCell ref="C1147:C1149"/>
    <mergeCell ref="D1147:D1149"/>
    <mergeCell ref="E1147:E1149"/>
    <mergeCell ref="F1147:F1149"/>
    <mergeCell ref="G1134:J1134"/>
    <mergeCell ref="E1116:E1117"/>
    <mergeCell ref="F1116:F1117"/>
    <mergeCell ref="K1115:K1117"/>
    <mergeCell ref="D1173:F1173"/>
    <mergeCell ref="G1173:J1173"/>
    <mergeCell ref="J782:J783"/>
    <mergeCell ref="A799:A800"/>
    <mergeCell ref="B849:B850"/>
    <mergeCell ref="H786:H787"/>
    <mergeCell ref="I786:I787"/>
    <mergeCell ref="J786:J787"/>
    <mergeCell ref="A704:A705"/>
    <mergeCell ref="K1165:K1168"/>
    <mergeCell ref="A227:A228"/>
    <mergeCell ref="B227:B228"/>
    <mergeCell ref="C227:C228"/>
    <mergeCell ref="G227:G228"/>
    <mergeCell ref="H227:H228"/>
    <mergeCell ref="I227:I228"/>
    <mergeCell ref="F1093:F1094"/>
    <mergeCell ref="A986:A987"/>
    <mergeCell ref="A1127:A1130"/>
    <mergeCell ref="B1101:B1102"/>
    <mergeCell ref="C1101:C1102"/>
    <mergeCell ref="G859:G860"/>
    <mergeCell ref="K822:K825"/>
    <mergeCell ref="B1083:B1084"/>
    <mergeCell ref="K1067:K1069"/>
    <mergeCell ref="K1011:K1012"/>
    <mergeCell ref="F1101:F1102"/>
    <mergeCell ref="D1101:D1102"/>
    <mergeCell ref="G1054:J1054"/>
    <mergeCell ref="E1078:E1079"/>
    <mergeCell ref="J1018:J1019"/>
    <mergeCell ref="J1002:J1005"/>
    <mergeCell ref="B1123:B1125"/>
    <mergeCell ref="A1123:A1125"/>
    <mergeCell ref="A907:A909"/>
    <mergeCell ref="A905:A906"/>
    <mergeCell ref="G1018:G1019"/>
    <mergeCell ref="H1018:H1019"/>
    <mergeCell ref="I1018:I1019"/>
    <mergeCell ref="I782:I783"/>
    <mergeCell ref="A784:A785"/>
    <mergeCell ref="B784:B785"/>
    <mergeCell ref="C784:C785"/>
    <mergeCell ref="G784:G785"/>
    <mergeCell ref="H784:H785"/>
    <mergeCell ref="I784:I785"/>
    <mergeCell ref="A714:A717"/>
    <mergeCell ref="B714:B717"/>
    <mergeCell ref="C714:C717"/>
    <mergeCell ref="G714:G717"/>
    <mergeCell ref="J784:J785"/>
    <mergeCell ref="G809:J811"/>
    <mergeCell ref="B799:B800"/>
    <mergeCell ref="G738:G740"/>
    <mergeCell ref="H723:H724"/>
    <mergeCell ref="F652:F654"/>
    <mergeCell ref="D629:F629"/>
    <mergeCell ref="G640:K640"/>
    <mergeCell ref="G642:K642"/>
    <mergeCell ref="G643:K643"/>
    <mergeCell ref="G639:K639"/>
    <mergeCell ref="G634:K634"/>
    <mergeCell ref="I788:I789"/>
    <mergeCell ref="B794:B795"/>
    <mergeCell ref="E802:E803"/>
    <mergeCell ref="F802:F803"/>
    <mergeCell ref="H801:H803"/>
    <mergeCell ref="I801:I803"/>
    <mergeCell ref="B806:B827"/>
    <mergeCell ref="C806:C827"/>
    <mergeCell ref="D812:E812"/>
    <mergeCell ref="C802:C804"/>
    <mergeCell ref="H864:H865"/>
    <mergeCell ref="I864:I865"/>
    <mergeCell ref="K864:K865"/>
    <mergeCell ref="K849:K850"/>
    <mergeCell ref="K819:K820"/>
    <mergeCell ref="J788:J789"/>
    <mergeCell ref="K788:K789"/>
    <mergeCell ref="K812:K817"/>
    <mergeCell ref="K738:K740"/>
    <mergeCell ref="F823:F825"/>
    <mergeCell ref="E759:E760"/>
    <mergeCell ref="D835:D836"/>
    <mergeCell ref="K784:K785"/>
    <mergeCell ref="G812:J817"/>
    <mergeCell ref="K835:K836"/>
    <mergeCell ref="G782:G783"/>
    <mergeCell ref="E847:E848"/>
    <mergeCell ref="H788:H789"/>
    <mergeCell ref="D765:D766"/>
    <mergeCell ref="J859:J860"/>
    <mergeCell ref="J849:J850"/>
    <mergeCell ref="A802:A804"/>
    <mergeCell ref="B782:B783"/>
    <mergeCell ref="C782:C783"/>
    <mergeCell ref="G788:G789"/>
    <mergeCell ref="B1002:B1005"/>
    <mergeCell ref="F765:F766"/>
    <mergeCell ref="J776:J780"/>
    <mergeCell ref="J763:J764"/>
    <mergeCell ref="I692:I694"/>
    <mergeCell ref="J692:J694"/>
    <mergeCell ref="K919:K923"/>
    <mergeCell ref="K885:K886"/>
    <mergeCell ref="G806:J808"/>
    <mergeCell ref="E869:E872"/>
    <mergeCell ref="G912:J912"/>
    <mergeCell ref="D819:E819"/>
    <mergeCell ref="D827:E827"/>
    <mergeCell ref="D823:E825"/>
    <mergeCell ref="D813:E813"/>
    <mergeCell ref="G903:J903"/>
    <mergeCell ref="G905:G906"/>
    <mergeCell ref="H905:H906"/>
    <mergeCell ref="I905:I906"/>
    <mergeCell ref="J905:J906"/>
    <mergeCell ref="G773:J773"/>
    <mergeCell ref="G774:J774"/>
    <mergeCell ref="G825:J825"/>
    <mergeCell ref="G849:G850"/>
    <mergeCell ref="H849:H850"/>
    <mergeCell ref="A880:A882"/>
    <mergeCell ref="D704:D705"/>
    <mergeCell ref="E704:E705"/>
    <mergeCell ref="B250:B251"/>
    <mergeCell ref="C160:C162"/>
    <mergeCell ref="A127:A130"/>
    <mergeCell ref="A170:A172"/>
    <mergeCell ref="B170:B172"/>
    <mergeCell ref="C170:C172"/>
    <mergeCell ref="J243:J245"/>
    <mergeCell ref="K227:K228"/>
    <mergeCell ref="B175:B176"/>
    <mergeCell ref="A175:A176"/>
    <mergeCell ref="K243:K245"/>
    <mergeCell ref="K280:K281"/>
    <mergeCell ref="A279:A282"/>
    <mergeCell ref="G279:J279"/>
    <mergeCell ref="B184:B185"/>
    <mergeCell ref="A184:A185"/>
    <mergeCell ref="C184:C185"/>
    <mergeCell ref="A160:A162"/>
    <mergeCell ref="H134:H139"/>
    <mergeCell ref="I134:I139"/>
    <mergeCell ref="B127:B130"/>
    <mergeCell ref="C127:C130"/>
    <mergeCell ref="G129:G130"/>
    <mergeCell ref="G131:G133"/>
    <mergeCell ref="H131:H133"/>
    <mergeCell ref="I131:I133"/>
    <mergeCell ref="J131:J133"/>
    <mergeCell ref="H129:H130"/>
    <mergeCell ref="G127:G128"/>
    <mergeCell ref="J144:J145"/>
    <mergeCell ref="K144:K145"/>
    <mergeCell ref="G146:J146"/>
    <mergeCell ref="K287:K288"/>
    <mergeCell ref="G179:J179"/>
    <mergeCell ref="G200:J200"/>
    <mergeCell ref="G203:G208"/>
    <mergeCell ref="H203:H208"/>
    <mergeCell ref="I203:I208"/>
    <mergeCell ref="J203:J208"/>
    <mergeCell ref="K203:K208"/>
    <mergeCell ref="J227:J228"/>
    <mergeCell ref="B771:B774"/>
    <mergeCell ref="K250:K251"/>
    <mergeCell ref="G252:J253"/>
    <mergeCell ref="D1103:D1104"/>
    <mergeCell ref="E1103:E1104"/>
    <mergeCell ref="F1103:F1104"/>
    <mergeCell ref="D1098:D1099"/>
    <mergeCell ref="C1078:C1079"/>
    <mergeCell ref="F1078:F1079"/>
    <mergeCell ref="B927:B929"/>
    <mergeCell ref="B988:B990"/>
    <mergeCell ref="C1000:C1001"/>
    <mergeCell ref="B1013:B1014"/>
    <mergeCell ref="C1013:C1014"/>
    <mergeCell ref="K1103:K1104"/>
    <mergeCell ref="G1098:J1098"/>
    <mergeCell ref="G1067:G1069"/>
    <mergeCell ref="G878:J878"/>
    <mergeCell ref="G652:K652"/>
    <mergeCell ref="H927:H928"/>
    <mergeCell ref="K776:K780"/>
    <mergeCell ref="K960:K961"/>
    <mergeCell ref="B880:B882"/>
    <mergeCell ref="E1098:E1099"/>
    <mergeCell ref="F1098:F1099"/>
    <mergeCell ref="E1101:E1102"/>
    <mergeCell ref="A972:A978"/>
    <mergeCell ref="B960:B961"/>
    <mergeCell ref="C1083:C1084"/>
    <mergeCell ref="A1085:A1088"/>
    <mergeCell ref="A1002:A1005"/>
    <mergeCell ref="A1000:A1001"/>
    <mergeCell ref="B1078:B1079"/>
    <mergeCell ref="A1078:A1079"/>
    <mergeCell ref="D928:F929"/>
    <mergeCell ref="F1018:F1019"/>
    <mergeCell ref="B1011:B1012"/>
    <mergeCell ref="C1011:C1012"/>
    <mergeCell ref="F1067:F1068"/>
    <mergeCell ref="F1083:F1084"/>
    <mergeCell ref="E1061:E1062"/>
    <mergeCell ref="F1061:F1062"/>
    <mergeCell ref="A1026:A1027"/>
    <mergeCell ref="B1067:B1069"/>
    <mergeCell ref="C1067:C1069"/>
    <mergeCell ref="C1072:C1073"/>
    <mergeCell ref="D1072:D1073"/>
    <mergeCell ref="E1072:E1073"/>
    <mergeCell ref="E1083:E1084"/>
    <mergeCell ref="A584:A589"/>
    <mergeCell ref="C584:C589"/>
    <mergeCell ref="A771:A774"/>
    <mergeCell ref="K955:K957"/>
    <mergeCell ref="K880:K881"/>
    <mergeCell ref="K801:K803"/>
    <mergeCell ref="K889:K890"/>
    <mergeCell ref="K852:K853"/>
    <mergeCell ref="C931:C933"/>
    <mergeCell ref="C955:C957"/>
    <mergeCell ref="K939:K940"/>
    <mergeCell ref="G826:J826"/>
    <mergeCell ref="K809:K811"/>
    <mergeCell ref="I927:I928"/>
    <mergeCell ref="G855:J855"/>
    <mergeCell ref="B885:B886"/>
    <mergeCell ref="J889:J890"/>
    <mergeCell ref="H859:H860"/>
    <mergeCell ref="A864:A865"/>
    <mergeCell ref="B842:B844"/>
    <mergeCell ref="C842:C844"/>
    <mergeCell ref="G879:J879"/>
    <mergeCell ref="G955:G957"/>
    <mergeCell ref="H955:H957"/>
    <mergeCell ref="I955:I957"/>
    <mergeCell ref="J955:J957"/>
    <mergeCell ref="D869:D872"/>
    <mergeCell ref="B907:B909"/>
    <mergeCell ref="C910:C912"/>
    <mergeCell ref="A842:A844"/>
    <mergeCell ref="F880:F881"/>
    <mergeCell ref="G877:J877"/>
    <mergeCell ref="B864:B865"/>
    <mergeCell ref="C864:C865"/>
    <mergeCell ref="D864:D865"/>
    <mergeCell ref="E864:E865"/>
    <mergeCell ref="A849:A850"/>
    <mergeCell ref="F1049:F1050"/>
    <mergeCell ref="G910:J910"/>
    <mergeCell ref="C866:C872"/>
    <mergeCell ref="C907:C909"/>
    <mergeCell ref="I859:I860"/>
    <mergeCell ref="I849:I850"/>
    <mergeCell ref="D919:D920"/>
    <mergeCell ref="E835:E836"/>
    <mergeCell ref="J1067:J1069"/>
    <mergeCell ref="G1053:J1053"/>
    <mergeCell ref="B1061:B1062"/>
    <mergeCell ref="C1061:C1062"/>
    <mergeCell ref="B1036:B1038"/>
    <mergeCell ref="C1036:C1038"/>
    <mergeCell ref="G1036:G1038"/>
    <mergeCell ref="D1049:D1050"/>
    <mergeCell ref="E1049:E1050"/>
    <mergeCell ref="A835:A836"/>
    <mergeCell ref="C835:C836"/>
    <mergeCell ref="D1011:D1012"/>
    <mergeCell ref="B898:B899"/>
    <mergeCell ref="C898:C899"/>
    <mergeCell ref="D898:D899"/>
    <mergeCell ref="E898:E899"/>
    <mergeCell ref="F898:F899"/>
    <mergeCell ref="A851:A854"/>
    <mergeCell ref="B851:B854"/>
    <mergeCell ref="J271:J273"/>
    <mergeCell ref="K271:K273"/>
    <mergeCell ref="A1118:A1121"/>
    <mergeCell ref="B1118:B1121"/>
    <mergeCell ref="D1118:D1121"/>
    <mergeCell ref="E1118:E1121"/>
    <mergeCell ref="F1118:F1121"/>
    <mergeCell ref="C1118:C1121"/>
    <mergeCell ref="B1049:B1055"/>
    <mergeCell ref="A1049:A1055"/>
    <mergeCell ref="C1049:C1055"/>
    <mergeCell ref="D1054:D1055"/>
    <mergeCell ref="E1054:E1055"/>
    <mergeCell ref="F1054:F1055"/>
    <mergeCell ref="A334:A335"/>
    <mergeCell ref="B334:B335"/>
    <mergeCell ref="A1067:A1069"/>
    <mergeCell ref="D1067:D1068"/>
    <mergeCell ref="B859:B860"/>
    <mergeCell ref="C859:C860"/>
    <mergeCell ref="A621:A622"/>
    <mergeCell ref="B1070:B1071"/>
    <mergeCell ref="C1070:C1071"/>
    <mergeCell ref="F835:F836"/>
    <mergeCell ref="J835:J836"/>
    <mergeCell ref="H621:H622"/>
    <mergeCell ref="I621:I622"/>
    <mergeCell ref="K366:K368"/>
    <mergeCell ref="G322:G323"/>
    <mergeCell ref="H322:H323"/>
    <mergeCell ref="G1118:J1118"/>
    <mergeCell ref="G1083:J1083"/>
    <mergeCell ref="C765:C766"/>
    <mergeCell ref="C692:C694"/>
    <mergeCell ref="G692:G694"/>
    <mergeCell ref="K711:K713"/>
    <mergeCell ref="C711:C713"/>
    <mergeCell ref="J864:J865"/>
    <mergeCell ref="G621:G622"/>
    <mergeCell ref="G866:G872"/>
    <mergeCell ref="E1067:E1068"/>
    <mergeCell ref="E919:E920"/>
    <mergeCell ref="G771:J772"/>
    <mergeCell ref="K806:K808"/>
    <mergeCell ref="J866:J872"/>
    <mergeCell ref="K866:K872"/>
    <mergeCell ref="K1036:K1038"/>
    <mergeCell ref="K1002:K1005"/>
    <mergeCell ref="D1003:D1004"/>
    <mergeCell ref="E1003:E1004"/>
    <mergeCell ref="F1003:F1004"/>
    <mergeCell ref="G988:J988"/>
    <mergeCell ref="J801:J803"/>
    <mergeCell ref="K794:K795"/>
    <mergeCell ref="H1067:H1069"/>
    <mergeCell ref="I1067:I1069"/>
    <mergeCell ref="G794:G795"/>
    <mergeCell ref="H794:H795"/>
    <mergeCell ref="F1026:F1027"/>
    <mergeCell ref="I794:I795"/>
    <mergeCell ref="D777:F780"/>
    <mergeCell ref="K859:K860"/>
    <mergeCell ref="F864:F865"/>
    <mergeCell ref="G864:G865"/>
    <mergeCell ref="K516:K522"/>
    <mergeCell ref="D802:D803"/>
    <mergeCell ref="C1002:C1005"/>
    <mergeCell ref="G1002:G1005"/>
    <mergeCell ref="H1002:H1005"/>
    <mergeCell ref="G1052:J1052"/>
    <mergeCell ref="K763:K764"/>
    <mergeCell ref="J723:J724"/>
    <mergeCell ref="K723:K724"/>
    <mergeCell ref="C885:C886"/>
    <mergeCell ref="C889:C891"/>
    <mergeCell ref="D889:F890"/>
    <mergeCell ref="I866:I872"/>
    <mergeCell ref="B1000:B1001"/>
    <mergeCell ref="A859:A860"/>
    <mergeCell ref="A1107:A1108"/>
    <mergeCell ref="A919:A923"/>
    <mergeCell ref="A711:A713"/>
    <mergeCell ref="G1107:J1107"/>
    <mergeCell ref="G1103:G1104"/>
    <mergeCell ref="E1093:E1094"/>
    <mergeCell ref="B1072:B1073"/>
    <mergeCell ref="A1080:A1082"/>
    <mergeCell ref="B1080:B1082"/>
    <mergeCell ref="C1080:C1082"/>
    <mergeCell ref="B1085:B1088"/>
    <mergeCell ref="A1083:A1084"/>
    <mergeCell ref="A1070:A1071"/>
    <mergeCell ref="B1107:B1108"/>
    <mergeCell ref="C1107:C1108"/>
    <mergeCell ref="D1107:D1108"/>
    <mergeCell ref="C1103:C1104"/>
    <mergeCell ref="G1215:J1216"/>
    <mergeCell ref="G1208:J1208"/>
    <mergeCell ref="F1138:F1139"/>
    <mergeCell ref="H1165:H1168"/>
    <mergeCell ref="I1165:I1168"/>
    <mergeCell ref="J1165:J1168"/>
    <mergeCell ref="B1165:B1168"/>
    <mergeCell ref="A1165:A1168"/>
    <mergeCell ref="C1165:C1168"/>
    <mergeCell ref="D1165:D1168"/>
    <mergeCell ref="E1165:E1168"/>
    <mergeCell ref="F1165:F1168"/>
    <mergeCell ref="A1192:A1193"/>
    <mergeCell ref="G1193:J1193"/>
    <mergeCell ref="G1178:J1178"/>
    <mergeCell ref="G1179:J1179"/>
    <mergeCell ref="D1178:D1189"/>
    <mergeCell ref="G1189:J1189"/>
    <mergeCell ref="G1182:J1182"/>
    <mergeCell ref="G1183:J1183"/>
    <mergeCell ref="G1184:J1184"/>
    <mergeCell ref="D1172:F1172"/>
    <mergeCell ref="B1169:B1170"/>
    <mergeCell ref="G1180:J1180"/>
    <mergeCell ref="G1181:J1181"/>
    <mergeCell ref="G1174:J1174"/>
    <mergeCell ref="G1192:J1192"/>
    <mergeCell ref="G1147:G1149"/>
    <mergeCell ref="H1147:H1149"/>
    <mergeCell ref="I1147:I1149"/>
    <mergeCell ref="C1192:C1193"/>
    <mergeCell ref="B1192:B1193"/>
    <mergeCell ref="G1237:J1237"/>
    <mergeCell ref="G1238:J1238"/>
    <mergeCell ref="G1176:J1176"/>
    <mergeCell ref="G1190:J1190"/>
    <mergeCell ref="E1178:E1189"/>
    <mergeCell ref="F1178:F1189"/>
    <mergeCell ref="G1169:J1170"/>
    <mergeCell ref="B1138:B1139"/>
    <mergeCell ref="C1138:C1139"/>
    <mergeCell ref="D1138:D1139"/>
    <mergeCell ref="E1138:E1139"/>
    <mergeCell ref="G1200:J1200"/>
    <mergeCell ref="D1195:D1197"/>
    <mergeCell ref="A1138:A1139"/>
    <mergeCell ref="E1195:E1197"/>
    <mergeCell ref="F1195:F1197"/>
    <mergeCell ref="G1141:J1141"/>
    <mergeCell ref="B1140:B1144"/>
    <mergeCell ref="B1218:B1219"/>
    <mergeCell ref="A1218:A1219"/>
    <mergeCell ref="C1218:C1219"/>
    <mergeCell ref="D1218:D1219"/>
    <mergeCell ref="E1218:E1219"/>
    <mergeCell ref="F1218:F1219"/>
    <mergeCell ref="C1140:C1144"/>
    <mergeCell ref="D1140:D1144"/>
    <mergeCell ref="E1140:E1144"/>
    <mergeCell ref="F1140:F1144"/>
    <mergeCell ref="G1213:J1213"/>
    <mergeCell ref="A1215:A1217"/>
    <mergeCell ref="B1215:B1217"/>
    <mergeCell ref="C1215:C1217"/>
    <mergeCell ref="G1239:J1239"/>
    <mergeCell ref="B1237:B1239"/>
    <mergeCell ref="A1237:A1239"/>
    <mergeCell ref="C1237:C1239"/>
    <mergeCell ref="D1237:D1239"/>
    <mergeCell ref="E1237:E1239"/>
    <mergeCell ref="F1237:F1239"/>
    <mergeCell ref="A502:A506"/>
    <mergeCell ref="G499:J501"/>
    <mergeCell ref="B1127:B1130"/>
    <mergeCell ref="C1127:C1130"/>
    <mergeCell ref="D1127:D1130"/>
    <mergeCell ref="L499:L501"/>
    <mergeCell ref="L502:L503"/>
    <mergeCell ref="K502:K503"/>
    <mergeCell ref="K504:K506"/>
    <mergeCell ref="L504:L506"/>
    <mergeCell ref="K1215:K1216"/>
    <mergeCell ref="E1107:E1108"/>
    <mergeCell ref="F1107:F1108"/>
    <mergeCell ref="A1109:A1110"/>
    <mergeCell ref="B866:B872"/>
    <mergeCell ref="G1131:J1131"/>
    <mergeCell ref="A885:A886"/>
    <mergeCell ref="A866:A872"/>
    <mergeCell ref="A1103:A1104"/>
    <mergeCell ref="E1127:E1130"/>
    <mergeCell ref="F1127:F1130"/>
    <mergeCell ref="G1130:J1130"/>
    <mergeCell ref="A1101:A1102"/>
    <mergeCell ref="A765:A766"/>
    <mergeCell ref="B765:B766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0"/>
  <sheetViews>
    <sheetView rightToLeft="1" topLeftCell="B943" zoomScale="60" zoomScaleNormal="60" workbookViewId="0">
      <selection activeCell="E954" sqref="E95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081"/>
      <c r="B2" s="5080" t="s">
        <v>5751</v>
      </c>
      <c r="C2" s="4990" t="s">
        <v>1300</v>
      </c>
      <c r="D2" s="4952">
        <v>6000000</v>
      </c>
      <c r="E2" s="5011">
        <v>7.0000000000000007E-2</v>
      </c>
      <c r="F2" s="4952">
        <v>450000</v>
      </c>
      <c r="G2" s="4952">
        <v>450000</v>
      </c>
      <c r="H2" s="4952" t="s">
        <v>3075</v>
      </c>
      <c r="I2" s="24" t="s">
        <v>6407</v>
      </c>
      <c r="J2" s="4952">
        <f>G2</f>
        <v>450000</v>
      </c>
      <c r="K2" s="4952">
        <f>F2-J2</f>
        <v>0</v>
      </c>
      <c r="L2" s="180" t="s">
        <v>5754</v>
      </c>
    </row>
    <row r="3" spans="1:12" ht="30" customHeight="1" x14ac:dyDescent="0.2">
      <c r="A3" s="8309"/>
      <c r="B3" s="8307" t="s">
        <v>5752</v>
      </c>
      <c r="C3" s="7723" t="s">
        <v>1300</v>
      </c>
      <c r="D3" s="4952">
        <v>5000000</v>
      </c>
      <c r="E3" s="5011">
        <v>7.0000000000000007E-2</v>
      </c>
      <c r="F3" s="4952">
        <f t="shared" ref="F3:F4" si="0">D3*E3</f>
        <v>350000.00000000006</v>
      </c>
      <c r="G3" s="7563">
        <v>700000</v>
      </c>
      <c r="H3" s="7563" t="s">
        <v>3075</v>
      </c>
      <c r="I3" s="7561" t="s">
        <v>6405</v>
      </c>
      <c r="J3" s="7563">
        <f>G3</f>
        <v>700000</v>
      </c>
      <c r="K3" s="7563">
        <f>(F3+F4)-J3</f>
        <v>0</v>
      </c>
      <c r="L3" s="736" t="s">
        <v>5753</v>
      </c>
    </row>
    <row r="4" spans="1:12" ht="30" customHeight="1" x14ac:dyDescent="0.2">
      <c r="A4" s="8310"/>
      <c r="B4" s="8308"/>
      <c r="C4" s="7724"/>
      <c r="D4" s="4952">
        <v>5000000</v>
      </c>
      <c r="E4" s="5011">
        <v>7.0000000000000007E-2</v>
      </c>
      <c r="F4" s="4952">
        <f t="shared" si="0"/>
        <v>350000.00000000006</v>
      </c>
      <c r="G4" s="7564"/>
      <c r="H4" s="7564"/>
      <c r="I4" s="7562"/>
      <c r="J4" s="7564"/>
      <c r="K4" s="7564"/>
      <c r="L4" s="736" t="s">
        <v>5755</v>
      </c>
    </row>
    <row r="5" spans="1:12" ht="30" customHeight="1" x14ac:dyDescent="0.2">
      <c r="A5" s="5014">
        <v>3</v>
      </c>
      <c r="B5" s="19" t="s">
        <v>285</v>
      </c>
      <c r="C5" s="4990" t="s">
        <v>359</v>
      </c>
      <c r="D5" s="4952">
        <v>36000000</v>
      </c>
      <c r="E5" s="5011">
        <v>7.0000000000000007E-2</v>
      </c>
      <c r="F5" s="4952">
        <v>2500000</v>
      </c>
      <c r="G5" s="4952">
        <v>2500000</v>
      </c>
      <c r="H5" s="4952" t="s">
        <v>6932</v>
      </c>
      <c r="I5" s="24" t="s">
        <v>2026</v>
      </c>
      <c r="J5" s="4952">
        <f>G5</f>
        <v>2500000</v>
      </c>
      <c r="K5" s="4952">
        <f>F5-J5</f>
        <v>0</v>
      </c>
      <c r="L5" s="5018"/>
    </row>
    <row r="6" spans="1:12" ht="30" customHeight="1" x14ac:dyDescent="0.2">
      <c r="A6" s="7654">
        <v>4</v>
      </c>
      <c r="B6" s="7652" t="s">
        <v>310</v>
      </c>
      <c r="C6" s="7723" t="s">
        <v>2644</v>
      </c>
      <c r="D6" s="4952">
        <v>700000000</v>
      </c>
      <c r="E6" s="5011">
        <v>6.3E-2</v>
      </c>
      <c r="F6" s="4952">
        <f>D6*E6</f>
        <v>44100000</v>
      </c>
      <c r="G6" s="7563">
        <v>53600000</v>
      </c>
      <c r="H6" s="7657" t="s">
        <v>6789</v>
      </c>
      <c r="I6" s="7657" t="s">
        <v>1543</v>
      </c>
      <c r="J6" s="7563">
        <f>G6</f>
        <v>53600000</v>
      </c>
      <c r="K6" s="7563">
        <f>F9-J6</f>
        <v>0</v>
      </c>
      <c r="L6" s="29" t="s">
        <v>6764</v>
      </c>
    </row>
    <row r="7" spans="1:12" ht="30" customHeight="1" x14ac:dyDescent="0.2">
      <c r="A7" s="7656"/>
      <c r="B7" s="7665"/>
      <c r="C7" s="7747"/>
      <c r="D7" s="4952">
        <v>44000000</v>
      </c>
      <c r="E7" s="5011"/>
      <c r="F7" s="5111"/>
      <c r="G7" s="7586"/>
      <c r="H7" s="7664"/>
      <c r="I7" s="7664"/>
      <c r="J7" s="7586"/>
      <c r="K7" s="7586"/>
      <c r="L7" s="180" t="s">
        <v>6206</v>
      </c>
    </row>
    <row r="8" spans="1:12" ht="30" customHeight="1" x14ac:dyDescent="0.2">
      <c r="A8" s="7656"/>
      <c r="B8" s="7665"/>
      <c r="C8" s="7747"/>
      <c r="D8" s="4952">
        <v>56000000</v>
      </c>
      <c r="E8" s="5011"/>
      <c r="F8" s="5111"/>
      <c r="G8" s="7586"/>
      <c r="H8" s="7664"/>
      <c r="I8" s="7664"/>
      <c r="J8" s="7586"/>
      <c r="K8" s="7586"/>
      <c r="L8" s="180" t="s">
        <v>6319</v>
      </c>
    </row>
    <row r="9" spans="1:12" ht="30" customHeight="1" x14ac:dyDescent="0.2">
      <c r="A9" s="7655"/>
      <c r="B9" s="7653"/>
      <c r="C9" s="7724"/>
      <c r="D9" s="5122">
        <f>SUM(D6:D8)</f>
        <v>800000000</v>
      </c>
      <c r="E9" s="896">
        <v>6.7000000000000004E-2</v>
      </c>
      <c r="F9" s="5122">
        <f>D9*E9</f>
        <v>53600000</v>
      </c>
      <c r="G9" s="7564"/>
      <c r="H9" s="7658"/>
      <c r="I9" s="7658"/>
      <c r="J9" s="7564"/>
      <c r="K9" s="7564"/>
      <c r="L9" s="180"/>
    </row>
    <row r="10" spans="1:12" ht="30" customHeight="1" x14ac:dyDescent="0.2">
      <c r="A10" s="4957">
        <v>6</v>
      </c>
      <c r="B10" s="5017" t="s">
        <v>407</v>
      </c>
      <c r="C10" s="4989"/>
      <c r="D10" s="4952">
        <v>15000000</v>
      </c>
      <c r="E10" s="5011">
        <v>0.05</v>
      </c>
      <c r="F10" s="4952">
        <f t="shared" ref="F10:F26" si="1">D10*E10</f>
        <v>750000</v>
      </c>
      <c r="G10" s="4952"/>
      <c r="H10" s="4952"/>
      <c r="I10" s="24"/>
      <c r="J10" s="4952">
        <f t="shared" ref="J10:J13" si="2">G10</f>
        <v>0</v>
      </c>
      <c r="K10" s="4952">
        <f t="shared" ref="K10:K13" si="3">F10-J10</f>
        <v>750000</v>
      </c>
      <c r="L10" s="637"/>
    </row>
    <row r="11" spans="1:12" ht="30" customHeight="1" x14ac:dyDescent="0.2">
      <c r="A11" s="4957">
        <v>7</v>
      </c>
      <c r="B11" s="19" t="s">
        <v>102</v>
      </c>
      <c r="C11" s="5016" t="s">
        <v>889</v>
      </c>
      <c r="D11" s="4952">
        <v>45000000</v>
      </c>
      <c r="E11" s="5011">
        <v>0.05</v>
      </c>
      <c r="F11" s="4952">
        <f t="shared" si="1"/>
        <v>2250000</v>
      </c>
      <c r="G11" s="4952">
        <v>2250000</v>
      </c>
      <c r="H11" s="4952" t="s">
        <v>6785</v>
      </c>
      <c r="I11" s="26" t="s">
        <v>6225</v>
      </c>
      <c r="J11" s="4952">
        <f t="shared" si="2"/>
        <v>2250000</v>
      </c>
      <c r="K11" s="4952">
        <f t="shared" si="3"/>
        <v>0</v>
      </c>
      <c r="L11" s="736"/>
    </row>
    <row r="12" spans="1:12" ht="30" customHeight="1" x14ac:dyDescent="0.2">
      <c r="A12" s="4957"/>
      <c r="B12" s="5018" t="s">
        <v>349</v>
      </c>
      <c r="C12" s="4990" t="s">
        <v>1287</v>
      </c>
      <c r="D12" s="4952">
        <v>650000000</v>
      </c>
      <c r="E12" s="4962">
        <v>0.06</v>
      </c>
      <c r="F12" s="4952">
        <f t="shared" si="1"/>
        <v>39000000</v>
      </c>
      <c r="G12" s="4952">
        <v>39000000</v>
      </c>
      <c r="H12" s="4952" t="s">
        <v>7065</v>
      </c>
      <c r="I12" s="24" t="s">
        <v>3739</v>
      </c>
      <c r="J12" s="4952">
        <f>G12</f>
        <v>39000000</v>
      </c>
      <c r="K12" s="4952">
        <f>F12-J12</f>
        <v>0</v>
      </c>
      <c r="L12" s="5048" t="s">
        <v>5261</v>
      </c>
    </row>
    <row r="13" spans="1:12" ht="30" customHeight="1" x14ac:dyDescent="0.2">
      <c r="A13" s="7654">
        <v>10</v>
      </c>
      <c r="B13" s="7652" t="s">
        <v>999</v>
      </c>
      <c r="C13" s="4989" t="s">
        <v>1796</v>
      </c>
      <c r="D13" s="4952">
        <v>180000000</v>
      </c>
      <c r="E13" s="5011">
        <v>7.0000000000000007E-2</v>
      </c>
      <c r="F13" s="4952">
        <f t="shared" si="1"/>
        <v>12600000.000000002</v>
      </c>
      <c r="G13" s="4952">
        <v>12600000</v>
      </c>
      <c r="H13" s="4952" t="s">
        <v>2474</v>
      </c>
      <c r="I13" s="24" t="s">
        <v>2372</v>
      </c>
      <c r="J13" s="4952">
        <f t="shared" si="2"/>
        <v>12600000</v>
      </c>
      <c r="K13" s="4952">
        <f t="shared" si="3"/>
        <v>0</v>
      </c>
      <c r="L13" s="180"/>
    </row>
    <row r="14" spans="1:12" ht="30" customHeight="1" x14ac:dyDescent="0.2">
      <c r="A14" s="7656"/>
      <c r="B14" s="7665"/>
      <c r="C14" s="7723" t="s">
        <v>371</v>
      </c>
      <c r="D14" s="4952">
        <v>10000000</v>
      </c>
      <c r="E14" s="5011">
        <v>7.0000000000000007E-2</v>
      </c>
      <c r="F14" s="4952">
        <f>D14*E14</f>
        <v>700000.00000000012</v>
      </c>
      <c r="G14" s="7563"/>
      <c r="H14" s="7563"/>
      <c r="I14" s="7657" t="s">
        <v>6399</v>
      </c>
      <c r="J14" s="7563">
        <f>G14</f>
        <v>0</v>
      </c>
      <c r="K14" s="4951"/>
      <c r="L14" s="180" t="s">
        <v>5186</v>
      </c>
    </row>
    <row r="15" spans="1:12" ht="30" customHeight="1" x14ac:dyDescent="0.2">
      <c r="A15" s="7656"/>
      <c r="B15" s="7665"/>
      <c r="C15" s="7747"/>
      <c r="D15" s="4952">
        <v>10000000</v>
      </c>
      <c r="E15" s="5011">
        <v>7.0000000000000007E-2</v>
      </c>
      <c r="F15" s="4952">
        <f>D15*E15</f>
        <v>700000.00000000012</v>
      </c>
      <c r="G15" s="7586"/>
      <c r="H15" s="7586"/>
      <c r="I15" s="7664"/>
      <c r="J15" s="7586"/>
      <c r="K15" s="7847">
        <f>(F20+F21)-J14</f>
        <v>5950000</v>
      </c>
      <c r="L15" s="180" t="s">
        <v>5187</v>
      </c>
    </row>
    <row r="16" spans="1:12" ht="30" customHeight="1" x14ac:dyDescent="0.2">
      <c r="A16" s="7656"/>
      <c r="B16" s="7665"/>
      <c r="C16" s="7747"/>
      <c r="D16" s="4952">
        <v>10000000</v>
      </c>
      <c r="E16" s="5011">
        <v>7.0000000000000007E-2</v>
      </c>
      <c r="F16" s="4952">
        <f t="shared" si="1"/>
        <v>700000.00000000012</v>
      </c>
      <c r="G16" s="7586"/>
      <c r="H16" s="7586"/>
      <c r="I16" s="7664"/>
      <c r="J16" s="7586"/>
      <c r="K16" s="7847"/>
      <c r="L16" s="180" t="s">
        <v>5184</v>
      </c>
    </row>
    <row r="17" spans="1:12" ht="30" customHeight="1" x14ac:dyDescent="0.2">
      <c r="A17" s="7656"/>
      <c r="B17" s="7665"/>
      <c r="C17" s="7747"/>
      <c r="D17" s="4952">
        <v>10000000</v>
      </c>
      <c r="E17" s="5011">
        <v>7.0000000000000007E-2</v>
      </c>
      <c r="F17" s="4952">
        <f t="shared" si="1"/>
        <v>700000.00000000012</v>
      </c>
      <c r="G17" s="7586"/>
      <c r="H17" s="7586"/>
      <c r="I17" s="7664"/>
      <c r="J17" s="7586"/>
      <c r="K17" s="7847"/>
      <c r="L17" s="180" t="s">
        <v>5185</v>
      </c>
    </row>
    <row r="18" spans="1:12" ht="30" customHeight="1" x14ac:dyDescent="0.2">
      <c r="A18" s="7656"/>
      <c r="B18" s="7665"/>
      <c r="C18" s="7747"/>
      <c r="D18" s="4952">
        <v>10000000</v>
      </c>
      <c r="E18" s="5011">
        <v>7.0000000000000007E-2</v>
      </c>
      <c r="F18" s="4952">
        <f t="shared" si="1"/>
        <v>700000.00000000012</v>
      </c>
      <c r="G18" s="7586"/>
      <c r="H18" s="7586"/>
      <c r="I18" s="7664"/>
      <c r="J18" s="7586"/>
      <c r="K18" s="7847"/>
      <c r="L18" s="180" t="s">
        <v>5188</v>
      </c>
    </row>
    <row r="19" spans="1:12" ht="30" customHeight="1" x14ac:dyDescent="0.2">
      <c r="A19" s="7656"/>
      <c r="B19" s="7665"/>
      <c r="C19" s="7747"/>
      <c r="D19" s="4952">
        <v>10000000</v>
      </c>
      <c r="E19" s="5011">
        <v>7.0000000000000007E-2</v>
      </c>
      <c r="F19" s="4952">
        <f t="shared" si="1"/>
        <v>700000.00000000012</v>
      </c>
      <c r="G19" s="7586"/>
      <c r="H19" s="7586"/>
      <c r="I19" s="7664"/>
      <c r="J19" s="7586"/>
      <c r="K19" s="7847"/>
      <c r="L19" s="180" t="s">
        <v>5189</v>
      </c>
    </row>
    <row r="20" spans="1:12" ht="30" customHeight="1" x14ac:dyDescent="0.2">
      <c r="A20" s="7655"/>
      <c r="B20" s="7653"/>
      <c r="C20" s="7747"/>
      <c r="D20" s="2653">
        <v>60000000</v>
      </c>
      <c r="E20" s="5058">
        <v>7.0000000000000007E-2</v>
      </c>
      <c r="F20" s="2653">
        <f>D20*E20</f>
        <v>4200000</v>
      </c>
      <c r="G20" s="7586"/>
      <c r="H20" s="7586"/>
      <c r="I20" s="7664"/>
      <c r="J20" s="7586"/>
      <c r="K20" s="7847"/>
      <c r="L20" s="180" t="s">
        <v>5210</v>
      </c>
    </row>
    <row r="21" spans="1:12" ht="30" customHeight="1" x14ac:dyDescent="0.2">
      <c r="A21" s="4958"/>
      <c r="B21" s="5450" t="s">
        <v>5565</v>
      </c>
      <c r="C21" s="7747"/>
      <c r="D21" s="5464">
        <v>25000000</v>
      </c>
      <c r="E21" s="5466">
        <v>7.0000000000000007E-2</v>
      </c>
      <c r="F21" s="5464">
        <f>D21*E21</f>
        <v>1750000.0000000002</v>
      </c>
      <c r="G21" s="7586"/>
      <c r="H21" s="7586"/>
      <c r="I21" s="7664"/>
      <c r="J21" s="7586"/>
      <c r="K21" s="7848"/>
      <c r="L21" s="180" t="s">
        <v>5566</v>
      </c>
    </row>
    <row r="22" spans="1:12" ht="30" customHeight="1" x14ac:dyDescent="0.2">
      <c r="A22" s="7879"/>
      <c r="B22" s="7717" t="s">
        <v>7135</v>
      </c>
      <c r="C22" s="7873"/>
      <c r="D22" s="8230">
        <v>20000000</v>
      </c>
      <c r="E22" s="8540"/>
      <c r="F22" s="8230"/>
      <c r="G22" s="8000" t="s">
        <v>7136</v>
      </c>
      <c r="H22" s="8000"/>
      <c r="I22" s="8000"/>
      <c r="J22" s="8000"/>
      <c r="K22" s="5457"/>
      <c r="L22" s="8072" t="s">
        <v>7188</v>
      </c>
    </row>
    <row r="23" spans="1:12" ht="30" customHeight="1" x14ac:dyDescent="0.2">
      <c r="A23" s="7879"/>
      <c r="B23" s="7717"/>
      <c r="C23" s="7873"/>
      <c r="D23" s="8230"/>
      <c r="E23" s="8540"/>
      <c r="F23" s="8230"/>
      <c r="G23" s="8000" t="s">
        <v>7137</v>
      </c>
      <c r="H23" s="8000"/>
      <c r="I23" s="8000"/>
      <c r="J23" s="8000"/>
      <c r="K23" s="5457"/>
      <c r="L23" s="8072"/>
    </row>
    <row r="24" spans="1:12" ht="30" customHeight="1" x14ac:dyDescent="0.2">
      <c r="A24" s="7879"/>
      <c r="B24" s="7717"/>
      <c r="C24" s="7873"/>
      <c r="D24" s="8230"/>
      <c r="E24" s="8540"/>
      <c r="F24" s="8230"/>
      <c r="G24" s="7732" t="s">
        <v>7271</v>
      </c>
      <c r="H24" s="7733"/>
      <c r="I24" s="7733"/>
      <c r="J24" s="7734"/>
      <c r="K24" s="5457"/>
      <c r="L24" s="8072"/>
    </row>
    <row r="25" spans="1:12" ht="30" customHeight="1" x14ac:dyDescent="0.2">
      <c r="A25" s="7654">
        <v>11</v>
      </c>
      <c r="B25" s="7717" t="s">
        <v>393</v>
      </c>
      <c r="C25" s="7723" t="s">
        <v>359</v>
      </c>
      <c r="D25" s="4944">
        <v>15000000</v>
      </c>
      <c r="E25" s="5011">
        <v>7.0000000000000007E-2</v>
      </c>
      <c r="F25" s="4944">
        <f t="shared" si="1"/>
        <v>1050000</v>
      </c>
      <c r="G25" s="7563">
        <v>1300000</v>
      </c>
      <c r="H25" s="7563" t="s">
        <v>7065</v>
      </c>
      <c r="I25" s="8115" t="s">
        <v>394</v>
      </c>
      <c r="J25" s="7563">
        <f>G25+G26</f>
        <v>1300000</v>
      </c>
      <c r="K25" s="7563">
        <v>0</v>
      </c>
      <c r="L25" s="7713"/>
    </row>
    <row r="26" spans="1:12" ht="30" customHeight="1" x14ac:dyDescent="0.2">
      <c r="A26" s="7656"/>
      <c r="B26" s="7717"/>
      <c r="C26" s="7724"/>
      <c r="D26" s="4944">
        <v>5000000</v>
      </c>
      <c r="E26" s="5011">
        <v>0.05</v>
      </c>
      <c r="F26" s="4944">
        <f t="shared" si="1"/>
        <v>250000</v>
      </c>
      <c r="G26" s="7564"/>
      <c r="H26" s="7564"/>
      <c r="I26" s="8116"/>
      <c r="J26" s="7564"/>
      <c r="K26" s="7564"/>
      <c r="L26" s="7714"/>
    </row>
    <row r="27" spans="1:12" ht="30" customHeight="1" x14ac:dyDescent="0.2">
      <c r="A27" s="7654">
        <v>12</v>
      </c>
      <c r="B27" s="7652" t="s">
        <v>399</v>
      </c>
      <c r="C27" s="7723" t="s">
        <v>1172</v>
      </c>
      <c r="D27" s="4952">
        <v>75000000</v>
      </c>
      <c r="E27" s="4962">
        <f>F27/D27</f>
        <v>5.3333333333333337E-2</v>
      </c>
      <c r="F27" s="4952">
        <v>4000000</v>
      </c>
      <c r="G27" s="4952">
        <v>4000000</v>
      </c>
      <c r="H27" s="4952" t="s">
        <v>6792</v>
      </c>
      <c r="I27" s="52" t="s">
        <v>3728</v>
      </c>
      <c r="J27" s="4952">
        <f>G27</f>
        <v>4000000</v>
      </c>
      <c r="K27" s="4952">
        <f>F27-J27</f>
        <v>0</v>
      </c>
      <c r="L27" s="4982"/>
    </row>
    <row r="28" spans="1:12" ht="30" customHeight="1" x14ac:dyDescent="0.2">
      <c r="A28" s="7655"/>
      <c r="B28" s="7653"/>
      <c r="C28" s="7724"/>
      <c r="D28" s="5449">
        <v>10000000</v>
      </c>
      <c r="E28" s="5451"/>
      <c r="F28" s="5449"/>
      <c r="G28" s="7732" t="s">
        <v>7144</v>
      </c>
      <c r="H28" s="7733"/>
      <c r="I28" s="7733"/>
      <c r="J28" s="7734"/>
      <c r="K28" s="5449"/>
      <c r="L28" s="5453"/>
    </row>
    <row r="29" spans="1:12" ht="30" customHeight="1" x14ac:dyDescent="0.2">
      <c r="A29" s="5014"/>
      <c r="B29" s="19" t="s">
        <v>420</v>
      </c>
      <c r="C29" s="5016" t="s">
        <v>359</v>
      </c>
      <c r="D29" s="4944">
        <v>100000000</v>
      </c>
      <c r="E29" s="5011">
        <v>7.0000000000000007E-2</v>
      </c>
      <c r="F29" s="4944">
        <f t="shared" ref="F29:F39" si="4">D29*E29</f>
        <v>7000000.0000000009</v>
      </c>
      <c r="G29" s="1455">
        <v>7000000</v>
      </c>
      <c r="H29" s="1455" t="s">
        <v>7013</v>
      </c>
      <c r="I29" s="1455" t="s">
        <v>1946</v>
      </c>
      <c r="J29" s="4944">
        <f>G29</f>
        <v>7000000</v>
      </c>
      <c r="K29" s="4944">
        <f>F29-J29</f>
        <v>0</v>
      </c>
      <c r="L29" s="5048"/>
    </row>
    <row r="30" spans="1:12" ht="30" customHeight="1" x14ac:dyDescent="0.2">
      <c r="A30" s="4959">
        <v>14</v>
      </c>
      <c r="B30" s="4956" t="s">
        <v>428</v>
      </c>
      <c r="C30" s="4990" t="s">
        <v>1300</v>
      </c>
      <c r="D30" s="4952">
        <v>150000000</v>
      </c>
      <c r="E30" s="4962">
        <v>0.04</v>
      </c>
      <c r="F30" s="4952">
        <f t="shared" si="4"/>
        <v>6000000</v>
      </c>
      <c r="G30" s="4952">
        <v>6000000</v>
      </c>
      <c r="H30" s="4952" t="s">
        <v>7065</v>
      </c>
      <c r="I30" s="64" t="s">
        <v>4061</v>
      </c>
      <c r="J30" s="4952">
        <f t="shared" ref="J30:J40" si="5">G30</f>
        <v>6000000</v>
      </c>
      <c r="K30" s="4952">
        <f t="shared" ref="K30:K39" si="6">F30-J30</f>
        <v>0</v>
      </c>
      <c r="L30" s="4984"/>
    </row>
    <row r="31" spans="1:12" ht="30" customHeight="1" x14ac:dyDescent="0.2">
      <c r="A31" s="4959"/>
      <c r="B31" s="4956" t="s">
        <v>4726</v>
      </c>
      <c r="C31" s="4990" t="s">
        <v>1138</v>
      </c>
      <c r="D31" s="4952">
        <v>350000000</v>
      </c>
      <c r="E31" s="4962">
        <v>7.0000000000000007E-2</v>
      </c>
      <c r="F31" s="4952">
        <f t="shared" si="4"/>
        <v>24500000.000000004</v>
      </c>
      <c r="G31" s="4952"/>
      <c r="H31" s="4952"/>
      <c r="I31" s="64" t="s">
        <v>4814</v>
      </c>
      <c r="J31" s="4952">
        <f>G31</f>
        <v>0</v>
      </c>
      <c r="K31" s="4952">
        <f>F31-J31</f>
        <v>24500000.000000004</v>
      </c>
      <c r="L31" s="4982"/>
    </row>
    <row r="32" spans="1:12" ht="30" customHeight="1" x14ac:dyDescent="0.2">
      <c r="A32" s="7654">
        <v>15</v>
      </c>
      <c r="B32" s="7652" t="s">
        <v>436</v>
      </c>
      <c r="C32" s="7723" t="s">
        <v>1300</v>
      </c>
      <c r="D32" s="4952">
        <v>13000000</v>
      </c>
      <c r="E32" s="4962">
        <v>0.05</v>
      </c>
      <c r="F32" s="4952">
        <f t="shared" si="4"/>
        <v>650000</v>
      </c>
      <c r="G32" s="7563">
        <v>5000000</v>
      </c>
      <c r="H32" s="7762" t="s">
        <v>7065</v>
      </c>
      <c r="I32" s="7762" t="s">
        <v>4900</v>
      </c>
      <c r="J32" s="7563">
        <f>G32</f>
        <v>5000000</v>
      </c>
      <c r="K32" s="7563">
        <f>F33-J32</f>
        <v>0</v>
      </c>
      <c r="L32" s="4982" t="s">
        <v>6765</v>
      </c>
    </row>
    <row r="33" spans="1:14" ht="30" customHeight="1" x14ac:dyDescent="0.2">
      <c r="A33" s="7655"/>
      <c r="B33" s="7653"/>
      <c r="C33" s="7724"/>
      <c r="D33" s="5057">
        <v>100000000</v>
      </c>
      <c r="E33" s="5059">
        <v>0.05</v>
      </c>
      <c r="F33" s="5057">
        <f t="shared" si="4"/>
        <v>5000000</v>
      </c>
      <c r="G33" s="7564"/>
      <c r="H33" s="7763"/>
      <c r="I33" s="7763"/>
      <c r="J33" s="7564"/>
      <c r="K33" s="7564"/>
      <c r="L33" s="4982" t="s">
        <v>5706</v>
      </c>
    </row>
    <row r="34" spans="1:14" ht="30" customHeight="1" x14ac:dyDescent="0.2">
      <c r="A34" s="5014">
        <v>16</v>
      </c>
      <c r="B34" s="19" t="s">
        <v>487</v>
      </c>
      <c r="C34" s="5016" t="s">
        <v>889</v>
      </c>
      <c r="D34" s="4944">
        <v>80000000</v>
      </c>
      <c r="E34" s="5011">
        <v>0.04</v>
      </c>
      <c r="F34" s="4944">
        <f t="shared" si="4"/>
        <v>3200000</v>
      </c>
      <c r="G34" s="4944">
        <v>3200000</v>
      </c>
      <c r="H34" s="4944" t="s">
        <v>6792</v>
      </c>
      <c r="I34" s="5052" t="s">
        <v>4000</v>
      </c>
      <c r="J34" s="4944">
        <f t="shared" si="5"/>
        <v>3200000</v>
      </c>
      <c r="K34" s="4944">
        <f t="shared" si="6"/>
        <v>0</v>
      </c>
      <c r="L34" s="5065"/>
    </row>
    <row r="35" spans="1:14" ht="30" customHeight="1" x14ac:dyDescent="0.2">
      <c r="A35" s="7654">
        <v>17</v>
      </c>
      <c r="B35" s="7652" t="s">
        <v>747</v>
      </c>
      <c r="C35" s="7723" t="s">
        <v>1289</v>
      </c>
      <c r="D35" s="4952">
        <v>100000000</v>
      </c>
      <c r="E35" s="4962">
        <v>0.06</v>
      </c>
      <c r="F35" s="4952">
        <f t="shared" si="4"/>
        <v>6000000</v>
      </c>
      <c r="G35" s="7563">
        <v>9000000</v>
      </c>
      <c r="H35" s="7563" t="s">
        <v>3116</v>
      </c>
      <c r="I35" s="7762" t="s">
        <v>3208</v>
      </c>
      <c r="J35" s="7563">
        <f>G35</f>
        <v>9000000</v>
      </c>
      <c r="K35" s="7563">
        <f>F38-J35</f>
        <v>0</v>
      </c>
      <c r="L35" s="4984"/>
    </row>
    <row r="36" spans="1:14" ht="30" customHeight="1" x14ac:dyDescent="0.2">
      <c r="A36" s="7656"/>
      <c r="B36" s="7665"/>
      <c r="C36" s="7747"/>
      <c r="D36" s="4952">
        <v>6000000</v>
      </c>
      <c r="E36" s="4962">
        <v>0.06</v>
      </c>
      <c r="F36" s="4952">
        <f t="shared" si="4"/>
        <v>360000</v>
      </c>
      <c r="G36" s="7586"/>
      <c r="H36" s="7586"/>
      <c r="I36" s="8114"/>
      <c r="J36" s="7586"/>
      <c r="K36" s="7586"/>
      <c r="L36" s="4984"/>
    </row>
    <row r="37" spans="1:14" ht="30" customHeight="1" x14ac:dyDescent="0.2">
      <c r="A37" s="7656"/>
      <c r="B37" s="7665"/>
      <c r="C37" s="7747"/>
      <c r="D37" s="4952">
        <v>44000000</v>
      </c>
      <c r="E37" s="4962">
        <v>0.06</v>
      </c>
      <c r="F37" s="4952">
        <f t="shared" si="4"/>
        <v>2640000</v>
      </c>
      <c r="G37" s="7586"/>
      <c r="H37" s="7586"/>
      <c r="I37" s="8114"/>
      <c r="J37" s="7586"/>
      <c r="K37" s="7586"/>
      <c r="L37" s="4982" t="s">
        <v>5637</v>
      </c>
    </row>
    <row r="38" spans="1:14" ht="30" customHeight="1" x14ac:dyDescent="0.2">
      <c r="A38" s="7655"/>
      <c r="B38" s="7653"/>
      <c r="C38" s="7724"/>
      <c r="D38" s="4988">
        <f>SUM(D35:D37)</f>
        <v>150000000</v>
      </c>
      <c r="E38" s="4986">
        <v>0.06</v>
      </c>
      <c r="F38" s="4988">
        <f>D38*E38</f>
        <v>9000000</v>
      </c>
      <c r="G38" s="7564"/>
      <c r="H38" s="7564"/>
      <c r="I38" s="7763"/>
      <c r="J38" s="7564"/>
      <c r="K38" s="7564"/>
      <c r="L38" s="4984"/>
    </row>
    <row r="39" spans="1:14" ht="30" customHeight="1" x14ac:dyDescent="0.2">
      <c r="A39" s="5258">
        <v>18</v>
      </c>
      <c r="B39" s="5256" t="s">
        <v>554</v>
      </c>
      <c r="C39" s="5257" t="s">
        <v>1300</v>
      </c>
      <c r="D39" s="5259">
        <v>50000000</v>
      </c>
      <c r="E39" s="2556">
        <v>0.05</v>
      </c>
      <c r="F39" s="5259">
        <f t="shared" si="4"/>
        <v>2500000</v>
      </c>
      <c r="G39" s="5259">
        <v>2500000</v>
      </c>
      <c r="H39" s="5259" t="s">
        <v>7281</v>
      </c>
      <c r="I39" s="5266" t="s">
        <v>4471</v>
      </c>
      <c r="J39" s="5259">
        <f t="shared" si="5"/>
        <v>2500000</v>
      </c>
      <c r="K39" s="5259">
        <f t="shared" si="6"/>
        <v>0</v>
      </c>
      <c r="L39" s="3828" t="s">
        <v>7283</v>
      </c>
    </row>
    <row r="40" spans="1:14" ht="30" customHeight="1" x14ac:dyDescent="0.2">
      <c r="A40" s="7879">
        <v>19</v>
      </c>
      <c r="B40" s="7652" t="s">
        <v>560</v>
      </c>
      <c r="C40" s="7723" t="s">
        <v>1300</v>
      </c>
      <c r="D40" s="4952">
        <v>50000000</v>
      </c>
      <c r="E40" s="7659">
        <f>F40/(D40+D41)</f>
        <v>0.05</v>
      </c>
      <c r="F40" s="7563">
        <v>3250000</v>
      </c>
      <c r="G40" s="7563">
        <v>4750000</v>
      </c>
      <c r="H40" s="7563" t="s">
        <v>7065</v>
      </c>
      <c r="I40" s="7762" t="s">
        <v>4401</v>
      </c>
      <c r="J40" s="7563">
        <f t="shared" si="5"/>
        <v>4750000</v>
      </c>
      <c r="K40" s="7563">
        <f>(F40+F42)-G40</f>
        <v>0</v>
      </c>
      <c r="L40" s="5032"/>
    </row>
    <row r="41" spans="1:14" ht="30" customHeight="1" x14ac:dyDescent="0.2">
      <c r="A41" s="7879"/>
      <c r="B41" s="7665"/>
      <c r="C41" s="7747"/>
      <c r="D41" s="4952">
        <v>15000000</v>
      </c>
      <c r="E41" s="7660"/>
      <c r="F41" s="7564"/>
      <c r="G41" s="7586"/>
      <c r="H41" s="7586"/>
      <c r="I41" s="8114"/>
      <c r="J41" s="7586"/>
      <c r="K41" s="7586"/>
      <c r="L41" s="5032"/>
    </row>
    <row r="42" spans="1:14" ht="30" customHeight="1" x14ac:dyDescent="0.2">
      <c r="A42" s="7879"/>
      <c r="B42" s="7653"/>
      <c r="C42" s="7724"/>
      <c r="D42" s="4952">
        <v>30000000</v>
      </c>
      <c r="E42" s="4962">
        <v>0.05</v>
      </c>
      <c r="F42" s="4952">
        <f>E42*D42</f>
        <v>1500000</v>
      </c>
      <c r="G42" s="7564"/>
      <c r="H42" s="7564"/>
      <c r="I42" s="7763"/>
      <c r="J42" s="7564"/>
      <c r="K42" s="7564"/>
      <c r="L42" s="5032"/>
    </row>
    <row r="43" spans="1:14" ht="30" customHeight="1" x14ac:dyDescent="0.2">
      <c r="A43" s="5014">
        <v>22</v>
      </c>
      <c r="B43" s="4968" t="s">
        <v>658</v>
      </c>
      <c r="C43" s="5016" t="s">
        <v>1287</v>
      </c>
      <c r="D43" s="4944">
        <v>300000000</v>
      </c>
      <c r="E43" s="5011">
        <v>0.05</v>
      </c>
      <c r="F43" s="4944">
        <f>D43*E43</f>
        <v>15000000</v>
      </c>
      <c r="G43" s="4952">
        <v>15000000</v>
      </c>
      <c r="H43" s="4952" t="s">
        <v>7065</v>
      </c>
      <c r="I43" s="4952" t="s">
        <v>6438</v>
      </c>
      <c r="J43" s="4952">
        <f>G43</f>
        <v>15000000</v>
      </c>
      <c r="K43" s="4944">
        <f>F43-J43</f>
        <v>0</v>
      </c>
      <c r="L43" s="5048" t="s">
        <v>5730</v>
      </c>
    </row>
    <row r="44" spans="1:14" ht="30" customHeight="1" x14ac:dyDescent="0.2">
      <c r="A44" s="1028">
        <v>23</v>
      </c>
      <c r="B44" s="19" t="s">
        <v>2121</v>
      </c>
      <c r="C44" s="5016" t="s">
        <v>3390</v>
      </c>
      <c r="D44" s="4952">
        <v>150000000</v>
      </c>
      <c r="E44" s="4962">
        <v>7.0000000000000007E-2</v>
      </c>
      <c r="F44" s="4952">
        <f>D44*E44</f>
        <v>10500000.000000002</v>
      </c>
      <c r="G44" s="7563">
        <v>14700000</v>
      </c>
      <c r="H44" s="7563" t="s">
        <v>2474</v>
      </c>
      <c r="I44" s="7762" t="s">
        <v>3705</v>
      </c>
      <c r="J44" s="7563">
        <f>G44</f>
        <v>14700000</v>
      </c>
      <c r="K44" s="7563">
        <f>(F44+F45)-J44</f>
        <v>0</v>
      </c>
      <c r="L44" s="637" t="s">
        <v>7244</v>
      </c>
    </row>
    <row r="45" spans="1:14" ht="30" customHeight="1" x14ac:dyDescent="0.2">
      <c r="A45" s="1028"/>
      <c r="B45" s="19" t="s">
        <v>3618</v>
      </c>
      <c r="C45" s="5016" t="s">
        <v>3390</v>
      </c>
      <c r="D45" s="4952">
        <v>70000000</v>
      </c>
      <c r="E45" s="4962">
        <v>0.06</v>
      </c>
      <c r="F45" s="4952">
        <f>D45*E45</f>
        <v>4200000</v>
      </c>
      <c r="G45" s="7564"/>
      <c r="H45" s="7564"/>
      <c r="I45" s="7763"/>
      <c r="J45" s="7564"/>
      <c r="K45" s="7564"/>
      <c r="L45" s="29"/>
    </row>
    <row r="46" spans="1:14" ht="30" customHeight="1" x14ac:dyDescent="0.2">
      <c r="A46" s="7879">
        <v>25</v>
      </c>
      <c r="B46" s="7717" t="s">
        <v>718</v>
      </c>
      <c r="C46" s="7873" t="s">
        <v>1296</v>
      </c>
      <c r="D46" s="4944">
        <v>35000000</v>
      </c>
      <c r="E46" s="5011">
        <v>5.8000000000000003E-2</v>
      </c>
      <c r="F46" s="4944">
        <v>2000000</v>
      </c>
      <c r="G46" s="7563"/>
      <c r="H46" s="7563"/>
      <c r="I46" s="7762" t="s">
        <v>4135</v>
      </c>
      <c r="J46" s="7563">
        <f>G46</f>
        <v>0</v>
      </c>
      <c r="K46" s="7563">
        <f>F48-J46</f>
        <v>3500000</v>
      </c>
      <c r="L46" s="4982" t="s">
        <v>5773</v>
      </c>
      <c r="M46" s="366"/>
      <c r="N46" s="366"/>
    </row>
    <row r="47" spans="1:14" ht="30" customHeight="1" x14ac:dyDescent="0.2">
      <c r="A47" s="7879"/>
      <c r="B47" s="7717"/>
      <c r="C47" s="7873"/>
      <c r="D47" s="4944">
        <v>25000000</v>
      </c>
      <c r="E47" s="5011">
        <v>0.06</v>
      </c>
      <c r="F47" s="4944">
        <f>D47*E47</f>
        <v>1500000</v>
      </c>
      <c r="G47" s="7586"/>
      <c r="H47" s="7586"/>
      <c r="I47" s="8114"/>
      <c r="J47" s="7586"/>
      <c r="K47" s="7586"/>
      <c r="L47" s="5032" t="s">
        <v>6214</v>
      </c>
      <c r="M47" s="366"/>
      <c r="N47" s="366"/>
    </row>
    <row r="48" spans="1:14" ht="30" customHeight="1" x14ac:dyDescent="0.2">
      <c r="A48" s="7654"/>
      <c r="B48" s="7652"/>
      <c r="C48" s="7723"/>
      <c r="D48" s="5056">
        <v>60000000</v>
      </c>
      <c r="E48" s="5058">
        <v>5.8000000000000003E-2</v>
      </c>
      <c r="F48" s="5056">
        <v>3500000</v>
      </c>
      <c r="G48" s="7564"/>
      <c r="H48" s="7564"/>
      <c r="I48" s="7763"/>
      <c r="J48" s="7564"/>
      <c r="K48" s="7564"/>
      <c r="L48" s="5032" t="s">
        <v>6108</v>
      </c>
      <c r="M48" s="366"/>
      <c r="N48" s="366"/>
    </row>
    <row r="49" spans="1:14" ht="30" customHeight="1" x14ac:dyDescent="0.2">
      <c r="A49" s="7879"/>
      <c r="B49" s="7717" t="s">
        <v>6215</v>
      </c>
      <c r="C49" s="7873"/>
      <c r="D49" s="7482">
        <v>30000000</v>
      </c>
      <c r="E49" s="7870">
        <v>0.05</v>
      </c>
      <c r="F49" s="7482">
        <f>D49*E49</f>
        <v>1500000</v>
      </c>
      <c r="G49" s="7563">
        <v>1500000</v>
      </c>
      <c r="H49" s="7563" t="s">
        <v>6792</v>
      </c>
      <c r="I49" s="7563" t="s">
        <v>6795</v>
      </c>
      <c r="J49" s="7563">
        <f>G49</f>
        <v>1500000</v>
      </c>
      <c r="K49" s="7563">
        <f>F49-J49</f>
        <v>0</v>
      </c>
      <c r="L49" s="5048" t="s">
        <v>6216</v>
      </c>
      <c r="M49" s="366"/>
      <c r="N49" s="366"/>
    </row>
    <row r="50" spans="1:14" ht="30" customHeight="1" x14ac:dyDescent="0.2">
      <c r="A50" s="7879"/>
      <c r="B50" s="7717"/>
      <c r="C50" s="7873"/>
      <c r="D50" s="7482"/>
      <c r="E50" s="7870"/>
      <c r="F50" s="7482"/>
      <c r="G50" s="7564"/>
      <c r="H50" s="7564"/>
      <c r="I50" s="7564"/>
      <c r="J50" s="7564"/>
      <c r="K50" s="7564"/>
      <c r="L50" s="5048" t="s">
        <v>6370</v>
      </c>
      <c r="M50" s="366"/>
      <c r="N50" s="366"/>
    </row>
    <row r="51" spans="1:14" ht="30" customHeight="1" x14ac:dyDescent="0.2">
      <c r="A51" s="4958"/>
      <c r="B51" s="4955" t="s">
        <v>803</v>
      </c>
      <c r="C51" s="4992" t="s">
        <v>359</v>
      </c>
      <c r="D51" s="4951">
        <v>700000000</v>
      </c>
      <c r="E51" s="4961">
        <v>0.05</v>
      </c>
      <c r="F51" s="4951">
        <f t="shared" ref="F51:F68" si="7">D51*E51</f>
        <v>35000000</v>
      </c>
      <c r="G51" s="4952">
        <v>35000000</v>
      </c>
      <c r="H51" s="4952" t="s">
        <v>4612</v>
      </c>
      <c r="I51" s="4952" t="s">
        <v>3156</v>
      </c>
      <c r="J51" s="4952">
        <f>G51</f>
        <v>35000000</v>
      </c>
      <c r="K51" s="4951">
        <f>F51-J51</f>
        <v>0</v>
      </c>
      <c r="L51" s="29"/>
      <c r="M51" s="366"/>
      <c r="N51" s="366"/>
    </row>
    <row r="52" spans="1:14" ht="30" customHeight="1" x14ac:dyDescent="0.2">
      <c r="A52" s="7654">
        <v>27</v>
      </c>
      <c r="B52" s="7652" t="s">
        <v>807</v>
      </c>
      <c r="C52" s="7723" t="s">
        <v>1299</v>
      </c>
      <c r="D52" s="4950">
        <v>500000000</v>
      </c>
      <c r="E52" s="4960">
        <v>7.0000000000000007E-2</v>
      </c>
      <c r="F52" s="4950">
        <f t="shared" si="7"/>
        <v>35000000</v>
      </c>
      <c r="G52" s="7563"/>
      <c r="H52" s="7563"/>
      <c r="I52" s="7762" t="s">
        <v>3034</v>
      </c>
      <c r="J52" s="7563">
        <f t="shared" ref="J52:J62" si="8">G52</f>
        <v>0</v>
      </c>
      <c r="K52" s="7563">
        <f>F55-J52</f>
        <v>45500000.000000007</v>
      </c>
      <c r="L52" s="736" t="s">
        <v>5582</v>
      </c>
      <c r="M52" s="366"/>
      <c r="N52" s="366"/>
    </row>
    <row r="53" spans="1:14" ht="30" customHeight="1" x14ac:dyDescent="0.2">
      <c r="A53" s="7656"/>
      <c r="B53" s="7665"/>
      <c r="C53" s="7747"/>
      <c r="D53" s="4963">
        <v>500000000</v>
      </c>
      <c r="E53" s="4974">
        <v>0.05</v>
      </c>
      <c r="F53" s="4963">
        <f>D53*E53</f>
        <v>25000000</v>
      </c>
      <c r="G53" s="7586"/>
      <c r="H53" s="7586"/>
      <c r="I53" s="8114"/>
      <c r="J53" s="7586"/>
      <c r="K53" s="7586"/>
      <c r="L53" s="736" t="s">
        <v>5583</v>
      </c>
      <c r="M53" s="366"/>
      <c r="N53" s="366"/>
    </row>
    <row r="54" spans="1:14" ht="30" customHeight="1" x14ac:dyDescent="0.2">
      <c r="A54" s="7656"/>
      <c r="B54" s="7665"/>
      <c r="C54" s="7747"/>
      <c r="D54" s="4950">
        <v>150000000</v>
      </c>
      <c r="E54" s="4960">
        <v>7.0000000000000007E-2</v>
      </c>
      <c r="F54" s="4950">
        <f>D54*E54</f>
        <v>10500000.000000002</v>
      </c>
      <c r="G54" s="7586"/>
      <c r="H54" s="7586"/>
      <c r="I54" s="8114"/>
      <c r="J54" s="7586"/>
      <c r="K54" s="7586"/>
      <c r="L54" s="736" t="s">
        <v>5584</v>
      </c>
      <c r="M54" s="366"/>
      <c r="N54" s="366"/>
    </row>
    <row r="55" spans="1:14" ht="30" customHeight="1" x14ac:dyDescent="0.2">
      <c r="A55" s="7655"/>
      <c r="B55" s="7653"/>
      <c r="C55" s="7724"/>
      <c r="D55" s="5056">
        <f>D52+D54</f>
        <v>650000000</v>
      </c>
      <c r="E55" s="5058">
        <v>7.0000000000000007E-2</v>
      </c>
      <c r="F55" s="5056">
        <f>D55*E55</f>
        <v>45500000.000000007</v>
      </c>
      <c r="G55" s="7564"/>
      <c r="H55" s="7564"/>
      <c r="I55" s="7763"/>
      <c r="J55" s="7564"/>
      <c r="K55" s="7564"/>
      <c r="L55" s="736"/>
      <c r="M55" s="366"/>
      <c r="N55" s="366"/>
    </row>
    <row r="56" spans="1:14" ht="30" customHeight="1" x14ac:dyDescent="0.2">
      <c r="A56" s="7654"/>
      <c r="B56" s="7652" t="s">
        <v>3369</v>
      </c>
      <c r="C56" s="7723" t="s">
        <v>1299</v>
      </c>
      <c r="D56" s="7482">
        <v>700000000</v>
      </c>
      <c r="E56" s="7870">
        <v>0.06</v>
      </c>
      <c r="F56" s="7482">
        <f t="shared" si="7"/>
        <v>42000000</v>
      </c>
      <c r="G56" s="4944">
        <v>8500000</v>
      </c>
      <c r="H56" s="4944" t="s">
        <v>7065</v>
      </c>
      <c r="I56" s="4944" t="s">
        <v>7093</v>
      </c>
      <c r="J56" s="7563">
        <f>G56+G57</f>
        <v>10000000</v>
      </c>
      <c r="K56" s="7482">
        <f>10000000-J56</f>
        <v>0</v>
      </c>
      <c r="L56" s="8072" t="s">
        <v>5196</v>
      </c>
      <c r="M56" s="366"/>
      <c r="N56" s="366"/>
    </row>
    <row r="57" spans="1:14" ht="30" customHeight="1" x14ac:dyDescent="0.2">
      <c r="A57" s="7656"/>
      <c r="B57" s="7665"/>
      <c r="C57" s="7747"/>
      <c r="D57" s="7482"/>
      <c r="E57" s="7870"/>
      <c r="F57" s="7482"/>
      <c r="G57" s="4952">
        <v>1500000</v>
      </c>
      <c r="H57" s="4999" t="s">
        <v>7080</v>
      </c>
      <c r="I57" s="4944" t="s">
        <v>7094</v>
      </c>
      <c r="J57" s="7564"/>
      <c r="K57" s="7482"/>
      <c r="L57" s="8072"/>
      <c r="M57" s="366"/>
      <c r="N57" s="366"/>
    </row>
    <row r="58" spans="1:14" ht="30" customHeight="1" x14ac:dyDescent="0.2">
      <c r="A58" s="7656"/>
      <c r="B58" s="7665"/>
      <c r="C58" s="7747"/>
      <c r="D58" s="7482"/>
      <c r="E58" s="7870"/>
      <c r="F58" s="7482"/>
      <c r="G58" s="5429">
        <v>42000000</v>
      </c>
      <c r="H58" s="5435" t="s">
        <v>3116</v>
      </c>
      <c r="I58" s="5427" t="s">
        <v>820</v>
      </c>
      <c r="J58" s="5427">
        <f>G58</f>
        <v>42000000</v>
      </c>
      <c r="K58" s="5429">
        <f>F56-J58</f>
        <v>0</v>
      </c>
      <c r="L58" s="29"/>
      <c r="M58" s="366"/>
      <c r="N58" s="366"/>
    </row>
    <row r="59" spans="1:14" ht="30" customHeight="1" x14ac:dyDescent="0.2">
      <c r="A59" s="7654">
        <v>29</v>
      </c>
      <c r="B59" s="7652" t="s">
        <v>839</v>
      </c>
      <c r="C59" s="4989" t="s">
        <v>1306</v>
      </c>
      <c r="D59" s="4951">
        <v>42000000</v>
      </c>
      <c r="E59" s="4961">
        <v>7.0000000000000007E-2</v>
      </c>
      <c r="F59" s="4951">
        <f t="shared" si="7"/>
        <v>2940000.0000000005</v>
      </c>
      <c r="G59" s="4951"/>
      <c r="H59" s="5013"/>
      <c r="I59" s="1537" t="s">
        <v>5851</v>
      </c>
      <c r="J59" s="4951">
        <f t="shared" si="8"/>
        <v>0</v>
      </c>
      <c r="K59" s="4951">
        <f t="shared" ref="K59:K62" si="9">F59-J59</f>
        <v>2940000.0000000005</v>
      </c>
      <c r="L59" s="5032" t="s">
        <v>7107</v>
      </c>
      <c r="M59" s="366"/>
      <c r="N59" s="366"/>
    </row>
    <row r="60" spans="1:14" ht="30" customHeight="1" x14ac:dyDescent="0.2">
      <c r="A60" s="7655"/>
      <c r="B60" s="7653"/>
      <c r="C60" s="5432" t="s">
        <v>4105</v>
      </c>
      <c r="D60" s="5445">
        <v>384000000</v>
      </c>
      <c r="E60" s="896">
        <v>5.1999999999999998E-2</v>
      </c>
      <c r="F60" s="5445">
        <v>20000000</v>
      </c>
      <c r="G60" s="8000" t="s">
        <v>7106</v>
      </c>
      <c r="H60" s="8000"/>
      <c r="I60" s="8000"/>
      <c r="J60" s="8000"/>
      <c r="K60" s="5428"/>
      <c r="L60" s="5436" t="s">
        <v>7108</v>
      </c>
      <c r="M60" s="366"/>
      <c r="N60" s="366"/>
    </row>
    <row r="61" spans="1:14" s="1539" customFormat="1" ht="30" customHeight="1" x14ac:dyDescent="0.2">
      <c r="A61" s="5014">
        <v>30</v>
      </c>
      <c r="B61" s="4968" t="s">
        <v>843</v>
      </c>
      <c r="C61" s="5016" t="s">
        <v>1107</v>
      </c>
      <c r="D61" s="4944">
        <v>40000000</v>
      </c>
      <c r="E61" s="5011">
        <v>0.05</v>
      </c>
      <c r="F61" s="4944">
        <f t="shared" si="7"/>
        <v>2000000</v>
      </c>
      <c r="G61" s="4944">
        <v>2000000</v>
      </c>
      <c r="H61" s="4944" t="s">
        <v>7198</v>
      </c>
      <c r="I61" s="5052" t="s">
        <v>7208</v>
      </c>
      <c r="J61" s="4944">
        <f>G61</f>
        <v>2000000</v>
      </c>
      <c r="K61" s="4944">
        <f>F61-J61</f>
        <v>0</v>
      </c>
      <c r="L61" s="736"/>
      <c r="M61" s="9"/>
      <c r="N61" s="9"/>
    </row>
    <row r="62" spans="1:14" ht="30" customHeight="1" x14ac:dyDescent="0.2">
      <c r="A62" s="4957">
        <v>31</v>
      </c>
      <c r="B62" s="5017" t="s">
        <v>915</v>
      </c>
      <c r="C62" s="4989" t="s">
        <v>1107</v>
      </c>
      <c r="D62" s="4944">
        <v>100000000</v>
      </c>
      <c r="E62" s="5011">
        <v>7.0000000000000007E-2</v>
      </c>
      <c r="F62" s="4944">
        <f t="shared" si="7"/>
        <v>7000000.0000000009</v>
      </c>
      <c r="G62" s="4952">
        <v>7000000</v>
      </c>
      <c r="H62" s="4999" t="s">
        <v>7252</v>
      </c>
      <c r="I62" s="64" t="s">
        <v>3195</v>
      </c>
      <c r="J62" s="4950">
        <f t="shared" si="8"/>
        <v>7000000</v>
      </c>
      <c r="K62" s="4950">
        <f t="shared" si="9"/>
        <v>0</v>
      </c>
      <c r="L62" s="4983"/>
      <c r="M62" s="366"/>
      <c r="N62" s="366"/>
    </row>
    <row r="63" spans="1:14" ht="30" customHeight="1" x14ac:dyDescent="0.2">
      <c r="A63" s="7654">
        <v>32</v>
      </c>
      <c r="B63" s="7652" t="s">
        <v>982</v>
      </c>
      <c r="C63" s="7723" t="s">
        <v>1306</v>
      </c>
      <c r="D63" s="5465">
        <v>100000000</v>
      </c>
      <c r="E63" s="5467">
        <v>0.05</v>
      </c>
      <c r="F63" s="5465">
        <f t="shared" si="7"/>
        <v>5000000</v>
      </c>
      <c r="G63" s="7563">
        <v>8850000</v>
      </c>
      <c r="H63" s="7563" t="s">
        <v>2474</v>
      </c>
      <c r="I63" s="7762" t="s">
        <v>2377</v>
      </c>
      <c r="J63" s="7563">
        <f>G63</f>
        <v>8850000</v>
      </c>
      <c r="K63" s="7563">
        <f>(F63+F64+F65)-J63</f>
        <v>0</v>
      </c>
      <c r="L63" s="8430"/>
      <c r="M63" s="366"/>
      <c r="N63" s="366"/>
    </row>
    <row r="64" spans="1:14" ht="30" customHeight="1" x14ac:dyDescent="0.2">
      <c r="A64" s="7656"/>
      <c r="B64" s="7665"/>
      <c r="C64" s="7747"/>
      <c r="D64" s="5465">
        <v>35000000</v>
      </c>
      <c r="E64" s="5467">
        <v>7.0000000000000007E-2</v>
      </c>
      <c r="F64" s="5465">
        <f t="shared" si="7"/>
        <v>2450000.0000000005</v>
      </c>
      <c r="G64" s="7586"/>
      <c r="H64" s="7586"/>
      <c r="I64" s="8114"/>
      <c r="J64" s="7586"/>
      <c r="K64" s="7586"/>
      <c r="L64" s="8431"/>
      <c r="M64" s="366"/>
      <c r="N64" s="366"/>
    </row>
    <row r="65" spans="1:14" ht="30" customHeight="1" x14ac:dyDescent="0.2">
      <c r="A65" s="7656"/>
      <c r="B65" s="7665"/>
      <c r="C65" s="7747"/>
      <c r="D65" s="5468">
        <v>20000000</v>
      </c>
      <c r="E65" s="896">
        <v>7.0000000000000007E-2</v>
      </c>
      <c r="F65" s="5468">
        <f t="shared" si="7"/>
        <v>1400000.0000000002</v>
      </c>
      <c r="G65" s="7564"/>
      <c r="H65" s="7564"/>
      <c r="I65" s="7763"/>
      <c r="J65" s="7564"/>
      <c r="K65" s="7564"/>
      <c r="L65" s="8432"/>
      <c r="M65" s="1662"/>
      <c r="N65" s="1604"/>
    </row>
    <row r="66" spans="1:14" ht="30" customHeight="1" x14ac:dyDescent="0.2">
      <c r="A66" s="7656"/>
      <c r="B66" s="7665"/>
      <c r="C66" s="7747"/>
      <c r="D66" s="8026">
        <v>180000000</v>
      </c>
      <c r="E66" s="8028">
        <v>6.5000000000000002E-2</v>
      </c>
      <c r="F66" s="8026">
        <f t="shared" si="7"/>
        <v>11700000</v>
      </c>
      <c r="G66" s="4952">
        <v>7500000</v>
      </c>
      <c r="H66" s="4952" t="s">
        <v>7020</v>
      </c>
      <c r="I66" s="64" t="s">
        <v>2377</v>
      </c>
      <c r="J66" s="7563">
        <f>G66+G67</f>
        <v>11700000</v>
      </c>
      <c r="K66" s="7563">
        <f>F66-J66</f>
        <v>0</v>
      </c>
      <c r="L66" s="7674" t="s">
        <v>7060</v>
      </c>
      <c r="M66" s="248"/>
      <c r="N66" s="248"/>
    </row>
    <row r="67" spans="1:14" ht="30" customHeight="1" x14ac:dyDescent="0.2">
      <c r="A67" s="7656"/>
      <c r="B67" s="7665"/>
      <c r="C67" s="7747"/>
      <c r="D67" s="8027"/>
      <c r="E67" s="8029"/>
      <c r="F67" s="8027"/>
      <c r="G67" s="5403">
        <v>4200000</v>
      </c>
      <c r="H67" s="5403" t="s">
        <v>3075</v>
      </c>
      <c r="I67" s="64" t="s">
        <v>2377</v>
      </c>
      <c r="J67" s="7564"/>
      <c r="K67" s="7564"/>
      <c r="L67" s="7675"/>
      <c r="M67" s="248"/>
      <c r="N67" s="248"/>
    </row>
    <row r="68" spans="1:14" ht="30" customHeight="1" x14ac:dyDescent="0.2">
      <c r="A68" s="7655"/>
      <c r="B68" s="7653"/>
      <c r="C68" s="7724"/>
      <c r="D68" s="5465">
        <v>200000000</v>
      </c>
      <c r="E68" s="5467">
        <v>6.5000000000000002E-2</v>
      </c>
      <c r="F68" s="5465">
        <f t="shared" si="7"/>
        <v>13000000</v>
      </c>
      <c r="G68" s="5449">
        <v>13000000</v>
      </c>
      <c r="H68" s="5449" t="s">
        <v>2474</v>
      </c>
      <c r="I68" s="64" t="s">
        <v>2377</v>
      </c>
      <c r="J68" s="5449">
        <f>G68</f>
        <v>13000000</v>
      </c>
      <c r="K68" s="5449">
        <f>F68-J68</f>
        <v>0</v>
      </c>
      <c r="L68" s="5462" t="s">
        <v>7121</v>
      </c>
      <c r="M68" s="248"/>
      <c r="N68" s="248"/>
    </row>
    <row r="69" spans="1:14" ht="30" customHeight="1" x14ac:dyDescent="0.2">
      <c r="A69" s="4959">
        <v>33</v>
      </c>
      <c r="B69" s="4956" t="s">
        <v>993</v>
      </c>
      <c r="C69" s="4990" t="s">
        <v>1287</v>
      </c>
      <c r="D69" s="4952">
        <v>63580000</v>
      </c>
      <c r="E69" s="4962">
        <v>7.0000000000000007E-2</v>
      </c>
      <c r="F69" s="4952">
        <v>4450000</v>
      </c>
      <c r="G69" s="4952">
        <v>4450000</v>
      </c>
      <c r="H69" s="4952" t="s">
        <v>2474</v>
      </c>
      <c r="I69" s="64" t="s">
        <v>2377</v>
      </c>
      <c r="J69" s="4952">
        <f>G69</f>
        <v>4450000</v>
      </c>
      <c r="K69" s="4952">
        <f t="shared" ref="K69:K80" si="10">F69-J69</f>
        <v>0</v>
      </c>
      <c r="L69" s="4982" t="s">
        <v>7242</v>
      </c>
      <c r="M69" s="366"/>
      <c r="N69" s="366"/>
    </row>
    <row r="70" spans="1:14" ht="30" customHeight="1" x14ac:dyDescent="0.2">
      <c r="A70" s="4959">
        <v>34</v>
      </c>
      <c r="B70" s="4955" t="s">
        <v>1110</v>
      </c>
      <c r="C70" s="4990" t="s">
        <v>1306</v>
      </c>
      <c r="D70" s="4952">
        <v>20000000</v>
      </c>
      <c r="E70" s="4962">
        <v>0.04</v>
      </c>
      <c r="F70" s="4952">
        <f t="shared" ref="F70:F75" si="11">D70*E70</f>
        <v>800000</v>
      </c>
      <c r="G70" s="4952"/>
      <c r="H70" s="4952"/>
      <c r="I70" s="64" t="s">
        <v>1112</v>
      </c>
      <c r="J70" s="4952">
        <f>G70</f>
        <v>0</v>
      </c>
      <c r="K70" s="4952">
        <f t="shared" si="10"/>
        <v>800000</v>
      </c>
      <c r="L70" s="4982"/>
      <c r="M70" s="366"/>
      <c r="N70" s="366"/>
    </row>
    <row r="71" spans="1:14" ht="30" customHeight="1" x14ac:dyDescent="0.2">
      <c r="A71" s="5014">
        <v>35</v>
      </c>
      <c r="B71" s="19" t="s">
        <v>1150</v>
      </c>
      <c r="C71" s="5016" t="s">
        <v>1138</v>
      </c>
      <c r="D71" s="4944">
        <v>175000000</v>
      </c>
      <c r="E71" s="5011">
        <v>0.06</v>
      </c>
      <c r="F71" s="4944">
        <f t="shared" si="11"/>
        <v>10500000</v>
      </c>
      <c r="G71" s="4944"/>
      <c r="H71" s="4944"/>
      <c r="I71" s="4944" t="s">
        <v>1720</v>
      </c>
      <c r="J71" s="4944">
        <f>G71</f>
        <v>0</v>
      </c>
      <c r="K71" s="4944">
        <f>F71-J71</f>
        <v>10500000</v>
      </c>
      <c r="L71" s="5048"/>
      <c r="M71" s="366"/>
      <c r="N71" s="366"/>
    </row>
    <row r="72" spans="1:14" ht="30" customHeight="1" x14ac:dyDescent="0.2">
      <c r="A72" s="7654">
        <v>36</v>
      </c>
      <c r="B72" s="7652" t="s">
        <v>3370</v>
      </c>
      <c r="C72" s="7723" t="s">
        <v>1081</v>
      </c>
      <c r="D72" s="4944">
        <v>50000000</v>
      </c>
      <c r="E72" s="5011">
        <v>7.0000000000000007E-2</v>
      </c>
      <c r="F72" s="4944">
        <f t="shared" si="11"/>
        <v>3500000.0000000005</v>
      </c>
      <c r="G72" s="7482"/>
      <c r="H72" s="7482"/>
      <c r="I72" s="8500" t="s">
        <v>4264</v>
      </c>
      <c r="J72" s="7482">
        <f>G72</f>
        <v>0</v>
      </c>
      <c r="K72" s="7482">
        <f>(F72+F73+F74)-J72</f>
        <v>17500000.000000004</v>
      </c>
      <c r="L72" s="5048"/>
      <c r="M72" s="366"/>
      <c r="N72" s="366"/>
    </row>
    <row r="73" spans="1:14" ht="30" customHeight="1" x14ac:dyDescent="0.2">
      <c r="A73" s="7656"/>
      <c r="B73" s="7665"/>
      <c r="C73" s="7747"/>
      <c r="D73" s="4944">
        <v>40000000</v>
      </c>
      <c r="E73" s="5011">
        <v>7.0000000000000007E-2</v>
      </c>
      <c r="F73" s="4944">
        <f t="shared" si="11"/>
        <v>2800000.0000000005</v>
      </c>
      <c r="G73" s="7482"/>
      <c r="H73" s="7482"/>
      <c r="I73" s="8500"/>
      <c r="J73" s="7482"/>
      <c r="K73" s="7482"/>
      <c r="L73" s="5048"/>
      <c r="M73" s="366"/>
      <c r="N73" s="366"/>
    </row>
    <row r="74" spans="1:14" ht="30" customHeight="1" x14ac:dyDescent="0.2">
      <c r="A74" s="7656"/>
      <c r="B74" s="7665"/>
      <c r="C74" s="7747"/>
      <c r="D74" s="4944">
        <v>160000000</v>
      </c>
      <c r="E74" s="5011">
        <v>7.0000000000000007E-2</v>
      </c>
      <c r="F74" s="4944">
        <f t="shared" si="11"/>
        <v>11200000.000000002</v>
      </c>
      <c r="G74" s="7482"/>
      <c r="H74" s="7482"/>
      <c r="I74" s="8500"/>
      <c r="J74" s="7482"/>
      <c r="K74" s="7482"/>
      <c r="L74" s="5048"/>
      <c r="M74" s="366"/>
      <c r="N74" s="366"/>
    </row>
    <row r="75" spans="1:14" ht="30" customHeight="1" x14ac:dyDescent="0.2">
      <c r="A75" s="7655"/>
      <c r="B75" s="7653"/>
      <c r="C75" s="7724"/>
      <c r="D75" s="5235">
        <v>100000000</v>
      </c>
      <c r="E75" s="5238">
        <v>7.0000000000000007E-2</v>
      </c>
      <c r="F75" s="5235">
        <f t="shared" si="11"/>
        <v>7000000.0000000009</v>
      </c>
      <c r="G75" s="5235"/>
      <c r="H75" s="5235"/>
      <c r="I75" s="65"/>
      <c r="J75" s="5235"/>
      <c r="K75" s="5235"/>
      <c r="L75" s="5240"/>
      <c r="M75" s="366"/>
      <c r="N75" s="366"/>
    </row>
    <row r="76" spans="1:14" ht="30" customHeight="1" x14ac:dyDescent="0.2">
      <c r="A76" s="4959"/>
      <c r="B76" s="4956" t="s">
        <v>4965</v>
      </c>
      <c r="C76" s="4990" t="s">
        <v>3216</v>
      </c>
      <c r="D76" s="4952">
        <v>20000000</v>
      </c>
      <c r="E76" s="4962">
        <v>0.05</v>
      </c>
      <c r="F76" s="4952">
        <f>D76*E76</f>
        <v>1000000</v>
      </c>
      <c r="G76" s="4952">
        <v>1000000</v>
      </c>
      <c r="H76" s="4952" t="s">
        <v>7252</v>
      </c>
      <c r="I76" s="4999" t="s">
        <v>5840</v>
      </c>
      <c r="J76" s="4952">
        <f>G76</f>
        <v>1000000</v>
      </c>
      <c r="K76" s="4952">
        <f>F76-J76</f>
        <v>0</v>
      </c>
      <c r="L76" s="4982"/>
      <c r="M76" s="366"/>
      <c r="N76" s="366"/>
    </row>
    <row r="77" spans="1:14" ht="30" customHeight="1" x14ac:dyDescent="0.2">
      <c r="A77" s="4959">
        <v>38</v>
      </c>
      <c r="B77" s="4954" t="s">
        <v>1254</v>
      </c>
      <c r="C77" s="4990"/>
      <c r="D77" s="298"/>
      <c r="E77" s="299"/>
      <c r="F77" s="298"/>
      <c r="G77" s="4952"/>
      <c r="H77" s="4952"/>
      <c r="I77" s="64"/>
      <c r="J77" s="4952"/>
      <c r="K77" s="4965">
        <f t="shared" si="10"/>
        <v>0</v>
      </c>
      <c r="L77" s="4982"/>
    </row>
    <row r="78" spans="1:14" ht="30" customHeight="1" x14ac:dyDescent="0.2">
      <c r="A78" s="4959">
        <v>39</v>
      </c>
      <c r="B78" s="4954" t="s">
        <v>1213</v>
      </c>
      <c r="C78" s="4990" t="s">
        <v>4105</v>
      </c>
      <c r="D78" s="5034">
        <v>100000000</v>
      </c>
      <c r="E78" s="300">
        <v>0.05</v>
      </c>
      <c r="F78" s="5034">
        <f>D78*E78</f>
        <v>5000000</v>
      </c>
      <c r="G78" s="4952">
        <v>5000000</v>
      </c>
      <c r="H78" s="4952" t="s">
        <v>6773</v>
      </c>
      <c r="I78" s="64" t="s">
        <v>6530</v>
      </c>
      <c r="J78" s="4952">
        <f>G78</f>
        <v>5000000</v>
      </c>
      <c r="K78" s="4952">
        <f t="shared" si="10"/>
        <v>0</v>
      </c>
      <c r="L78" s="4982" t="s">
        <v>6432</v>
      </c>
    </row>
    <row r="79" spans="1:14" ht="30" customHeight="1" x14ac:dyDescent="0.2">
      <c r="A79" s="4959">
        <v>40</v>
      </c>
      <c r="B79" s="4954" t="s">
        <v>1265</v>
      </c>
      <c r="C79" s="4990" t="s">
        <v>1289</v>
      </c>
      <c r="D79" s="5034">
        <v>16000000</v>
      </c>
      <c r="E79" s="300">
        <v>0.05</v>
      </c>
      <c r="F79" s="5034">
        <f>D79*E79</f>
        <v>800000</v>
      </c>
      <c r="G79" s="4952">
        <v>800000</v>
      </c>
      <c r="H79" s="4952" t="s">
        <v>2474</v>
      </c>
      <c r="I79" s="64" t="s">
        <v>7249</v>
      </c>
      <c r="J79" s="4952">
        <f>G79</f>
        <v>800000</v>
      </c>
      <c r="K79" s="4952">
        <f t="shared" si="10"/>
        <v>0</v>
      </c>
      <c r="L79" s="4982"/>
    </row>
    <row r="80" spans="1:14" ht="30" customHeight="1" x14ac:dyDescent="0.2">
      <c r="A80" s="4959">
        <v>41</v>
      </c>
      <c r="B80" s="4954" t="s">
        <v>1285</v>
      </c>
      <c r="C80" s="4990"/>
      <c r="D80" s="298"/>
      <c r="E80" s="299"/>
      <c r="F80" s="298"/>
      <c r="G80" s="4952"/>
      <c r="H80" s="4952"/>
      <c r="I80" s="64"/>
      <c r="J80" s="4952"/>
      <c r="K80" s="4965">
        <f t="shared" si="10"/>
        <v>0</v>
      </c>
      <c r="L80" s="4982"/>
    </row>
    <row r="81" spans="1:12" ht="30" customHeight="1" x14ac:dyDescent="0.2">
      <c r="A81" s="4959">
        <v>42</v>
      </c>
      <c r="B81" s="5017" t="s">
        <v>183</v>
      </c>
      <c r="C81" s="4990"/>
      <c r="D81" s="4952">
        <v>60000000</v>
      </c>
      <c r="E81" s="5011">
        <v>0.05</v>
      </c>
      <c r="F81" s="4952">
        <f t="shared" ref="F81:F266" si="12">D81*E81</f>
        <v>3000000</v>
      </c>
      <c r="G81" s="7563">
        <v>6050000</v>
      </c>
      <c r="H81" s="7775" t="s">
        <v>6785</v>
      </c>
      <c r="I81" s="7775" t="s">
        <v>2820</v>
      </c>
      <c r="J81" s="7563">
        <f>G81</f>
        <v>6050000</v>
      </c>
      <c r="K81" s="7563">
        <f>F85-J81</f>
        <v>0</v>
      </c>
      <c r="L81" s="7757" t="s">
        <v>6162</v>
      </c>
    </row>
    <row r="82" spans="1:12" ht="30" customHeight="1" x14ac:dyDescent="0.2">
      <c r="A82" s="7654">
        <v>43</v>
      </c>
      <c r="B82" s="7652" t="s">
        <v>1079</v>
      </c>
      <c r="C82" s="7723" t="s">
        <v>392</v>
      </c>
      <c r="D82" s="4952">
        <v>10000000</v>
      </c>
      <c r="E82" s="5011">
        <v>0.05</v>
      </c>
      <c r="F82" s="4952">
        <f>D82*E82</f>
        <v>500000</v>
      </c>
      <c r="G82" s="7586"/>
      <c r="H82" s="7776"/>
      <c r="I82" s="7776"/>
      <c r="J82" s="7776"/>
      <c r="K82" s="7586"/>
      <c r="L82" s="8037"/>
    </row>
    <row r="83" spans="1:12" ht="30" customHeight="1" x14ac:dyDescent="0.2">
      <c r="A83" s="7656"/>
      <c r="B83" s="7665"/>
      <c r="C83" s="7747"/>
      <c r="D83" s="4952">
        <v>3500000</v>
      </c>
      <c r="E83" s="5011"/>
      <c r="F83" s="4952"/>
      <c r="G83" s="7586"/>
      <c r="H83" s="7776"/>
      <c r="I83" s="7776"/>
      <c r="J83" s="7776"/>
      <c r="K83" s="7586"/>
      <c r="L83" s="5105"/>
    </row>
    <row r="84" spans="1:12" ht="30" customHeight="1" x14ac:dyDescent="0.2">
      <c r="A84" s="7656"/>
      <c r="B84" s="7665"/>
      <c r="C84" s="7747"/>
      <c r="D84" s="4952">
        <v>36500000</v>
      </c>
      <c r="E84" s="5011"/>
      <c r="F84" s="4952"/>
      <c r="G84" s="7586"/>
      <c r="H84" s="7776"/>
      <c r="I84" s="7776"/>
      <c r="J84" s="7776"/>
      <c r="K84" s="7586"/>
      <c r="L84" s="5106" t="s">
        <v>6161</v>
      </c>
    </row>
    <row r="85" spans="1:12" ht="30" customHeight="1" x14ac:dyDescent="0.2">
      <c r="A85" s="7655"/>
      <c r="B85" s="7653"/>
      <c r="C85" s="7724"/>
      <c r="D85" s="5255">
        <v>110000000</v>
      </c>
      <c r="E85" s="896">
        <v>5.5E-2</v>
      </c>
      <c r="F85" s="5255">
        <f>D85*E85</f>
        <v>6050000</v>
      </c>
      <c r="G85" s="7564"/>
      <c r="H85" s="7777"/>
      <c r="I85" s="7777"/>
      <c r="J85" s="7777"/>
      <c r="K85" s="7564"/>
      <c r="L85" s="5079" t="s">
        <v>6154</v>
      </c>
    </row>
    <row r="86" spans="1:12" ht="30" customHeight="1" x14ac:dyDescent="0.2">
      <c r="A86" s="4959">
        <v>44</v>
      </c>
      <c r="B86" s="4968" t="s">
        <v>184</v>
      </c>
      <c r="C86" s="4990" t="s">
        <v>889</v>
      </c>
      <c r="D86" s="4952">
        <v>150000000</v>
      </c>
      <c r="E86" s="5011">
        <v>0.05</v>
      </c>
      <c r="F86" s="4952">
        <f t="shared" si="12"/>
        <v>7500000</v>
      </c>
      <c r="G86" s="5130">
        <v>7500000</v>
      </c>
      <c r="H86" s="4952" t="s">
        <v>6785</v>
      </c>
      <c r="I86" s="4944" t="s">
        <v>1339</v>
      </c>
      <c r="J86" s="4952">
        <f>G86</f>
        <v>7500000</v>
      </c>
      <c r="K86" s="4952">
        <f>F86-J86</f>
        <v>0</v>
      </c>
      <c r="L86" s="4968"/>
    </row>
    <row r="87" spans="1:12" ht="30" customHeight="1" x14ac:dyDescent="0.2">
      <c r="A87" s="7654">
        <v>45</v>
      </c>
      <c r="B87" s="7652" t="s">
        <v>185</v>
      </c>
      <c r="C87" s="7723" t="s">
        <v>1295</v>
      </c>
      <c r="D87" s="4944">
        <v>1590000000</v>
      </c>
      <c r="E87" s="5011">
        <v>7.0000000000000007E-2</v>
      </c>
      <c r="F87" s="4944">
        <f t="shared" si="12"/>
        <v>111300000.00000001</v>
      </c>
      <c r="G87" s="4944"/>
      <c r="H87" s="4944"/>
      <c r="I87" s="5020" t="s">
        <v>2696</v>
      </c>
      <c r="J87" s="7563">
        <f>G87+G88+G89</f>
        <v>0</v>
      </c>
      <c r="K87" s="7563"/>
      <c r="L87" s="8442" t="s">
        <v>5482</v>
      </c>
    </row>
    <row r="88" spans="1:12" ht="30" customHeight="1" x14ac:dyDescent="0.2">
      <c r="A88" s="7656"/>
      <c r="B88" s="7665"/>
      <c r="C88" s="7747"/>
      <c r="D88" s="4950">
        <f>D87+100000000</f>
        <v>1690000000</v>
      </c>
      <c r="E88" s="4960">
        <v>7.0000000000000007E-2</v>
      </c>
      <c r="F88" s="4950">
        <f t="shared" si="12"/>
        <v>118300000.00000001</v>
      </c>
      <c r="G88" s="4944"/>
      <c r="H88" s="4944"/>
      <c r="I88" s="5020" t="s">
        <v>2805</v>
      </c>
      <c r="J88" s="7586"/>
      <c r="K88" s="7586"/>
      <c r="L88" s="8442"/>
    </row>
    <row r="89" spans="1:12" ht="30" customHeight="1" x14ac:dyDescent="0.2">
      <c r="A89" s="7656"/>
      <c r="B89" s="7665"/>
      <c r="C89" s="7747"/>
      <c r="D89" s="4950">
        <v>400000000</v>
      </c>
      <c r="E89" s="4960">
        <v>7.0000000000000007E-2</v>
      </c>
      <c r="F89" s="4950">
        <f t="shared" si="12"/>
        <v>28000000.000000004</v>
      </c>
      <c r="G89" s="4944"/>
      <c r="H89" s="4944"/>
      <c r="I89" s="5020" t="s">
        <v>2805</v>
      </c>
      <c r="J89" s="7564"/>
      <c r="K89" s="7564"/>
      <c r="L89" s="8442"/>
    </row>
    <row r="90" spans="1:12" ht="30" customHeight="1" x14ac:dyDescent="0.2">
      <c r="A90" s="7656"/>
      <c r="B90" s="7665"/>
      <c r="C90" s="7747"/>
      <c r="D90" s="5056">
        <f>D88+D89</f>
        <v>2090000000</v>
      </c>
      <c r="E90" s="5058">
        <v>7.0000000000000007E-2</v>
      </c>
      <c r="F90" s="5056">
        <f t="shared" si="12"/>
        <v>146300000</v>
      </c>
      <c r="G90" s="4944"/>
      <c r="H90" s="4944"/>
      <c r="I90" s="5020"/>
      <c r="J90" s="4944"/>
      <c r="K90" s="4944"/>
      <c r="L90" s="5006"/>
    </row>
    <row r="91" spans="1:12" ht="30" customHeight="1" x14ac:dyDescent="0.2">
      <c r="A91" s="7656"/>
      <c r="B91" s="7665"/>
      <c r="C91" s="7747"/>
      <c r="D91" s="4950">
        <v>96300000</v>
      </c>
      <c r="E91" s="4960">
        <v>7.0000000000000007E-2</v>
      </c>
      <c r="F91" s="4950">
        <f t="shared" si="12"/>
        <v>6741000.0000000009</v>
      </c>
      <c r="G91" s="4944"/>
      <c r="H91" s="4944"/>
      <c r="I91" s="4944"/>
      <c r="J91" s="4944"/>
      <c r="K91" s="4951"/>
      <c r="L91" s="5079" t="s">
        <v>6124</v>
      </c>
    </row>
    <row r="92" spans="1:12" ht="30" customHeight="1" x14ac:dyDescent="0.2">
      <c r="A92" s="7656"/>
      <c r="B92" s="7665"/>
      <c r="C92" s="7747"/>
      <c r="D92" s="4950">
        <v>23700000</v>
      </c>
      <c r="E92" s="4960"/>
      <c r="F92" s="4950"/>
      <c r="G92" s="4944"/>
      <c r="H92" s="4944"/>
      <c r="I92" s="4944"/>
      <c r="J92" s="4944"/>
      <c r="K92" s="4951"/>
      <c r="L92" s="5079" t="s">
        <v>6155</v>
      </c>
    </row>
    <row r="93" spans="1:12" ht="30" customHeight="1" x14ac:dyDescent="0.2">
      <c r="A93" s="7656"/>
      <c r="B93" s="7665"/>
      <c r="C93" s="7747"/>
      <c r="D93" s="5056">
        <f>D90+D91+D92</f>
        <v>2210000000</v>
      </c>
      <c r="E93" s="5058">
        <v>7.0000000000000007E-2</v>
      </c>
      <c r="F93" s="5056">
        <f t="shared" si="12"/>
        <v>154700000</v>
      </c>
      <c r="G93" s="5089"/>
      <c r="H93" s="5089"/>
      <c r="I93" s="5089"/>
      <c r="J93" s="5089"/>
      <c r="K93" s="4951"/>
      <c r="L93" s="5079" t="s">
        <v>5594</v>
      </c>
    </row>
    <row r="94" spans="1:12" ht="30" customHeight="1" x14ac:dyDescent="0.2">
      <c r="A94" s="7656"/>
      <c r="B94" s="7665"/>
      <c r="C94" s="7747"/>
      <c r="D94" s="7563">
        <v>30000000</v>
      </c>
      <c r="E94" s="7659">
        <v>7.0000000000000007E-2</v>
      </c>
      <c r="F94" s="7563">
        <f>D94*E94</f>
        <v>2100000</v>
      </c>
      <c r="G94" s="5089"/>
      <c r="H94" s="5089"/>
      <c r="I94" s="5089"/>
      <c r="J94" s="5089"/>
      <c r="K94" s="4951"/>
      <c r="L94" s="5079" t="s">
        <v>5633</v>
      </c>
    </row>
    <row r="95" spans="1:12" ht="30" customHeight="1" x14ac:dyDescent="0.2">
      <c r="A95" s="7656"/>
      <c r="B95" s="7665"/>
      <c r="C95" s="7747"/>
      <c r="D95" s="7564"/>
      <c r="E95" s="7660"/>
      <c r="F95" s="7564"/>
      <c r="G95" s="5089"/>
      <c r="H95" s="5089"/>
      <c r="I95" s="5089"/>
      <c r="J95" s="5089"/>
      <c r="K95" s="4951"/>
      <c r="L95" s="5079" t="s">
        <v>5641</v>
      </c>
    </row>
    <row r="96" spans="1:12" ht="30" customHeight="1" x14ac:dyDescent="0.2">
      <c r="A96" s="7656"/>
      <c r="B96" s="7665"/>
      <c r="C96" s="7747"/>
      <c r="D96" s="4950">
        <v>15000000</v>
      </c>
      <c r="E96" s="4960">
        <v>7.0000000000000007E-2</v>
      </c>
      <c r="F96" s="4950">
        <f>D96*E96</f>
        <v>1050000</v>
      </c>
      <c r="G96" s="233"/>
      <c r="H96" s="233"/>
      <c r="I96" s="233"/>
      <c r="J96" s="233"/>
      <c r="K96" s="4951"/>
      <c r="L96" s="5079" t="s">
        <v>6080</v>
      </c>
    </row>
    <row r="97" spans="1:12" ht="30" customHeight="1" x14ac:dyDescent="0.2">
      <c r="A97" s="7656"/>
      <c r="B97" s="7665"/>
      <c r="C97" s="7747"/>
      <c r="D97" s="4950">
        <v>5000000</v>
      </c>
      <c r="E97" s="4960">
        <v>7.0000000000000007E-2</v>
      </c>
      <c r="F97" s="4950">
        <f t="shared" ref="F97:F98" si="13">D97*E97</f>
        <v>350000.00000000006</v>
      </c>
      <c r="G97" s="233"/>
      <c r="H97" s="233"/>
      <c r="I97" s="233"/>
      <c r="J97" s="233"/>
      <c r="K97" s="4951"/>
      <c r="L97" s="5079" t="s">
        <v>6157</v>
      </c>
    </row>
    <row r="98" spans="1:12" ht="30" customHeight="1" x14ac:dyDescent="0.2">
      <c r="A98" s="7656"/>
      <c r="B98" s="7665"/>
      <c r="C98" s="7747"/>
      <c r="D98" s="4950">
        <v>10000000</v>
      </c>
      <c r="E98" s="4960">
        <v>7.0000000000000007E-2</v>
      </c>
      <c r="F98" s="4950">
        <f t="shared" si="13"/>
        <v>700000.00000000012</v>
      </c>
      <c r="G98" s="4944"/>
      <c r="H98" s="4944"/>
      <c r="I98" s="4944"/>
      <c r="J98" s="4944"/>
      <c r="K98" s="4951"/>
      <c r="L98" s="5079" t="s">
        <v>6156</v>
      </c>
    </row>
    <row r="99" spans="1:12" ht="30" customHeight="1" x14ac:dyDescent="0.2">
      <c r="A99" s="7656"/>
      <c r="B99" s="7665"/>
      <c r="C99" s="7747"/>
      <c r="D99" s="8026">
        <f>D93+D94+D96+D97+D98</f>
        <v>2270000000</v>
      </c>
      <c r="E99" s="8028">
        <v>7.0000000000000007E-2</v>
      </c>
      <c r="F99" s="8026">
        <f>D99*E99</f>
        <v>158900000.00000003</v>
      </c>
      <c r="G99" s="4944">
        <v>48900000</v>
      </c>
      <c r="H99" s="4944" t="s">
        <v>6789</v>
      </c>
      <c r="I99" s="4944" t="s">
        <v>2696</v>
      </c>
      <c r="J99" s="7482">
        <f>G99+G100+G102+G101</f>
        <v>158900000</v>
      </c>
      <c r="K99" s="7482">
        <f>F99-J99</f>
        <v>0</v>
      </c>
      <c r="L99" s="5079" t="s">
        <v>6249</v>
      </c>
    </row>
    <row r="100" spans="1:12" ht="30" customHeight="1" x14ac:dyDescent="0.2">
      <c r="A100" s="7656"/>
      <c r="B100" s="7665"/>
      <c r="C100" s="7747"/>
      <c r="D100" s="8497"/>
      <c r="E100" s="8498"/>
      <c r="F100" s="8497"/>
      <c r="G100" s="5139">
        <v>50000000</v>
      </c>
      <c r="H100" s="5139" t="s">
        <v>6789</v>
      </c>
      <c r="I100" s="5139" t="s">
        <v>2696</v>
      </c>
      <c r="J100" s="7482"/>
      <c r="K100" s="7482"/>
      <c r="L100" s="5144"/>
    </row>
    <row r="101" spans="1:12" ht="30" customHeight="1" x14ac:dyDescent="0.2">
      <c r="A101" s="7656"/>
      <c r="B101" s="7665"/>
      <c r="C101" s="7747"/>
      <c r="D101" s="8497"/>
      <c r="E101" s="8498"/>
      <c r="F101" s="8497"/>
      <c r="G101" s="5149">
        <v>40000000</v>
      </c>
      <c r="H101" s="5149" t="s">
        <v>6792</v>
      </c>
      <c r="I101" s="5149" t="s">
        <v>2696</v>
      </c>
      <c r="J101" s="7482"/>
      <c r="K101" s="7482"/>
      <c r="L101" s="5157"/>
    </row>
    <row r="102" spans="1:12" ht="30" customHeight="1" x14ac:dyDescent="0.2">
      <c r="A102" s="7655"/>
      <c r="B102" s="7653"/>
      <c r="C102" s="7724"/>
      <c r="D102" s="8027"/>
      <c r="E102" s="8029"/>
      <c r="F102" s="8027"/>
      <c r="G102" s="5139">
        <v>20000000</v>
      </c>
      <c r="H102" s="5139" t="s">
        <v>6800</v>
      </c>
      <c r="I102" s="5139" t="s">
        <v>2696</v>
      </c>
      <c r="J102" s="7482"/>
      <c r="K102" s="7482"/>
      <c r="L102" s="5144"/>
    </row>
    <row r="103" spans="1:12" ht="30" customHeight="1" x14ac:dyDescent="0.2">
      <c r="A103" s="7654">
        <v>46</v>
      </c>
      <c r="B103" s="7652" t="s">
        <v>186</v>
      </c>
      <c r="C103" s="7723" t="s">
        <v>4105</v>
      </c>
      <c r="D103" s="5204">
        <v>1240000000</v>
      </c>
      <c r="E103" s="5205">
        <v>0.09</v>
      </c>
      <c r="F103" s="4950">
        <f>D103*E103</f>
        <v>111600000</v>
      </c>
      <c r="G103" s="7954" t="s">
        <v>6929</v>
      </c>
      <c r="H103" s="7955"/>
      <c r="I103" s="7955"/>
      <c r="J103" s="7956"/>
      <c r="K103" s="7"/>
      <c r="L103" s="5024"/>
    </row>
    <row r="104" spans="1:12" ht="30" customHeight="1" x14ac:dyDescent="0.2">
      <c r="A104" s="7656"/>
      <c r="B104" s="7665"/>
      <c r="C104" s="7747"/>
      <c r="D104" s="7494" t="s">
        <v>7235</v>
      </c>
      <c r="E104" s="7495"/>
      <c r="F104" s="7768"/>
      <c r="G104" s="5399">
        <v>15000000</v>
      </c>
      <c r="H104" s="5399" t="s">
        <v>7059</v>
      </c>
      <c r="I104" s="5419" t="s">
        <v>1076</v>
      </c>
      <c r="J104" s="7563">
        <f>G104+G105+G106</f>
        <v>61000000</v>
      </c>
      <c r="K104" s="7563"/>
      <c r="L104" s="5413"/>
    </row>
    <row r="105" spans="1:12" ht="30" customHeight="1" x14ac:dyDescent="0.2">
      <c r="A105" s="7656"/>
      <c r="B105" s="7665"/>
      <c r="C105" s="7747"/>
      <c r="D105" s="7877"/>
      <c r="E105" s="7524"/>
      <c r="F105" s="7878"/>
      <c r="G105" s="5399">
        <v>15000000</v>
      </c>
      <c r="H105" s="5399" t="s">
        <v>7061</v>
      </c>
      <c r="I105" s="5419" t="s">
        <v>1076</v>
      </c>
      <c r="J105" s="7586"/>
      <c r="K105" s="7586"/>
      <c r="L105" s="5413"/>
    </row>
    <row r="106" spans="1:12" ht="30" customHeight="1" x14ac:dyDescent="0.2">
      <c r="A106" s="7655"/>
      <c r="B106" s="7653"/>
      <c r="C106" s="7724"/>
      <c r="D106" s="7769"/>
      <c r="E106" s="7805"/>
      <c r="F106" s="7770"/>
      <c r="G106" s="5561">
        <v>31000000</v>
      </c>
      <c r="H106" s="5561" t="s">
        <v>2474</v>
      </c>
      <c r="I106" s="5561" t="s">
        <v>7234</v>
      </c>
      <c r="J106" s="7564"/>
      <c r="K106" s="7564"/>
      <c r="L106" s="5570" t="s">
        <v>7120</v>
      </c>
    </row>
    <row r="107" spans="1:12" ht="30" customHeight="1" x14ac:dyDescent="0.2">
      <c r="A107" s="1028">
        <v>47</v>
      </c>
      <c r="B107" s="4968" t="s">
        <v>187</v>
      </c>
      <c r="C107" s="5016" t="s">
        <v>1080</v>
      </c>
      <c r="D107" s="4944">
        <v>20000000</v>
      </c>
      <c r="E107" s="5011">
        <v>0.05</v>
      </c>
      <c r="F107" s="4944">
        <f t="shared" si="12"/>
        <v>1000000</v>
      </c>
      <c r="G107" s="4944">
        <v>1000000</v>
      </c>
      <c r="H107" s="4944" t="s">
        <v>6785</v>
      </c>
      <c r="I107" s="5035" t="s">
        <v>4309</v>
      </c>
      <c r="J107" s="4944">
        <f>G107</f>
        <v>1000000</v>
      </c>
      <c r="K107" s="4944">
        <f>F107-J107</f>
        <v>0</v>
      </c>
      <c r="L107" s="1661"/>
    </row>
    <row r="108" spans="1:12" ht="30" customHeight="1" x14ac:dyDescent="0.2">
      <c r="A108" s="7654">
        <v>48</v>
      </c>
      <c r="B108" s="7652" t="s">
        <v>1615</v>
      </c>
      <c r="C108" s="7723" t="s">
        <v>2849</v>
      </c>
      <c r="D108" s="7563">
        <v>400000000</v>
      </c>
      <c r="E108" s="7659">
        <v>0.06</v>
      </c>
      <c r="F108" s="7563">
        <f>D108*E108</f>
        <v>24000000</v>
      </c>
      <c r="G108" s="7563">
        <v>28000000</v>
      </c>
      <c r="H108" s="7563" t="s">
        <v>7065</v>
      </c>
      <c r="I108" s="7748" t="s">
        <v>6419</v>
      </c>
      <c r="J108" s="7563">
        <f>G108</f>
        <v>28000000</v>
      </c>
      <c r="K108" s="8180">
        <f>F108-J108</f>
        <v>-4000000</v>
      </c>
      <c r="L108" s="5048" t="s">
        <v>5579</v>
      </c>
    </row>
    <row r="109" spans="1:12" ht="30" customHeight="1" x14ac:dyDescent="0.2">
      <c r="A109" s="7656"/>
      <c r="B109" s="7665"/>
      <c r="C109" s="7747"/>
      <c r="D109" s="7586"/>
      <c r="E109" s="7676"/>
      <c r="F109" s="7586"/>
      <c r="G109" s="7564"/>
      <c r="H109" s="7564"/>
      <c r="I109" s="7749"/>
      <c r="J109" s="7564"/>
      <c r="K109" s="7562"/>
      <c r="L109" s="4981" t="s">
        <v>5578</v>
      </c>
    </row>
    <row r="110" spans="1:12" ht="30" customHeight="1" x14ac:dyDescent="0.2">
      <c r="A110" s="7655"/>
      <c r="B110" s="7653"/>
      <c r="C110" s="7724"/>
      <c r="D110" s="7564"/>
      <c r="E110" s="7660"/>
      <c r="F110" s="7564"/>
      <c r="G110" s="7732" t="s">
        <v>7087</v>
      </c>
      <c r="H110" s="7733"/>
      <c r="I110" s="7733"/>
      <c r="J110" s="7734"/>
      <c r="K110" s="5407"/>
      <c r="L110" s="5409"/>
    </row>
    <row r="111" spans="1:12" ht="30" customHeight="1" x14ac:dyDescent="0.2">
      <c r="A111" s="1028">
        <v>49</v>
      </c>
      <c r="B111" s="19" t="s">
        <v>189</v>
      </c>
      <c r="C111" s="5016" t="s">
        <v>1295</v>
      </c>
      <c r="D111" s="4944">
        <v>230000000</v>
      </c>
      <c r="E111" s="5011">
        <v>0.05</v>
      </c>
      <c r="F111" s="4944">
        <f t="shared" si="12"/>
        <v>11500000</v>
      </c>
      <c r="G111" s="4944">
        <v>11500000</v>
      </c>
      <c r="H111" s="4944" t="s">
        <v>6773</v>
      </c>
      <c r="I111" s="5020" t="s">
        <v>1052</v>
      </c>
      <c r="J111" s="4944">
        <f>G111</f>
        <v>11500000</v>
      </c>
      <c r="K111" s="4944">
        <f>F111-J111</f>
        <v>0</v>
      </c>
      <c r="L111" s="5079"/>
    </row>
    <row r="112" spans="1:12" ht="30" customHeight="1" x14ac:dyDescent="0.2">
      <c r="A112" s="7654">
        <v>50</v>
      </c>
      <c r="B112" s="7652" t="s">
        <v>190</v>
      </c>
      <c r="C112" s="7723" t="s">
        <v>889</v>
      </c>
      <c r="D112" s="7563">
        <v>350000000</v>
      </c>
      <c r="E112" s="7659">
        <v>0.05</v>
      </c>
      <c r="F112" s="7563">
        <f t="shared" si="12"/>
        <v>17500000</v>
      </c>
      <c r="G112" s="7732" t="s">
        <v>5349</v>
      </c>
      <c r="H112" s="7733"/>
      <c r="I112" s="7733"/>
      <c r="J112" s="7733"/>
      <c r="K112" s="7734"/>
      <c r="L112" s="5048"/>
    </row>
    <row r="113" spans="1:12" ht="30" customHeight="1" x14ac:dyDescent="0.2">
      <c r="A113" s="7656"/>
      <c r="B113" s="7665"/>
      <c r="C113" s="7747"/>
      <c r="D113" s="7586"/>
      <c r="E113" s="7676"/>
      <c r="F113" s="7586"/>
      <c r="G113" s="4944">
        <v>17000000</v>
      </c>
      <c r="H113" s="4944" t="s">
        <v>3788</v>
      </c>
      <c r="I113" s="4944" t="s">
        <v>1054</v>
      </c>
      <c r="J113" s="4944">
        <f>G113</f>
        <v>17000000</v>
      </c>
      <c r="K113" s="4944">
        <f>F112-J113</f>
        <v>500000</v>
      </c>
      <c r="L113" s="5079"/>
    </row>
    <row r="114" spans="1:12" ht="30" customHeight="1" x14ac:dyDescent="0.2">
      <c r="A114" s="7655"/>
      <c r="B114" s="7653"/>
      <c r="C114" s="7724"/>
      <c r="D114" s="7564"/>
      <c r="E114" s="7660"/>
      <c r="F114" s="7564"/>
      <c r="G114" s="5561">
        <v>10000000</v>
      </c>
      <c r="H114" s="5561" t="s">
        <v>2474</v>
      </c>
      <c r="I114" s="5561" t="s">
        <v>1054</v>
      </c>
      <c r="J114" s="5561">
        <f>G114</f>
        <v>10000000</v>
      </c>
      <c r="K114" s="5561"/>
      <c r="L114" s="5581" t="s">
        <v>7243</v>
      </c>
    </row>
    <row r="115" spans="1:12" ht="30" customHeight="1" x14ac:dyDescent="0.2">
      <c r="A115" s="5014">
        <v>51</v>
      </c>
      <c r="B115" s="4968" t="s">
        <v>191</v>
      </c>
      <c r="C115" s="5016" t="s">
        <v>889</v>
      </c>
      <c r="D115" s="4944">
        <v>260000000</v>
      </c>
      <c r="E115" s="5011">
        <f>F115/D115</f>
        <v>5.5769230769230772E-2</v>
      </c>
      <c r="F115" s="4944">
        <v>14500000</v>
      </c>
      <c r="G115" s="4944">
        <v>14500000</v>
      </c>
      <c r="H115" s="4944" t="s">
        <v>6773</v>
      </c>
      <c r="I115" s="4944" t="s">
        <v>3500</v>
      </c>
      <c r="J115" s="4944">
        <f>G115</f>
        <v>14500000</v>
      </c>
      <c r="K115" s="4944">
        <f>F115-J115</f>
        <v>0</v>
      </c>
      <c r="L115" s="1388"/>
    </row>
    <row r="116" spans="1:12" ht="30" customHeight="1" x14ac:dyDescent="0.2">
      <c r="A116" s="8123"/>
      <c r="B116" s="7652" t="s">
        <v>192</v>
      </c>
      <c r="C116" s="7723" t="s">
        <v>889</v>
      </c>
      <c r="D116" s="4950">
        <v>100000000</v>
      </c>
      <c r="E116" s="4960">
        <v>7.0000000000000007E-2</v>
      </c>
      <c r="F116" s="4950">
        <f>D116*E116</f>
        <v>7000000.0000000009</v>
      </c>
      <c r="G116" s="7563">
        <v>9500000</v>
      </c>
      <c r="H116" s="7563" t="s">
        <v>6785</v>
      </c>
      <c r="I116" s="7563" t="s">
        <v>2540</v>
      </c>
      <c r="J116" s="7563">
        <f>G116</f>
        <v>9500000</v>
      </c>
      <c r="K116" s="7563">
        <f>(F116+F117+F118)-J116</f>
        <v>0</v>
      </c>
      <c r="L116" s="7757"/>
    </row>
    <row r="117" spans="1:12" ht="30" customHeight="1" x14ac:dyDescent="0.2">
      <c r="A117" s="8200"/>
      <c r="B117" s="7665"/>
      <c r="C117" s="7747"/>
      <c r="D117" s="4950">
        <v>49500000</v>
      </c>
      <c r="E117" s="4960">
        <v>0.05</v>
      </c>
      <c r="F117" s="4950">
        <f>D117*E117</f>
        <v>2475000</v>
      </c>
      <c r="G117" s="7586"/>
      <c r="H117" s="7586"/>
      <c r="I117" s="7586"/>
      <c r="J117" s="7586"/>
      <c r="K117" s="7586"/>
      <c r="L117" s="8037"/>
    </row>
    <row r="118" spans="1:12" ht="30" customHeight="1" x14ac:dyDescent="0.2">
      <c r="A118" s="8124"/>
      <c r="B118" s="7653"/>
      <c r="C118" s="7724"/>
      <c r="D118" s="4950">
        <v>500000</v>
      </c>
      <c r="E118" s="4960">
        <v>0.05</v>
      </c>
      <c r="F118" s="4950">
        <f>D118*E118</f>
        <v>25000</v>
      </c>
      <c r="G118" s="7564"/>
      <c r="H118" s="7564"/>
      <c r="I118" s="7564"/>
      <c r="J118" s="7564"/>
      <c r="K118" s="7564"/>
      <c r="L118" s="5003"/>
    </row>
    <row r="119" spans="1:12" ht="30" customHeight="1" x14ac:dyDescent="0.2">
      <c r="A119" s="7654"/>
      <c r="B119" s="7652" t="s">
        <v>193</v>
      </c>
      <c r="C119" s="7723" t="s">
        <v>1287</v>
      </c>
      <c r="D119" s="7563">
        <v>850000000</v>
      </c>
      <c r="E119" s="7659">
        <v>7.0000000000000007E-2</v>
      </c>
      <c r="F119" s="7563">
        <f>D119*E119</f>
        <v>59500000.000000007</v>
      </c>
      <c r="G119" s="4944">
        <v>23000000</v>
      </c>
      <c r="H119" s="4944" t="s">
        <v>3116</v>
      </c>
      <c r="I119" s="4944" t="s">
        <v>6520</v>
      </c>
      <c r="J119" s="7563">
        <f>G119+G120+G121</f>
        <v>40000000</v>
      </c>
      <c r="K119" s="7482">
        <f>F123-J119</f>
        <v>33500000</v>
      </c>
      <c r="L119" s="1388" t="s">
        <v>3725</v>
      </c>
    </row>
    <row r="120" spans="1:12" ht="30" customHeight="1" x14ac:dyDescent="0.2">
      <c r="A120" s="7656"/>
      <c r="B120" s="7665"/>
      <c r="C120" s="7747"/>
      <c r="D120" s="7564"/>
      <c r="E120" s="7660"/>
      <c r="F120" s="7564"/>
      <c r="G120" s="4944">
        <v>7000000</v>
      </c>
      <c r="H120" s="4944" t="s">
        <v>7067</v>
      </c>
      <c r="I120" s="4944" t="s">
        <v>6520</v>
      </c>
      <c r="J120" s="7586"/>
      <c r="K120" s="7482"/>
      <c r="L120" s="5079" t="s">
        <v>4488</v>
      </c>
    </row>
    <row r="121" spans="1:12" ht="30" customHeight="1" x14ac:dyDescent="0.2">
      <c r="A121" s="7656"/>
      <c r="B121" s="7665"/>
      <c r="C121" s="7747"/>
      <c r="D121" s="7470" t="s">
        <v>6087</v>
      </c>
      <c r="E121" s="7510"/>
      <c r="F121" s="4952">
        <v>2000000</v>
      </c>
      <c r="G121" s="4944">
        <v>10000000</v>
      </c>
      <c r="H121" s="4944" t="s">
        <v>7198</v>
      </c>
      <c r="I121" s="4944" t="s">
        <v>7200</v>
      </c>
      <c r="J121" s="7564"/>
      <c r="K121" s="7482"/>
      <c r="L121" s="5079" t="s">
        <v>6007</v>
      </c>
    </row>
    <row r="122" spans="1:12" ht="30" customHeight="1" x14ac:dyDescent="0.2">
      <c r="A122" s="7656"/>
      <c r="B122" s="7665"/>
      <c r="C122" s="7747"/>
      <c r="D122" s="4952">
        <v>200000000</v>
      </c>
      <c r="E122" s="4962">
        <v>7.0000000000000007E-2</v>
      </c>
      <c r="F122" s="4952">
        <f>D122*E122</f>
        <v>14000000.000000002</v>
      </c>
      <c r="G122" s="233"/>
      <c r="H122" s="233"/>
      <c r="I122" s="233"/>
      <c r="J122" s="233"/>
      <c r="K122" s="4951"/>
      <c r="L122" s="5079" t="s">
        <v>6070</v>
      </c>
    </row>
    <row r="123" spans="1:12" ht="30" customHeight="1" x14ac:dyDescent="0.2">
      <c r="A123" s="7655"/>
      <c r="B123" s="7653"/>
      <c r="C123" s="7724"/>
      <c r="D123" s="4988">
        <f>D119+D122</f>
        <v>1050000000</v>
      </c>
      <c r="E123" s="4986">
        <v>7.0000000000000007E-2</v>
      </c>
      <c r="F123" s="4988">
        <f>D123*E123</f>
        <v>73500000</v>
      </c>
      <c r="G123" s="4944"/>
      <c r="H123" s="4944"/>
      <c r="I123" s="4944"/>
      <c r="J123" s="4944"/>
      <c r="K123" s="4951"/>
      <c r="L123" s="5079" t="s">
        <v>6109</v>
      </c>
    </row>
    <row r="124" spans="1:12" ht="30" customHeight="1" x14ac:dyDescent="0.2">
      <c r="A124" s="7654">
        <v>54</v>
      </c>
      <c r="B124" s="7652" t="s">
        <v>1060</v>
      </c>
      <c r="C124" s="7723" t="s">
        <v>889</v>
      </c>
      <c r="D124" s="4952">
        <v>35000000</v>
      </c>
      <c r="E124" s="4962">
        <v>7.1999999999999995E-2</v>
      </c>
      <c r="F124" s="4952">
        <v>2500000</v>
      </c>
      <c r="G124" s="7924">
        <v>3500000</v>
      </c>
      <c r="H124" s="7924" t="s">
        <v>6828</v>
      </c>
      <c r="I124" s="7926" t="s">
        <v>2501</v>
      </c>
      <c r="J124" s="7924">
        <f>G124</f>
        <v>3500000</v>
      </c>
      <c r="K124" s="7924">
        <f>(F124+F125)-J124</f>
        <v>0</v>
      </c>
      <c r="L124" s="7703"/>
    </row>
    <row r="125" spans="1:12" ht="30" customHeight="1" x14ac:dyDescent="0.2">
      <c r="A125" s="7656"/>
      <c r="B125" s="7653"/>
      <c r="C125" s="7724"/>
      <c r="D125" s="4952">
        <v>13000000</v>
      </c>
      <c r="E125" s="5011">
        <v>7.6999999999999999E-2</v>
      </c>
      <c r="F125" s="4952">
        <v>1000000</v>
      </c>
      <c r="G125" s="7925"/>
      <c r="H125" s="7925"/>
      <c r="I125" s="7927"/>
      <c r="J125" s="7925"/>
      <c r="K125" s="7925"/>
      <c r="L125" s="7705"/>
    </row>
    <row r="126" spans="1:12" ht="30" customHeight="1" x14ac:dyDescent="0.2">
      <c r="A126" s="7654">
        <v>55</v>
      </c>
      <c r="B126" s="7652" t="s">
        <v>1247</v>
      </c>
      <c r="C126" s="7723" t="s">
        <v>1295</v>
      </c>
      <c r="D126" s="4944">
        <v>175000000</v>
      </c>
      <c r="E126" s="5011">
        <v>0.52</v>
      </c>
      <c r="F126" s="4944">
        <v>9000000</v>
      </c>
      <c r="G126" s="7563">
        <v>18250000</v>
      </c>
      <c r="H126" s="7561" t="s">
        <v>6785</v>
      </c>
      <c r="I126" s="7857" t="s">
        <v>1063</v>
      </c>
      <c r="J126" s="7563">
        <f>G126</f>
        <v>18250000</v>
      </c>
      <c r="K126" s="7482">
        <f>(F126+F127+F128)-J126</f>
        <v>0</v>
      </c>
      <c r="L126" s="7713"/>
    </row>
    <row r="127" spans="1:12" ht="30" customHeight="1" x14ac:dyDescent="0.2">
      <c r="A127" s="7656"/>
      <c r="B127" s="7665"/>
      <c r="C127" s="7747"/>
      <c r="D127" s="4950">
        <f>85000000+20000000</f>
        <v>105000000</v>
      </c>
      <c r="E127" s="4960">
        <v>7.0000000000000007E-2</v>
      </c>
      <c r="F127" s="4950">
        <v>7500000</v>
      </c>
      <c r="G127" s="7586"/>
      <c r="H127" s="7672"/>
      <c r="I127" s="7857"/>
      <c r="J127" s="7586"/>
      <c r="K127" s="7482"/>
      <c r="L127" s="7797"/>
    </row>
    <row r="128" spans="1:12" ht="30" customHeight="1" x14ac:dyDescent="0.2">
      <c r="A128" s="7655"/>
      <c r="B128" s="7653"/>
      <c r="C128" s="7724"/>
      <c r="D128" s="4944">
        <v>35000000</v>
      </c>
      <c r="E128" s="5011">
        <v>0.05</v>
      </c>
      <c r="F128" s="4944">
        <f>D128*E128</f>
        <v>1750000</v>
      </c>
      <c r="G128" s="7564"/>
      <c r="H128" s="7562"/>
      <c r="I128" s="7857"/>
      <c r="J128" s="7564"/>
      <c r="K128" s="7482"/>
      <c r="L128" s="7714"/>
    </row>
    <row r="129" spans="1:12" ht="30" customHeight="1" x14ac:dyDescent="0.2">
      <c r="A129" s="7654">
        <v>56</v>
      </c>
      <c r="B129" s="7652" t="s">
        <v>35</v>
      </c>
      <c r="C129" s="7723" t="s">
        <v>1295</v>
      </c>
      <c r="D129" s="7563">
        <v>3284000000</v>
      </c>
      <c r="E129" s="7659">
        <v>7.0000000000000007E-2</v>
      </c>
      <c r="F129" s="7563">
        <v>229880000</v>
      </c>
      <c r="G129" s="4952">
        <v>29880000</v>
      </c>
      <c r="H129" s="4952" t="s">
        <v>6932</v>
      </c>
      <c r="I129" s="5071" t="s">
        <v>4945</v>
      </c>
      <c r="J129" s="7924">
        <f>G129+G130+G131+G132+G133</f>
        <v>146880000</v>
      </c>
      <c r="K129" s="7563">
        <f>F129-J129</f>
        <v>83000000</v>
      </c>
      <c r="L129" s="637"/>
    </row>
    <row r="130" spans="1:12" ht="30" customHeight="1" x14ac:dyDescent="0.2">
      <c r="A130" s="7656"/>
      <c r="B130" s="7665"/>
      <c r="C130" s="7747"/>
      <c r="D130" s="7586"/>
      <c r="E130" s="7676"/>
      <c r="F130" s="7586"/>
      <c r="G130" s="4944">
        <v>17000000</v>
      </c>
      <c r="H130" s="4944" t="s">
        <v>7061</v>
      </c>
      <c r="I130" s="4944" t="s">
        <v>4945</v>
      </c>
      <c r="J130" s="8234"/>
      <c r="K130" s="7586"/>
      <c r="L130" s="180"/>
    </row>
    <row r="131" spans="1:12" ht="30" customHeight="1" x14ac:dyDescent="0.2">
      <c r="A131" s="7656"/>
      <c r="B131" s="7665"/>
      <c r="C131" s="7747"/>
      <c r="D131" s="7586"/>
      <c r="E131" s="7676"/>
      <c r="F131" s="7586"/>
      <c r="G131" s="5399">
        <v>50000000</v>
      </c>
      <c r="H131" s="5399" t="s">
        <v>7080</v>
      </c>
      <c r="I131" s="5399" t="s">
        <v>4945</v>
      </c>
      <c r="J131" s="8234"/>
      <c r="K131" s="7586"/>
      <c r="L131" s="180"/>
    </row>
    <row r="132" spans="1:12" ht="30" customHeight="1" x14ac:dyDescent="0.2">
      <c r="A132" s="7656"/>
      <c r="B132" s="7665"/>
      <c r="C132" s="7747"/>
      <c r="D132" s="7586"/>
      <c r="E132" s="7676"/>
      <c r="F132" s="7586"/>
      <c r="G132" s="5399">
        <v>50000000</v>
      </c>
      <c r="H132" s="5399" t="s">
        <v>7096</v>
      </c>
      <c r="I132" s="5399">
        <v>4730093049</v>
      </c>
      <c r="J132" s="8234"/>
      <c r="K132" s="7586"/>
      <c r="L132" s="180"/>
    </row>
    <row r="133" spans="1:12" ht="30" customHeight="1" x14ac:dyDescent="0.2">
      <c r="A133" s="7656"/>
      <c r="B133" s="7665"/>
      <c r="C133" s="7724"/>
      <c r="D133" s="7564"/>
      <c r="E133" s="7660"/>
      <c r="F133" s="7564"/>
      <c r="G133" s="5399"/>
      <c r="H133" s="5399"/>
      <c r="I133" s="5399"/>
      <c r="J133" s="7925"/>
      <c r="K133" s="7564"/>
      <c r="L133" s="180"/>
    </row>
    <row r="134" spans="1:12" ht="30" customHeight="1" x14ac:dyDescent="0.2">
      <c r="A134" s="7656"/>
      <c r="B134" s="7665"/>
      <c r="C134" s="8499" t="s">
        <v>1306</v>
      </c>
      <c r="D134" s="8007">
        <v>2451198840</v>
      </c>
      <c r="E134" s="8502">
        <v>0.08</v>
      </c>
      <c r="F134" s="8007">
        <f t="shared" ref="F134:F140" si="14">D134*E134</f>
        <v>196095907.20000002</v>
      </c>
      <c r="G134" s="5702">
        <v>20000000</v>
      </c>
      <c r="H134" s="5702" t="s">
        <v>6773</v>
      </c>
      <c r="I134" s="5702" t="s">
        <v>4945</v>
      </c>
      <c r="J134" s="8020">
        <f>G134+G135+G136</f>
        <v>116000000</v>
      </c>
      <c r="K134" s="8020">
        <f>F134-80000000-J134</f>
        <v>95907.200000017881</v>
      </c>
      <c r="L134" s="8501" t="s">
        <v>6774</v>
      </c>
    </row>
    <row r="135" spans="1:12" ht="30" customHeight="1" x14ac:dyDescent="0.2">
      <c r="A135" s="7656"/>
      <c r="B135" s="7665"/>
      <c r="C135" s="8499"/>
      <c r="D135" s="8008"/>
      <c r="E135" s="8503"/>
      <c r="F135" s="8008"/>
      <c r="G135" s="5702">
        <v>50000000</v>
      </c>
      <c r="H135" s="5702" t="s">
        <v>6785</v>
      </c>
      <c r="I135" s="5702" t="s">
        <v>4945</v>
      </c>
      <c r="J135" s="8020"/>
      <c r="K135" s="8020"/>
      <c r="L135" s="8501"/>
    </row>
    <row r="136" spans="1:12" ht="30" customHeight="1" x14ac:dyDescent="0.2">
      <c r="A136" s="7656"/>
      <c r="B136" s="7665"/>
      <c r="C136" s="8499"/>
      <c r="D136" s="8009"/>
      <c r="E136" s="8504"/>
      <c r="F136" s="8009"/>
      <c r="G136" s="5702">
        <v>46000000</v>
      </c>
      <c r="H136" s="5702" t="s">
        <v>6800</v>
      </c>
      <c r="I136" s="5702" t="s">
        <v>4945</v>
      </c>
      <c r="J136" s="8020"/>
      <c r="K136" s="8020"/>
      <c r="L136" s="8501"/>
    </row>
    <row r="137" spans="1:12" ht="30" customHeight="1" x14ac:dyDescent="0.2">
      <c r="A137" s="7656"/>
      <c r="B137" s="7665"/>
      <c r="C137" s="7873" t="s">
        <v>1306</v>
      </c>
      <c r="D137" s="7563">
        <v>2451198840</v>
      </c>
      <c r="E137" s="7659">
        <v>0.08</v>
      </c>
      <c r="F137" s="7563">
        <f>D137*E137</f>
        <v>196095907.20000002</v>
      </c>
      <c r="G137" s="4944"/>
      <c r="H137" s="4944"/>
      <c r="I137" s="4944"/>
      <c r="J137" s="7563"/>
      <c r="K137" s="7563"/>
      <c r="L137" s="7919" t="s">
        <v>7274</v>
      </c>
    </row>
    <row r="138" spans="1:12" ht="30" customHeight="1" x14ac:dyDescent="0.2">
      <c r="A138" s="7656"/>
      <c r="B138" s="7665"/>
      <c r="C138" s="7873"/>
      <c r="D138" s="7586"/>
      <c r="E138" s="7676"/>
      <c r="F138" s="7586"/>
      <c r="G138" s="4944"/>
      <c r="H138" s="4944"/>
      <c r="I138" s="4944"/>
      <c r="J138" s="7586"/>
      <c r="K138" s="7586"/>
      <c r="L138" s="7920"/>
    </row>
    <row r="139" spans="1:12" ht="30" customHeight="1" x14ac:dyDescent="0.2">
      <c r="A139" s="7656"/>
      <c r="B139" s="7653"/>
      <c r="C139" s="7873"/>
      <c r="D139" s="7564"/>
      <c r="E139" s="7660"/>
      <c r="F139" s="7564"/>
      <c r="G139" s="4944"/>
      <c r="H139" s="4944"/>
      <c r="I139" s="4944"/>
      <c r="J139" s="7564"/>
      <c r="K139" s="7564"/>
      <c r="L139" s="7921"/>
    </row>
    <row r="140" spans="1:12" ht="30" customHeight="1" x14ac:dyDescent="0.2">
      <c r="A140" s="7654">
        <v>57</v>
      </c>
      <c r="B140" s="7652" t="s">
        <v>1077</v>
      </c>
      <c r="C140" s="5771" t="s">
        <v>1298</v>
      </c>
      <c r="D140" s="5702">
        <v>317000000</v>
      </c>
      <c r="E140" s="1216">
        <v>7.0000000000000007E-2</v>
      </c>
      <c r="F140" s="5702">
        <f t="shared" si="14"/>
        <v>22190000.000000004</v>
      </c>
      <c r="G140" s="5702">
        <v>22200000</v>
      </c>
      <c r="H140" s="5702" t="s">
        <v>6800</v>
      </c>
      <c r="I140" s="5702" t="s">
        <v>4945</v>
      </c>
      <c r="J140" s="5702">
        <f>G140</f>
        <v>22200000</v>
      </c>
      <c r="K140" s="5702">
        <v>0</v>
      </c>
      <c r="L140" s="5772" t="s">
        <v>6774</v>
      </c>
    </row>
    <row r="141" spans="1:12" ht="30" customHeight="1" x14ac:dyDescent="0.2">
      <c r="A141" s="7655"/>
      <c r="B141" s="7653"/>
      <c r="C141" s="5657" t="s">
        <v>1298</v>
      </c>
      <c r="D141" s="5586">
        <v>317000000</v>
      </c>
      <c r="E141" s="5652">
        <v>7.0000000000000007E-2</v>
      </c>
      <c r="F141" s="5586">
        <f t="shared" ref="F141" si="15">D141*E141</f>
        <v>22190000.000000004</v>
      </c>
      <c r="G141" s="5149"/>
      <c r="H141" s="5149"/>
      <c r="I141" s="5149"/>
      <c r="J141" s="5149"/>
      <c r="K141" s="5149"/>
      <c r="L141" s="5690" t="s">
        <v>7274</v>
      </c>
    </row>
    <row r="142" spans="1:12" ht="30" customHeight="1" x14ac:dyDescent="0.2">
      <c r="A142" s="7654"/>
      <c r="B142" s="7652" t="s">
        <v>5903</v>
      </c>
      <c r="C142" s="7723"/>
      <c r="D142" s="4952">
        <v>27000000</v>
      </c>
      <c r="E142" s="4962"/>
      <c r="F142" s="4952"/>
      <c r="G142" s="7563">
        <v>4500000</v>
      </c>
      <c r="H142" s="7563" t="s">
        <v>7252</v>
      </c>
      <c r="I142" s="7563" t="s">
        <v>6391</v>
      </c>
      <c r="J142" s="7563">
        <f>G142</f>
        <v>4500000</v>
      </c>
      <c r="K142" s="7563">
        <f>F144-J142</f>
        <v>-500000</v>
      </c>
      <c r="L142" s="1611" t="s">
        <v>5904</v>
      </c>
    </row>
    <row r="143" spans="1:12" ht="30" customHeight="1" x14ac:dyDescent="0.2">
      <c r="A143" s="7656"/>
      <c r="B143" s="7665"/>
      <c r="C143" s="7747"/>
      <c r="D143" s="4952">
        <v>23000000</v>
      </c>
      <c r="E143" s="4962"/>
      <c r="F143" s="4952"/>
      <c r="G143" s="7586"/>
      <c r="H143" s="7586"/>
      <c r="I143" s="7586"/>
      <c r="J143" s="7586"/>
      <c r="K143" s="7586"/>
      <c r="L143" s="1611" t="s">
        <v>5905</v>
      </c>
    </row>
    <row r="144" spans="1:12" ht="30" customHeight="1" x14ac:dyDescent="0.2">
      <c r="A144" s="7655"/>
      <c r="B144" s="7665"/>
      <c r="C144" s="7747"/>
      <c r="D144" s="5060">
        <f>SUM(D142:D143)</f>
        <v>50000000</v>
      </c>
      <c r="E144" s="5063">
        <v>0.08</v>
      </c>
      <c r="F144" s="5060">
        <f>D144*E144</f>
        <v>4000000</v>
      </c>
      <c r="G144" s="7564"/>
      <c r="H144" s="7564"/>
      <c r="I144" s="7564"/>
      <c r="J144" s="7564"/>
      <c r="K144" s="7564"/>
      <c r="L144" s="4081" t="s">
        <v>7255</v>
      </c>
    </row>
    <row r="145" spans="1:12" ht="30" customHeight="1" x14ac:dyDescent="0.2">
      <c r="A145" s="7654"/>
      <c r="B145" s="7652" t="s">
        <v>6673</v>
      </c>
      <c r="C145" s="7723" t="s">
        <v>1796</v>
      </c>
      <c r="D145" s="4944">
        <v>56000000</v>
      </c>
      <c r="E145" s="5011">
        <v>7.0000000000000007E-2</v>
      </c>
      <c r="F145" s="4944">
        <f>D145*E145</f>
        <v>3920000.0000000005</v>
      </c>
      <c r="G145" s="7563"/>
      <c r="H145" s="7563"/>
      <c r="I145" s="7563" t="s">
        <v>4263</v>
      </c>
      <c r="J145" s="7563">
        <f>G145</f>
        <v>0</v>
      </c>
      <c r="K145" s="7563">
        <f>(F145+F146)-J145</f>
        <v>10920000.000000002</v>
      </c>
      <c r="L145" s="736" t="s">
        <v>5279</v>
      </c>
    </row>
    <row r="146" spans="1:12" ht="30" customHeight="1" x14ac:dyDescent="0.2">
      <c r="A146" s="7656"/>
      <c r="B146" s="7665"/>
      <c r="C146" s="7747"/>
      <c r="D146" s="4944">
        <v>100000000</v>
      </c>
      <c r="E146" s="5011">
        <v>7.0000000000000007E-2</v>
      </c>
      <c r="F146" s="4944">
        <f>D146*E146</f>
        <v>7000000.0000000009</v>
      </c>
      <c r="G146" s="7564"/>
      <c r="H146" s="7564"/>
      <c r="I146" s="7564"/>
      <c r="J146" s="7564"/>
      <c r="K146" s="7564"/>
      <c r="L146" s="162"/>
    </row>
    <row r="147" spans="1:12" ht="30" customHeight="1" x14ac:dyDescent="0.2">
      <c r="A147" s="7656"/>
      <c r="B147" s="7665"/>
      <c r="C147" s="7747"/>
      <c r="D147" s="4944">
        <v>56000000</v>
      </c>
      <c r="E147" s="5011">
        <v>7.0000000000000007E-2</v>
      </c>
      <c r="F147" s="4944">
        <f>D147*E147</f>
        <v>3920000.0000000005</v>
      </c>
      <c r="G147" s="7563"/>
      <c r="H147" s="7563"/>
      <c r="I147" s="7563" t="s">
        <v>4263</v>
      </c>
      <c r="J147" s="7563">
        <f>G147</f>
        <v>0</v>
      </c>
      <c r="K147" s="7563">
        <f>(F147+F148)-J147</f>
        <v>10920000.000000002</v>
      </c>
      <c r="L147" s="162"/>
    </row>
    <row r="148" spans="1:12" ht="30" customHeight="1" x14ac:dyDescent="0.2">
      <c r="A148" s="7655"/>
      <c r="B148" s="7653"/>
      <c r="C148" s="7724"/>
      <c r="D148" s="4944">
        <v>100000000</v>
      </c>
      <c r="E148" s="5011">
        <v>7.0000000000000007E-2</v>
      </c>
      <c r="F148" s="4944">
        <f>D148*E148</f>
        <v>7000000.0000000009</v>
      </c>
      <c r="G148" s="7564"/>
      <c r="H148" s="7564"/>
      <c r="I148" s="7564"/>
      <c r="J148" s="7564"/>
      <c r="K148" s="7564"/>
      <c r="L148" s="162"/>
    </row>
    <row r="149" spans="1:12" ht="30" customHeight="1" x14ac:dyDescent="0.2">
      <c r="A149" s="7654">
        <v>58</v>
      </c>
      <c r="B149" s="7652" t="s">
        <v>1064</v>
      </c>
      <c r="C149" s="7723" t="s">
        <v>889</v>
      </c>
      <c r="D149" s="4952">
        <v>11000000</v>
      </c>
      <c r="E149" s="5011">
        <v>7.0000000000000007E-2</v>
      </c>
      <c r="F149" s="4952">
        <v>700000</v>
      </c>
      <c r="G149" s="7563">
        <v>4200000</v>
      </c>
      <c r="H149" s="7563" t="s">
        <v>6792</v>
      </c>
      <c r="I149" s="7775" t="s">
        <v>1066</v>
      </c>
      <c r="J149" s="7563">
        <f>G149</f>
        <v>4200000</v>
      </c>
      <c r="K149" s="7563">
        <f>(F149+F150+F151)-J149</f>
        <v>0</v>
      </c>
      <c r="L149" s="4968"/>
    </row>
    <row r="150" spans="1:12" ht="30" customHeight="1" x14ac:dyDescent="0.2">
      <c r="A150" s="7656"/>
      <c r="B150" s="7665"/>
      <c r="C150" s="7747"/>
      <c r="D150" s="4952">
        <v>20000000</v>
      </c>
      <c r="E150" s="5011">
        <v>7.0000000000000007E-2</v>
      </c>
      <c r="F150" s="4952">
        <f>D150*E150</f>
        <v>1400000.0000000002</v>
      </c>
      <c r="G150" s="7586"/>
      <c r="H150" s="7586"/>
      <c r="I150" s="7776"/>
      <c r="J150" s="7586"/>
      <c r="K150" s="7586"/>
      <c r="L150" s="5048"/>
    </row>
    <row r="151" spans="1:12" ht="30" customHeight="1" x14ac:dyDescent="0.2">
      <c r="A151" s="7656"/>
      <c r="B151" s="7665"/>
      <c r="C151" s="7747"/>
      <c r="D151" s="4952">
        <v>30000000</v>
      </c>
      <c r="E151" s="5011">
        <v>7.0000000000000007E-2</v>
      </c>
      <c r="F151" s="4952">
        <f>D151*E151</f>
        <v>2100000</v>
      </c>
      <c r="G151" s="7564"/>
      <c r="H151" s="7564"/>
      <c r="I151" s="7777"/>
      <c r="J151" s="7564"/>
      <c r="K151" s="7564"/>
      <c r="L151" s="4981" t="s">
        <v>6110</v>
      </c>
    </row>
    <row r="152" spans="1:12" ht="30" customHeight="1" x14ac:dyDescent="0.2">
      <c r="A152" s="7655"/>
      <c r="B152" s="7653"/>
      <c r="C152" s="7724"/>
      <c r="D152" s="5827">
        <v>10000000</v>
      </c>
      <c r="E152" s="5838">
        <v>7.0000000000000007E-2</v>
      </c>
      <c r="F152" s="5827">
        <f>D152*E152</f>
        <v>700000.00000000012</v>
      </c>
      <c r="G152" s="7732" t="s">
        <v>7324</v>
      </c>
      <c r="H152" s="7733"/>
      <c r="I152" s="7733"/>
      <c r="J152" s="7734"/>
      <c r="K152" s="5826"/>
      <c r="L152" s="5833"/>
    </row>
    <row r="153" spans="1:12" ht="30" customHeight="1" x14ac:dyDescent="0.2">
      <c r="A153" s="7654"/>
      <c r="B153" s="7652" t="s">
        <v>194</v>
      </c>
      <c r="C153" s="7723" t="s">
        <v>1295</v>
      </c>
      <c r="D153" s="4952">
        <v>100000000</v>
      </c>
      <c r="E153" s="5011">
        <v>5.1999999999999998E-2</v>
      </c>
      <c r="F153" s="4952">
        <f t="shared" si="12"/>
        <v>5200000</v>
      </c>
      <c r="G153" s="7563">
        <v>8300000</v>
      </c>
      <c r="H153" s="7563" t="s">
        <v>6773</v>
      </c>
      <c r="I153" s="7563" t="s">
        <v>6193</v>
      </c>
      <c r="J153" s="7563">
        <f>G153</f>
        <v>8300000</v>
      </c>
      <c r="K153" s="7563">
        <f>F158-J153</f>
        <v>0</v>
      </c>
      <c r="L153" s="637" t="s">
        <v>6336</v>
      </c>
    </row>
    <row r="154" spans="1:12" ht="30" customHeight="1" x14ac:dyDescent="0.2">
      <c r="A154" s="7656"/>
      <c r="B154" s="7665"/>
      <c r="C154" s="7747"/>
      <c r="D154" s="4952">
        <v>15000000</v>
      </c>
      <c r="E154" s="5011">
        <v>5.5E-2</v>
      </c>
      <c r="F154" s="4952">
        <v>800000</v>
      </c>
      <c r="G154" s="7586"/>
      <c r="H154" s="7586"/>
      <c r="I154" s="7586"/>
      <c r="J154" s="7586"/>
      <c r="K154" s="7586"/>
      <c r="L154" s="180"/>
    </row>
    <row r="155" spans="1:12" ht="30" customHeight="1" x14ac:dyDescent="0.2">
      <c r="A155" s="7656"/>
      <c r="B155" s="7665"/>
      <c r="C155" s="7747"/>
      <c r="D155" s="4952">
        <v>29000000</v>
      </c>
      <c r="E155" s="5011">
        <v>5.1999999999999998E-2</v>
      </c>
      <c r="F155" s="4952">
        <v>1500000</v>
      </c>
      <c r="G155" s="7586"/>
      <c r="H155" s="7586"/>
      <c r="I155" s="7586"/>
      <c r="J155" s="7586"/>
      <c r="K155" s="7586"/>
      <c r="L155" s="180"/>
    </row>
    <row r="156" spans="1:12" ht="30" customHeight="1" x14ac:dyDescent="0.2">
      <c r="A156" s="7656"/>
      <c r="B156" s="7665"/>
      <c r="C156" s="7747"/>
      <c r="D156" s="4952">
        <v>6000000</v>
      </c>
      <c r="E156" s="5011">
        <v>5.1999999999999998E-2</v>
      </c>
      <c r="F156" s="4952">
        <v>300000</v>
      </c>
      <c r="G156" s="7586"/>
      <c r="H156" s="7586"/>
      <c r="I156" s="7586"/>
      <c r="J156" s="7586"/>
      <c r="K156" s="7586"/>
      <c r="L156" s="180"/>
    </row>
    <row r="157" spans="1:12" ht="30" customHeight="1" x14ac:dyDescent="0.2">
      <c r="A157" s="7656"/>
      <c r="B157" s="7665"/>
      <c r="C157" s="7747"/>
      <c r="D157" s="4952">
        <v>10000000</v>
      </c>
      <c r="E157" s="5011">
        <v>0.05</v>
      </c>
      <c r="F157" s="4952">
        <f>E157*D157</f>
        <v>500000</v>
      </c>
      <c r="G157" s="7586"/>
      <c r="H157" s="7586"/>
      <c r="I157" s="7586"/>
      <c r="J157" s="7586"/>
      <c r="K157" s="7586"/>
      <c r="L157" s="180"/>
    </row>
    <row r="158" spans="1:12" ht="30" customHeight="1" x14ac:dyDescent="0.2">
      <c r="A158" s="7655"/>
      <c r="B158" s="7653"/>
      <c r="C158" s="7724"/>
      <c r="D158" s="4988">
        <v>160000000</v>
      </c>
      <c r="E158" s="5083">
        <v>5.1999999999999998E-2</v>
      </c>
      <c r="F158" s="4988">
        <v>8300000</v>
      </c>
      <c r="G158" s="7564"/>
      <c r="H158" s="7564"/>
      <c r="I158" s="7564"/>
      <c r="J158" s="7564"/>
      <c r="K158" s="7564"/>
      <c r="L158" s="180"/>
    </row>
    <row r="159" spans="1:12" ht="30" customHeight="1" x14ac:dyDescent="0.2">
      <c r="A159" s="5014">
        <v>60</v>
      </c>
      <c r="B159" s="4968" t="s">
        <v>1498</v>
      </c>
      <c r="C159" s="4990" t="s">
        <v>889</v>
      </c>
      <c r="D159" s="4952"/>
      <c r="E159" s="5011"/>
      <c r="F159" s="4952">
        <f t="shared" si="12"/>
        <v>0</v>
      </c>
      <c r="G159" s="4952">
        <v>10000000</v>
      </c>
      <c r="H159" s="4952" t="s">
        <v>3788</v>
      </c>
      <c r="I159" s="5071" t="s">
        <v>1810</v>
      </c>
      <c r="J159" s="4952">
        <f>G159</f>
        <v>10000000</v>
      </c>
      <c r="K159" s="4952">
        <f>F159-J159</f>
        <v>-10000000</v>
      </c>
      <c r="L159" s="4968"/>
    </row>
    <row r="160" spans="1:12" ht="30" customHeight="1" x14ac:dyDescent="0.2">
      <c r="A160" s="4959">
        <v>61</v>
      </c>
      <c r="B160" s="4968" t="s">
        <v>196</v>
      </c>
      <c r="C160" s="4990"/>
      <c r="D160" s="4952">
        <v>100000000</v>
      </c>
      <c r="E160" s="5011">
        <v>7.0000000000000007E-2</v>
      </c>
      <c r="F160" s="4952">
        <f t="shared" si="12"/>
        <v>7000000.0000000009</v>
      </c>
      <c r="G160" s="4952">
        <v>7000000</v>
      </c>
      <c r="H160" s="4952" t="s">
        <v>6792</v>
      </c>
      <c r="I160" s="5071" t="s">
        <v>3466</v>
      </c>
      <c r="J160" s="4952">
        <f>G160</f>
        <v>7000000</v>
      </c>
      <c r="K160" s="4952">
        <f>F160-J160</f>
        <v>0</v>
      </c>
      <c r="L160" s="4968"/>
    </row>
    <row r="161" spans="1:12" ht="30" customHeight="1" x14ac:dyDescent="0.2">
      <c r="A161" s="7654">
        <v>62</v>
      </c>
      <c r="B161" s="7652" t="s">
        <v>197</v>
      </c>
      <c r="C161" s="7723"/>
      <c r="D161" s="4963">
        <v>125000000</v>
      </c>
      <c r="E161" s="4974">
        <v>5.1999999999999998E-2</v>
      </c>
      <c r="F161" s="4963">
        <f t="shared" si="12"/>
        <v>6500000</v>
      </c>
      <c r="G161" s="4944"/>
      <c r="H161" s="4944"/>
      <c r="I161" s="4944" t="s">
        <v>1251</v>
      </c>
      <c r="J161" s="4944">
        <f>G161</f>
        <v>0</v>
      </c>
      <c r="K161" s="4944">
        <f>F161-J161</f>
        <v>6500000</v>
      </c>
      <c r="L161" s="4982" t="s">
        <v>6006</v>
      </c>
    </row>
    <row r="162" spans="1:12" ht="30" customHeight="1" x14ac:dyDescent="0.2">
      <c r="A162" s="7656"/>
      <c r="B162" s="7665"/>
      <c r="C162" s="7747"/>
      <c r="D162" s="7494" t="s">
        <v>6674</v>
      </c>
      <c r="E162" s="7495"/>
      <c r="F162" s="7768"/>
      <c r="G162" s="4950">
        <v>50000000</v>
      </c>
      <c r="H162" s="4950" t="s">
        <v>7067</v>
      </c>
      <c r="I162" s="4950" t="s">
        <v>7197</v>
      </c>
      <c r="J162" s="7563">
        <f>G162+G163</f>
        <v>75000000</v>
      </c>
      <c r="K162" s="4950"/>
      <c r="L162" s="5032"/>
    </row>
    <row r="163" spans="1:12" ht="30" customHeight="1" x14ac:dyDescent="0.2">
      <c r="A163" s="7655"/>
      <c r="B163" s="7653"/>
      <c r="C163" s="7724"/>
      <c r="D163" s="7769"/>
      <c r="E163" s="7805"/>
      <c r="F163" s="7770"/>
      <c r="G163" s="5537">
        <v>25000000</v>
      </c>
      <c r="H163" s="5537" t="s">
        <v>7210</v>
      </c>
      <c r="I163" s="5537" t="s">
        <v>7222</v>
      </c>
      <c r="J163" s="7564"/>
      <c r="K163" s="5537"/>
      <c r="L163" s="5553"/>
    </row>
    <row r="164" spans="1:12" ht="30" customHeight="1" x14ac:dyDescent="0.2">
      <c r="A164" s="7654"/>
      <c r="B164" s="7652" t="s">
        <v>198</v>
      </c>
      <c r="C164" s="7723" t="s">
        <v>889</v>
      </c>
      <c r="D164" s="3829">
        <v>2000000000</v>
      </c>
      <c r="E164" s="5011">
        <v>7.0000000000000007E-2</v>
      </c>
      <c r="F164" s="4944">
        <f t="shared" ref="F164:F169" si="16">D164*E164</f>
        <v>140000000</v>
      </c>
      <c r="G164" s="7563">
        <v>54000000</v>
      </c>
      <c r="H164" s="8428" t="s">
        <v>6789</v>
      </c>
      <c r="I164" s="8428" t="s">
        <v>3724</v>
      </c>
      <c r="J164" s="7563">
        <f>G164</f>
        <v>54000000</v>
      </c>
      <c r="K164" s="7482">
        <f>(F164+F165+F166)-J164</f>
        <v>100000000</v>
      </c>
      <c r="L164" s="637" t="s">
        <v>6749</v>
      </c>
    </row>
    <row r="165" spans="1:12" ht="30" customHeight="1" x14ac:dyDescent="0.2">
      <c r="A165" s="7656"/>
      <c r="B165" s="7665"/>
      <c r="C165" s="7747"/>
      <c r="D165" s="3829">
        <v>100000000</v>
      </c>
      <c r="E165" s="4962">
        <v>7.0000000000000007E-2</v>
      </c>
      <c r="F165" s="4944">
        <f t="shared" si="16"/>
        <v>7000000.0000000009</v>
      </c>
      <c r="G165" s="7586"/>
      <c r="H165" s="8496"/>
      <c r="I165" s="8496"/>
      <c r="J165" s="7586"/>
      <c r="K165" s="7482"/>
      <c r="L165" s="180"/>
    </row>
    <row r="166" spans="1:12" ht="30" customHeight="1" x14ac:dyDescent="0.2">
      <c r="A166" s="7656"/>
      <c r="B166" s="7665"/>
      <c r="C166" s="7747"/>
      <c r="D166" s="940">
        <v>100000000</v>
      </c>
      <c r="E166" s="4962">
        <v>7.0000000000000007E-2</v>
      </c>
      <c r="F166" s="4952">
        <f t="shared" si="16"/>
        <v>7000000.0000000009</v>
      </c>
      <c r="G166" s="7564"/>
      <c r="H166" s="8429"/>
      <c r="I166" s="8429"/>
      <c r="J166" s="7564"/>
      <c r="K166" s="7482"/>
      <c r="L166" s="5095"/>
    </row>
    <row r="167" spans="1:12" ht="30" customHeight="1" x14ac:dyDescent="0.2">
      <c r="A167" s="7656"/>
      <c r="B167" s="7665"/>
      <c r="C167" s="7747"/>
      <c r="D167" s="940">
        <v>100000000</v>
      </c>
      <c r="E167" s="5113">
        <v>7.0000000000000007E-2</v>
      </c>
      <c r="F167" s="5111">
        <f t="shared" si="16"/>
        <v>7000000.0000000009</v>
      </c>
      <c r="G167" s="7732" t="s">
        <v>6778</v>
      </c>
      <c r="H167" s="7733"/>
      <c r="I167" s="7733"/>
      <c r="J167" s="7734"/>
      <c r="K167" s="5110"/>
      <c r="L167" s="5120"/>
    </row>
    <row r="168" spans="1:12" ht="30" customHeight="1" x14ac:dyDescent="0.2">
      <c r="A168" s="7656"/>
      <c r="B168" s="7665"/>
      <c r="C168" s="7747"/>
      <c r="D168" s="5055">
        <v>300000000</v>
      </c>
      <c r="E168" s="4962">
        <v>7.0000000000000007E-2</v>
      </c>
      <c r="F168" s="4952">
        <f t="shared" si="16"/>
        <v>21000000.000000004</v>
      </c>
      <c r="G168" s="7563">
        <v>31500000</v>
      </c>
      <c r="H168" s="7563" t="s">
        <v>6789</v>
      </c>
      <c r="I168" s="8180" t="s">
        <v>6196</v>
      </c>
      <c r="J168" s="7563">
        <f>G168</f>
        <v>31500000</v>
      </c>
      <c r="K168" s="7563">
        <f>(F168+F169)-J168</f>
        <v>0</v>
      </c>
      <c r="L168" s="7797" t="s">
        <v>5581</v>
      </c>
    </row>
    <row r="169" spans="1:12" ht="30" customHeight="1" x14ac:dyDescent="0.2">
      <c r="A169" s="7656"/>
      <c r="B169" s="7665"/>
      <c r="C169" s="7747"/>
      <c r="D169" s="5124">
        <v>150000000</v>
      </c>
      <c r="E169" s="5116">
        <v>7.0000000000000007E-2</v>
      </c>
      <c r="F169" s="5108">
        <f t="shared" si="16"/>
        <v>10500000.000000002</v>
      </c>
      <c r="G169" s="7564"/>
      <c r="H169" s="7564"/>
      <c r="I169" s="8183"/>
      <c r="J169" s="7564"/>
      <c r="K169" s="7564"/>
      <c r="L169" s="7714"/>
    </row>
    <row r="170" spans="1:12" ht="30" customHeight="1" x14ac:dyDescent="0.2">
      <c r="A170" s="7656"/>
      <c r="B170" s="7665"/>
      <c r="C170" s="7747"/>
      <c r="D170" s="5228">
        <v>50000000</v>
      </c>
      <c r="E170" s="5219">
        <v>7.0000000000000007E-2</v>
      </c>
      <c r="F170" s="5206">
        <f>D170*E170</f>
        <v>3500000.0000000005</v>
      </c>
      <c r="G170" s="7732" t="s">
        <v>6750</v>
      </c>
      <c r="H170" s="7733"/>
      <c r="I170" s="7733"/>
      <c r="J170" s="7734"/>
      <c r="K170" s="233"/>
      <c r="L170" s="8505" t="s">
        <v>6751</v>
      </c>
    </row>
    <row r="171" spans="1:12" ht="30" customHeight="1" x14ac:dyDescent="0.2">
      <c r="A171" s="7655"/>
      <c r="B171" s="7653"/>
      <c r="C171" s="7724"/>
      <c r="D171" s="5228">
        <v>150000000</v>
      </c>
      <c r="E171" s="5219">
        <v>7.0000000000000007E-2</v>
      </c>
      <c r="F171" s="5206">
        <f>D171*E171</f>
        <v>10500000.000000002</v>
      </c>
      <c r="G171" s="7732" t="s">
        <v>6858</v>
      </c>
      <c r="H171" s="7733"/>
      <c r="I171" s="7733"/>
      <c r="J171" s="7734"/>
      <c r="K171" s="233"/>
      <c r="L171" s="7702"/>
    </row>
    <row r="172" spans="1:12" ht="30" customHeight="1" x14ac:dyDescent="0.2">
      <c r="A172" s="4959">
        <v>64</v>
      </c>
      <c r="B172" s="4968" t="s">
        <v>1336</v>
      </c>
      <c r="C172" s="5016" t="s">
        <v>889</v>
      </c>
      <c r="D172" s="4944">
        <v>200000000</v>
      </c>
      <c r="E172" s="5011">
        <v>5.5E-2</v>
      </c>
      <c r="F172" s="4944">
        <f t="shared" si="12"/>
        <v>11000000</v>
      </c>
      <c r="G172" s="4952">
        <v>11000000</v>
      </c>
      <c r="H172" s="4952" t="s">
        <v>6789</v>
      </c>
      <c r="I172" s="5071" t="s">
        <v>6790</v>
      </c>
      <c r="J172" s="4952">
        <f>G172</f>
        <v>11000000</v>
      </c>
      <c r="K172" s="4952">
        <f t="shared" ref="K172:K185" si="17">F172-J172</f>
        <v>0</v>
      </c>
      <c r="L172" s="5048"/>
    </row>
    <row r="173" spans="1:12" ht="30" customHeight="1" x14ac:dyDescent="0.2">
      <c r="A173" s="7654"/>
      <c r="B173" s="7652" t="s">
        <v>4816</v>
      </c>
      <c r="C173" s="7723" t="s">
        <v>262</v>
      </c>
      <c r="D173" s="4944">
        <v>534000000</v>
      </c>
      <c r="E173" s="5011">
        <v>6.2E-2</v>
      </c>
      <c r="F173" s="4944">
        <v>32880000</v>
      </c>
      <c r="G173" s="7563">
        <v>39180000</v>
      </c>
      <c r="H173" s="7563" t="s">
        <v>6932</v>
      </c>
      <c r="I173" s="7561" t="s">
        <v>3501</v>
      </c>
      <c r="J173" s="7563">
        <f>G173</f>
        <v>39180000</v>
      </c>
      <c r="K173" s="7563">
        <f>F178-J173</f>
        <v>0</v>
      </c>
      <c r="L173" s="4981" t="s">
        <v>6111</v>
      </c>
    </row>
    <row r="174" spans="1:12" ht="30" customHeight="1" x14ac:dyDescent="0.2">
      <c r="A174" s="7656"/>
      <c r="B174" s="7665"/>
      <c r="C174" s="7747"/>
      <c r="D174" s="4944">
        <v>20000000</v>
      </c>
      <c r="E174" s="5011">
        <v>7.0000000000000007E-2</v>
      </c>
      <c r="F174" s="4944">
        <f>D174*E174</f>
        <v>1400000.0000000002</v>
      </c>
      <c r="G174" s="7586"/>
      <c r="H174" s="7586"/>
      <c r="I174" s="7672"/>
      <c r="J174" s="7586"/>
      <c r="K174" s="7586"/>
      <c r="L174" s="4981" t="s">
        <v>5855</v>
      </c>
    </row>
    <row r="175" spans="1:12" ht="30" customHeight="1" x14ac:dyDescent="0.2">
      <c r="A175" s="7656"/>
      <c r="B175" s="7665"/>
      <c r="C175" s="7747"/>
      <c r="D175" s="4944">
        <v>30000000</v>
      </c>
      <c r="E175" s="5011">
        <v>7.0000000000000007E-2</v>
      </c>
      <c r="F175" s="4944">
        <f>D175*E175</f>
        <v>2100000</v>
      </c>
      <c r="G175" s="7586"/>
      <c r="H175" s="7586"/>
      <c r="I175" s="7672"/>
      <c r="J175" s="7586"/>
      <c r="K175" s="7586"/>
      <c r="L175" s="4981" t="s">
        <v>5856</v>
      </c>
    </row>
    <row r="176" spans="1:12" ht="30" customHeight="1" x14ac:dyDescent="0.2">
      <c r="A176" s="7656"/>
      <c r="B176" s="7665"/>
      <c r="C176" s="7747"/>
      <c r="D176" s="4944">
        <v>20000000</v>
      </c>
      <c r="E176" s="5011">
        <v>7.0000000000000007E-2</v>
      </c>
      <c r="F176" s="4944">
        <f>D176*E176</f>
        <v>1400000.0000000002</v>
      </c>
      <c r="G176" s="7586"/>
      <c r="H176" s="7586"/>
      <c r="I176" s="7672"/>
      <c r="J176" s="7586"/>
      <c r="K176" s="7586"/>
      <c r="L176" s="4981" t="s">
        <v>5857</v>
      </c>
    </row>
    <row r="177" spans="1:12" ht="30" customHeight="1" x14ac:dyDescent="0.2">
      <c r="A177" s="7656"/>
      <c r="B177" s="7665"/>
      <c r="C177" s="7747"/>
      <c r="D177" s="4944">
        <v>20000000</v>
      </c>
      <c r="E177" s="5011">
        <v>7.0000000000000007E-2</v>
      </c>
      <c r="F177" s="4944">
        <f>D177*E177</f>
        <v>1400000.0000000002</v>
      </c>
      <c r="G177" s="7586"/>
      <c r="H177" s="7586"/>
      <c r="I177" s="7672"/>
      <c r="J177" s="7586"/>
      <c r="K177" s="7586"/>
      <c r="L177" s="4981" t="s">
        <v>5862</v>
      </c>
    </row>
    <row r="178" spans="1:12" ht="30" customHeight="1" x14ac:dyDescent="0.2">
      <c r="A178" s="7656"/>
      <c r="B178" s="7665"/>
      <c r="C178" s="7747"/>
      <c r="D178" s="8026">
        <f>SUM(D173:D177)</f>
        <v>624000000</v>
      </c>
      <c r="E178" s="8028"/>
      <c r="F178" s="8026">
        <f>SUM(F173:F177)</f>
        <v>39180000</v>
      </c>
      <c r="G178" s="7586"/>
      <c r="H178" s="7586"/>
      <c r="I178" s="7672"/>
      <c r="J178" s="7586"/>
      <c r="K178" s="7586"/>
      <c r="L178" s="4981" t="s">
        <v>5858</v>
      </c>
    </row>
    <row r="179" spans="1:12" ht="30" customHeight="1" x14ac:dyDescent="0.2">
      <c r="A179" s="7655"/>
      <c r="B179" s="7653"/>
      <c r="C179" s="7724"/>
      <c r="D179" s="8027"/>
      <c r="E179" s="8029"/>
      <c r="F179" s="8027"/>
      <c r="G179" s="7564"/>
      <c r="H179" s="7564"/>
      <c r="I179" s="7562"/>
      <c r="J179" s="7564"/>
      <c r="K179" s="7564"/>
      <c r="L179" s="4981"/>
    </row>
    <row r="180" spans="1:12" ht="30" customHeight="1" x14ac:dyDescent="0.2">
      <c r="A180" s="4957">
        <v>68</v>
      </c>
      <c r="B180" s="4968" t="s">
        <v>202</v>
      </c>
      <c r="C180" s="5016" t="s">
        <v>1295</v>
      </c>
      <c r="D180" s="4944">
        <v>150000000</v>
      </c>
      <c r="E180" s="5011">
        <v>0.05</v>
      </c>
      <c r="F180" s="4944">
        <f t="shared" si="12"/>
        <v>7500000</v>
      </c>
      <c r="G180" s="4944">
        <v>7500000</v>
      </c>
      <c r="H180" s="4944" t="s">
        <v>6785</v>
      </c>
      <c r="I180" s="5086" t="s">
        <v>3926</v>
      </c>
      <c r="J180" s="4944">
        <f t="shared" ref="J180:J182" si="18">G180</f>
        <v>7500000</v>
      </c>
      <c r="K180" s="4944">
        <f t="shared" si="17"/>
        <v>0</v>
      </c>
      <c r="L180" s="5005"/>
    </row>
    <row r="181" spans="1:12" ht="30" customHeight="1" x14ac:dyDescent="0.2">
      <c r="A181" s="4958"/>
      <c r="B181" s="4955" t="s">
        <v>5399</v>
      </c>
      <c r="C181" s="4992" t="s">
        <v>392</v>
      </c>
      <c r="D181" s="4944">
        <v>450000000</v>
      </c>
      <c r="E181" s="4962">
        <v>7.0000000000000007E-2</v>
      </c>
      <c r="F181" s="4944">
        <f>D181*E181</f>
        <v>31500000.000000004</v>
      </c>
      <c r="G181" s="4950">
        <v>31500000</v>
      </c>
      <c r="H181" s="4950" t="s">
        <v>6785</v>
      </c>
      <c r="I181" s="4997" t="s">
        <v>6224</v>
      </c>
      <c r="J181" s="4950">
        <f>G181</f>
        <v>31500000</v>
      </c>
      <c r="K181" s="4950">
        <f>F181-J181</f>
        <v>0</v>
      </c>
      <c r="L181" s="736" t="s">
        <v>5400</v>
      </c>
    </row>
    <row r="182" spans="1:12" ht="30" customHeight="1" x14ac:dyDescent="0.2">
      <c r="A182" s="7654"/>
      <c r="B182" s="7652" t="s">
        <v>205</v>
      </c>
      <c r="C182" s="7723" t="s">
        <v>889</v>
      </c>
      <c r="D182" s="4952">
        <v>30000000</v>
      </c>
      <c r="E182" s="4962">
        <v>0.05</v>
      </c>
      <c r="F182" s="4952">
        <f t="shared" si="12"/>
        <v>1500000</v>
      </c>
      <c r="G182" s="7563">
        <v>2880000</v>
      </c>
      <c r="H182" s="7563" t="s">
        <v>6789</v>
      </c>
      <c r="I182" s="7563" t="s">
        <v>1407</v>
      </c>
      <c r="J182" s="7563">
        <f t="shared" si="18"/>
        <v>2880000</v>
      </c>
      <c r="K182" s="7563"/>
      <c r="L182" s="4984"/>
    </row>
    <row r="183" spans="1:12" ht="30" customHeight="1" x14ac:dyDescent="0.2">
      <c r="A183" s="7656"/>
      <c r="B183" s="7665"/>
      <c r="C183" s="7747"/>
      <c r="D183" s="4951">
        <v>10000000</v>
      </c>
      <c r="E183" s="4961">
        <v>0.05</v>
      </c>
      <c r="F183" s="4951">
        <f t="shared" si="12"/>
        <v>500000</v>
      </c>
      <c r="G183" s="7586"/>
      <c r="H183" s="7586"/>
      <c r="I183" s="7586"/>
      <c r="J183" s="7586"/>
      <c r="K183" s="7586"/>
      <c r="L183" s="5095" t="s">
        <v>6236</v>
      </c>
    </row>
    <row r="184" spans="1:12" ht="30" customHeight="1" x14ac:dyDescent="0.2">
      <c r="A184" s="7655"/>
      <c r="B184" s="7653"/>
      <c r="C184" s="7724"/>
      <c r="D184" s="4944">
        <v>20000000</v>
      </c>
      <c r="E184" s="5011">
        <v>0.05</v>
      </c>
      <c r="F184" s="4944">
        <f t="shared" si="12"/>
        <v>1000000</v>
      </c>
      <c r="G184" s="7564"/>
      <c r="H184" s="7564"/>
      <c r="I184" s="7564"/>
      <c r="J184" s="7564"/>
      <c r="K184" s="7564"/>
      <c r="L184" s="5095" t="s">
        <v>6376</v>
      </c>
    </row>
    <row r="185" spans="1:12" ht="30" customHeight="1" x14ac:dyDescent="0.2">
      <c r="A185" s="7654">
        <v>72</v>
      </c>
      <c r="B185" s="7703" t="s">
        <v>1023</v>
      </c>
      <c r="C185" s="7723" t="s">
        <v>1718</v>
      </c>
      <c r="D185" s="7563">
        <v>1400000000</v>
      </c>
      <c r="E185" s="7659">
        <v>0.06</v>
      </c>
      <c r="F185" s="7563">
        <f t="shared" si="12"/>
        <v>84000000</v>
      </c>
      <c r="G185" s="4952"/>
      <c r="H185" s="4952"/>
      <c r="I185" s="5071"/>
      <c r="J185" s="7563">
        <f>G185+G186</f>
        <v>0</v>
      </c>
      <c r="K185" s="7563">
        <f t="shared" si="17"/>
        <v>84000000</v>
      </c>
      <c r="L185" s="7798"/>
    </row>
    <row r="186" spans="1:12" ht="30" customHeight="1" x14ac:dyDescent="0.2">
      <c r="A186" s="7656"/>
      <c r="B186" s="7704"/>
      <c r="C186" s="7747"/>
      <c r="D186" s="7564"/>
      <c r="E186" s="7660"/>
      <c r="F186" s="7564"/>
      <c r="G186" s="4952"/>
      <c r="H186" s="4952"/>
      <c r="I186" s="5071"/>
      <c r="J186" s="7564"/>
      <c r="K186" s="7564"/>
      <c r="L186" s="7800"/>
    </row>
    <row r="187" spans="1:12" ht="30" customHeight="1" x14ac:dyDescent="0.2">
      <c r="A187" s="7656"/>
      <c r="B187" s="7704"/>
      <c r="C187" s="7747"/>
      <c r="D187" s="7482" t="s">
        <v>7277</v>
      </c>
      <c r="E187" s="7482"/>
      <c r="F187" s="7482"/>
      <c r="G187" s="4952"/>
      <c r="H187" s="4952"/>
      <c r="I187" s="5071" t="s">
        <v>3067</v>
      </c>
      <c r="J187" s="6126"/>
      <c r="K187" s="6126"/>
      <c r="L187" s="5025"/>
    </row>
    <row r="188" spans="1:12" ht="30" customHeight="1" x14ac:dyDescent="0.2">
      <c r="A188" s="7656"/>
      <c r="B188" s="7704"/>
      <c r="C188" s="7747"/>
      <c r="D188" s="8026">
        <v>900000000</v>
      </c>
      <c r="E188" s="8028">
        <v>0.06</v>
      </c>
      <c r="F188" s="8026">
        <f>D188*E188</f>
        <v>54000000</v>
      </c>
      <c r="G188" s="4952"/>
      <c r="H188" s="4952"/>
      <c r="I188" s="5071" t="s">
        <v>3067</v>
      </c>
      <c r="J188" s="7563">
        <f>G188+G189</f>
        <v>0</v>
      </c>
      <c r="K188" s="7563">
        <f>F188-J188</f>
        <v>54000000</v>
      </c>
      <c r="L188" s="5025"/>
    </row>
    <row r="189" spans="1:12" ht="30" customHeight="1" x14ac:dyDescent="0.2">
      <c r="A189" s="7655"/>
      <c r="B189" s="7705"/>
      <c r="C189" s="7724"/>
      <c r="D189" s="8027"/>
      <c r="E189" s="8029"/>
      <c r="F189" s="8027"/>
      <c r="G189" s="4952"/>
      <c r="H189" s="4952"/>
      <c r="I189" s="5071" t="s">
        <v>3067</v>
      </c>
      <c r="J189" s="7564"/>
      <c r="K189" s="7564"/>
      <c r="L189" s="5025"/>
    </row>
    <row r="190" spans="1:12" ht="30" customHeight="1" x14ac:dyDescent="0.2">
      <c r="A190" s="4959">
        <v>73</v>
      </c>
      <c r="B190" s="4968" t="s">
        <v>206</v>
      </c>
      <c r="C190" s="4990" t="s">
        <v>1293</v>
      </c>
      <c r="D190" s="4952">
        <v>20000000</v>
      </c>
      <c r="E190" s="5011">
        <v>0.05</v>
      </c>
      <c r="F190" s="4952">
        <f t="shared" si="12"/>
        <v>1000000</v>
      </c>
      <c r="G190" s="4952">
        <v>1000000</v>
      </c>
      <c r="H190" s="4952" t="s">
        <v>6792</v>
      </c>
      <c r="I190" s="5071" t="s">
        <v>4899</v>
      </c>
      <c r="J190" s="4952">
        <f>G190</f>
        <v>1000000</v>
      </c>
      <c r="K190" s="4952">
        <f>F190-J190</f>
        <v>0</v>
      </c>
      <c r="L190" s="4968"/>
    </row>
    <row r="191" spans="1:12" ht="30" customHeight="1" x14ac:dyDescent="0.2">
      <c r="A191" s="7654">
        <v>74</v>
      </c>
      <c r="B191" s="7652" t="s">
        <v>4203</v>
      </c>
      <c r="C191" s="7723" t="s">
        <v>2644</v>
      </c>
      <c r="D191" s="4952">
        <v>125000000</v>
      </c>
      <c r="E191" s="5011">
        <v>0.04</v>
      </c>
      <c r="F191" s="4952">
        <f t="shared" si="12"/>
        <v>5000000</v>
      </c>
      <c r="G191" s="7563">
        <v>10000000</v>
      </c>
      <c r="H191" s="7563" t="s">
        <v>6789</v>
      </c>
      <c r="I191" s="7563" t="s">
        <v>3067</v>
      </c>
      <c r="J191" s="7563">
        <f>G191</f>
        <v>10000000</v>
      </c>
      <c r="K191" s="7563">
        <f>(F191+F192+F193)-J191</f>
        <v>0</v>
      </c>
      <c r="L191" s="637"/>
    </row>
    <row r="192" spans="1:12" ht="30" customHeight="1" x14ac:dyDescent="0.2">
      <c r="A192" s="7656"/>
      <c r="B192" s="7665"/>
      <c r="C192" s="7747"/>
      <c r="D192" s="4952">
        <v>90000000</v>
      </c>
      <c r="E192" s="5011">
        <v>0.05</v>
      </c>
      <c r="F192" s="4952">
        <f t="shared" si="12"/>
        <v>4500000</v>
      </c>
      <c r="G192" s="7586"/>
      <c r="H192" s="7586"/>
      <c r="I192" s="7586"/>
      <c r="J192" s="7586"/>
      <c r="K192" s="7586"/>
      <c r="L192" s="180"/>
    </row>
    <row r="193" spans="1:16" ht="30" customHeight="1" x14ac:dyDescent="0.2">
      <c r="A193" s="7655"/>
      <c r="B193" s="7653"/>
      <c r="C193" s="7724"/>
      <c r="D193" s="4952">
        <v>10000000</v>
      </c>
      <c r="E193" s="5011">
        <v>0.05</v>
      </c>
      <c r="F193" s="4952">
        <f t="shared" si="12"/>
        <v>500000</v>
      </c>
      <c r="G193" s="7564"/>
      <c r="H193" s="7564"/>
      <c r="I193" s="7564"/>
      <c r="J193" s="7564"/>
      <c r="K193" s="7564"/>
      <c r="L193" s="29"/>
    </row>
    <row r="194" spans="1:16" ht="30" customHeight="1" x14ac:dyDescent="0.2">
      <c r="A194" s="5014"/>
      <c r="B194" s="4968" t="s">
        <v>4205</v>
      </c>
      <c r="C194" s="4990" t="s">
        <v>262</v>
      </c>
      <c r="D194" s="4952">
        <v>200000000</v>
      </c>
      <c r="E194" s="5011">
        <v>0.05</v>
      </c>
      <c r="F194" s="4952">
        <f t="shared" si="12"/>
        <v>10000000</v>
      </c>
      <c r="G194" s="4952">
        <v>10000000</v>
      </c>
      <c r="H194" s="4952" t="s">
        <v>7080</v>
      </c>
      <c r="I194" s="4999" t="s">
        <v>4461</v>
      </c>
      <c r="J194" s="4952">
        <f>G194</f>
        <v>10000000</v>
      </c>
      <c r="K194" s="4952">
        <f>F194-J194</f>
        <v>0</v>
      </c>
      <c r="L194" s="736"/>
    </row>
    <row r="195" spans="1:16" ht="30" customHeight="1" x14ac:dyDescent="0.2">
      <c r="A195" s="4957"/>
      <c r="B195" s="4968" t="s">
        <v>208</v>
      </c>
      <c r="C195" s="4990" t="s">
        <v>392</v>
      </c>
      <c r="D195" s="4952">
        <v>50000000</v>
      </c>
      <c r="E195" s="5011">
        <v>0.05</v>
      </c>
      <c r="F195" s="4952">
        <f t="shared" si="12"/>
        <v>2500000</v>
      </c>
      <c r="G195" s="4952">
        <v>2500000</v>
      </c>
      <c r="H195" s="4952" t="s">
        <v>6789</v>
      </c>
      <c r="I195" s="4999" t="s">
        <v>5417</v>
      </c>
      <c r="J195" s="4952">
        <f>G195</f>
        <v>2500000</v>
      </c>
      <c r="K195" s="4952">
        <f>F195-J195</f>
        <v>0</v>
      </c>
      <c r="L195" s="180"/>
    </row>
    <row r="196" spans="1:16" ht="30" customHeight="1" x14ac:dyDescent="0.2">
      <c r="A196" s="7654">
        <v>77</v>
      </c>
      <c r="B196" s="7652" t="s">
        <v>210</v>
      </c>
      <c r="C196" s="7723" t="s">
        <v>392</v>
      </c>
      <c r="D196" s="4952">
        <v>30000000</v>
      </c>
      <c r="E196" s="5011">
        <v>7.0000000000000007E-2</v>
      </c>
      <c r="F196" s="4952">
        <f t="shared" si="12"/>
        <v>2100000</v>
      </c>
      <c r="G196" s="7563">
        <v>4610000</v>
      </c>
      <c r="H196" s="7563" t="s">
        <v>6785</v>
      </c>
      <c r="I196" s="7561" t="s">
        <v>4871</v>
      </c>
      <c r="J196" s="7563">
        <f>G196</f>
        <v>4610000</v>
      </c>
      <c r="K196" s="7563"/>
      <c r="L196" s="7713"/>
    </row>
    <row r="197" spans="1:16" ht="30" customHeight="1" x14ac:dyDescent="0.2">
      <c r="A197" s="7656"/>
      <c r="B197" s="7665"/>
      <c r="C197" s="7747"/>
      <c r="D197" s="4952">
        <v>35000000</v>
      </c>
      <c r="E197" s="5011">
        <v>4.4999999999999998E-2</v>
      </c>
      <c r="F197" s="4952">
        <f t="shared" si="12"/>
        <v>1575000</v>
      </c>
      <c r="G197" s="7586"/>
      <c r="H197" s="7586"/>
      <c r="I197" s="7672"/>
      <c r="J197" s="7586"/>
      <c r="K197" s="7586"/>
      <c r="L197" s="7714"/>
    </row>
    <row r="198" spans="1:16" ht="30" customHeight="1" x14ac:dyDescent="0.2">
      <c r="A198" s="7656"/>
      <c r="B198" s="7665"/>
      <c r="C198" s="7747"/>
      <c r="D198" s="7563">
        <v>60000000</v>
      </c>
      <c r="E198" s="7659">
        <v>5.5E-2</v>
      </c>
      <c r="F198" s="7563">
        <f t="shared" si="12"/>
        <v>3300000</v>
      </c>
      <c r="G198" s="7586"/>
      <c r="H198" s="7586"/>
      <c r="I198" s="7672"/>
      <c r="J198" s="7586"/>
      <c r="K198" s="7586"/>
      <c r="L198" s="5023" t="s">
        <v>6766</v>
      </c>
    </row>
    <row r="199" spans="1:16" ht="30" customHeight="1" x14ac:dyDescent="0.2">
      <c r="A199" s="7656"/>
      <c r="B199" s="7665"/>
      <c r="C199" s="7747"/>
      <c r="D199" s="7586"/>
      <c r="E199" s="7676"/>
      <c r="F199" s="7586"/>
      <c r="G199" s="7586"/>
      <c r="H199" s="7586"/>
      <c r="I199" s="7672"/>
      <c r="J199" s="7586"/>
      <c r="K199" s="7586"/>
      <c r="L199" s="5098" t="s">
        <v>6642</v>
      </c>
    </row>
    <row r="200" spans="1:16" ht="30" customHeight="1" x14ac:dyDescent="0.2">
      <c r="A200" s="7656"/>
      <c r="B200" s="7665"/>
      <c r="C200" s="7747"/>
      <c r="D200" s="7586"/>
      <c r="E200" s="7676"/>
      <c r="F200" s="7586"/>
      <c r="G200" s="7586"/>
      <c r="H200" s="7586"/>
      <c r="I200" s="7672"/>
      <c r="J200" s="7586"/>
      <c r="K200" s="7586"/>
      <c r="L200" s="5098" t="s">
        <v>6640</v>
      </c>
    </row>
    <row r="201" spans="1:16" ht="30" customHeight="1" x14ac:dyDescent="0.2">
      <c r="A201" s="7656"/>
      <c r="B201" s="7665"/>
      <c r="C201" s="7747"/>
      <c r="D201" s="7586"/>
      <c r="E201" s="7676"/>
      <c r="F201" s="7586"/>
      <c r="G201" s="7564"/>
      <c r="H201" s="7564"/>
      <c r="I201" s="7562"/>
      <c r="J201" s="7564"/>
      <c r="K201" s="7564"/>
      <c r="L201" s="5098" t="s">
        <v>6641</v>
      </c>
    </row>
    <row r="202" spans="1:16" ht="30" customHeight="1" x14ac:dyDescent="0.2">
      <c r="A202" s="7655"/>
      <c r="B202" s="7653"/>
      <c r="C202" s="7724"/>
      <c r="D202" s="7564"/>
      <c r="E202" s="7660"/>
      <c r="F202" s="7564"/>
      <c r="G202" s="5207"/>
      <c r="H202" s="5207"/>
      <c r="I202" s="5208"/>
      <c r="J202" s="5207"/>
      <c r="K202" s="5207"/>
      <c r="L202" s="5218" t="s">
        <v>7211</v>
      </c>
    </row>
    <row r="203" spans="1:16" ht="30" customHeight="1" x14ac:dyDescent="0.2">
      <c r="A203" s="5014">
        <v>78</v>
      </c>
      <c r="B203" s="4968" t="s">
        <v>211</v>
      </c>
      <c r="C203" s="4990" t="s">
        <v>2644</v>
      </c>
      <c r="D203" s="4952">
        <v>45000000</v>
      </c>
      <c r="E203" s="5011">
        <v>4.2000000000000003E-2</v>
      </c>
      <c r="F203" s="4952">
        <v>1900000</v>
      </c>
      <c r="G203" s="4952">
        <v>1900000</v>
      </c>
      <c r="H203" s="4952" t="s">
        <v>6785</v>
      </c>
      <c r="I203" s="5036" t="s">
        <v>1259</v>
      </c>
      <c r="J203" s="4952">
        <f t="shared" ref="J203:J208" si="19">G203</f>
        <v>1900000</v>
      </c>
      <c r="K203" s="4952">
        <f t="shared" ref="K203:K207" si="20">F203-J203</f>
        <v>0</v>
      </c>
      <c r="L203" s="4968"/>
    </row>
    <row r="204" spans="1:16" ht="30" customHeight="1" x14ac:dyDescent="0.2">
      <c r="A204" s="5117">
        <v>80</v>
      </c>
      <c r="B204" s="5114" t="s">
        <v>182</v>
      </c>
      <c r="C204" s="5118" t="s">
        <v>1293</v>
      </c>
      <c r="D204" s="4952">
        <v>100000000</v>
      </c>
      <c r="E204" s="5011">
        <v>0.05</v>
      </c>
      <c r="F204" s="4952">
        <f>D204*E204</f>
        <v>5000000</v>
      </c>
      <c r="G204" s="4952">
        <v>5000000</v>
      </c>
      <c r="H204" s="4952" t="s">
        <v>6785</v>
      </c>
      <c r="I204" s="4944" t="s">
        <v>3928</v>
      </c>
      <c r="J204" s="4952">
        <f t="shared" si="19"/>
        <v>5000000</v>
      </c>
      <c r="K204" s="4952">
        <f t="shared" si="20"/>
        <v>0</v>
      </c>
      <c r="L204" s="5023" t="s">
        <v>6767</v>
      </c>
      <c r="M204" s="366"/>
      <c r="N204" s="366"/>
      <c r="O204" s="366"/>
      <c r="P204" s="366"/>
    </row>
    <row r="205" spans="1:16" ht="30" customHeight="1" x14ac:dyDescent="0.2">
      <c r="A205" s="5014">
        <v>81</v>
      </c>
      <c r="B205" s="4968" t="s">
        <v>213</v>
      </c>
      <c r="C205" s="4990" t="s">
        <v>392</v>
      </c>
      <c r="D205" s="4952">
        <v>5000000</v>
      </c>
      <c r="E205" s="5011">
        <v>0.04</v>
      </c>
      <c r="F205" s="4952">
        <f t="shared" si="12"/>
        <v>200000</v>
      </c>
      <c r="G205" s="4952">
        <v>200000</v>
      </c>
      <c r="H205" s="4952" t="s">
        <v>6785</v>
      </c>
      <c r="I205" s="5071" t="s">
        <v>1363</v>
      </c>
      <c r="J205" s="4952">
        <f t="shared" si="19"/>
        <v>200000</v>
      </c>
      <c r="K205" s="4952">
        <f t="shared" si="20"/>
        <v>0</v>
      </c>
      <c r="L205" s="4968"/>
      <c r="M205" s="366"/>
      <c r="N205" s="366"/>
      <c r="O205" s="366"/>
      <c r="P205" s="366"/>
    </row>
    <row r="206" spans="1:16" ht="30" customHeight="1" x14ac:dyDescent="0.2">
      <c r="A206" s="5102">
        <v>83</v>
      </c>
      <c r="B206" s="5093" t="s">
        <v>215</v>
      </c>
      <c r="C206" s="5101" t="s">
        <v>889</v>
      </c>
      <c r="D206" s="5089">
        <v>160000000</v>
      </c>
      <c r="E206" s="5100">
        <v>0.05</v>
      </c>
      <c r="F206" s="5089">
        <f>D206*E206</f>
        <v>8000000</v>
      </c>
      <c r="G206" s="5089">
        <v>8000000</v>
      </c>
      <c r="H206" s="5089" t="s">
        <v>3788</v>
      </c>
      <c r="I206" s="5089" t="s">
        <v>3982</v>
      </c>
      <c r="J206" s="5089">
        <f t="shared" si="19"/>
        <v>8000000</v>
      </c>
      <c r="K206" s="5089">
        <f t="shared" si="20"/>
        <v>0</v>
      </c>
      <c r="L206" s="29"/>
      <c r="M206" s="366"/>
      <c r="N206" s="366"/>
      <c r="O206" s="366"/>
      <c r="P206" s="366"/>
    </row>
    <row r="207" spans="1:16" ht="30" customHeight="1" x14ac:dyDescent="0.2">
      <c r="A207" s="5014">
        <v>84</v>
      </c>
      <c r="B207" s="4968" t="s">
        <v>216</v>
      </c>
      <c r="C207" s="4990"/>
      <c r="D207" s="4952">
        <v>400000000</v>
      </c>
      <c r="E207" s="5011">
        <v>6.0999999999999999E-2</v>
      </c>
      <c r="F207" s="4952">
        <f t="shared" si="12"/>
        <v>24400000</v>
      </c>
      <c r="G207" s="4952">
        <v>24400000</v>
      </c>
      <c r="H207" s="4952" t="s">
        <v>6793</v>
      </c>
      <c r="I207" s="5036" t="s">
        <v>1553</v>
      </c>
      <c r="J207" s="4952">
        <f t="shared" si="19"/>
        <v>24400000</v>
      </c>
      <c r="K207" s="4952">
        <f t="shared" si="20"/>
        <v>0</v>
      </c>
      <c r="L207" s="4968"/>
      <c r="M207" s="366"/>
      <c r="N207" s="366"/>
      <c r="O207" s="366"/>
      <c r="P207" s="366"/>
    </row>
    <row r="208" spans="1:16" ht="30" customHeight="1" x14ac:dyDescent="0.2">
      <c r="A208" s="7654"/>
      <c r="B208" s="7652" t="s">
        <v>975</v>
      </c>
      <c r="C208" s="7723" t="s">
        <v>889</v>
      </c>
      <c r="D208" s="4944">
        <v>850000000</v>
      </c>
      <c r="E208" s="5011">
        <v>0.06</v>
      </c>
      <c r="F208" s="4944">
        <v>52400000</v>
      </c>
      <c r="G208" s="4944"/>
      <c r="H208" s="4944"/>
      <c r="I208" s="4944" t="s">
        <v>4150</v>
      </c>
      <c r="J208" s="4944">
        <f t="shared" si="19"/>
        <v>0</v>
      </c>
      <c r="K208" s="4944">
        <f>F208-J208</f>
        <v>52400000</v>
      </c>
      <c r="L208" s="4989"/>
      <c r="M208" s="366"/>
      <c r="N208" s="366"/>
      <c r="O208" s="366"/>
      <c r="P208" s="366"/>
    </row>
    <row r="209" spans="1:16" ht="30" customHeight="1" x14ac:dyDescent="0.2">
      <c r="A209" s="7656"/>
      <c r="B209" s="7665"/>
      <c r="C209" s="7747"/>
      <c r="D209" s="4944">
        <v>90000000</v>
      </c>
      <c r="E209" s="5011">
        <v>0.06</v>
      </c>
      <c r="F209" s="4944">
        <f>D209*E209</f>
        <v>5400000</v>
      </c>
      <c r="G209" s="7470"/>
      <c r="H209" s="7493"/>
      <c r="I209" s="7493"/>
      <c r="J209" s="7510"/>
      <c r="K209" s="4944"/>
      <c r="L209" s="5023" t="s">
        <v>5405</v>
      </c>
      <c r="M209" s="366"/>
      <c r="N209" s="366"/>
      <c r="O209" s="366"/>
      <c r="P209" s="366"/>
    </row>
    <row r="210" spans="1:16" ht="30" customHeight="1" x14ac:dyDescent="0.2">
      <c r="A210" s="7656"/>
      <c r="B210" s="7665"/>
      <c r="C210" s="7747"/>
      <c r="D210" s="4949">
        <v>940000000</v>
      </c>
      <c r="E210" s="5083">
        <f>F210/D210</f>
        <v>6.1489361702127661E-2</v>
      </c>
      <c r="F210" s="4949">
        <f>SUM(F208:F209)</f>
        <v>57800000</v>
      </c>
      <c r="G210" s="7732"/>
      <c r="H210" s="7733"/>
      <c r="I210" s="7733"/>
      <c r="J210" s="7734"/>
      <c r="K210" s="4944"/>
      <c r="L210" s="5023" t="s">
        <v>6205</v>
      </c>
      <c r="M210" s="366"/>
      <c r="N210" s="366"/>
      <c r="O210" s="366"/>
      <c r="P210" s="366"/>
    </row>
    <row r="211" spans="1:16" ht="30" customHeight="1" x14ac:dyDescent="0.2">
      <c r="A211" s="7656"/>
      <c r="B211" s="7665"/>
      <c r="C211" s="7747"/>
      <c r="D211" s="4944">
        <v>57800000</v>
      </c>
      <c r="E211" s="5011"/>
      <c r="F211" s="4944"/>
      <c r="G211" s="4976"/>
      <c r="H211" s="4977"/>
      <c r="I211" s="4977"/>
      <c r="J211" s="4978"/>
      <c r="K211" s="4944"/>
      <c r="L211" s="735" t="s">
        <v>6206</v>
      </c>
      <c r="M211" s="366"/>
      <c r="N211" s="366"/>
      <c r="O211" s="366"/>
      <c r="P211" s="366"/>
    </row>
    <row r="212" spans="1:16" ht="30" customHeight="1" x14ac:dyDescent="0.2">
      <c r="A212" s="7656"/>
      <c r="B212" s="7665"/>
      <c r="C212" s="7747"/>
      <c r="D212" s="4944">
        <v>40000000</v>
      </c>
      <c r="E212" s="5011"/>
      <c r="F212" s="4944"/>
      <c r="G212" s="4976"/>
      <c r="H212" s="4977"/>
      <c r="I212" s="4977"/>
      <c r="J212" s="4978"/>
      <c r="K212" s="4944"/>
      <c r="L212" s="378" t="s">
        <v>6218</v>
      </c>
      <c r="M212" s="366"/>
      <c r="N212" s="366"/>
      <c r="O212" s="366"/>
      <c r="P212" s="366"/>
    </row>
    <row r="213" spans="1:16" ht="30" customHeight="1" x14ac:dyDescent="0.2">
      <c r="A213" s="7656"/>
      <c r="B213" s="7665"/>
      <c r="C213" s="7747"/>
      <c r="D213" s="4944">
        <v>14200000</v>
      </c>
      <c r="E213" s="5011"/>
      <c r="F213" s="4944"/>
      <c r="G213" s="4976"/>
      <c r="H213" s="4977"/>
      <c r="I213" s="4977"/>
      <c r="J213" s="4978"/>
      <c r="K213" s="4944"/>
      <c r="L213" s="735" t="s">
        <v>6207</v>
      </c>
      <c r="M213" s="366"/>
      <c r="N213" s="366"/>
      <c r="O213" s="366"/>
      <c r="P213" s="366"/>
    </row>
    <row r="214" spans="1:16" ht="30" customHeight="1" x14ac:dyDescent="0.2">
      <c r="A214" s="7656"/>
      <c r="B214" s="7665"/>
      <c r="C214" s="7747"/>
      <c r="D214" s="4944">
        <v>28000000</v>
      </c>
      <c r="E214" s="5011"/>
      <c r="F214" s="4944"/>
      <c r="G214" s="4976"/>
      <c r="H214" s="4977"/>
      <c r="I214" s="4977"/>
      <c r="J214" s="4978"/>
      <c r="K214" s="4944"/>
      <c r="L214" s="5023" t="s">
        <v>6204</v>
      </c>
      <c r="M214" s="366"/>
      <c r="N214" s="366"/>
      <c r="O214" s="366"/>
      <c r="P214" s="366"/>
    </row>
    <row r="215" spans="1:16" ht="30" customHeight="1" x14ac:dyDescent="0.2">
      <c r="A215" s="7655"/>
      <c r="B215" s="7653"/>
      <c r="C215" s="7724"/>
      <c r="D215" s="4949">
        <v>1080000000</v>
      </c>
      <c r="E215" s="5083">
        <v>7.0000000000000007E-2</v>
      </c>
      <c r="F215" s="4949">
        <f>D215*E215</f>
        <v>75600000</v>
      </c>
      <c r="G215" s="5158">
        <v>75600000</v>
      </c>
      <c r="H215" s="5158" t="s">
        <v>6800</v>
      </c>
      <c r="I215" s="5158" t="s">
        <v>2540</v>
      </c>
      <c r="J215" s="5158">
        <f>G215</f>
        <v>75600000</v>
      </c>
      <c r="K215" s="4944">
        <f>F215-J215</f>
        <v>0</v>
      </c>
      <c r="L215" s="5023"/>
      <c r="M215" s="366"/>
      <c r="N215" s="366"/>
      <c r="O215" s="366"/>
      <c r="P215" s="366"/>
    </row>
    <row r="216" spans="1:16" ht="30" customHeight="1" x14ac:dyDescent="0.2">
      <c r="A216" s="7654">
        <v>86</v>
      </c>
      <c r="B216" s="7652" t="s">
        <v>217</v>
      </c>
      <c r="C216" s="7723" t="s">
        <v>889</v>
      </c>
      <c r="D216" s="4944">
        <v>134000000</v>
      </c>
      <c r="E216" s="5011">
        <v>0.05</v>
      </c>
      <c r="F216" s="4944">
        <f t="shared" ref="F216" si="21">D216*E216</f>
        <v>6700000</v>
      </c>
      <c r="G216" s="4944">
        <v>4700000</v>
      </c>
      <c r="H216" s="4944" t="s">
        <v>6785</v>
      </c>
      <c r="I216" s="4944" t="s">
        <v>3971</v>
      </c>
      <c r="J216" s="4944">
        <f>G216</f>
        <v>4700000</v>
      </c>
      <c r="K216" s="4944"/>
      <c r="L216" s="180"/>
      <c r="M216" s="366"/>
      <c r="N216" s="366"/>
      <c r="O216" s="366"/>
      <c r="P216" s="366"/>
    </row>
    <row r="217" spans="1:16" ht="30" customHeight="1" x14ac:dyDescent="0.2">
      <c r="A217" s="7656"/>
      <c r="B217" s="7665"/>
      <c r="C217" s="7747"/>
      <c r="D217" s="4952">
        <v>2000000</v>
      </c>
      <c r="E217" s="4962">
        <v>0.05</v>
      </c>
      <c r="F217" s="4952">
        <f>D217*E217</f>
        <v>100000</v>
      </c>
      <c r="G217" s="7732" t="s">
        <v>6778</v>
      </c>
      <c r="H217" s="7733"/>
      <c r="I217" s="7733"/>
      <c r="J217" s="7734"/>
      <c r="K217" s="4944"/>
      <c r="L217" s="3023"/>
      <c r="M217" s="366"/>
      <c r="N217" s="366"/>
      <c r="O217" s="366"/>
      <c r="P217" s="366"/>
    </row>
    <row r="218" spans="1:16" ht="30" customHeight="1" x14ac:dyDescent="0.2">
      <c r="A218" s="7655"/>
      <c r="B218" s="7653"/>
      <c r="C218" s="7724"/>
      <c r="D218" s="5131">
        <f>D216+D217</f>
        <v>136000000</v>
      </c>
      <c r="E218" s="5132">
        <v>0.05</v>
      </c>
      <c r="F218" s="5131">
        <f>D218*E218</f>
        <v>6800000</v>
      </c>
      <c r="G218" s="7732" t="s">
        <v>6787</v>
      </c>
      <c r="H218" s="7733"/>
      <c r="I218" s="7733"/>
      <c r="J218" s="7734"/>
      <c r="K218" s="5129"/>
      <c r="L218" s="3023"/>
      <c r="M218" s="366"/>
      <c r="N218" s="366"/>
      <c r="O218" s="366"/>
      <c r="P218" s="366"/>
    </row>
    <row r="219" spans="1:16" ht="30" customHeight="1" x14ac:dyDescent="0.2">
      <c r="A219" s="7654"/>
      <c r="B219" s="7652" t="s">
        <v>174</v>
      </c>
      <c r="C219" s="7723" t="s">
        <v>889</v>
      </c>
      <c r="D219" s="7563">
        <v>793000000</v>
      </c>
      <c r="E219" s="7659">
        <v>6.6000000000000003E-2</v>
      </c>
      <c r="F219" s="7563">
        <v>52300000</v>
      </c>
      <c r="G219" s="5138">
        <v>42300000</v>
      </c>
      <c r="H219" s="4944" t="s">
        <v>6789</v>
      </c>
      <c r="I219" s="4944" t="s">
        <v>3061</v>
      </c>
      <c r="J219" s="7563">
        <f>G219+G220</f>
        <v>52300000</v>
      </c>
      <c r="K219" s="7563">
        <f>F219-J219</f>
        <v>0</v>
      </c>
      <c r="L219" s="5015"/>
      <c r="M219" s="2927"/>
      <c r="N219" s="2927"/>
      <c r="O219" s="2927"/>
      <c r="P219" s="2299"/>
    </row>
    <row r="220" spans="1:16" ht="30" customHeight="1" x14ac:dyDescent="0.2">
      <c r="A220" s="7656"/>
      <c r="B220" s="7665"/>
      <c r="C220" s="7747"/>
      <c r="D220" s="7564"/>
      <c r="E220" s="7660"/>
      <c r="F220" s="7564"/>
      <c r="G220" s="5138">
        <v>10000000</v>
      </c>
      <c r="H220" s="5140" t="s">
        <v>6789</v>
      </c>
      <c r="I220" s="5138" t="s">
        <v>3061</v>
      </c>
      <c r="J220" s="7564"/>
      <c r="K220" s="7564"/>
      <c r="L220" s="5142"/>
      <c r="M220" s="5147"/>
      <c r="N220" s="5147"/>
      <c r="O220" s="5147"/>
      <c r="P220" s="5147"/>
    </row>
    <row r="221" spans="1:16" ht="30" customHeight="1" x14ac:dyDescent="0.2">
      <c r="A221" s="7656"/>
      <c r="B221" s="7665"/>
      <c r="C221" s="7747"/>
      <c r="D221" s="7563">
        <v>80000000</v>
      </c>
      <c r="E221" s="7659">
        <v>7.0000000000000007E-2</v>
      </c>
      <c r="F221" s="7563">
        <f>D221*E221</f>
        <v>5600000.0000000009</v>
      </c>
      <c r="G221" s="7991" t="s">
        <v>7207</v>
      </c>
      <c r="H221" s="7992"/>
      <c r="I221" s="7992"/>
      <c r="J221" s="7993"/>
      <c r="K221" s="5499"/>
      <c r="L221" s="7991" t="s">
        <v>7206</v>
      </c>
      <c r="M221" s="5147"/>
      <c r="N221" s="5147"/>
      <c r="O221" s="5147"/>
      <c r="P221" s="5147"/>
    </row>
    <row r="222" spans="1:16" ht="30" customHeight="1" x14ac:dyDescent="0.2">
      <c r="A222" s="7655"/>
      <c r="B222" s="7653"/>
      <c r="C222" s="7724"/>
      <c r="D222" s="7564"/>
      <c r="E222" s="7660"/>
      <c r="F222" s="7564"/>
      <c r="G222" s="7997" t="s">
        <v>7204</v>
      </c>
      <c r="H222" s="7998"/>
      <c r="I222" s="7998"/>
      <c r="J222" s="7999"/>
      <c r="K222" s="5499"/>
      <c r="L222" s="7997"/>
      <c r="M222" s="5147"/>
      <c r="N222" s="5147"/>
      <c r="O222" s="5147"/>
      <c r="P222" s="5147"/>
    </row>
    <row r="223" spans="1:16" ht="30" customHeight="1" x14ac:dyDescent="0.2">
      <c r="A223" s="7654"/>
      <c r="B223" s="7652" t="s">
        <v>6035</v>
      </c>
      <c r="C223" s="7723" t="s">
        <v>1796</v>
      </c>
      <c r="D223" s="7563">
        <v>80000000</v>
      </c>
      <c r="E223" s="7659">
        <v>0.06</v>
      </c>
      <c r="F223" s="7563">
        <f>D223*E223</f>
        <v>4800000</v>
      </c>
      <c r="G223" s="7732" t="s">
        <v>7205</v>
      </c>
      <c r="H223" s="7733"/>
      <c r="I223" s="7733"/>
      <c r="J223" s="7734"/>
      <c r="K223" s="6124"/>
      <c r="L223" s="6156" t="s">
        <v>7203</v>
      </c>
      <c r="M223" s="5147"/>
      <c r="N223" s="5147"/>
      <c r="O223" s="5147"/>
      <c r="P223" s="5147"/>
    </row>
    <row r="224" spans="1:16" ht="30" customHeight="1" x14ac:dyDescent="0.2">
      <c r="A224" s="7656"/>
      <c r="B224" s="7665"/>
      <c r="C224" s="7724"/>
      <c r="D224" s="7564"/>
      <c r="E224" s="7660"/>
      <c r="F224" s="7564"/>
      <c r="G224" s="7732" t="s">
        <v>7621</v>
      </c>
      <c r="H224" s="7733"/>
      <c r="I224" s="7733"/>
      <c r="J224" s="7734"/>
      <c r="K224" s="6128"/>
      <c r="L224" s="6150"/>
      <c r="M224" s="5147"/>
      <c r="N224" s="5147"/>
      <c r="O224" s="5147"/>
      <c r="P224" s="5147"/>
    </row>
    <row r="225" spans="1:16" ht="30" customHeight="1" x14ac:dyDescent="0.2">
      <c r="A225" s="7655"/>
      <c r="B225" s="7653"/>
      <c r="C225" s="6164" t="s">
        <v>942</v>
      </c>
      <c r="D225" s="6157">
        <v>80000000</v>
      </c>
      <c r="E225" s="6158">
        <v>5.5E-2</v>
      </c>
      <c r="F225" s="6157">
        <f>D225*E225</f>
        <v>4400000</v>
      </c>
      <c r="G225" s="6136"/>
      <c r="H225" s="6137"/>
      <c r="I225" s="6137"/>
      <c r="J225" s="6138"/>
      <c r="K225" s="6128"/>
      <c r="L225" s="6150"/>
      <c r="M225" s="5147"/>
      <c r="N225" s="5147"/>
      <c r="O225" s="5147"/>
      <c r="P225" s="5147"/>
    </row>
    <row r="226" spans="1:16" ht="30" customHeight="1" x14ac:dyDescent="0.2">
      <c r="A226" s="5501"/>
      <c r="B226" s="5506" t="s">
        <v>7201</v>
      </c>
      <c r="C226" s="5513"/>
      <c r="D226" s="5497">
        <v>10000000</v>
      </c>
      <c r="E226" s="5517">
        <v>0.08</v>
      </c>
      <c r="F226" s="5497">
        <f>D226*E226</f>
        <v>800000</v>
      </c>
      <c r="G226" s="5497"/>
      <c r="H226" s="5497"/>
      <c r="I226" s="5497"/>
      <c r="J226" s="5497"/>
      <c r="K226" s="5497"/>
      <c r="L226" s="5521" t="s">
        <v>7202</v>
      </c>
      <c r="M226" s="5147"/>
      <c r="N226" s="5147"/>
      <c r="O226" s="5147"/>
      <c r="P226" s="5147"/>
    </row>
    <row r="227" spans="1:16" ht="30" customHeight="1" x14ac:dyDescent="0.2">
      <c r="A227" s="5014">
        <v>88</v>
      </c>
      <c r="B227" s="4968" t="s">
        <v>218</v>
      </c>
      <c r="C227" s="4990" t="s">
        <v>1295</v>
      </c>
      <c r="D227" s="4952">
        <v>100000000</v>
      </c>
      <c r="E227" s="5011">
        <v>0.06</v>
      </c>
      <c r="F227" s="4952">
        <f>D227*E227</f>
        <v>6000000</v>
      </c>
      <c r="G227" s="4952">
        <v>6000000</v>
      </c>
      <c r="H227" s="4952" t="s">
        <v>6773</v>
      </c>
      <c r="I227" s="18" t="s">
        <v>4866</v>
      </c>
      <c r="J227" s="4952">
        <f>G227</f>
        <v>6000000</v>
      </c>
      <c r="K227" s="4952">
        <f>F227-J227</f>
        <v>0</v>
      </c>
      <c r="L227" s="4968"/>
      <c r="M227" s="366"/>
      <c r="N227" s="366"/>
      <c r="O227" s="366"/>
      <c r="P227" s="366"/>
    </row>
    <row r="228" spans="1:16" ht="30" customHeight="1" x14ac:dyDescent="0.2">
      <c r="A228" s="7654">
        <v>89</v>
      </c>
      <c r="B228" s="7652" t="s">
        <v>219</v>
      </c>
      <c r="C228" s="7723" t="s">
        <v>1293</v>
      </c>
      <c r="D228" s="4944">
        <v>93000000</v>
      </c>
      <c r="E228" s="5011">
        <v>7.0000000000000007E-2</v>
      </c>
      <c r="F228" s="4944">
        <v>6500000</v>
      </c>
      <c r="G228" s="7924">
        <v>40200000</v>
      </c>
      <c r="H228" s="7924" t="s">
        <v>6785</v>
      </c>
      <c r="I228" s="7924" t="s">
        <v>2666</v>
      </c>
      <c r="J228" s="7924">
        <f>G228</f>
        <v>40200000</v>
      </c>
      <c r="K228" s="7563">
        <f>F233-J228</f>
        <v>0</v>
      </c>
      <c r="L228" s="29"/>
      <c r="M228" s="366"/>
      <c r="N228" s="366"/>
      <c r="O228" s="366"/>
      <c r="P228" s="366"/>
    </row>
    <row r="229" spans="1:16" ht="30" customHeight="1" x14ac:dyDescent="0.2">
      <c r="A229" s="7656"/>
      <c r="B229" s="7665"/>
      <c r="C229" s="7747"/>
      <c r="D229" s="4944">
        <v>450000000</v>
      </c>
      <c r="E229" s="5011">
        <v>5.1999999999999998E-2</v>
      </c>
      <c r="F229" s="4952">
        <v>23500000</v>
      </c>
      <c r="G229" s="8234"/>
      <c r="H229" s="8234"/>
      <c r="I229" s="8234"/>
      <c r="J229" s="8234"/>
      <c r="K229" s="7586"/>
      <c r="L229" s="29" t="s">
        <v>6003</v>
      </c>
      <c r="M229" s="366"/>
      <c r="N229" s="366"/>
      <c r="O229" s="366"/>
      <c r="P229" s="366"/>
    </row>
    <row r="230" spans="1:16" ht="30" customHeight="1" x14ac:dyDescent="0.2">
      <c r="A230" s="7656"/>
      <c r="B230" s="7665"/>
      <c r="C230" s="7747"/>
      <c r="D230" s="7470" t="s">
        <v>5866</v>
      </c>
      <c r="E230" s="7510"/>
      <c r="F230" s="4952">
        <v>1200000</v>
      </c>
      <c r="G230" s="8234"/>
      <c r="H230" s="8234"/>
      <c r="I230" s="8234"/>
      <c r="J230" s="8234"/>
      <c r="K230" s="7586"/>
      <c r="L230" s="29" t="s">
        <v>6004</v>
      </c>
      <c r="M230" s="366"/>
      <c r="N230" s="366"/>
      <c r="O230" s="366"/>
      <c r="P230" s="366"/>
    </row>
    <row r="231" spans="1:16" ht="30" customHeight="1" x14ac:dyDescent="0.2">
      <c r="A231" s="7656"/>
      <c r="B231" s="7665"/>
      <c r="C231" s="7747"/>
      <c r="D231" s="4952">
        <v>100000000</v>
      </c>
      <c r="E231" s="5011">
        <v>0.06</v>
      </c>
      <c r="F231" s="4952">
        <f>D231*E231</f>
        <v>6000000</v>
      </c>
      <c r="G231" s="8234"/>
      <c r="H231" s="8234"/>
      <c r="I231" s="8234"/>
      <c r="J231" s="8234"/>
      <c r="K231" s="7586"/>
      <c r="L231" s="29"/>
      <c r="M231" s="366"/>
      <c r="N231" s="366"/>
      <c r="O231" s="366"/>
      <c r="P231" s="366"/>
    </row>
    <row r="232" spans="1:16" ht="30" customHeight="1" x14ac:dyDescent="0.2">
      <c r="A232" s="7656"/>
      <c r="B232" s="7665"/>
      <c r="C232" s="7747"/>
      <c r="D232" s="4952">
        <v>50000000</v>
      </c>
      <c r="E232" s="5011">
        <v>0.06</v>
      </c>
      <c r="F232" s="4952">
        <f>D232*E232</f>
        <v>3000000</v>
      </c>
      <c r="G232" s="8234"/>
      <c r="H232" s="8234"/>
      <c r="I232" s="8234"/>
      <c r="J232" s="8234"/>
      <c r="K232" s="7586"/>
      <c r="L232" s="180"/>
      <c r="M232" s="366"/>
      <c r="N232" s="366"/>
      <c r="O232" s="366"/>
      <c r="P232" s="366"/>
    </row>
    <row r="233" spans="1:16" ht="30" customHeight="1" x14ac:dyDescent="0.2">
      <c r="A233" s="7655"/>
      <c r="B233" s="7653"/>
      <c r="C233" s="7724"/>
      <c r="D233" s="5057">
        <f>D228+D229+D231+D232</f>
        <v>693000000</v>
      </c>
      <c r="E233" s="896"/>
      <c r="F233" s="5057">
        <f>SUM(F228:F232)</f>
        <v>40200000</v>
      </c>
      <c r="G233" s="7925"/>
      <c r="H233" s="7925"/>
      <c r="I233" s="7925"/>
      <c r="J233" s="7925"/>
      <c r="K233" s="7564"/>
      <c r="L233" s="180"/>
      <c r="M233" s="366"/>
      <c r="N233" s="366"/>
      <c r="O233" s="366"/>
      <c r="P233" s="366"/>
    </row>
    <row r="234" spans="1:16" ht="30" customHeight="1" x14ac:dyDescent="0.2">
      <c r="A234" s="7654">
        <v>90</v>
      </c>
      <c r="B234" s="7652" t="s">
        <v>220</v>
      </c>
      <c r="C234" s="7723" t="s">
        <v>1172</v>
      </c>
      <c r="D234" s="4952">
        <v>130000000</v>
      </c>
      <c r="E234" s="5011">
        <v>7.0000000000000007E-2</v>
      </c>
      <c r="F234" s="4952">
        <f>D234*E234</f>
        <v>9100000</v>
      </c>
      <c r="G234" s="8494" t="s">
        <v>6812</v>
      </c>
      <c r="H234" s="8494"/>
      <c r="I234" s="8494"/>
      <c r="J234" s="8494"/>
      <c r="K234" s="7482">
        <f>F234+F235+F236</f>
        <v>15327600</v>
      </c>
      <c r="L234" s="345" t="s">
        <v>6741</v>
      </c>
      <c r="M234" s="366"/>
      <c r="N234" s="366"/>
      <c r="O234" s="366"/>
      <c r="P234" s="366"/>
    </row>
    <row r="235" spans="1:16" ht="30" customHeight="1" x14ac:dyDescent="0.2">
      <c r="A235" s="7656"/>
      <c r="B235" s="7665"/>
      <c r="C235" s="7747"/>
      <c r="D235" s="4952">
        <v>100000000</v>
      </c>
      <c r="E235" s="5011">
        <v>5.3999999999999999E-2</v>
      </c>
      <c r="F235" s="4952">
        <v>5360000</v>
      </c>
      <c r="G235" s="8494"/>
      <c r="H235" s="8494"/>
      <c r="I235" s="8494"/>
      <c r="J235" s="8494"/>
      <c r="K235" s="7482"/>
      <c r="L235" s="710" t="s">
        <v>6742</v>
      </c>
      <c r="M235" s="366"/>
      <c r="N235" s="366"/>
      <c r="O235" s="366"/>
      <c r="P235" s="366"/>
    </row>
    <row r="236" spans="1:16" ht="30" customHeight="1" x14ac:dyDescent="0.2">
      <c r="A236" s="7656"/>
      <c r="B236" s="7665"/>
      <c r="C236" s="7747"/>
      <c r="D236" s="5161">
        <v>14460000</v>
      </c>
      <c r="E236" s="5174">
        <v>0.06</v>
      </c>
      <c r="F236" s="5161">
        <f>D236*E236</f>
        <v>867600</v>
      </c>
      <c r="G236" s="8494"/>
      <c r="H236" s="8494"/>
      <c r="I236" s="8494"/>
      <c r="J236" s="8494"/>
      <c r="K236" s="7482"/>
      <c r="L236" s="735"/>
      <c r="M236" s="366"/>
      <c r="N236" s="366"/>
      <c r="O236" s="366"/>
      <c r="P236" s="366"/>
    </row>
    <row r="237" spans="1:16" ht="30" customHeight="1" x14ac:dyDescent="0.2">
      <c r="A237" s="7656"/>
      <c r="B237" s="7665"/>
      <c r="C237" s="7747"/>
      <c r="D237" s="5161">
        <v>15327600</v>
      </c>
      <c r="E237" s="5174">
        <v>0.06</v>
      </c>
      <c r="F237" s="5161">
        <f>D237*E237</f>
        <v>919656</v>
      </c>
      <c r="G237" s="233"/>
      <c r="H237" s="233"/>
      <c r="I237" s="233"/>
      <c r="J237" s="233"/>
      <c r="K237" s="5160"/>
      <c r="L237" s="735"/>
      <c r="M237" s="366"/>
      <c r="N237" s="366"/>
      <c r="O237" s="366"/>
      <c r="P237" s="366"/>
    </row>
    <row r="238" spans="1:16" ht="30" customHeight="1" x14ac:dyDescent="0.2">
      <c r="A238" s="7656"/>
      <c r="B238" s="7665"/>
      <c r="C238" s="7747"/>
      <c r="D238" s="5161">
        <v>100000000</v>
      </c>
      <c r="E238" s="5174">
        <v>0.06</v>
      </c>
      <c r="F238" s="5161">
        <f>D238*E238</f>
        <v>6000000</v>
      </c>
      <c r="G238" s="1539"/>
      <c r="H238" s="5158"/>
      <c r="I238" s="5172"/>
      <c r="J238" s="5158"/>
      <c r="K238" s="5160"/>
      <c r="L238" s="735" t="s">
        <v>6811</v>
      </c>
      <c r="M238" s="366"/>
      <c r="N238" s="366"/>
      <c r="O238" s="366"/>
      <c r="P238" s="366"/>
    </row>
    <row r="239" spans="1:16" ht="30" customHeight="1" x14ac:dyDescent="0.2">
      <c r="A239" s="7655"/>
      <c r="B239" s="7653"/>
      <c r="C239" s="7724"/>
      <c r="D239" s="5167">
        <v>360000000</v>
      </c>
      <c r="E239" s="5179">
        <f>F239/D239</f>
        <v>6.183333333333333E-2</v>
      </c>
      <c r="F239" s="5167">
        <v>22260000</v>
      </c>
      <c r="G239" s="7732" t="s">
        <v>6813</v>
      </c>
      <c r="H239" s="7733"/>
      <c r="I239" s="7733"/>
      <c r="J239" s="7734"/>
      <c r="K239" s="5160"/>
      <c r="L239" s="735" t="s">
        <v>6814</v>
      </c>
      <c r="M239" s="366"/>
      <c r="N239" s="366"/>
      <c r="O239" s="366"/>
      <c r="P239" s="366"/>
    </row>
    <row r="240" spans="1:16" ht="30" customHeight="1" x14ac:dyDescent="0.2">
      <c r="A240" s="7654">
        <v>91</v>
      </c>
      <c r="B240" s="7652" t="s">
        <v>4466</v>
      </c>
      <c r="C240" s="7723"/>
      <c r="D240" s="4952">
        <v>50000000</v>
      </c>
      <c r="E240" s="5011">
        <v>0.05</v>
      </c>
      <c r="F240" s="4952">
        <f t="shared" si="12"/>
        <v>2500000</v>
      </c>
      <c r="G240" s="7563">
        <v>14000000</v>
      </c>
      <c r="H240" s="7563" t="s">
        <v>6828</v>
      </c>
      <c r="I240" s="7772" t="s">
        <v>4464</v>
      </c>
      <c r="J240" s="7563">
        <f>G240</f>
        <v>14000000</v>
      </c>
      <c r="K240" s="7563">
        <f>(F240+F241+F242)-J240</f>
        <v>0</v>
      </c>
      <c r="L240" s="7713"/>
      <c r="M240" s="366"/>
      <c r="N240" s="366"/>
      <c r="O240" s="366"/>
      <c r="P240" s="366"/>
    </row>
    <row r="241" spans="1:16" ht="30" customHeight="1" x14ac:dyDescent="0.2">
      <c r="A241" s="7656"/>
      <c r="B241" s="7665"/>
      <c r="C241" s="7747"/>
      <c r="D241" s="4952">
        <v>30000000</v>
      </c>
      <c r="E241" s="5011">
        <v>0.05</v>
      </c>
      <c r="F241" s="4952">
        <f t="shared" si="12"/>
        <v>1500000</v>
      </c>
      <c r="G241" s="7586"/>
      <c r="H241" s="7586"/>
      <c r="I241" s="8185"/>
      <c r="J241" s="7586"/>
      <c r="K241" s="7586"/>
      <c r="L241" s="7797"/>
      <c r="M241" s="366"/>
      <c r="N241" s="366"/>
      <c r="O241" s="366"/>
      <c r="P241" s="366"/>
    </row>
    <row r="242" spans="1:16" ht="30" customHeight="1" x14ac:dyDescent="0.2">
      <c r="A242" s="7656"/>
      <c r="B242" s="7665"/>
      <c r="C242" s="7747"/>
      <c r="D242" s="4952">
        <v>200000000</v>
      </c>
      <c r="E242" s="5011">
        <v>0.05</v>
      </c>
      <c r="F242" s="4952">
        <f t="shared" si="12"/>
        <v>10000000</v>
      </c>
      <c r="G242" s="7564"/>
      <c r="H242" s="7564"/>
      <c r="I242" s="7773"/>
      <c r="J242" s="7564"/>
      <c r="K242" s="7564"/>
      <c r="L242" s="7714"/>
      <c r="M242" s="366"/>
      <c r="N242" s="366"/>
      <c r="O242" s="366"/>
      <c r="P242" s="366"/>
    </row>
    <row r="243" spans="1:16" ht="30" customHeight="1" x14ac:dyDescent="0.2">
      <c r="A243" s="7656"/>
      <c r="B243" s="7665"/>
      <c r="C243" s="7747"/>
      <c r="D243" s="7563">
        <v>50000000</v>
      </c>
      <c r="E243" s="7659">
        <v>0.05</v>
      </c>
      <c r="F243" s="7563">
        <f t="shared" si="12"/>
        <v>2500000</v>
      </c>
      <c r="G243" s="7732" t="s">
        <v>6957</v>
      </c>
      <c r="H243" s="7733"/>
      <c r="I243" s="7733"/>
      <c r="J243" s="7734"/>
      <c r="K243" s="5303"/>
      <c r="L243" s="5308" t="s">
        <v>6958</v>
      </c>
      <c r="M243" s="366"/>
      <c r="N243" s="366"/>
      <c r="O243" s="366"/>
      <c r="P243" s="366"/>
    </row>
    <row r="244" spans="1:16" ht="30" customHeight="1" x14ac:dyDescent="0.2">
      <c r="A244" s="7656"/>
      <c r="B244" s="7665"/>
      <c r="C244" s="7747"/>
      <c r="D244" s="7586"/>
      <c r="E244" s="7676"/>
      <c r="F244" s="7586"/>
      <c r="G244" s="7732" t="s">
        <v>7045</v>
      </c>
      <c r="H244" s="7733"/>
      <c r="I244" s="7733"/>
      <c r="J244" s="7734"/>
      <c r="K244" s="5375"/>
      <c r="L244" s="5386"/>
      <c r="M244" s="366"/>
      <c r="N244" s="366"/>
      <c r="O244" s="366"/>
      <c r="P244" s="366"/>
    </row>
    <row r="245" spans="1:16" ht="30" customHeight="1" x14ac:dyDescent="0.2">
      <c r="A245" s="7655"/>
      <c r="B245" s="7653"/>
      <c r="C245" s="7724"/>
      <c r="D245" s="7564"/>
      <c r="E245" s="7660"/>
      <c r="F245" s="7564"/>
      <c r="G245" s="7732" t="s">
        <v>6964</v>
      </c>
      <c r="H245" s="7733"/>
      <c r="I245" s="7733"/>
      <c r="J245" s="7734"/>
      <c r="K245" s="5303"/>
      <c r="L245" s="5313"/>
      <c r="M245" s="366"/>
      <c r="N245" s="366"/>
      <c r="O245" s="366"/>
      <c r="P245" s="366"/>
    </row>
    <row r="246" spans="1:16" ht="30" customHeight="1" x14ac:dyDescent="0.2">
      <c r="A246" s="7654">
        <v>92</v>
      </c>
      <c r="B246" s="7652" t="s">
        <v>749</v>
      </c>
      <c r="C246" s="7723" t="s">
        <v>889</v>
      </c>
      <c r="D246" s="4944">
        <v>50000000</v>
      </c>
      <c r="E246" s="5011">
        <v>7.0000000000000007E-2</v>
      </c>
      <c r="F246" s="4944">
        <f t="shared" si="12"/>
        <v>3500000.0000000005</v>
      </c>
      <c r="G246" s="7563">
        <v>23500000</v>
      </c>
      <c r="H246" s="7563" t="s">
        <v>6785</v>
      </c>
      <c r="I246" s="7561" t="s">
        <v>3009</v>
      </c>
      <c r="J246" s="7563">
        <f>G246</f>
        <v>23500000</v>
      </c>
      <c r="K246" s="7563"/>
      <c r="L246" s="5017"/>
      <c r="M246" s="366"/>
      <c r="N246" s="366"/>
      <c r="O246" s="366"/>
      <c r="P246" s="366"/>
    </row>
    <row r="247" spans="1:16" ht="30" customHeight="1" x14ac:dyDescent="0.2">
      <c r="A247" s="7656"/>
      <c r="B247" s="7665"/>
      <c r="C247" s="7747"/>
      <c r="D247" s="4952">
        <v>270000000</v>
      </c>
      <c r="E247" s="4962">
        <v>0.05</v>
      </c>
      <c r="F247" s="4944">
        <f t="shared" si="12"/>
        <v>13500000</v>
      </c>
      <c r="G247" s="7586"/>
      <c r="H247" s="7586"/>
      <c r="I247" s="7672"/>
      <c r="J247" s="7586"/>
      <c r="K247" s="7586"/>
      <c r="L247" s="5017"/>
      <c r="M247" s="366"/>
      <c r="N247" s="366"/>
      <c r="O247" s="366"/>
      <c r="P247" s="366"/>
    </row>
    <row r="248" spans="1:16" ht="30" customHeight="1" x14ac:dyDescent="0.2">
      <c r="A248" s="7656"/>
      <c r="B248" s="7665"/>
      <c r="C248" s="7747"/>
      <c r="D248" s="4965">
        <v>30000000</v>
      </c>
      <c r="E248" s="4975">
        <v>0.05</v>
      </c>
      <c r="F248" s="4953">
        <f t="shared" si="12"/>
        <v>1500000</v>
      </c>
      <c r="G248" s="7586"/>
      <c r="H248" s="7586"/>
      <c r="I248" s="7672"/>
      <c r="J248" s="7586"/>
      <c r="K248" s="7586"/>
      <c r="L248" s="5084" t="s">
        <v>5871</v>
      </c>
      <c r="M248" s="366"/>
      <c r="N248" s="366"/>
      <c r="O248" s="366"/>
      <c r="P248" s="366"/>
    </row>
    <row r="249" spans="1:16" ht="30" customHeight="1" x14ac:dyDescent="0.2">
      <c r="A249" s="7656"/>
      <c r="B249" s="7665"/>
      <c r="C249" s="7747"/>
      <c r="D249" s="4952">
        <v>20000000</v>
      </c>
      <c r="E249" s="4962">
        <v>0.05</v>
      </c>
      <c r="F249" s="4952">
        <f t="shared" si="12"/>
        <v>1000000</v>
      </c>
      <c r="G249" s="7586"/>
      <c r="H249" s="7586"/>
      <c r="I249" s="7672"/>
      <c r="J249" s="7586"/>
      <c r="K249" s="7586"/>
      <c r="L249" s="5084" t="s">
        <v>6326</v>
      </c>
      <c r="M249" s="366"/>
      <c r="N249" s="366"/>
      <c r="O249" s="366"/>
      <c r="P249" s="366"/>
    </row>
    <row r="250" spans="1:16" ht="30" customHeight="1" x14ac:dyDescent="0.2">
      <c r="A250" s="7656"/>
      <c r="B250" s="7665"/>
      <c r="C250" s="7724"/>
      <c r="D250" s="4952">
        <v>150000000</v>
      </c>
      <c r="E250" s="4962">
        <v>0.05</v>
      </c>
      <c r="F250" s="4952">
        <f t="shared" si="12"/>
        <v>7500000</v>
      </c>
      <c r="G250" s="7564"/>
      <c r="H250" s="7564"/>
      <c r="I250" s="7562"/>
      <c r="J250" s="7564"/>
      <c r="K250" s="7564"/>
      <c r="L250" s="5084" t="s">
        <v>6325</v>
      </c>
      <c r="M250" s="366"/>
      <c r="N250" s="366"/>
      <c r="O250" s="366"/>
      <c r="P250" s="366"/>
    </row>
    <row r="251" spans="1:16" ht="30" customHeight="1" x14ac:dyDescent="0.2">
      <c r="A251" s="7656"/>
      <c r="B251" s="7665"/>
      <c r="C251" s="7723" t="s">
        <v>1287</v>
      </c>
      <c r="D251" s="4952">
        <v>273000000</v>
      </c>
      <c r="E251" s="4962">
        <f>F251/D251</f>
        <v>5.4615384615384614E-2</v>
      </c>
      <c r="F251" s="4952">
        <v>14910000</v>
      </c>
      <c r="G251" s="7563">
        <v>20410000</v>
      </c>
      <c r="H251" s="7563" t="s">
        <v>7065</v>
      </c>
      <c r="I251" s="7563" t="s">
        <v>3009</v>
      </c>
      <c r="J251" s="7563">
        <f>G251</f>
        <v>20410000</v>
      </c>
      <c r="K251" s="7563">
        <f>(F251+F252+F253)-J251</f>
        <v>0</v>
      </c>
      <c r="L251" s="180"/>
      <c r="M251" s="366"/>
      <c r="N251" s="366"/>
      <c r="O251" s="366"/>
      <c r="P251" s="366"/>
    </row>
    <row r="252" spans="1:16" ht="30" customHeight="1" x14ac:dyDescent="0.2">
      <c r="A252" s="7656"/>
      <c r="B252" s="7665"/>
      <c r="C252" s="7747"/>
      <c r="D252" s="4944">
        <v>100000000</v>
      </c>
      <c r="E252" s="5011">
        <v>0.05</v>
      </c>
      <c r="F252" s="4944">
        <f>D252*E252</f>
        <v>5000000</v>
      </c>
      <c r="G252" s="7586"/>
      <c r="H252" s="7586"/>
      <c r="I252" s="7586"/>
      <c r="J252" s="7586"/>
      <c r="K252" s="7586"/>
      <c r="L252" s="180"/>
      <c r="M252" s="366"/>
      <c r="N252" s="366"/>
      <c r="O252" s="366"/>
      <c r="P252" s="366"/>
    </row>
    <row r="253" spans="1:16" ht="30" customHeight="1" x14ac:dyDescent="0.2">
      <c r="A253" s="7655"/>
      <c r="B253" s="7653"/>
      <c r="C253" s="7724"/>
      <c r="D253" s="5013">
        <v>10000000</v>
      </c>
      <c r="E253" s="4961">
        <v>0.05</v>
      </c>
      <c r="F253" s="4951">
        <f>D253*E253</f>
        <v>500000</v>
      </c>
      <c r="G253" s="7564"/>
      <c r="H253" s="7564"/>
      <c r="I253" s="7564"/>
      <c r="J253" s="7564"/>
      <c r="K253" s="7564"/>
      <c r="L253" s="180" t="s">
        <v>6647</v>
      </c>
      <c r="M253" s="366"/>
      <c r="N253" s="366"/>
      <c r="O253" s="366"/>
      <c r="P253" s="366"/>
    </row>
    <row r="254" spans="1:16" ht="30" customHeight="1" x14ac:dyDescent="0.2">
      <c r="A254" s="4957"/>
      <c r="B254" s="4954" t="s">
        <v>222</v>
      </c>
      <c r="C254" s="5016" t="s">
        <v>889</v>
      </c>
      <c r="D254" s="4944">
        <v>40000000</v>
      </c>
      <c r="E254" s="5011">
        <v>5.5E-2</v>
      </c>
      <c r="F254" s="4944">
        <f>D254*E254</f>
        <v>2200000</v>
      </c>
      <c r="G254" s="4944">
        <v>2200000</v>
      </c>
      <c r="H254" s="4944" t="s">
        <v>6792</v>
      </c>
      <c r="I254" s="4944" t="s">
        <v>4582</v>
      </c>
      <c r="J254" s="4944">
        <f>F254</f>
        <v>2200000</v>
      </c>
      <c r="K254" s="4944">
        <f>F254-J254</f>
        <v>0</v>
      </c>
      <c r="L254" s="5084"/>
      <c r="M254" s="366"/>
      <c r="N254" s="366"/>
      <c r="O254" s="366"/>
      <c r="P254" s="366"/>
    </row>
    <row r="255" spans="1:16" ht="30" customHeight="1" x14ac:dyDescent="0.2">
      <c r="A255" s="5014">
        <v>94</v>
      </c>
      <c r="B255" s="4968" t="s">
        <v>1144</v>
      </c>
      <c r="C255" s="4990"/>
      <c r="D255" s="4952">
        <v>25000000</v>
      </c>
      <c r="E255" s="5011">
        <v>0.04</v>
      </c>
      <c r="F255" s="4952">
        <f>D255*E255</f>
        <v>1000000</v>
      </c>
      <c r="G255" s="4952">
        <v>1000000</v>
      </c>
      <c r="H255" s="4952" t="s">
        <v>6792</v>
      </c>
      <c r="I255" s="5071" t="s">
        <v>1146</v>
      </c>
      <c r="J255" s="4952">
        <f>G255</f>
        <v>1000000</v>
      </c>
      <c r="K255" s="4952">
        <f t="shared" ref="K255:K258" si="22">F255-J255</f>
        <v>0</v>
      </c>
      <c r="L255" s="4968"/>
      <c r="M255" s="366"/>
      <c r="N255" s="366"/>
      <c r="O255" s="366"/>
      <c r="P255" s="366"/>
    </row>
    <row r="256" spans="1:16" ht="30" customHeight="1" x14ac:dyDescent="0.2">
      <c r="A256" s="5236"/>
      <c r="B256" s="19" t="s">
        <v>223</v>
      </c>
      <c r="C256" s="5251" t="s">
        <v>1172</v>
      </c>
      <c r="D256" s="4944">
        <v>355000000</v>
      </c>
      <c r="E256" s="5011">
        <v>0.05</v>
      </c>
      <c r="F256" s="4944">
        <v>17800000</v>
      </c>
      <c r="G256" s="4944">
        <v>17800000</v>
      </c>
      <c r="H256" s="4944" t="s">
        <v>6828</v>
      </c>
      <c r="I256" s="5020" t="s">
        <v>3431</v>
      </c>
      <c r="J256" s="4944">
        <f>G256</f>
        <v>17800000</v>
      </c>
      <c r="K256" s="4944">
        <f t="shared" si="22"/>
        <v>0</v>
      </c>
      <c r="L256" s="378" t="s">
        <v>6887</v>
      </c>
      <c r="M256" s="366"/>
      <c r="N256" s="366"/>
      <c r="O256" s="366"/>
      <c r="P256" s="366"/>
    </row>
    <row r="257" spans="1:16" ht="30" customHeight="1" x14ac:dyDescent="0.2">
      <c r="A257" s="5014">
        <v>99</v>
      </c>
      <c r="B257" s="4968" t="s">
        <v>227</v>
      </c>
      <c r="C257" s="4990" t="s">
        <v>1297</v>
      </c>
      <c r="D257" s="4952">
        <v>100000000</v>
      </c>
      <c r="E257" s="5011">
        <v>0.04</v>
      </c>
      <c r="F257" s="4952">
        <f>D257*E257</f>
        <v>4000000</v>
      </c>
      <c r="G257" s="4952">
        <v>4000000</v>
      </c>
      <c r="H257" s="4952" t="s">
        <v>6785</v>
      </c>
      <c r="I257" s="5036" t="s">
        <v>4847</v>
      </c>
      <c r="J257" s="4952">
        <f>G257</f>
        <v>4000000</v>
      </c>
      <c r="K257" s="4952">
        <f t="shared" si="22"/>
        <v>0</v>
      </c>
      <c r="L257" s="4968"/>
      <c r="M257" s="366"/>
      <c r="N257" s="366"/>
      <c r="O257" s="366"/>
      <c r="P257" s="366"/>
    </row>
    <row r="258" spans="1:16" ht="30" customHeight="1" x14ac:dyDescent="0.2">
      <c r="A258" s="5014">
        <v>100</v>
      </c>
      <c r="B258" s="4968" t="s">
        <v>228</v>
      </c>
      <c r="C258" s="4990" t="s">
        <v>392</v>
      </c>
      <c r="D258" s="4952">
        <v>101000000</v>
      </c>
      <c r="E258" s="5011">
        <v>5.0999999999999997E-2</v>
      </c>
      <c r="F258" s="4952">
        <v>5100000</v>
      </c>
      <c r="G258" s="4952">
        <v>5100000</v>
      </c>
      <c r="H258" s="4952" t="s">
        <v>6895</v>
      </c>
      <c r="I258" s="5071" t="s">
        <v>2860</v>
      </c>
      <c r="J258" s="4952">
        <f>G258</f>
        <v>5100000</v>
      </c>
      <c r="K258" s="4952">
        <f t="shared" si="22"/>
        <v>0</v>
      </c>
      <c r="L258" s="4968"/>
      <c r="M258" s="366"/>
      <c r="N258" s="366"/>
      <c r="O258" s="366"/>
      <c r="P258" s="366"/>
    </row>
    <row r="259" spans="1:16" ht="30" customHeight="1" x14ac:dyDescent="0.2">
      <c r="A259" s="7795"/>
      <c r="B259" s="7652" t="s">
        <v>177</v>
      </c>
      <c r="C259" s="7723" t="s">
        <v>1080</v>
      </c>
      <c r="D259" s="4944">
        <v>100000000</v>
      </c>
      <c r="E259" s="5011">
        <v>0.06</v>
      </c>
      <c r="F259" s="4944">
        <f>D259*E259</f>
        <v>6000000</v>
      </c>
      <c r="G259" s="7563">
        <v>8100000</v>
      </c>
      <c r="H259" s="7563" t="s">
        <v>6773</v>
      </c>
      <c r="I259" s="7563" t="s">
        <v>3345</v>
      </c>
      <c r="J259" s="7563">
        <f>G259</f>
        <v>8100000</v>
      </c>
      <c r="K259" s="7563">
        <f>(F259+F260)-J259</f>
        <v>0</v>
      </c>
      <c r="L259" s="5016" t="s">
        <v>5350</v>
      </c>
      <c r="M259" s="366"/>
      <c r="N259" s="366"/>
      <c r="O259" s="366"/>
      <c r="P259" s="366"/>
    </row>
    <row r="260" spans="1:16" ht="30" customHeight="1" x14ac:dyDescent="0.2">
      <c r="A260" s="7796"/>
      <c r="B260" s="7653"/>
      <c r="C260" s="7724"/>
      <c r="D260" s="4950">
        <v>35000000</v>
      </c>
      <c r="E260" s="4960">
        <v>0.06</v>
      </c>
      <c r="F260" s="4950">
        <f>D260*E260</f>
        <v>2100000</v>
      </c>
      <c r="G260" s="7564"/>
      <c r="H260" s="7564"/>
      <c r="I260" s="7564"/>
      <c r="J260" s="7564"/>
      <c r="K260" s="7564"/>
      <c r="L260" s="5084" t="s">
        <v>6140</v>
      </c>
      <c r="M260" s="366"/>
      <c r="N260" s="366"/>
      <c r="O260" s="366"/>
      <c r="P260" s="366"/>
    </row>
    <row r="261" spans="1:16" ht="30" customHeight="1" x14ac:dyDescent="0.2">
      <c r="A261" s="7703"/>
      <c r="B261" s="8291" t="s">
        <v>6067</v>
      </c>
      <c r="C261" s="7723"/>
      <c r="D261" s="7563">
        <v>350000000</v>
      </c>
      <c r="E261" s="7659">
        <v>0.05</v>
      </c>
      <c r="F261" s="7563">
        <f>D261*E261</f>
        <v>17500000</v>
      </c>
      <c r="G261" s="7563">
        <v>17500000</v>
      </c>
      <c r="H261" s="7563" t="s">
        <v>6789</v>
      </c>
      <c r="I261" s="7563" t="s">
        <v>6791</v>
      </c>
      <c r="J261" s="7563">
        <f>G261</f>
        <v>17500000</v>
      </c>
      <c r="K261" s="7563">
        <f>F261-J261</f>
        <v>0</v>
      </c>
      <c r="L261" s="5084" t="s">
        <v>6068</v>
      </c>
      <c r="M261" s="366"/>
      <c r="N261" s="366"/>
      <c r="O261" s="366"/>
      <c r="P261" s="366"/>
    </row>
    <row r="262" spans="1:16" ht="30" customHeight="1" x14ac:dyDescent="0.2">
      <c r="A262" s="7704"/>
      <c r="B262" s="8292"/>
      <c r="C262" s="7747"/>
      <c r="D262" s="7564"/>
      <c r="E262" s="7660"/>
      <c r="F262" s="7564"/>
      <c r="G262" s="7564"/>
      <c r="H262" s="7564"/>
      <c r="I262" s="7564"/>
      <c r="J262" s="7564"/>
      <c r="K262" s="7564"/>
      <c r="L262" s="5084" t="s">
        <v>6069</v>
      </c>
      <c r="M262" s="366"/>
      <c r="N262" s="366"/>
      <c r="O262" s="366"/>
      <c r="P262" s="366"/>
    </row>
    <row r="263" spans="1:16" ht="30" customHeight="1" x14ac:dyDescent="0.2">
      <c r="A263" s="7705"/>
      <c r="B263" s="8293"/>
      <c r="C263" s="7724"/>
      <c r="D263" s="5376">
        <v>110000000</v>
      </c>
      <c r="E263" s="5379">
        <v>0.05</v>
      </c>
      <c r="F263" s="5376">
        <f>D263*E263</f>
        <v>5500000</v>
      </c>
      <c r="G263" s="7732" t="s">
        <v>7039</v>
      </c>
      <c r="H263" s="7733"/>
      <c r="I263" s="7733"/>
      <c r="J263" s="7734"/>
      <c r="K263" s="5376"/>
      <c r="L263" s="5725"/>
      <c r="M263" s="366"/>
      <c r="N263" s="366"/>
      <c r="O263" s="366"/>
      <c r="P263" s="366"/>
    </row>
    <row r="264" spans="1:16" ht="30" customHeight="1" x14ac:dyDescent="0.2">
      <c r="A264" s="5609"/>
      <c r="B264" s="5722"/>
      <c r="C264" s="5634"/>
      <c r="D264" s="5376">
        <v>40000000</v>
      </c>
      <c r="E264" s="5379">
        <v>0.05</v>
      </c>
      <c r="F264" s="5376">
        <f>D264*E264</f>
        <v>2000000</v>
      </c>
      <c r="G264" s="7732" t="s">
        <v>7040</v>
      </c>
      <c r="H264" s="7733"/>
      <c r="I264" s="7733"/>
      <c r="J264" s="7734"/>
      <c r="K264" s="5376"/>
      <c r="L264" s="5725"/>
      <c r="M264" s="366"/>
      <c r="N264" s="366"/>
      <c r="O264" s="366"/>
      <c r="P264" s="366"/>
    </row>
    <row r="265" spans="1:16" s="1539" customFormat="1" ht="30" customHeight="1" x14ac:dyDescent="0.2">
      <c r="A265" s="4980"/>
      <c r="B265" s="4968" t="s">
        <v>230</v>
      </c>
      <c r="C265" s="5016" t="s">
        <v>1172</v>
      </c>
      <c r="D265" s="4944">
        <v>37000000</v>
      </c>
      <c r="E265" s="5011">
        <v>5.5E-2</v>
      </c>
      <c r="F265" s="4944">
        <v>2000000</v>
      </c>
      <c r="G265" s="4944">
        <v>2000000</v>
      </c>
      <c r="H265" s="4944" t="s">
        <v>6828</v>
      </c>
      <c r="I265" s="4944" t="s">
        <v>4262</v>
      </c>
      <c r="J265" s="4944">
        <f>G265</f>
        <v>2000000</v>
      </c>
      <c r="K265" s="4944">
        <f>F265-J265</f>
        <v>0</v>
      </c>
      <c r="L265" s="5084"/>
      <c r="M265" s="9"/>
      <c r="N265" s="9"/>
      <c r="O265" s="9"/>
      <c r="P265" s="9"/>
    </row>
    <row r="266" spans="1:16" ht="30" customHeight="1" x14ac:dyDescent="0.2">
      <c r="A266" s="4959">
        <v>104</v>
      </c>
      <c r="B266" s="4956" t="s">
        <v>231</v>
      </c>
      <c r="C266" s="4990" t="s">
        <v>1172</v>
      </c>
      <c r="D266" s="4952">
        <v>20000000</v>
      </c>
      <c r="E266" s="4962">
        <v>0.05</v>
      </c>
      <c r="F266" s="4952">
        <f t="shared" si="12"/>
        <v>1000000</v>
      </c>
      <c r="G266" s="4952">
        <v>1000000</v>
      </c>
      <c r="H266" s="4952" t="s">
        <v>6828</v>
      </c>
      <c r="I266" s="5071" t="s">
        <v>3437</v>
      </c>
      <c r="J266" s="4952">
        <f>G266</f>
        <v>1000000</v>
      </c>
      <c r="K266" s="4952">
        <f>F266-J266</f>
        <v>0</v>
      </c>
      <c r="L266" s="4956"/>
      <c r="M266" s="366"/>
      <c r="N266" s="366"/>
      <c r="O266" s="366"/>
      <c r="P266" s="366"/>
    </row>
    <row r="267" spans="1:16" ht="30" customHeight="1" x14ac:dyDescent="0.2">
      <c r="A267" s="7654">
        <v>105</v>
      </c>
      <c r="B267" s="7710" t="s">
        <v>232</v>
      </c>
      <c r="C267" s="7723"/>
      <c r="D267" s="7677"/>
      <c r="E267" s="7691"/>
      <c r="F267" s="7677">
        <f t="shared" ref="F267:F308" si="23">D267*E267</f>
        <v>0</v>
      </c>
      <c r="G267" s="4944">
        <v>1300000</v>
      </c>
      <c r="H267" s="4944" t="s">
        <v>6792</v>
      </c>
      <c r="I267" s="5020" t="s">
        <v>6797</v>
      </c>
      <c r="J267" s="7563">
        <f>G267+G268</f>
        <v>2000000</v>
      </c>
      <c r="K267" s="7677">
        <f>F267-J267</f>
        <v>-2000000</v>
      </c>
      <c r="L267" s="4982" t="s">
        <v>6798</v>
      </c>
    </row>
    <row r="268" spans="1:16" ht="30" customHeight="1" x14ac:dyDescent="0.2">
      <c r="A268" s="7656"/>
      <c r="B268" s="7711"/>
      <c r="C268" s="7747"/>
      <c r="D268" s="7690"/>
      <c r="E268" s="7692"/>
      <c r="F268" s="7690"/>
      <c r="G268" s="5148">
        <v>700000</v>
      </c>
      <c r="H268" s="5148" t="s">
        <v>6792</v>
      </c>
      <c r="I268" s="5153"/>
      <c r="J268" s="7564"/>
      <c r="K268" s="7678"/>
      <c r="L268" s="5151" t="s">
        <v>6799</v>
      </c>
    </row>
    <row r="269" spans="1:16" ht="30" customHeight="1" x14ac:dyDescent="0.2">
      <c r="A269" s="7655"/>
      <c r="B269" s="7712"/>
      <c r="C269" s="7724"/>
      <c r="D269" s="7678"/>
      <c r="E269" s="7693"/>
      <c r="F269" s="7678"/>
      <c r="G269" s="5561">
        <v>1900000</v>
      </c>
      <c r="H269" s="5561" t="s">
        <v>2474</v>
      </c>
      <c r="I269" s="5573" t="s">
        <v>7240</v>
      </c>
      <c r="J269" s="5562">
        <f>G269</f>
        <v>1900000</v>
      </c>
      <c r="K269" s="5567"/>
      <c r="L269" s="5568" t="s">
        <v>6798</v>
      </c>
    </row>
    <row r="270" spans="1:16" ht="30" customHeight="1" x14ac:dyDescent="0.2">
      <c r="A270" s="7654">
        <v>108</v>
      </c>
      <c r="B270" s="7652" t="s">
        <v>235</v>
      </c>
      <c r="C270" s="7723" t="s">
        <v>1172</v>
      </c>
      <c r="D270" s="4944">
        <v>1430000000</v>
      </c>
      <c r="E270" s="5011">
        <v>5.5E-2</v>
      </c>
      <c r="F270" s="4944">
        <f t="shared" si="23"/>
        <v>78650000</v>
      </c>
      <c r="G270" s="5020"/>
      <c r="H270" s="5020"/>
      <c r="I270" s="5020"/>
      <c r="J270" s="5020"/>
      <c r="K270" s="4944">
        <v>0</v>
      </c>
      <c r="L270" s="5016"/>
    </row>
    <row r="271" spans="1:16" ht="30" customHeight="1" x14ac:dyDescent="0.2">
      <c r="A271" s="7656"/>
      <c r="B271" s="7665"/>
      <c r="C271" s="7747"/>
      <c r="D271" s="4952">
        <v>150000000</v>
      </c>
      <c r="E271" s="4962">
        <v>5.5E-2</v>
      </c>
      <c r="F271" s="4952">
        <f>D271*E271</f>
        <v>8250000</v>
      </c>
      <c r="G271" s="4944"/>
      <c r="H271" s="4944"/>
      <c r="I271" s="4944"/>
      <c r="J271" s="4944"/>
      <c r="K271" s="4952"/>
      <c r="L271" s="4982" t="s">
        <v>4647</v>
      </c>
    </row>
    <row r="272" spans="1:16" ht="30" customHeight="1" x14ac:dyDescent="0.2">
      <c r="A272" s="7656"/>
      <c r="B272" s="7665"/>
      <c r="C272" s="7747"/>
      <c r="D272" s="4944">
        <v>30000000</v>
      </c>
      <c r="E272" s="5011">
        <v>5.5E-2</v>
      </c>
      <c r="F272" s="4944">
        <f>D272*E272</f>
        <v>1650000</v>
      </c>
      <c r="G272" s="4944"/>
      <c r="H272" s="4944"/>
      <c r="I272" s="4944"/>
      <c r="J272" s="4944"/>
      <c r="K272" s="4952"/>
      <c r="L272" s="4982" t="s">
        <v>5041</v>
      </c>
    </row>
    <row r="273" spans="1:12" ht="30" customHeight="1" x14ac:dyDescent="0.2">
      <c r="A273" s="7656"/>
      <c r="B273" s="7665"/>
      <c r="C273" s="7747"/>
      <c r="D273" s="2653">
        <f>SUM(D270:D272)</f>
        <v>1610000000</v>
      </c>
      <c r="E273" s="2652">
        <v>5.5E-2</v>
      </c>
      <c r="F273" s="2653">
        <f>D273*E273</f>
        <v>88550000</v>
      </c>
      <c r="G273" s="4944"/>
      <c r="H273" s="4944"/>
      <c r="I273" s="4944"/>
      <c r="J273" s="4944"/>
      <c r="K273" s="4952"/>
      <c r="L273" s="4982" t="s">
        <v>5134</v>
      </c>
    </row>
    <row r="274" spans="1:12" ht="30" customHeight="1" x14ac:dyDescent="0.2">
      <c r="A274" s="7656"/>
      <c r="B274" s="7665"/>
      <c r="C274" s="7747"/>
      <c r="D274" s="8230" t="s">
        <v>5194</v>
      </c>
      <c r="E274" s="8230"/>
      <c r="F274" s="8230"/>
      <c r="G274" s="4952"/>
      <c r="H274" s="4952"/>
      <c r="I274" s="4999"/>
      <c r="J274" s="4952"/>
      <c r="K274" s="4952"/>
      <c r="L274" s="4982"/>
    </row>
    <row r="275" spans="1:12" ht="30" customHeight="1" x14ac:dyDescent="0.2">
      <c r="A275" s="7656"/>
      <c r="B275" s="7665"/>
      <c r="C275" s="7747"/>
      <c r="D275" s="8026">
        <f>D273-200000000</f>
        <v>1410000000</v>
      </c>
      <c r="E275" s="8028">
        <v>5.5E-2</v>
      </c>
      <c r="F275" s="8026">
        <f>D275*E275</f>
        <v>77550000</v>
      </c>
      <c r="G275" s="4952">
        <v>27550000</v>
      </c>
      <c r="H275" s="4952" t="s">
        <v>6792</v>
      </c>
      <c r="I275" s="4999" t="s">
        <v>1669</v>
      </c>
      <c r="J275" s="7563">
        <f>G275+G276</f>
        <v>77550000</v>
      </c>
      <c r="K275" s="7563">
        <f>F275-J275</f>
        <v>0</v>
      </c>
      <c r="L275" s="4982"/>
    </row>
    <row r="276" spans="1:12" ht="30" customHeight="1" x14ac:dyDescent="0.2">
      <c r="A276" s="7655"/>
      <c r="B276" s="7653"/>
      <c r="C276" s="7724"/>
      <c r="D276" s="8027"/>
      <c r="E276" s="8029"/>
      <c r="F276" s="8027"/>
      <c r="G276" s="5150">
        <v>50000000</v>
      </c>
      <c r="H276" s="5150" t="s">
        <v>6800</v>
      </c>
      <c r="I276" s="5152" t="s">
        <v>1669</v>
      </c>
      <c r="J276" s="7564"/>
      <c r="K276" s="7564"/>
      <c r="L276" s="5151"/>
    </row>
    <row r="277" spans="1:12" ht="30" customHeight="1" x14ac:dyDescent="0.2">
      <c r="A277" s="1028">
        <v>109</v>
      </c>
      <c r="B277" s="4968" t="s">
        <v>236</v>
      </c>
      <c r="C277" s="5016"/>
      <c r="D277" s="4944">
        <v>1000000000</v>
      </c>
      <c r="E277" s="5011">
        <v>0.05</v>
      </c>
      <c r="F277" s="4944">
        <f t="shared" si="23"/>
        <v>50000000</v>
      </c>
      <c r="G277" s="4952">
        <v>50000000</v>
      </c>
      <c r="H277" s="4952" t="s">
        <v>6785</v>
      </c>
      <c r="I277" s="5071" t="s">
        <v>3724</v>
      </c>
      <c r="J277" s="4952">
        <f t="shared" ref="J277:J280" si="24">G277</f>
        <v>50000000</v>
      </c>
      <c r="K277" s="4952">
        <f t="shared" ref="K277:K279" si="25">F277-J277</f>
        <v>0</v>
      </c>
      <c r="L277" s="4982"/>
    </row>
    <row r="278" spans="1:12" ht="30" customHeight="1" x14ac:dyDescent="0.2">
      <c r="A278" s="4959"/>
      <c r="B278" s="19" t="s">
        <v>237</v>
      </c>
      <c r="C278" s="5016" t="s">
        <v>392</v>
      </c>
      <c r="D278" s="4944">
        <v>30000000</v>
      </c>
      <c r="E278" s="5011">
        <v>0.05</v>
      </c>
      <c r="F278" s="4952">
        <f>D278*E278</f>
        <v>1500000</v>
      </c>
      <c r="G278" s="4944">
        <v>1500000</v>
      </c>
      <c r="H278" s="4944" t="s">
        <v>6785</v>
      </c>
      <c r="I278" s="4944" t="s">
        <v>550</v>
      </c>
      <c r="J278" s="4944">
        <f t="shared" si="24"/>
        <v>1500000</v>
      </c>
      <c r="K278" s="4952">
        <f t="shared" si="25"/>
        <v>0</v>
      </c>
      <c r="L278" s="4982"/>
    </row>
    <row r="279" spans="1:12" ht="30" customHeight="1" x14ac:dyDescent="0.2">
      <c r="A279" s="1028">
        <v>112</v>
      </c>
      <c r="B279" s="4968" t="s">
        <v>238</v>
      </c>
      <c r="C279" s="5016" t="s">
        <v>889</v>
      </c>
      <c r="D279" s="4952">
        <v>45000000</v>
      </c>
      <c r="E279" s="5011">
        <v>0.05</v>
      </c>
      <c r="F279" s="4952">
        <f t="shared" si="23"/>
        <v>2250000</v>
      </c>
      <c r="G279" s="4952">
        <v>2250000</v>
      </c>
      <c r="H279" s="5036" t="s">
        <v>6785</v>
      </c>
      <c r="I279" s="5036" t="s">
        <v>781</v>
      </c>
      <c r="J279" s="5129">
        <f>G279</f>
        <v>2250000</v>
      </c>
      <c r="K279" s="4952">
        <f t="shared" si="25"/>
        <v>0</v>
      </c>
      <c r="L279" s="5084"/>
    </row>
    <row r="280" spans="1:12" ht="30" customHeight="1" x14ac:dyDescent="0.2">
      <c r="A280" s="4959"/>
      <c r="B280" s="4954" t="s">
        <v>6160</v>
      </c>
      <c r="C280" s="7723" t="s">
        <v>1176</v>
      </c>
      <c r="D280" s="4952">
        <v>250000000</v>
      </c>
      <c r="E280" s="5011">
        <v>0.05</v>
      </c>
      <c r="F280" s="4952">
        <f>D280*E280</f>
        <v>12500000</v>
      </c>
      <c r="G280" s="7563"/>
      <c r="H280" s="7563"/>
      <c r="I280" s="7563" t="s">
        <v>6264</v>
      </c>
      <c r="J280" s="7563">
        <f t="shared" si="24"/>
        <v>0</v>
      </c>
      <c r="K280" s="7563"/>
      <c r="L280" s="4982" t="s">
        <v>5469</v>
      </c>
    </row>
    <row r="281" spans="1:12" ht="30" customHeight="1" x14ac:dyDescent="0.2">
      <c r="A281" s="7654"/>
      <c r="B281" s="7652" t="s">
        <v>5469</v>
      </c>
      <c r="C281" s="7747"/>
      <c r="D281" s="4952">
        <v>120000000</v>
      </c>
      <c r="E281" s="5011">
        <v>0.05</v>
      </c>
      <c r="F281" s="4952">
        <f>D281*E281</f>
        <v>6000000</v>
      </c>
      <c r="G281" s="7586"/>
      <c r="H281" s="7586"/>
      <c r="I281" s="7586"/>
      <c r="J281" s="7586"/>
      <c r="K281" s="7586"/>
      <c r="L281" s="4982" t="s">
        <v>5560</v>
      </c>
    </row>
    <row r="282" spans="1:12" ht="30" customHeight="1" x14ac:dyDescent="0.2">
      <c r="A282" s="7656"/>
      <c r="B282" s="7665"/>
      <c r="C282" s="7747"/>
      <c r="D282" s="4952">
        <v>460000000</v>
      </c>
      <c r="E282" s="5011">
        <v>0.05</v>
      </c>
      <c r="F282" s="4952">
        <f>D282*E282</f>
        <v>23000000</v>
      </c>
      <c r="G282" s="7564"/>
      <c r="H282" s="7564"/>
      <c r="I282" s="7564"/>
      <c r="J282" s="7564"/>
      <c r="K282" s="7564"/>
      <c r="L282" s="4982" t="s">
        <v>5802</v>
      </c>
    </row>
    <row r="283" spans="1:12" ht="30" customHeight="1" x14ac:dyDescent="0.2">
      <c r="A283" s="7656"/>
      <c r="B283" s="7665"/>
      <c r="C283" s="7747"/>
      <c r="D283" s="5057">
        <f>SUM(D280:D282)</f>
        <v>830000000</v>
      </c>
      <c r="E283" s="896">
        <v>0.08</v>
      </c>
      <c r="F283" s="5057">
        <f>D283*E283</f>
        <v>66400000</v>
      </c>
      <c r="G283" s="7732" t="s">
        <v>6159</v>
      </c>
      <c r="H283" s="7733"/>
      <c r="I283" s="7733"/>
      <c r="J283" s="7734"/>
      <c r="K283" s="4952"/>
      <c r="L283" s="4982" t="s">
        <v>6263</v>
      </c>
    </row>
    <row r="284" spans="1:12" ht="30" customHeight="1" x14ac:dyDescent="0.2">
      <c r="A284" s="7655"/>
      <c r="B284" s="7653"/>
      <c r="C284" s="7724"/>
      <c r="D284" s="4965">
        <v>1170000000</v>
      </c>
      <c r="E284" s="2519"/>
      <c r="F284" s="4965"/>
      <c r="G284" s="7850" t="s">
        <v>6165</v>
      </c>
      <c r="H284" s="7851"/>
      <c r="I284" s="7851"/>
      <c r="J284" s="7852"/>
      <c r="K284" s="4965"/>
      <c r="L284" s="4982" t="s">
        <v>6560</v>
      </c>
    </row>
    <row r="285" spans="1:12" ht="30" customHeight="1" x14ac:dyDescent="0.2">
      <c r="A285" s="5014">
        <v>114</v>
      </c>
      <c r="B285" s="4968" t="s">
        <v>240</v>
      </c>
      <c r="C285" s="4990"/>
      <c r="D285" s="4952">
        <v>100000000</v>
      </c>
      <c r="E285" s="5011">
        <v>4.4999999999999998E-2</v>
      </c>
      <c r="F285" s="4952">
        <f t="shared" si="23"/>
        <v>4500000</v>
      </c>
      <c r="G285" s="4952"/>
      <c r="H285" s="4952"/>
      <c r="I285" s="84"/>
      <c r="J285" s="4952">
        <f>G285</f>
        <v>0</v>
      </c>
      <c r="K285" s="4952">
        <f>F285-J285</f>
        <v>4500000</v>
      </c>
      <c r="L285" s="4968"/>
    </row>
    <row r="286" spans="1:12" ht="30" customHeight="1" x14ac:dyDescent="0.2">
      <c r="A286" s="7654"/>
      <c r="B286" s="7652" t="s">
        <v>243</v>
      </c>
      <c r="C286" s="7723" t="s">
        <v>889</v>
      </c>
      <c r="D286" s="4944">
        <v>445000000</v>
      </c>
      <c r="E286" s="5011">
        <v>4.4999999999999998E-2</v>
      </c>
      <c r="F286" s="4944">
        <v>20000000</v>
      </c>
      <c r="G286" s="4952">
        <v>20000000</v>
      </c>
      <c r="H286" s="4952" t="s">
        <v>3788</v>
      </c>
      <c r="I286" s="84" t="s">
        <v>2646</v>
      </c>
      <c r="J286" s="4952">
        <f>G286</f>
        <v>20000000</v>
      </c>
      <c r="K286" s="4952">
        <f>F286-J286</f>
        <v>0</v>
      </c>
      <c r="L286" s="5048"/>
    </row>
    <row r="287" spans="1:12" ht="30" customHeight="1" x14ac:dyDescent="0.2">
      <c r="A287" s="7655"/>
      <c r="B287" s="7653"/>
      <c r="C287" s="7724"/>
      <c r="D287" s="5544">
        <v>500000000</v>
      </c>
      <c r="E287" s="5545"/>
      <c r="F287" s="5544"/>
      <c r="G287" s="5538"/>
      <c r="H287" s="5538"/>
      <c r="I287" s="5555"/>
      <c r="J287" s="5538"/>
      <c r="K287" s="5538"/>
      <c r="L287" s="5560" t="s">
        <v>7216</v>
      </c>
    </row>
    <row r="288" spans="1:12" ht="30" customHeight="1" x14ac:dyDescent="0.2">
      <c r="A288" s="7654">
        <v>118</v>
      </c>
      <c r="B288" s="7652" t="s">
        <v>244</v>
      </c>
      <c r="C288" s="7723" t="s">
        <v>4223</v>
      </c>
      <c r="D288" s="7563">
        <v>33000000</v>
      </c>
      <c r="E288" s="7659">
        <v>0.05</v>
      </c>
      <c r="F288" s="7563">
        <f>D288*E288</f>
        <v>1650000</v>
      </c>
      <c r="G288" s="7563">
        <v>1650000</v>
      </c>
      <c r="H288" s="7563" t="s">
        <v>7013</v>
      </c>
      <c r="I288" s="8148" t="s">
        <v>611</v>
      </c>
      <c r="J288" s="7563">
        <f>G288</f>
        <v>1650000</v>
      </c>
      <c r="K288" s="7563">
        <f>F288-J288</f>
        <v>0</v>
      </c>
      <c r="L288" s="5048"/>
    </row>
    <row r="289" spans="1:12" ht="30" customHeight="1" x14ac:dyDescent="0.2">
      <c r="A289" s="7656"/>
      <c r="B289" s="7665"/>
      <c r="C289" s="7724"/>
      <c r="D289" s="7564"/>
      <c r="E289" s="7660"/>
      <c r="F289" s="7564"/>
      <c r="G289" s="7564"/>
      <c r="H289" s="7564"/>
      <c r="I289" s="8149"/>
      <c r="J289" s="7564"/>
      <c r="K289" s="7564"/>
      <c r="L289" s="5048"/>
    </row>
    <row r="290" spans="1:12" ht="30" customHeight="1" x14ac:dyDescent="0.2">
      <c r="A290" s="7654">
        <v>120</v>
      </c>
      <c r="B290" s="7652" t="s">
        <v>246</v>
      </c>
      <c r="C290" s="7723" t="s">
        <v>371</v>
      </c>
      <c r="D290" s="4944">
        <v>617000000</v>
      </c>
      <c r="E290" s="5011">
        <v>7.0000000000000007E-2</v>
      </c>
      <c r="F290" s="4944">
        <v>43200000</v>
      </c>
      <c r="G290" s="8487" t="s">
        <v>6768</v>
      </c>
      <c r="H290" s="8488"/>
      <c r="I290" s="8488"/>
      <c r="J290" s="8489"/>
      <c r="K290" s="4944">
        <f>F290-J290</f>
        <v>43200000</v>
      </c>
      <c r="L290" s="5084"/>
    </row>
    <row r="291" spans="1:12" ht="30" customHeight="1" x14ac:dyDescent="0.2">
      <c r="A291" s="7655"/>
      <c r="B291" s="7653"/>
      <c r="C291" s="7724"/>
      <c r="D291" s="4952"/>
      <c r="E291" s="4962"/>
      <c r="F291" s="4952"/>
      <c r="G291" s="8490"/>
      <c r="H291" s="8491"/>
      <c r="I291" s="8491"/>
      <c r="J291" s="8492"/>
      <c r="K291" s="4952"/>
      <c r="L291" s="5017"/>
    </row>
    <row r="292" spans="1:12" ht="30" customHeight="1" x14ac:dyDescent="0.2">
      <c r="A292" s="3428">
        <v>122</v>
      </c>
      <c r="B292" s="5295" t="s">
        <v>248</v>
      </c>
      <c r="C292" s="5296"/>
      <c r="D292" s="5297">
        <v>50000000</v>
      </c>
      <c r="E292" s="2556">
        <v>4.4999999999999998E-2</v>
      </c>
      <c r="F292" s="5297">
        <f t="shared" si="23"/>
        <v>2250000</v>
      </c>
      <c r="G292" s="5297">
        <v>2250000</v>
      </c>
      <c r="H292" s="5297" t="s">
        <v>6895</v>
      </c>
      <c r="I292" s="5322" t="s">
        <v>6359</v>
      </c>
      <c r="J292" s="5297">
        <f>G292</f>
        <v>2250000</v>
      </c>
      <c r="K292" s="5297">
        <f>F292-J292</f>
        <v>0</v>
      </c>
      <c r="L292" s="5298" t="s">
        <v>6906</v>
      </c>
    </row>
    <row r="293" spans="1:12" ht="30" customHeight="1" x14ac:dyDescent="0.2">
      <c r="A293" s="7654">
        <v>123</v>
      </c>
      <c r="B293" s="7652" t="s">
        <v>1650</v>
      </c>
      <c r="C293" s="7723" t="s">
        <v>1176</v>
      </c>
      <c r="D293" s="4944">
        <v>60000000</v>
      </c>
      <c r="E293" s="5011">
        <v>0.05</v>
      </c>
      <c r="F293" s="4944">
        <f t="shared" si="23"/>
        <v>3000000</v>
      </c>
      <c r="G293" s="7563">
        <v>7000000</v>
      </c>
      <c r="H293" s="7563" t="s">
        <v>7088</v>
      </c>
      <c r="I293" s="7561" t="s">
        <v>2776</v>
      </c>
      <c r="J293" s="7563">
        <f>G293</f>
        <v>7000000</v>
      </c>
      <c r="K293" s="7563">
        <f>(F293+F294+F295)-G293</f>
        <v>0</v>
      </c>
      <c r="L293" s="345" t="s">
        <v>7265</v>
      </c>
    </row>
    <row r="294" spans="1:12" ht="30" customHeight="1" x14ac:dyDescent="0.2">
      <c r="A294" s="7656"/>
      <c r="B294" s="7665"/>
      <c r="C294" s="7747"/>
      <c r="D294" s="4944">
        <v>20000000</v>
      </c>
      <c r="E294" s="5011">
        <v>7.0000000000000007E-2</v>
      </c>
      <c r="F294" s="4944">
        <f t="shared" si="23"/>
        <v>1400000.0000000002</v>
      </c>
      <c r="G294" s="7586"/>
      <c r="H294" s="7586"/>
      <c r="I294" s="7672"/>
      <c r="J294" s="7586"/>
      <c r="K294" s="7586"/>
      <c r="L294" s="735"/>
    </row>
    <row r="295" spans="1:12" ht="30" customHeight="1" x14ac:dyDescent="0.2">
      <c r="A295" s="7656"/>
      <c r="B295" s="7665"/>
      <c r="C295" s="7747"/>
      <c r="D295" s="4944">
        <v>52000000</v>
      </c>
      <c r="E295" s="5011">
        <v>0.05</v>
      </c>
      <c r="F295" s="4944">
        <f>D295*E295</f>
        <v>2600000</v>
      </c>
      <c r="G295" s="7564"/>
      <c r="H295" s="7564"/>
      <c r="I295" s="7562"/>
      <c r="J295" s="7564"/>
      <c r="K295" s="7564"/>
      <c r="L295" s="4982"/>
    </row>
    <row r="296" spans="1:12" ht="30" customHeight="1" x14ac:dyDescent="0.2">
      <c r="A296" s="7655"/>
      <c r="B296" s="7653"/>
      <c r="C296" s="7724"/>
      <c r="D296" s="5586">
        <v>120000000</v>
      </c>
      <c r="E296" s="5652"/>
      <c r="F296" s="5586"/>
      <c r="G296" s="5593"/>
      <c r="H296" s="5593"/>
      <c r="I296" s="5631"/>
      <c r="J296" s="5593"/>
      <c r="K296" s="5593"/>
      <c r="L296" s="5725" t="s">
        <v>7266</v>
      </c>
    </row>
    <row r="297" spans="1:12" ht="30" customHeight="1" x14ac:dyDescent="0.2">
      <c r="A297" s="4957">
        <v>124</v>
      </c>
      <c r="B297" s="5017" t="s">
        <v>250</v>
      </c>
      <c r="C297" s="4989" t="s">
        <v>392</v>
      </c>
      <c r="D297" s="4951">
        <v>800000000</v>
      </c>
      <c r="E297" s="4961">
        <v>6.2E-2</v>
      </c>
      <c r="F297" s="4951">
        <v>50000000</v>
      </c>
      <c r="G297" s="4950">
        <v>50000000</v>
      </c>
      <c r="H297" s="4950" t="s">
        <v>6828</v>
      </c>
      <c r="I297" s="4994" t="s">
        <v>5605</v>
      </c>
      <c r="J297" s="4950">
        <f t="shared" ref="J297:J313" si="26">G297</f>
        <v>50000000</v>
      </c>
      <c r="K297" s="4950">
        <f>F297-J297</f>
        <v>0</v>
      </c>
      <c r="L297" s="5021" t="s">
        <v>5659</v>
      </c>
    </row>
    <row r="298" spans="1:12" ht="30" customHeight="1" x14ac:dyDescent="0.2">
      <c r="A298" s="7654">
        <v>125</v>
      </c>
      <c r="B298" s="7652" t="s">
        <v>251</v>
      </c>
      <c r="C298" s="5016" t="s">
        <v>392</v>
      </c>
      <c r="D298" s="4944">
        <v>200000000</v>
      </c>
      <c r="E298" s="5011">
        <v>0.06</v>
      </c>
      <c r="F298" s="4944">
        <f>D298*E298</f>
        <v>12000000</v>
      </c>
      <c r="G298" s="4944">
        <v>12000000</v>
      </c>
      <c r="H298" s="4944" t="s">
        <v>6785</v>
      </c>
      <c r="I298" s="5020" t="s">
        <v>1630</v>
      </c>
      <c r="J298" s="4944">
        <f t="shared" si="26"/>
        <v>12000000</v>
      </c>
      <c r="K298" s="4944">
        <f t="shared" ref="K298:K313" si="27">F298-J298</f>
        <v>0</v>
      </c>
      <c r="L298" s="5084"/>
    </row>
    <row r="299" spans="1:12" ht="30" customHeight="1" x14ac:dyDescent="0.2">
      <c r="A299" s="7656"/>
      <c r="B299" s="7665"/>
      <c r="C299" s="5016" t="s">
        <v>1287</v>
      </c>
      <c r="D299" s="4944">
        <v>100000000</v>
      </c>
      <c r="E299" s="5011">
        <v>0.06</v>
      </c>
      <c r="F299" s="4944">
        <f>D299*E299</f>
        <v>6000000</v>
      </c>
      <c r="G299" s="4944">
        <v>6000000</v>
      </c>
      <c r="H299" s="4944" t="s">
        <v>7065</v>
      </c>
      <c r="I299" s="5020" t="s">
        <v>1630</v>
      </c>
      <c r="J299" s="4944">
        <f>G299</f>
        <v>6000000</v>
      </c>
      <c r="K299" s="4944">
        <f>F299-J299</f>
        <v>0</v>
      </c>
      <c r="L299" s="4968"/>
    </row>
    <row r="300" spans="1:12" ht="30" customHeight="1" x14ac:dyDescent="0.2">
      <c r="A300" s="7656"/>
      <c r="B300" s="7665"/>
      <c r="C300" s="7723" t="s">
        <v>1081</v>
      </c>
      <c r="D300" s="7563">
        <v>1500000000</v>
      </c>
      <c r="E300" s="7659">
        <v>0.08</v>
      </c>
      <c r="F300" s="7563">
        <f>D300*E300</f>
        <v>120000000</v>
      </c>
      <c r="G300" s="7732" t="s">
        <v>6732</v>
      </c>
      <c r="H300" s="7733"/>
      <c r="I300" s="7733"/>
      <c r="J300" s="7734"/>
      <c r="K300" s="4952"/>
      <c r="L300" s="5084" t="s">
        <v>6687</v>
      </c>
    </row>
    <row r="301" spans="1:12" ht="30" customHeight="1" x14ac:dyDescent="0.2">
      <c r="A301" s="7656"/>
      <c r="B301" s="7665"/>
      <c r="C301" s="7747"/>
      <c r="D301" s="7586"/>
      <c r="E301" s="7676"/>
      <c r="F301" s="7586"/>
      <c r="G301" s="7732" t="s">
        <v>6733</v>
      </c>
      <c r="H301" s="7733"/>
      <c r="I301" s="7733"/>
      <c r="J301" s="7734"/>
      <c r="K301" s="4952"/>
      <c r="L301" s="7818" t="s">
        <v>6722</v>
      </c>
    </row>
    <row r="302" spans="1:12" ht="30" customHeight="1" x14ac:dyDescent="0.2">
      <c r="A302" s="7656"/>
      <c r="B302" s="7665"/>
      <c r="C302" s="7747"/>
      <c r="D302" s="7586"/>
      <c r="E302" s="7676"/>
      <c r="F302" s="7586"/>
      <c r="G302" s="7732" t="s">
        <v>6734</v>
      </c>
      <c r="H302" s="7733"/>
      <c r="I302" s="7733"/>
      <c r="J302" s="7734"/>
      <c r="K302" s="4952"/>
      <c r="L302" s="7855"/>
    </row>
    <row r="303" spans="1:12" ht="30" customHeight="1" x14ac:dyDescent="0.2">
      <c r="A303" s="7656"/>
      <c r="B303" s="7665"/>
      <c r="C303" s="7747"/>
      <c r="D303" s="7586"/>
      <c r="E303" s="7676"/>
      <c r="F303" s="7586"/>
      <c r="G303" s="7732" t="s">
        <v>6735</v>
      </c>
      <c r="H303" s="7733"/>
      <c r="I303" s="7733"/>
      <c r="J303" s="7734"/>
      <c r="K303" s="4952"/>
      <c r="L303" s="7819"/>
    </row>
    <row r="304" spans="1:12" ht="30" customHeight="1" x14ac:dyDescent="0.2">
      <c r="A304" s="7655"/>
      <c r="B304" s="7653"/>
      <c r="C304" s="7724"/>
      <c r="D304" s="7564"/>
      <c r="E304" s="7660"/>
      <c r="F304" s="7564"/>
      <c r="G304" s="5536">
        <v>120000000</v>
      </c>
      <c r="H304" s="5536" t="s">
        <v>7210</v>
      </c>
      <c r="I304" s="5536" t="s">
        <v>7221</v>
      </c>
      <c r="J304" s="5536">
        <f>G304</f>
        <v>120000000</v>
      </c>
      <c r="K304" s="5539">
        <f>F300-J304</f>
        <v>0</v>
      </c>
      <c r="L304" s="5551" t="s">
        <v>6807</v>
      </c>
    </row>
    <row r="305" spans="1:12" ht="30" customHeight="1" x14ac:dyDescent="0.2">
      <c r="A305" s="4971"/>
      <c r="B305" s="5018" t="s">
        <v>4853</v>
      </c>
      <c r="C305" s="4990"/>
      <c r="D305" s="4965">
        <v>100000000</v>
      </c>
      <c r="E305" s="4975"/>
      <c r="F305" s="4965"/>
      <c r="G305" s="233"/>
      <c r="H305" s="233"/>
      <c r="I305" s="233"/>
      <c r="J305" s="233"/>
      <c r="K305" s="4952"/>
      <c r="L305" s="5022"/>
    </row>
    <row r="306" spans="1:12" ht="30" customHeight="1" x14ac:dyDescent="0.2">
      <c r="A306" s="4957"/>
      <c r="B306" s="4954" t="s">
        <v>5492</v>
      </c>
      <c r="C306" s="4989"/>
      <c r="D306" s="4944">
        <v>250000000</v>
      </c>
      <c r="E306" s="5011">
        <v>0.06</v>
      </c>
      <c r="F306" s="4944">
        <f>D306*E306</f>
        <v>15000000</v>
      </c>
      <c r="G306" s="4944">
        <v>15000000</v>
      </c>
      <c r="H306" s="4944" t="s">
        <v>6895</v>
      </c>
      <c r="I306" s="4944" t="s">
        <v>4926</v>
      </c>
      <c r="J306" s="4944">
        <f>G306</f>
        <v>15000000</v>
      </c>
      <c r="K306" s="4952">
        <f>F306-J306</f>
        <v>0</v>
      </c>
      <c r="L306" s="5021" t="s">
        <v>5493</v>
      </c>
    </row>
    <row r="307" spans="1:12" ht="30" customHeight="1" x14ac:dyDescent="0.2">
      <c r="A307" s="4957">
        <v>127</v>
      </c>
      <c r="B307" s="5017" t="s">
        <v>253</v>
      </c>
      <c r="C307" s="5016" t="s">
        <v>889</v>
      </c>
      <c r="D307" s="4944">
        <v>800000000</v>
      </c>
      <c r="E307" s="5011">
        <v>0.05</v>
      </c>
      <c r="F307" s="4944">
        <f t="shared" si="23"/>
        <v>40000000</v>
      </c>
      <c r="G307" s="4944">
        <v>40000000</v>
      </c>
      <c r="H307" s="4944" t="s">
        <v>6789</v>
      </c>
      <c r="I307" s="5020" t="s">
        <v>2540</v>
      </c>
      <c r="J307" s="4944">
        <f t="shared" si="26"/>
        <v>40000000</v>
      </c>
      <c r="K307" s="4944">
        <f t="shared" si="27"/>
        <v>0</v>
      </c>
      <c r="L307" s="5032" t="s">
        <v>6198</v>
      </c>
    </row>
    <row r="308" spans="1:12" ht="30" customHeight="1" x14ac:dyDescent="0.2">
      <c r="A308" s="5014">
        <v>128</v>
      </c>
      <c r="B308" s="4968" t="s">
        <v>254</v>
      </c>
      <c r="C308" s="4990"/>
      <c r="D308" s="4965"/>
      <c r="E308" s="4975"/>
      <c r="F308" s="4965">
        <f t="shared" si="23"/>
        <v>0</v>
      </c>
      <c r="G308" s="4952"/>
      <c r="H308" s="4952"/>
      <c r="I308" s="5071"/>
      <c r="J308" s="4952">
        <f t="shared" si="26"/>
        <v>0</v>
      </c>
      <c r="K308" s="4965">
        <f t="shared" si="27"/>
        <v>0</v>
      </c>
      <c r="L308" s="4968"/>
    </row>
    <row r="309" spans="1:12" ht="30" customHeight="1" x14ac:dyDescent="0.2">
      <c r="A309" s="4970"/>
      <c r="B309" s="5017" t="s">
        <v>5214</v>
      </c>
      <c r="C309" s="345"/>
      <c r="D309" s="4944">
        <v>270000000</v>
      </c>
      <c r="E309" s="5011">
        <v>0.06</v>
      </c>
      <c r="F309" s="4944">
        <v>16000000</v>
      </c>
      <c r="G309" s="4950"/>
      <c r="H309" s="4950"/>
      <c r="I309" s="4966" t="s">
        <v>5314</v>
      </c>
      <c r="J309" s="4950">
        <f>G309</f>
        <v>0</v>
      </c>
      <c r="K309" s="4950">
        <f>F309-J309</f>
        <v>16000000</v>
      </c>
      <c r="L309" s="4981"/>
    </row>
    <row r="310" spans="1:12" ht="30" customHeight="1" x14ac:dyDescent="0.2">
      <c r="A310" s="7885"/>
      <c r="B310" s="7652" t="s">
        <v>1171</v>
      </c>
      <c r="C310" s="7723" t="s">
        <v>1299</v>
      </c>
      <c r="D310" s="4944">
        <v>100000000</v>
      </c>
      <c r="E310" s="5011">
        <v>0.05</v>
      </c>
      <c r="F310" s="4944">
        <f>D310*E310</f>
        <v>5000000</v>
      </c>
      <c r="G310" s="4944"/>
      <c r="H310" s="4944"/>
      <c r="I310" s="4944" t="s">
        <v>1840</v>
      </c>
      <c r="J310" s="4944">
        <f t="shared" si="26"/>
        <v>0</v>
      </c>
      <c r="K310" s="4944">
        <f t="shared" si="27"/>
        <v>5000000</v>
      </c>
      <c r="L310" s="5065"/>
    </row>
    <row r="311" spans="1:12" ht="30" customHeight="1" x14ac:dyDescent="0.2">
      <c r="A311" s="8424"/>
      <c r="B311" s="7665"/>
      <c r="C311" s="7747"/>
      <c r="D311" s="7470" t="s">
        <v>1236</v>
      </c>
      <c r="E311" s="7493"/>
      <c r="F311" s="7510"/>
      <c r="G311" s="5159">
        <v>10000000</v>
      </c>
      <c r="H311" s="5159" t="s">
        <v>6800</v>
      </c>
      <c r="I311" s="5159" t="s">
        <v>1693</v>
      </c>
      <c r="J311" s="5159">
        <f>G311</f>
        <v>10000000</v>
      </c>
      <c r="K311" s="5159"/>
      <c r="L311" s="5170"/>
    </row>
    <row r="312" spans="1:12" ht="30" customHeight="1" x14ac:dyDescent="0.2">
      <c r="A312" s="7886"/>
      <c r="B312" s="7653"/>
      <c r="C312" s="7724"/>
      <c r="D312" s="5159">
        <v>90000000</v>
      </c>
      <c r="E312" s="5163">
        <v>0.05</v>
      </c>
      <c r="F312" s="5159">
        <f>D312*E312</f>
        <v>4500000</v>
      </c>
      <c r="G312" s="5159">
        <v>5800000</v>
      </c>
      <c r="H312" s="5159" t="s">
        <v>7096</v>
      </c>
      <c r="I312" s="5159" t="s">
        <v>1693</v>
      </c>
      <c r="J312" s="5159">
        <f>G312</f>
        <v>5800000</v>
      </c>
      <c r="K312" s="5159"/>
      <c r="L312" s="5170"/>
    </row>
    <row r="313" spans="1:12" ht="30" customHeight="1" x14ac:dyDescent="0.2">
      <c r="A313" s="4957">
        <v>131</v>
      </c>
      <c r="B313" s="5017" t="s">
        <v>256</v>
      </c>
      <c r="C313" s="4989"/>
      <c r="D313" s="4950">
        <v>400000000</v>
      </c>
      <c r="E313" s="4960">
        <v>0.05</v>
      </c>
      <c r="F313" s="4950">
        <f>D313*E313</f>
        <v>20000000</v>
      </c>
      <c r="G313" s="4950">
        <v>20000000</v>
      </c>
      <c r="H313" s="4950" t="s">
        <v>6828</v>
      </c>
      <c r="I313" s="4950" t="s">
        <v>3436</v>
      </c>
      <c r="J313" s="4950">
        <f t="shared" si="26"/>
        <v>20000000</v>
      </c>
      <c r="K313" s="4950">
        <f t="shared" si="27"/>
        <v>0</v>
      </c>
      <c r="L313" s="5032" t="s">
        <v>4013</v>
      </c>
    </row>
    <row r="314" spans="1:12" ht="30" customHeight="1" x14ac:dyDescent="0.2">
      <c r="A314" s="1028"/>
      <c r="B314" s="19" t="s">
        <v>1218</v>
      </c>
      <c r="C314" s="5016" t="s">
        <v>1652</v>
      </c>
      <c r="D314" s="4944">
        <v>490000000</v>
      </c>
      <c r="E314" s="5011">
        <v>0.06</v>
      </c>
      <c r="F314" s="4944">
        <f>D314*E314</f>
        <v>29400000</v>
      </c>
      <c r="G314" s="4944">
        <v>29400000</v>
      </c>
      <c r="H314" s="4944" t="s">
        <v>6793</v>
      </c>
      <c r="I314" s="4944" t="s">
        <v>4897</v>
      </c>
      <c r="J314" s="4944">
        <f t="shared" ref="J314:J319" si="28">G314</f>
        <v>29400000</v>
      </c>
      <c r="K314" s="4944">
        <f>F314-J314</f>
        <v>0</v>
      </c>
      <c r="L314" s="4981"/>
    </row>
    <row r="315" spans="1:12" ht="30" customHeight="1" x14ac:dyDescent="0.2">
      <c r="A315" s="5014">
        <v>133</v>
      </c>
      <c r="B315" s="4956" t="s">
        <v>175</v>
      </c>
      <c r="C315" s="4990" t="s">
        <v>1718</v>
      </c>
      <c r="D315" s="4952">
        <v>100000000</v>
      </c>
      <c r="E315" s="4962">
        <v>0.05</v>
      </c>
      <c r="F315" s="4952">
        <f t="shared" ref="F315:F408" si="29">D315*E315</f>
        <v>5000000</v>
      </c>
      <c r="G315" s="4952">
        <v>5000000</v>
      </c>
      <c r="H315" s="4952" t="s">
        <v>6895</v>
      </c>
      <c r="I315" s="5071" t="s">
        <v>4412</v>
      </c>
      <c r="J315" s="4952">
        <f t="shared" si="28"/>
        <v>5000000</v>
      </c>
      <c r="K315" s="4952">
        <f>F315-J315</f>
        <v>0</v>
      </c>
      <c r="L315" s="4981"/>
    </row>
    <row r="316" spans="1:12" ht="30" customHeight="1" x14ac:dyDescent="0.2">
      <c r="A316" s="4957">
        <v>134</v>
      </c>
      <c r="B316" s="5017" t="s">
        <v>166</v>
      </c>
      <c r="C316" s="5016" t="s">
        <v>1652</v>
      </c>
      <c r="D316" s="4944">
        <v>110000000</v>
      </c>
      <c r="E316" s="5011">
        <v>0.04</v>
      </c>
      <c r="F316" s="4944">
        <f t="shared" si="29"/>
        <v>4400000</v>
      </c>
      <c r="G316" s="4952">
        <v>4400000</v>
      </c>
      <c r="H316" s="4952" t="s">
        <v>6895</v>
      </c>
      <c r="I316" s="5071" t="s">
        <v>4099</v>
      </c>
      <c r="J316" s="4944">
        <f t="shared" si="28"/>
        <v>4400000</v>
      </c>
      <c r="K316" s="4950">
        <f>F316-J316</f>
        <v>0</v>
      </c>
      <c r="L316" s="5005"/>
    </row>
    <row r="317" spans="1:12" ht="30" customHeight="1" x14ac:dyDescent="0.2">
      <c r="A317" s="7654">
        <v>135</v>
      </c>
      <c r="B317" s="7652" t="s">
        <v>4363</v>
      </c>
      <c r="C317" s="7723" t="s">
        <v>1299</v>
      </c>
      <c r="D317" s="7563">
        <v>124000000</v>
      </c>
      <c r="E317" s="7659">
        <v>4.9000000000000002E-2</v>
      </c>
      <c r="F317" s="7563">
        <v>6000000</v>
      </c>
      <c r="G317" s="5500">
        <v>6000000</v>
      </c>
      <c r="H317" s="5500" t="s">
        <v>3116</v>
      </c>
      <c r="I317" s="1706" t="s">
        <v>1549</v>
      </c>
      <c r="J317" s="5500">
        <f t="shared" si="28"/>
        <v>6000000</v>
      </c>
      <c r="K317" s="4944">
        <f>F317-J317</f>
        <v>0</v>
      </c>
      <c r="L317" s="5095" t="s">
        <v>6540</v>
      </c>
    </row>
    <row r="318" spans="1:12" ht="30" customHeight="1" x14ac:dyDescent="0.2">
      <c r="A318" s="7656"/>
      <c r="B318" s="7665"/>
      <c r="C318" s="7724"/>
      <c r="D318" s="7564"/>
      <c r="E318" s="7660"/>
      <c r="F318" s="7564"/>
      <c r="G318" s="5497">
        <v>6000000</v>
      </c>
      <c r="H318" s="5497" t="s">
        <v>7067</v>
      </c>
      <c r="I318" s="5507" t="s">
        <v>1549</v>
      </c>
      <c r="J318" s="5497">
        <f t="shared" si="28"/>
        <v>6000000</v>
      </c>
      <c r="K318" s="5497">
        <f>F317-J318</f>
        <v>0</v>
      </c>
      <c r="L318" s="5514"/>
    </row>
    <row r="319" spans="1:12" ht="30" customHeight="1" x14ac:dyDescent="0.2">
      <c r="A319" s="7656"/>
      <c r="B319" s="7665"/>
      <c r="C319" s="5016" t="s">
        <v>392</v>
      </c>
      <c r="D319" s="4944">
        <v>100000000</v>
      </c>
      <c r="E319" s="5011">
        <v>0.05</v>
      </c>
      <c r="F319" s="4944">
        <f>D319*E319</f>
        <v>5000000</v>
      </c>
      <c r="G319" s="7482">
        <v>11250000</v>
      </c>
      <c r="H319" s="7482" t="s">
        <v>6785</v>
      </c>
      <c r="I319" s="8495" t="s">
        <v>1549</v>
      </c>
      <c r="J319" s="7482">
        <f t="shared" si="28"/>
        <v>11250000</v>
      </c>
      <c r="K319" s="7482"/>
      <c r="L319" s="5133" t="s">
        <v>6542</v>
      </c>
    </row>
    <row r="320" spans="1:12" ht="30" customHeight="1" x14ac:dyDescent="0.2">
      <c r="A320" s="7656"/>
      <c r="B320" s="7665"/>
      <c r="C320" s="5016" t="s">
        <v>392</v>
      </c>
      <c r="D320" s="4944">
        <v>100000000</v>
      </c>
      <c r="E320" s="5011">
        <v>0.05</v>
      </c>
      <c r="F320" s="4944">
        <f>D320*E320</f>
        <v>5000000</v>
      </c>
      <c r="G320" s="7482"/>
      <c r="H320" s="7482"/>
      <c r="I320" s="8495"/>
      <c r="J320" s="7482"/>
      <c r="K320" s="7482"/>
      <c r="L320" s="5133" t="s">
        <v>6541</v>
      </c>
    </row>
    <row r="321" spans="1:12" ht="30" customHeight="1" x14ac:dyDescent="0.2">
      <c r="A321" s="7655"/>
      <c r="B321" s="7653"/>
      <c r="C321" s="5016" t="s">
        <v>392</v>
      </c>
      <c r="D321" s="4944">
        <v>50000000</v>
      </c>
      <c r="E321" s="5011">
        <v>0.05</v>
      </c>
      <c r="F321" s="4944">
        <f>D321*E321</f>
        <v>2500000</v>
      </c>
      <c r="G321" s="7482"/>
      <c r="H321" s="7482"/>
      <c r="I321" s="8495"/>
      <c r="J321" s="7482"/>
      <c r="K321" s="7482"/>
      <c r="L321" s="4982" t="s">
        <v>6543</v>
      </c>
    </row>
    <row r="322" spans="1:12" ht="30" customHeight="1" x14ac:dyDescent="0.2">
      <c r="A322" s="4970">
        <v>136</v>
      </c>
      <c r="B322" s="4968" t="s">
        <v>4002</v>
      </c>
      <c r="C322" s="5016"/>
      <c r="D322" s="4953"/>
      <c r="E322" s="2519"/>
      <c r="F322" s="4953">
        <f t="shared" si="29"/>
        <v>0</v>
      </c>
      <c r="G322" s="4944"/>
      <c r="H322" s="4944"/>
      <c r="I322" s="4979" t="s">
        <v>3968</v>
      </c>
      <c r="J322" s="4944">
        <f>G322</f>
        <v>0</v>
      </c>
      <c r="K322" s="4953">
        <f>F322-J322</f>
        <v>0</v>
      </c>
      <c r="L322" s="4981"/>
    </row>
    <row r="323" spans="1:12" ht="30" customHeight="1" x14ac:dyDescent="0.2">
      <c r="A323" s="4957"/>
      <c r="B323" s="4954" t="s">
        <v>257</v>
      </c>
      <c r="C323" s="4992" t="s">
        <v>1652</v>
      </c>
      <c r="D323" s="4952">
        <v>100000000</v>
      </c>
      <c r="E323" s="5011">
        <v>0.05</v>
      </c>
      <c r="F323" s="4952">
        <f>D323*E323</f>
        <v>5000000</v>
      </c>
      <c r="G323" s="4951">
        <v>5000000</v>
      </c>
      <c r="H323" s="4951" t="s">
        <v>6895</v>
      </c>
      <c r="I323" s="1610" t="s">
        <v>6903</v>
      </c>
      <c r="J323" s="4951">
        <f>G323</f>
        <v>5000000</v>
      </c>
      <c r="K323" s="4951">
        <f>F323-J323</f>
        <v>0</v>
      </c>
      <c r="L323" s="5032"/>
    </row>
    <row r="324" spans="1:12" ht="30" customHeight="1" x14ac:dyDescent="0.2">
      <c r="A324" s="7654"/>
      <c r="B324" s="7652" t="s">
        <v>179</v>
      </c>
      <c r="C324" s="7723" t="s">
        <v>1176</v>
      </c>
      <c r="D324" s="4944">
        <v>80000000</v>
      </c>
      <c r="E324" s="5011">
        <v>0.05</v>
      </c>
      <c r="F324" s="4944">
        <f>D324*E324</f>
        <v>4000000</v>
      </c>
      <c r="G324" s="7563">
        <v>6100000</v>
      </c>
      <c r="H324" s="7563" t="s">
        <v>6895</v>
      </c>
      <c r="I324" s="7563" t="s">
        <v>1711</v>
      </c>
      <c r="J324" s="7563">
        <f>G324</f>
        <v>6100000</v>
      </c>
      <c r="K324" s="7563">
        <f>(F324+F325)-J324</f>
        <v>0</v>
      </c>
      <c r="L324" s="7713"/>
    </row>
    <row r="325" spans="1:12" ht="30" customHeight="1" x14ac:dyDescent="0.2">
      <c r="A325" s="7655"/>
      <c r="B325" s="7653"/>
      <c r="C325" s="7724"/>
      <c r="D325" s="4950">
        <v>30000000</v>
      </c>
      <c r="E325" s="4960">
        <v>7.0000000000000007E-2</v>
      </c>
      <c r="F325" s="4950">
        <f>D325*E325</f>
        <v>2100000</v>
      </c>
      <c r="G325" s="7564"/>
      <c r="H325" s="7564"/>
      <c r="I325" s="7564"/>
      <c r="J325" s="7564"/>
      <c r="K325" s="7564"/>
      <c r="L325" s="7714"/>
    </row>
    <row r="326" spans="1:12" ht="30" customHeight="1" x14ac:dyDescent="0.2">
      <c r="A326" s="7879">
        <v>138</v>
      </c>
      <c r="B326" s="7717" t="s">
        <v>259</v>
      </c>
      <c r="C326" s="7873" t="s">
        <v>1172</v>
      </c>
      <c r="D326" s="7482">
        <v>1500000000</v>
      </c>
      <c r="E326" s="7659">
        <v>7.0000000000000007E-2</v>
      </c>
      <c r="F326" s="7563">
        <f>D326*E326</f>
        <v>105000000.00000001</v>
      </c>
      <c r="G326" s="5184">
        <v>55000000</v>
      </c>
      <c r="H326" s="5184" t="s">
        <v>6828</v>
      </c>
      <c r="I326" s="4944" t="s">
        <v>529</v>
      </c>
      <c r="J326" s="7563">
        <f>G326+G327</f>
        <v>105000000</v>
      </c>
      <c r="K326" s="7563">
        <f>F326-J326</f>
        <v>0</v>
      </c>
      <c r="L326" s="180"/>
    </row>
    <row r="327" spans="1:12" ht="30" customHeight="1" x14ac:dyDescent="0.2">
      <c r="A327" s="7879"/>
      <c r="B327" s="7717"/>
      <c r="C327" s="7873"/>
      <c r="D327" s="7482"/>
      <c r="E327" s="7660"/>
      <c r="F327" s="7564"/>
      <c r="G327" s="5184">
        <v>50000000</v>
      </c>
      <c r="H327" s="5184" t="s">
        <v>6895</v>
      </c>
      <c r="I327" s="4944" t="s">
        <v>529</v>
      </c>
      <c r="J327" s="7564"/>
      <c r="K327" s="7564"/>
      <c r="L327" s="180" t="s">
        <v>4811</v>
      </c>
    </row>
    <row r="328" spans="1:12" ht="30" customHeight="1" x14ac:dyDescent="0.2">
      <c r="A328" s="5014">
        <v>139</v>
      </c>
      <c r="B328" s="19" t="s">
        <v>160</v>
      </c>
      <c r="C328" s="4990" t="s">
        <v>1718</v>
      </c>
      <c r="D328" s="4944">
        <v>110000000</v>
      </c>
      <c r="E328" s="5011">
        <v>0.05</v>
      </c>
      <c r="F328" s="4944">
        <f t="shared" si="29"/>
        <v>5500000</v>
      </c>
      <c r="G328" s="4952">
        <v>5500000</v>
      </c>
      <c r="H328" s="4952" t="s">
        <v>6828</v>
      </c>
      <c r="I328" s="26" t="s">
        <v>2757</v>
      </c>
      <c r="J328" s="4944">
        <f>G328</f>
        <v>5500000</v>
      </c>
      <c r="K328" s="4944">
        <f>F328-J328</f>
        <v>0</v>
      </c>
      <c r="L328" s="19"/>
    </row>
    <row r="329" spans="1:12" ht="30" customHeight="1" x14ac:dyDescent="0.2">
      <c r="A329" s="5014"/>
      <c r="B329" s="19" t="s">
        <v>2270</v>
      </c>
      <c r="C329" s="4990" t="s">
        <v>262</v>
      </c>
      <c r="D329" s="4944">
        <v>50000000</v>
      </c>
      <c r="E329" s="5011">
        <v>0.05</v>
      </c>
      <c r="F329" s="4944">
        <f>D329*E329</f>
        <v>2500000</v>
      </c>
      <c r="G329" s="4952">
        <v>2500000</v>
      </c>
      <c r="H329" s="4952" t="s">
        <v>7020</v>
      </c>
      <c r="I329" s="26" t="s">
        <v>2757</v>
      </c>
      <c r="J329" s="4944">
        <f>G329</f>
        <v>2500000</v>
      </c>
      <c r="K329" s="4944">
        <f>F329-J329</f>
        <v>0</v>
      </c>
      <c r="L329" s="19"/>
    </row>
    <row r="330" spans="1:12" ht="30" customHeight="1" x14ac:dyDescent="0.2">
      <c r="A330" s="5014">
        <v>140</v>
      </c>
      <c r="B330" s="19" t="s">
        <v>533</v>
      </c>
      <c r="C330" s="5016" t="s">
        <v>372</v>
      </c>
      <c r="D330" s="4944">
        <v>150000000</v>
      </c>
      <c r="E330" s="5011">
        <v>0.04</v>
      </c>
      <c r="F330" s="4944">
        <f t="shared" si="29"/>
        <v>6000000</v>
      </c>
      <c r="G330" s="4952">
        <v>6000000</v>
      </c>
      <c r="H330" s="4952" t="s">
        <v>6895</v>
      </c>
      <c r="I330" s="18" t="s">
        <v>2682</v>
      </c>
      <c r="J330" s="4952">
        <f>G330</f>
        <v>6000000</v>
      </c>
      <c r="K330" s="4952">
        <f>F330-J330</f>
        <v>0</v>
      </c>
      <c r="L330" s="5048"/>
    </row>
    <row r="331" spans="1:12" ht="30" customHeight="1" x14ac:dyDescent="0.2">
      <c r="A331" s="1028">
        <v>141</v>
      </c>
      <c r="B331" s="19" t="s">
        <v>7</v>
      </c>
      <c r="C331" s="5016"/>
      <c r="D331" s="4944">
        <v>30000000</v>
      </c>
      <c r="E331" s="5011">
        <v>0.05</v>
      </c>
      <c r="F331" s="4944">
        <f t="shared" si="29"/>
        <v>1500000</v>
      </c>
      <c r="G331" s="4952"/>
      <c r="H331" s="4952"/>
      <c r="I331" s="5071" t="s">
        <v>535</v>
      </c>
      <c r="J331" s="4952">
        <f>G331</f>
        <v>0</v>
      </c>
      <c r="K331" s="4952">
        <f>F331-J331</f>
        <v>1500000</v>
      </c>
      <c r="L331" s="4981"/>
    </row>
    <row r="332" spans="1:12" ht="30" customHeight="1" x14ac:dyDescent="0.2">
      <c r="A332" s="7654">
        <v>142</v>
      </c>
      <c r="B332" s="7652" t="s">
        <v>8</v>
      </c>
      <c r="C332" s="7723"/>
      <c r="D332" s="7563">
        <v>2000000000</v>
      </c>
      <c r="E332" s="7659">
        <v>0.08</v>
      </c>
      <c r="F332" s="7563">
        <f>D332*E332</f>
        <v>160000000</v>
      </c>
      <c r="G332" s="4944">
        <v>40000000</v>
      </c>
      <c r="H332" s="4944" t="s">
        <v>6800</v>
      </c>
      <c r="I332" s="5234" t="s">
        <v>1937</v>
      </c>
      <c r="J332" s="7482">
        <f>G332+G333</f>
        <v>60000000</v>
      </c>
      <c r="K332" s="7482">
        <f>F332-J332</f>
        <v>100000000</v>
      </c>
      <c r="L332" s="637" t="s">
        <v>6805</v>
      </c>
    </row>
    <row r="333" spans="1:12" ht="30" customHeight="1" x14ac:dyDescent="0.2">
      <c r="A333" s="7656"/>
      <c r="B333" s="7665"/>
      <c r="C333" s="7747"/>
      <c r="D333" s="7586"/>
      <c r="E333" s="7676"/>
      <c r="F333" s="7586"/>
      <c r="G333" s="4944">
        <v>20000000</v>
      </c>
      <c r="H333" s="4944" t="s">
        <v>6828</v>
      </c>
      <c r="I333" s="4944" t="s">
        <v>1937</v>
      </c>
      <c r="J333" s="7482"/>
      <c r="K333" s="7482"/>
      <c r="L333" s="180" t="s">
        <v>6872</v>
      </c>
    </row>
    <row r="334" spans="1:12" ht="30" customHeight="1" x14ac:dyDescent="0.2">
      <c r="A334" s="7656"/>
      <c r="B334" s="7665"/>
      <c r="C334" s="7747"/>
      <c r="D334" s="7586"/>
      <c r="E334" s="7676"/>
      <c r="F334" s="7586"/>
      <c r="G334" s="5034">
        <v>30000000</v>
      </c>
      <c r="H334" s="5034" t="s">
        <v>6932</v>
      </c>
      <c r="I334" s="4841" t="s">
        <v>1937</v>
      </c>
      <c r="J334" s="7563"/>
      <c r="K334" s="7563"/>
      <c r="L334" s="180" t="s">
        <v>6955</v>
      </c>
    </row>
    <row r="335" spans="1:12" ht="30" customHeight="1" x14ac:dyDescent="0.2">
      <c r="A335" s="7656"/>
      <c r="B335" s="7665"/>
      <c r="C335" s="7747"/>
      <c r="D335" s="7586"/>
      <c r="E335" s="7676"/>
      <c r="F335" s="7586"/>
      <c r="G335" s="5034">
        <v>30000000</v>
      </c>
      <c r="H335" s="5034" t="s">
        <v>6932</v>
      </c>
      <c r="I335" s="4858" t="s">
        <v>1937</v>
      </c>
      <c r="J335" s="7586"/>
      <c r="K335" s="7586"/>
      <c r="L335" s="180" t="s">
        <v>6956</v>
      </c>
    </row>
    <row r="336" spans="1:12" ht="30" customHeight="1" x14ac:dyDescent="0.2">
      <c r="A336" s="7656"/>
      <c r="B336" s="7665"/>
      <c r="C336" s="7747"/>
      <c r="D336" s="7586"/>
      <c r="E336" s="7676"/>
      <c r="F336" s="7586"/>
      <c r="G336" s="5034">
        <v>2000000</v>
      </c>
      <c r="H336" s="5034" t="s">
        <v>7067</v>
      </c>
      <c r="I336" s="1455" t="s">
        <v>1937</v>
      </c>
      <c r="J336" s="7586"/>
      <c r="K336" s="7586"/>
      <c r="L336" s="180" t="s">
        <v>6621</v>
      </c>
    </row>
    <row r="337" spans="1:12" ht="30" customHeight="1" x14ac:dyDescent="0.2">
      <c r="A337" s="7656"/>
      <c r="B337" s="7665"/>
      <c r="C337" s="7747"/>
      <c r="D337" s="7586"/>
      <c r="E337" s="7676"/>
      <c r="F337" s="7586"/>
      <c r="G337" s="5034"/>
      <c r="H337" s="5034"/>
      <c r="I337" s="1455"/>
      <c r="J337" s="7586"/>
      <c r="K337" s="7586"/>
      <c r="L337" s="5032"/>
    </row>
    <row r="338" spans="1:12" ht="30" customHeight="1" x14ac:dyDescent="0.2">
      <c r="A338" s="7655"/>
      <c r="B338" s="7653"/>
      <c r="C338" s="7724"/>
      <c r="D338" s="7564"/>
      <c r="E338" s="7660"/>
      <c r="F338" s="7564"/>
      <c r="G338" s="5034"/>
      <c r="H338" s="5034"/>
      <c r="I338" s="1455"/>
      <c r="J338" s="7564"/>
      <c r="K338" s="7564"/>
      <c r="L338" s="5032"/>
    </row>
    <row r="339" spans="1:12" ht="30" customHeight="1" x14ac:dyDescent="0.2">
      <c r="A339" s="5014">
        <v>143</v>
      </c>
      <c r="B339" s="4968" t="s">
        <v>4146</v>
      </c>
      <c r="C339" s="5016"/>
      <c r="D339" s="4944">
        <v>50000000</v>
      </c>
      <c r="E339" s="5011">
        <v>0.04</v>
      </c>
      <c r="F339" s="4944">
        <f t="shared" si="29"/>
        <v>2000000</v>
      </c>
      <c r="G339" s="4944">
        <v>2000000</v>
      </c>
      <c r="H339" s="4944" t="s">
        <v>6792</v>
      </c>
      <c r="I339" s="26" t="s">
        <v>6231</v>
      </c>
      <c r="J339" s="4944">
        <f>G339</f>
        <v>2000000</v>
      </c>
      <c r="K339" s="4944">
        <f t="shared" ref="K339:K356" si="30">F339-J339</f>
        <v>0</v>
      </c>
      <c r="L339" s="5048" t="s">
        <v>4925</v>
      </c>
    </row>
    <row r="340" spans="1:12" ht="30" customHeight="1" x14ac:dyDescent="0.2">
      <c r="A340" s="5014">
        <v>144</v>
      </c>
      <c r="B340" s="4968" t="s">
        <v>514</v>
      </c>
      <c r="C340" s="4990"/>
      <c r="D340" s="4952">
        <v>5000000</v>
      </c>
      <c r="E340" s="5011">
        <v>0.05</v>
      </c>
      <c r="F340" s="4952">
        <f t="shared" si="29"/>
        <v>250000</v>
      </c>
      <c r="G340" s="4952">
        <v>500000</v>
      </c>
      <c r="H340" s="4952" t="s">
        <v>6773</v>
      </c>
      <c r="I340" s="5071" t="s">
        <v>516</v>
      </c>
      <c r="J340" s="4952">
        <f>G340</f>
        <v>500000</v>
      </c>
      <c r="K340" s="4952">
        <f t="shared" si="30"/>
        <v>-250000</v>
      </c>
      <c r="L340" s="5103" t="s">
        <v>6776</v>
      </c>
    </row>
    <row r="341" spans="1:12" ht="30" customHeight="1" x14ac:dyDescent="0.2">
      <c r="A341" s="5014">
        <v>145</v>
      </c>
      <c r="B341" s="4968" t="s">
        <v>10</v>
      </c>
      <c r="C341" s="4990" t="s">
        <v>1172</v>
      </c>
      <c r="D341" s="4952">
        <v>100000000</v>
      </c>
      <c r="E341" s="5011">
        <v>0.05</v>
      </c>
      <c r="F341" s="4952">
        <f t="shared" si="29"/>
        <v>5000000</v>
      </c>
      <c r="G341" s="4952">
        <v>5000000</v>
      </c>
      <c r="H341" s="4952" t="s">
        <v>6828</v>
      </c>
      <c r="I341" s="18" t="s">
        <v>3525</v>
      </c>
      <c r="J341" s="4952">
        <f>G341</f>
        <v>5000000</v>
      </c>
      <c r="K341" s="4952">
        <f t="shared" si="30"/>
        <v>0</v>
      </c>
      <c r="L341" s="4968"/>
    </row>
    <row r="342" spans="1:12" ht="30" customHeight="1" x14ac:dyDescent="0.2">
      <c r="A342" s="5014">
        <v>146</v>
      </c>
      <c r="B342" s="4968" t="s">
        <v>11</v>
      </c>
      <c r="C342" s="4990"/>
      <c r="D342" s="4952">
        <v>50000000</v>
      </c>
      <c r="E342" s="5011">
        <v>4.4999999999999998E-2</v>
      </c>
      <c r="F342" s="4952">
        <f t="shared" si="29"/>
        <v>2250000</v>
      </c>
      <c r="G342" s="4952"/>
      <c r="H342" s="4952"/>
      <c r="I342" s="5071"/>
      <c r="J342" s="4952"/>
      <c r="K342" s="4952">
        <f t="shared" si="30"/>
        <v>2250000</v>
      </c>
      <c r="L342" s="4968"/>
    </row>
    <row r="343" spans="1:12" ht="30" customHeight="1" x14ac:dyDescent="0.2">
      <c r="A343" s="7654">
        <v>147</v>
      </c>
      <c r="B343" s="7652" t="s">
        <v>12</v>
      </c>
      <c r="C343" s="7723" t="s">
        <v>1295</v>
      </c>
      <c r="D343" s="4952">
        <v>60000000</v>
      </c>
      <c r="E343" s="5011">
        <v>0.05</v>
      </c>
      <c r="F343" s="4952">
        <f t="shared" si="29"/>
        <v>3000000</v>
      </c>
      <c r="G343" s="7563">
        <v>6500000</v>
      </c>
      <c r="H343" s="7563" t="s">
        <v>6773</v>
      </c>
      <c r="I343" s="8115" t="s">
        <v>4843</v>
      </c>
      <c r="J343" s="7563">
        <f>G343</f>
        <v>6500000</v>
      </c>
      <c r="K343" s="7563">
        <f>(F343+F344)-G343</f>
        <v>0</v>
      </c>
      <c r="L343" s="5047"/>
    </row>
    <row r="344" spans="1:12" ht="30" customHeight="1" x14ac:dyDescent="0.2">
      <c r="A344" s="7655"/>
      <c r="B344" s="7653"/>
      <c r="C344" s="7724"/>
      <c r="D344" s="4952">
        <v>70000000</v>
      </c>
      <c r="E344" s="5011">
        <v>0.05</v>
      </c>
      <c r="F344" s="4952">
        <f t="shared" si="29"/>
        <v>3500000</v>
      </c>
      <c r="G344" s="7564"/>
      <c r="H344" s="7564"/>
      <c r="I344" s="8116"/>
      <c r="J344" s="7564"/>
      <c r="K344" s="7564"/>
      <c r="L344" s="5084"/>
    </row>
    <row r="345" spans="1:12" ht="30" customHeight="1" x14ac:dyDescent="0.2">
      <c r="A345" s="4957">
        <v>148</v>
      </c>
      <c r="B345" s="5017" t="s">
        <v>13</v>
      </c>
      <c r="C345" s="5016" t="s">
        <v>371</v>
      </c>
      <c r="D345" s="4944">
        <v>50000000</v>
      </c>
      <c r="E345" s="5011">
        <v>0.05</v>
      </c>
      <c r="F345" s="4944">
        <f t="shared" si="29"/>
        <v>2500000</v>
      </c>
      <c r="G345" s="4944">
        <v>2500000</v>
      </c>
      <c r="H345" s="4944" t="s">
        <v>7013</v>
      </c>
      <c r="I345" s="5020" t="s">
        <v>1401</v>
      </c>
      <c r="J345" s="4944">
        <f t="shared" ref="J345:J355" si="31">G345</f>
        <v>2500000</v>
      </c>
      <c r="K345" s="4944">
        <f t="shared" si="30"/>
        <v>0</v>
      </c>
      <c r="L345" s="5084"/>
    </row>
    <row r="346" spans="1:12" ht="30" customHeight="1" x14ac:dyDescent="0.2">
      <c r="A346" s="7654">
        <v>149</v>
      </c>
      <c r="B346" s="7652" t="s">
        <v>14</v>
      </c>
      <c r="C346" s="7723" t="s">
        <v>1291</v>
      </c>
      <c r="D346" s="4944">
        <v>80000000</v>
      </c>
      <c r="E346" s="5011">
        <v>0.05</v>
      </c>
      <c r="F346" s="4944">
        <f t="shared" si="29"/>
        <v>4000000</v>
      </c>
      <c r="G346" s="4944">
        <v>4000000</v>
      </c>
      <c r="H346" s="4944" t="s">
        <v>7065</v>
      </c>
      <c r="I346" s="26" t="s">
        <v>2580</v>
      </c>
      <c r="J346" s="4944">
        <f t="shared" si="31"/>
        <v>4000000</v>
      </c>
      <c r="K346" s="4944">
        <f t="shared" si="30"/>
        <v>0</v>
      </c>
      <c r="L346" s="5084" t="s">
        <v>7157</v>
      </c>
    </row>
    <row r="347" spans="1:12" ht="30" customHeight="1" x14ac:dyDescent="0.2">
      <c r="A347" s="7655"/>
      <c r="B347" s="7653"/>
      <c r="C347" s="7724"/>
      <c r="D347" s="5477">
        <v>30000000</v>
      </c>
      <c r="E347" s="5487">
        <v>0.05</v>
      </c>
      <c r="F347" s="5477">
        <f t="shared" si="29"/>
        <v>1500000</v>
      </c>
      <c r="G347" s="7732" t="s">
        <v>7155</v>
      </c>
      <c r="H347" s="7733"/>
      <c r="I347" s="7733"/>
      <c r="J347" s="7734"/>
      <c r="K347" s="5472"/>
      <c r="L347" s="5480" t="s">
        <v>7156</v>
      </c>
    </row>
    <row r="348" spans="1:12" ht="30" customHeight="1" x14ac:dyDescent="0.2">
      <c r="A348" s="5014">
        <v>150</v>
      </c>
      <c r="B348" s="4968" t="s">
        <v>15</v>
      </c>
      <c r="C348" s="4990" t="s">
        <v>1294</v>
      </c>
      <c r="D348" s="4952">
        <v>160000000</v>
      </c>
      <c r="E348" s="5011">
        <v>0.04</v>
      </c>
      <c r="F348" s="4952">
        <f t="shared" si="29"/>
        <v>6400000</v>
      </c>
      <c r="G348" s="4952">
        <v>6400000</v>
      </c>
      <c r="H348" s="4952" t="s">
        <v>7065</v>
      </c>
      <c r="I348" s="5071" t="s">
        <v>2986</v>
      </c>
      <c r="J348" s="4952">
        <f t="shared" si="31"/>
        <v>6400000</v>
      </c>
      <c r="K348" s="4952">
        <f t="shared" si="30"/>
        <v>0</v>
      </c>
      <c r="L348" s="4981"/>
    </row>
    <row r="349" spans="1:12" ht="30" customHeight="1" x14ac:dyDescent="0.2">
      <c r="A349" s="7654">
        <v>151</v>
      </c>
      <c r="B349" s="7652" t="s">
        <v>16</v>
      </c>
      <c r="C349" s="7723" t="s">
        <v>3390</v>
      </c>
      <c r="D349" s="4952">
        <v>180000000</v>
      </c>
      <c r="E349" s="5011">
        <v>0.05</v>
      </c>
      <c r="F349" s="4952">
        <f t="shared" si="29"/>
        <v>9000000</v>
      </c>
      <c r="G349" s="7625">
        <v>10000000</v>
      </c>
      <c r="H349" s="7625" t="s">
        <v>3116</v>
      </c>
      <c r="I349" s="8493" t="s">
        <v>2149</v>
      </c>
      <c r="J349" s="7625">
        <f>G349</f>
        <v>10000000</v>
      </c>
      <c r="K349" s="7625">
        <f>F353-J349</f>
        <v>0</v>
      </c>
      <c r="L349" s="5107" t="s">
        <v>6557</v>
      </c>
    </row>
    <row r="350" spans="1:12" ht="30" customHeight="1" x14ac:dyDescent="0.2">
      <c r="A350" s="7656"/>
      <c r="B350" s="7665"/>
      <c r="C350" s="7747"/>
      <c r="D350" s="4952">
        <v>9000000</v>
      </c>
      <c r="E350" s="5011">
        <v>0.05</v>
      </c>
      <c r="F350" s="4952">
        <f t="shared" si="29"/>
        <v>450000</v>
      </c>
      <c r="G350" s="7625"/>
      <c r="H350" s="7625"/>
      <c r="I350" s="8493"/>
      <c r="J350" s="7625"/>
      <c r="K350" s="7625"/>
      <c r="L350" s="4968"/>
    </row>
    <row r="351" spans="1:12" ht="30" customHeight="1" x14ac:dyDescent="0.2">
      <c r="A351" s="7656"/>
      <c r="B351" s="7665"/>
      <c r="C351" s="7747"/>
      <c r="D351" s="4952">
        <v>10000000</v>
      </c>
      <c r="E351" s="5011">
        <v>0.05</v>
      </c>
      <c r="F351" s="4952">
        <f t="shared" si="29"/>
        <v>500000</v>
      </c>
      <c r="G351" s="7563">
        <v>10000000</v>
      </c>
      <c r="H351" s="7563" t="s">
        <v>7067</v>
      </c>
      <c r="I351" s="7772" t="s">
        <v>2149</v>
      </c>
      <c r="J351" s="7563">
        <f>G351</f>
        <v>10000000</v>
      </c>
      <c r="K351" s="7563">
        <f>F353-J351</f>
        <v>0</v>
      </c>
      <c r="L351" s="5107" t="s">
        <v>6558</v>
      </c>
    </row>
    <row r="352" spans="1:12" ht="30" customHeight="1" x14ac:dyDescent="0.2">
      <c r="A352" s="7656"/>
      <c r="B352" s="7665"/>
      <c r="C352" s="7747"/>
      <c r="D352" s="4952">
        <v>1000000</v>
      </c>
      <c r="E352" s="5011">
        <v>0.05</v>
      </c>
      <c r="F352" s="4952">
        <f t="shared" si="29"/>
        <v>50000</v>
      </c>
      <c r="G352" s="7586"/>
      <c r="H352" s="7586"/>
      <c r="I352" s="8185"/>
      <c r="J352" s="7586"/>
      <c r="K352" s="7586"/>
      <c r="L352" s="4968"/>
    </row>
    <row r="353" spans="1:16" ht="30" customHeight="1" x14ac:dyDescent="0.2">
      <c r="A353" s="7655"/>
      <c r="B353" s="7653"/>
      <c r="C353" s="7724"/>
      <c r="D353" s="4988">
        <v>200000000</v>
      </c>
      <c r="E353" s="5083">
        <v>0.05</v>
      </c>
      <c r="F353" s="4988">
        <f>D353*E353</f>
        <v>10000000</v>
      </c>
      <c r="G353" s="7564"/>
      <c r="H353" s="7564"/>
      <c r="I353" s="7773"/>
      <c r="J353" s="7564"/>
      <c r="K353" s="7564"/>
      <c r="L353" s="5084" t="s">
        <v>5595</v>
      </c>
    </row>
    <row r="354" spans="1:16" ht="30" customHeight="1" x14ac:dyDescent="0.2">
      <c r="A354" s="5014">
        <v>153</v>
      </c>
      <c r="B354" s="4968" t="s">
        <v>17</v>
      </c>
      <c r="C354" s="4990" t="s">
        <v>1299</v>
      </c>
      <c r="D354" s="4952">
        <v>30000000</v>
      </c>
      <c r="E354" s="5011">
        <v>0.05</v>
      </c>
      <c r="F354" s="4952">
        <f t="shared" si="29"/>
        <v>1500000</v>
      </c>
      <c r="G354" s="4952">
        <v>1500000</v>
      </c>
      <c r="H354" s="4952" t="s">
        <v>7198</v>
      </c>
      <c r="I354" s="5071" t="s">
        <v>1143</v>
      </c>
      <c r="J354" s="4952">
        <f t="shared" si="31"/>
        <v>1500000</v>
      </c>
      <c r="K354" s="4952">
        <f t="shared" si="30"/>
        <v>0</v>
      </c>
      <c r="L354" s="4968"/>
    </row>
    <row r="355" spans="1:16" ht="30" customHeight="1" x14ac:dyDescent="0.2">
      <c r="A355" s="5014">
        <v>154</v>
      </c>
      <c r="B355" s="4968" t="s">
        <v>18</v>
      </c>
      <c r="C355" s="4990" t="s">
        <v>1796</v>
      </c>
      <c r="D355" s="4952">
        <v>15000000</v>
      </c>
      <c r="E355" s="5011">
        <v>7.0000000000000007E-2</v>
      </c>
      <c r="F355" s="4952">
        <f t="shared" si="29"/>
        <v>1050000</v>
      </c>
      <c r="G355" s="4952"/>
      <c r="H355" s="4952"/>
      <c r="I355" s="5071" t="s">
        <v>1278</v>
      </c>
      <c r="J355" s="4952">
        <f t="shared" si="31"/>
        <v>0</v>
      </c>
      <c r="K355" s="4952">
        <f t="shared" si="30"/>
        <v>1050000</v>
      </c>
      <c r="L355" s="4968"/>
    </row>
    <row r="356" spans="1:16" ht="30" customHeight="1" x14ac:dyDescent="0.2">
      <c r="A356" s="5014">
        <v>155</v>
      </c>
      <c r="B356" s="4968" t="s">
        <v>19</v>
      </c>
      <c r="C356" s="4990"/>
      <c r="D356" s="4965"/>
      <c r="E356" s="2519"/>
      <c r="F356" s="4965">
        <f t="shared" si="29"/>
        <v>0</v>
      </c>
      <c r="G356" s="4952"/>
      <c r="H356" s="4952"/>
      <c r="I356" s="5071"/>
      <c r="J356" s="4952"/>
      <c r="K356" s="4965">
        <f t="shared" si="30"/>
        <v>0</v>
      </c>
      <c r="L356" s="4968"/>
    </row>
    <row r="357" spans="1:16" ht="30" customHeight="1" x14ac:dyDescent="0.2">
      <c r="A357" s="4957">
        <v>156</v>
      </c>
      <c r="B357" s="5017" t="s">
        <v>20</v>
      </c>
      <c r="C357" s="4990" t="s">
        <v>1287</v>
      </c>
      <c r="D357" s="4944">
        <v>50000000</v>
      </c>
      <c r="E357" s="5011">
        <v>0.04</v>
      </c>
      <c r="F357" s="4944">
        <f t="shared" si="29"/>
        <v>2000000</v>
      </c>
      <c r="G357" s="4952">
        <v>2000000</v>
      </c>
      <c r="H357" s="4952" t="s">
        <v>7061</v>
      </c>
      <c r="I357" s="18" t="s">
        <v>5120</v>
      </c>
      <c r="J357" s="4944">
        <f>G357</f>
        <v>2000000</v>
      </c>
      <c r="K357" s="4944">
        <f>F357-J357</f>
        <v>0</v>
      </c>
      <c r="L357" s="4981"/>
      <c r="M357" s="366"/>
      <c r="N357" s="366"/>
      <c r="O357" s="366"/>
      <c r="P357" s="366"/>
    </row>
    <row r="358" spans="1:16" ht="30" customHeight="1" x14ac:dyDescent="0.2">
      <c r="A358" s="7654">
        <v>157</v>
      </c>
      <c r="B358" s="7652" t="s">
        <v>21</v>
      </c>
      <c r="C358" s="7723" t="s">
        <v>1294</v>
      </c>
      <c r="D358" s="4952">
        <v>20000000</v>
      </c>
      <c r="E358" s="4962">
        <v>0.05</v>
      </c>
      <c r="F358" s="4952">
        <f t="shared" si="29"/>
        <v>1000000</v>
      </c>
      <c r="G358" s="5020"/>
      <c r="H358" s="5020"/>
      <c r="I358" s="5020"/>
      <c r="J358" s="5020"/>
      <c r="K358" s="4952">
        <f>F358-J358</f>
        <v>1000000</v>
      </c>
      <c r="L358" s="5087" t="s">
        <v>6146</v>
      </c>
      <c r="M358" s="366"/>
      <c r="N358" s="366"/>
      <c r="O358" s="366"/>
      <c r="P358" s="366"/>
    </row>
    <row r="359" spans="1:16" ht="30" customHeight="1" x14ac:dyDescent="0.2">
      <c r="A359" s="7656"/>
      <c r="B359" s="7665"/>
      <c r="C359" s="7747"/>
      <c r="D359" s="4952">
        <v>30000000</v>
      </c>
      <c r="E359" s="4962">
        <v>0.05</v>
      </c>
      <c r="F359" s="4952">
        <f t="shared" si="29"/>
        <v>1500000</v>
      </c>
      <c r="G359" s="7954" t="s">
        <v>6148</v>
      </c>
      <c r="H359" s="7955"/>
      <c r="I359" s="7955"/>
      <c r="J359" s="7956"/>
      <c r="K359" s="4944"/>
      <c r="L359" s="5087" t="s">
        <v>6147</v>
      </c>
      <c r="M359" s="366"/>
      <c r="N359" s="366"/>
      <c r="O359" s="366"/>
      <c r="P359" s="366"/>
    </row>
    <row r="360" spans="1:16" ht="30" customHeight="1" x14ac:dyDescent="0.2">
      <c r="A360" s="7656"/>
      <c r="B360" s="7665"/>
      <c r="C360" s="7747"/>
      <c r="D360" s="7563">
        <v>10000000</v>
      </c>
      <c r="E360" s="7659">
        <v>0.05</v>
      </c>
      <c r="F360" s="7563">
        <f>D360*E360</f>
        <v>500000</v>
      </c>
      <c r="G360" s="8425" t="s">
        <v>6151</v>
      </c>
      <c r="H360" s="8426"/>
      <c r="I360" s="8426"/>
      <c r="J360" s="8427"/>
      <c r="K360" s="4944"/>
      <c r="L360" s="5087" t="s">
        <v>6149</v>
      </c>
      <c r="M360" s="366"/>
      <c r="N360" s="366"/>
      <c r="O360" s="366"/>
      <c r="P360" s="366"/>
    </row>
    <row r="361" spans="1:16" ht="30" customHeight="1" x14ac:dyDescent="0.2">
      <c r="A361" s="7655"/>
      <c r="B361" s="7653"/>
      <c r="C361" s="7724"/>
      <c r="D361" s="7564"/>
      <c r="E361" s="7660"/>
      <c r="F361" s="7564"/>
      <c r="G361" s="4952">
        <v>3000000</v>
      </c>
      <c r="H361" s="5020" t="s">
        <v>3116</v>
      </c>
      <c r="I361" s="5020" t="s">
        <v>6528</v>
      </c>
      <c r="J361" s="4952">
        <f>G361</f>
        <v>3000000</v>
      </c>
      <c r="K361" s="4944">
        <f>(F358+F359+F360)-J361</f>
        <v>0</v>
      </c>
      <c r="L361" s="5087" t="s">
        <v>6150</v>
      </c>
      <c r="M361" s="366"/>
      <c r="N361" s="366"/>
      <c r="O361" s="366"/>
      <c r="P361" s="366"/>
    </row>
    <row r="362" spans="1:16" ht="30" customHeight="1" x14ac:dyDescent="0.2">
      <c r="A362" s="7654"/>
      <c r="B362" s="7652" t="s">
        <v>822</v>
      </c>
      <c r="C362" s="7723" t="s">
        <v>1306</v>
      </c>
      <c r="D362" s="4952">
        <v>160000000</v>
      </c>
      <c r="E362" s="5011">
        <v>0.05</v>
      </c>
      <c r="F362" s="4952">
        <f>D362*E362</f>
        <v>8000000</v>
      </c>
      <c r="G362" s="7563"/>
      <c r="H362" s="7563"/>
      <c r="I362" s="7563" t="s">
        <v>3129</v>
      </c>
      <c r="J362" s="7563">
        <f>G362</f>
        <v>0</v>
      </c>
      <c r="K362" s="7563">
        <f>(F362+F363)-J362</f>
        <v>10700000</v>
      </c>
      <c r="L362" s="233"/>
      <c r="M362" s="233"/>
      <c r="N362" s="233"/>
      <c r="O362" s="233"/>
      <c r="P362" s="233"/>
    </row>
    <row r="363" spans="1:16" ht="30" customHeight="1" x14ac:dyDescent="0.2">
      <c r="A363" s="7656"/>
      <c r="B363" s="7653"/>
      <c r="C363" s="7724"/>
      <c r="D363" s="4952">
        <f>22000000+9200000+13800000</f>
        <v>45000000</v>
      </c>
      <c r="E363" s="5011">
        <v>0.06</v>
      </c>
      <c r="F363" s="4952">
        <f>D363*E363</f>
        <v>2700000</v>
      </c>
      <c r="G363" s="7564"/>
      <c r="H363" s="7564"/>
      <c r="I363" s="7564"/>
      <c r="J363" s="7564"/>
      <c r="K363" s="7564"/>
      <c r="L363" s="4968"/>
      <c r="M363" s="366"/>
      <c r="N363" s="366"/>
      <c r="O363" s="366"/>
      <c r="P363" s="366"/>
    </row>
    <row r="364" spans="1:16" ht="30" customHeight="1" x14ac:dyDescent="0.2">
      <c r="A364" s="7654">
        <v>159</v>
      </c>
      <c r="B364" s="7652" t="s">
        <v>22</v>
      </c>
      <c r="C364" s="7723" t="s">
        <v>1300</v>
      </c>
      <c r="D364" s="7563">
        <v>25000000</v>
      </c>
      <c r="E364" s="7659">
        <v>0.05</v>
      </c>
      <c r="F364" s="7563">
        <f t="shared" si="29"/>
        <v>1250000</v>
      </c>
      <c r="G364" s="4952">
        <v>26250000</v>
      </c>
      <c r="H364" s="4952" t="s">
        <v>7065</v>
      </c>
      <c r="I364" s="5071" t="s">
        <v>7076</v>
      </c>
      <c r="J364" s="4952">
        <f t="shared" ref="J364:J367" si="32">G364</f>
        <v>26250000</v>
      </c>
      <c r="K364" s="4952"/>
      <c r="L364" s="5087" t="s">
        <v>3760</v>
      </c>
      <c r="M364" s="366"/>
      <c r="N364" s="366"/>
      <c r="O364" s="366"/>
      <c r="P364" s="366"/>
    </row>
    <row r="365" spans="1:16" ht="30" customHeight="1" x14ac:dyDescent="0.2">
      <c r="A365" s="7655"/>
      <c r="B365" s="7653"/>
      <c r="C365" s="7724"/>
      <c r="D365" s="7564"/>
      <c r="E365" s="7660"/>
      <c r="F365" s="7564"/>
      <c r="G365" s="5403">
        <v>26250000</v>
      </c>
      <c r="H365" s="5403" t="s">
        <v>7080</v>
      </c>
      <c r="I365" s="5424" t="s">
        <v>7083</v>
      </c>
      <c r="J365" s="5403">
        <f>G365</f>
        <v>26250000</v>
      </c>
      <c r="K365" s="5403"/>
      <c r="L365" s="5426" t="s">
        <v>7077</v>
      </c>
      <c r="M365" s="366"/>
      <c r="N365" s="366"/>
      <c r="O365" s="366"/>
      <c r="P365" s="366"/>
    </row>
    <row r="366" spans="1:16" ht="30" customHeight="1" x14ac:dyDescent="0.2">
      <c r="A366" s="5014">
        <v>160</v>
      </c>
      <c r="B366" s="4968" t="s">
        <v>23</v>
      </c>
      <c r="C366" s="4990"/>
      <c r="D366" s="4952">
        <v>55000000</v>
      </c>
      <c r="E366" s="5011">
        <v>0.05</v>
      </c>
      <c r="F366" s="4952">
        <f t="shared" si="29"/>
        <v>2750000</v>
      </c>
      <c r="G366" s="4952"/>
      <c r="H366" s="4952"/>
      <c r="I366" s="5071"/>
      <c r="J366" s="4952">
        <f t="shared" si="32"/>
        <v>0</v>
      </c>
      <c r="K366" s="4952">
        <f t="shared" ref="K366:K380" si="33">F366-J366</f>
        <v>2750000</v>
      </c>
      <c r="L366" s="4968"/>
      <c r="M366" s="366"/>
      <c r="N366" s="366"/>
      <c r="O366" s="366"/>
      <c r="P366" s="366"/>
    </row>
    <row r="367" spans="1:16" ht="30" customHeight="1" x14ac:dyDescent="0.2">
      <c r="A367" s="5014">
        <v>161</v>
      </c>
      <c r="B367" s="5017" t="s">
        <v>24</v>
      </c>
      <c r="C367" s="5016" t="s">
        <v>1306</v>
      </c>
      <c r="D367" s="4952">
        <v>20000000</v>
      </c>
      <c r="E367" s="5011">
        <v>4.4999999999999998E-2</v>
      </c>
      <c r="F367" s="4952">
        <f t="shared" si="29"/>
        <v>900000</v>
      </c>
      <c r="G367" s="4952"/>
      <c r="H367" s="4952"/>
      <c r="I367" s="5071" t="s">
        <v>721</v>
      </c>
      <c r="J367" s="4952">
        <f t="shared" si="32"/>
        <v>0</v>
      </c>
      <c r="K367" s="4952">
        <f t="shared" si="33"/>
        <v>900000</v>
      </c>
      <c r="L367" s="4968"/>
      <c r="M367" s="366"/>
      <c r="N367" s="366"/>
      <c r="O367" s="366"/>
      <c r="P367" s="366"/>
    </row>
    <row r="368" spans="1:16" ht="30" customHeight="1" x14ac:dyDescent="0.2">
      <c r="A368" s="7654">
        <v>162</v>
      </c>
      <c r="B368" s="7652" t="s">
        <v>25</v>
      </c>
      <c r="C368" s="7723" t="s">
        <v>262</v>
      </c>
      <c r="D368" s="4952">
        <v>180000000</v>
      </c>
      <c r="E368" s="5011">
        <v>0.05</v>
      </c>
      <c r="F368" s="4952">
        <f t="shared" si="29"/>
        <v>9000000</v>
      </c>
      <c r="G368" s="7563">
        <v>13500000</v>
      </c>
      <c r="H368" s="7563" t="s">
        <v>7010</v>
      </c>
      <c r="I368" s="7561" t="s">
        <v>4576</v>
      </c>
      <c r="J368" s="7563">
        <f>G368</f>
        <v>13500000</v>
      </c>
      <c r="K368" s="7563">
        <f>(F368+F369)-J368</f>
        <v>0</v>
      </c>
      <c r="L368" s="5087" t="s">
        <v>6113</v>
      </c>
      <c r="M368" s="366"/>
      <c r="N368" s="366"/>
      <c r="O368" s="366"/>
      <c r="P368" s="366"/>
    </row>
    <row r="369" spans="1:16" ht="30" customHeight="1" x14ac:dyDescent="0.2">
      <c r="A369" s="7655"/>
      <c r="B369" s="7653"/>
      <c r="C369" s="7724"/>
      <c r="D369" s="4952">
        <v>90000000</v>
      </c>
      <c r="E369" s="5011">
        <v>0.05</v>
      </c>
      <c r="F369" s="4952">
        <f t="shared" si="29"/>
        <v>4500000</v>
      </c>
      <c r="G369" s="7564"/>
      <c r="H369" s="7564"/>
      <c r="I369" s="7562"/>
      <c r="J369" s="7564"/>
      <c r="K369" s="7564"/>
      <c r="L369" s="5087" t="s">
        <v>5501</v>
      </c>
      <c r="M369" s="366"/>
      <c r="N369" s="366"/>
      <c r="O369" s="366"/>
      <c r="P369" s="366"/>
    </row>
    <row r="370" spans="1:16" ht="30" customHeight="1" x14ac:dyDescent="0.2">
      <c r="A370" s="7654">
        <v>163</v>
      </c>
      <c r="B370" s="7652" t="s">
        <v>828</v>
      </c>
      <c r="C370" s="7723" t="s">
        <v>1306</v>
      </c>
      <c r="D370" s="4988">
        <v>200000000</v>
      </c>
      <c r="E370" s="5083">
        <v>0.06</v>
      </c>
      <c r="F370" s="4988">
        <f t="shared" si="29"/>
        <v>12000000</v>
      </c>
      <c r="G370" s="7563">
        <v>22500000</v>
      </c>
      <c r="H370" s="7563" t="s">
        <v>2474</v>
      </c>
      <c r="I370" s="7561" t="s">
        <v>3732</v>
      </c>
      <c r="J370" s="7563">
        <f>G370</f>
        <v>22500000</v>
      </c>
      <c r="K370" s="7563">
        <f>(F370+F371+F372)-J370</f>
        <v>0</v>
      </c>
      <c r="L370" s="5087"/>
      <c r="M370" s="366"/>
      <c r="N370" s="366"/>
      <c r="O370" s="366"/>
      <c r="P370" s="366"/>
    </row>
    <row r="371" spans="1:16" ht="30" customHeight="1" x14ac:dyDescent="0.2">
      <c r="A371" s="7656"/>
      <c r="B371" s="7665"/>
      <c r="C371" s="7747"/>
      <c r="D371" s="4988">
        <v>50000000</v>
      </c>
      <c r="E371" s="5083">
        <v>7.0000000000000007E-2</v>
      </c>
      <c r="F371" s="4988">
        <f t="shared" si="29"/>
        <v>3500000.0000000005</v>
      </c>
      <c r="G371" s="7586"/>
      <c r="H371" s="7586"/>
      <c r="I371" s="7672"/>
      <c r="J371" s="7586"/>
      <c r="K371" s="7586"/>
      <c r="L371" s="5087"/>
      <c r="M371" s="366"/>
      <c r="N371" s="366"/>
      <c r="O371" s="366"/>
      <c r="P371" s="366"/>
    </row>
    <row r="372" spans="1:16" ht="30" customHeight="1" x14ac:dyDescent="0.2">
      <c r="A372" s="7655"/>
      <c r="B372" s="7653"/>
      <c r="C372" s="7724"/>
      <c r="D372" s="4988">
        <v>100000000</v>
      </c>
      <c r="E372" s="5083">
        <v>7.0000000000000007E-2</v>
      </c>
      <c r="F372" s="4988">
        <f t="shared" si="29"/>
        <v>7000000.0000000009</v>
      </c>
      <c r="G372" s="7564"/>
      <c r="H372" s="7564"/>
      <c r="I372" s="7562"/>
      <c r="J372" s="7564"/>
      <c r="K372" s="7564"/>
      <c r="L372" s="5087"/>
      <c r="M372" s="366"/>
      <c r="N372" s="366"/>
      <c r="O372" s="366"/>
      <c r="P372" s="366"/>
    </row>
    <row r="373" spans="1:16" ht="30" customHeight="1" x14ac:dyDescent="0.2">
      <c r="A373" s="5014">
        <v>164</v>
      </c>
      <c r="B373" s="4968" t="s">
        <v>26</v>
      </c>
      <c r="C373" s="4990" t="s">
        <v>1306</v>
      </c>
      <c r="D373" s="4952">
        <v>50000000</v>
      </c>
      <c r="E373" s="5011">
        <v>0.05</v>
      </c>
      <c r="F373" s="4952">
        <f t="shared" si="29"/>
        <v>2500000</v>
      </c>
      <c r="G373" s="4952">
        <v>2500000</v>
      </c>
      <c r="H373" s="4952" t="s">
        <v>2474</v>
      </c>
      <c r="I373" s="5071" t="s">
        <v>7233</v>
      </c>
      <c r="J373" s="4952">
        <f t="shared" ref="J373:J383" si="34">G373</f>
        <v>2500000</v>
      </c>
      <c r="K373" s="4952">
        <f t="shared" si="33"/>
        <v>0</v>
      </c>
      <c r="L373" s="4968"/>
      <c r="M373" s="366"/>
      <c r="N373" s="366"/>
      <c r="O373" s="366"/>
      <c r="P373" s="366"/>
    </row>
    <row r="374" spans="1:16" ht="30" customHeight="1" x14ac:dyDescent="0.2">
      <c r="A374" s="5014">
        <v>166</v>
      </c>
      <c r="B374" s="4968" t="s">
        <v>28</v>
      </c>
      <c r="C374" s="4990" t="s">
        <v>551</v>
      </c>
      <c r="D374" s="4952">
        <v>100000000</v>
      </c>
      <c r="E374" s="5011">
        <v>0.05</v>
      </c>
      <c r="F374" s="4952">
        <f t="shared" si="29"/>
        <v>5000000</v>
      </c>
      <c r="G374" s="4952"/>
      <c r="H374" s="4952"/>
      <c r="I374" s="26" t="s">
        <v>4123</v>
      </c>
      <c r="J374" s="4952">
        <f t="shared" si="34"/>
        <v>0</v>
      </c>
      <c r="K374" s="4952">
        <f t="shared" si="33"/>
        <v>5000000</v>
      </c>
      <c r="L374" s="4968"/>
      <c r="M374" s="366"/>
      <c r="N374" s="366"/>
      <c r="O374" s="366"/>
      <c r="P374" s="366"/>
    </row>
    <row r="375" spans="1:16" ht="30" customHeight="1" x14ac:dyDescent="0.2">
      <c r="A375" s="7654">
        <v>167</v>
      </c>
      <c r="B375" s="7652" t="s">
        <v>737</v>
      </c>
      <c r="C375" s="7723" t="s">
        <v>1306</v>
      </c>
      <c r="D375" s="4952">
        <v>50000000</v>
      </c>
      <c r="E375" s="5011">
        <v>0.05</v>
      </c>
      <c r="F375" s="4952">
        <f t="shared" si="29"/>
        <v>2500000</v>
      </c>
      <c r="G375" s="4952">
        <v>2500000</v>
      </c>
      <c r="H375" s="4952" t="s">
        <v>2474</v>
      </c>
      <c r="I375" s="5071" t="s">
        <v>7241</v>
      </c>
      <c r="J375" s="4952">
        <f t="shared" si="34"/>
        <v>2500000</v>
      </c>
      <c r="K375" s="4952">
        <f t="shared" si="33"/>
        <v>0</v>
      </c>
      <c r="L375" s="4968"/>
      <c r="M375" s="366"/>
      <c r="N375" s="366"/>
      <c r="O375" s="366"/>
      <c r="P375" s="366"/>
    </row>
    <row r="376" spans="1:16" ht="30" customHeight="1" x14ac:dyDescent="0.2">
      <c r="A376" s="7655"/>
      <c r="B376" s="7653"/>
      <c r="C376" s="7724"/>
      <c r="D376" s="7470" t="s">
        <v>6636</v>
      </c>
      <c r="E376" s="7493"/>
      <c r="F376" s="7510"/>
      <c r="G376" s="4952"/>
      <c r="H376" s="4952"/>
      <c r="I376" s="5071" t="s">
        <v>6637</v>
      </c>
      <c r="J376" s="4952">
        <f>G376</f>
        <v>0</v>
      </c>
      <c r="K376" s="4952"/>
      <c r="L376" s="4968"/>
      <c r="M376" s="366"/>
      <c r="N376" s="366"/>
      <c r="O376" s="366"/>
      <c r="P376" s="366"/>
    </row>
    <row r="377" spans="1:16" ht="30" customHeight="1" x14ac:dyDescent="0.2">
      <c r="A377" s="7654">
        <v>168</v>
      </c>
      <c r="B377" s="7710" t="s">
        <v>818</v>
      </c>
      <c r="C377" s="7813" t="s">
        <v>1306</v>
      </c>
      <c r="D377" s="4965">
        <v>50000000</v>
      </c>
      <c r="E377" s="2519">
        <v>7.0000000000000007E-2</v>
      </c>
      <c r="F377" s="4965">
        <f t="shared" si="29"/>
        <v>3500000.0000000005</v>
      </c>
      <c r="G377" s="4965"/>
      <c r="H377" s="4965"/>
      <c r="I377" s="56" t="s">
        <v>4908</v>
      </c>
      <c r="J377" s="4965">
        <f>G377</f>
        <v>0</v>
      </c>
      <c r="K377" s="909">
        <f t="shared" si="33"/>
        <v>3500000.0000000005</v>
      </c>
      <c r="L377" s="4389" t="s">
        <v>5215</v>
      </c>
      <c r="M377" s="366"/>
      <c r="N377" s="366"/>
      <c r="O377" s="366"/>
      <c r="P377" s="366"/>
    </row>
    <row r="378" spans="1:16" ht="30" customHeight="1" x14ac:dyDescent="0.2">
      <c r="A378" s="7656"/>
      <c r="B378" s="7711"/>
      <c r="C378" s="7814"/>
      <c r="D378" s="4965">
        <v>48000000</v>
      </c>
      <c r="E378" s="2519"/>
      <c r="F378" s="4965"/>
      <c r="G378" s="7594" t="s">
        <v>4856</v>
      </c>
      <c r="H378" s="8422"/>
      <c r="I378" s="8422"/>
      <c r="J378" s="8422"/>
      <c r="K378" s="8423"/>
      <c r="L378" s="4390" t="s">
        <v>5988</v>
      </c>
      <c r="M378" s="366"/>
      <c r="N378" s="366"/>
      <c r="O378" s="366"/>
      <c r="P378" s="366"/>
    </row>
    <row r="379" spans="1:16" ht="30" customHeight="1" x14ac:dyDescent="0.2">
      <c r="A379" s="7655"/>
      <c r="B379" s="7712"/>
      <c r="C379" s="7815"/>
      <c r="D379" s="4965">
        <v>70000000</v>
      </c>
      <c r="E379" s="2519"/>
      <c r="F379" s="4965"/>
      <c r="G379" s="909"/>
      <c r="H379" s="909"/>
      <c r="I379" s="909"/>
      <c r="J379" s="909"/>
      <c r="K379" s="4391"/>
      <c r="L379" s="4392" t="s">
        <v>5989</v>
      </c>
      <c r="M379" s="366"/>
      <c r="N379" s="366"/>
      <c r="O379" s="366"/>
      <c r="P379" s="366"/>
    </row>
    <row r="380" spans="1:16" ht="30" customHeight="1" x14ac:dyDescent="0.2">
      <c r="A380" s="4971"/>
      <c r="B380" s="5017" t="s">
        <v>29</v>
      </c>
      <c r="C380" s="4990" t="s">
        <v>1107</v>
      </c>
      <c r="D380" s="4952">
        <v>20000000</v>
      </c>
      <c r="E380" s="5011">
        <v>0.05</v>
      </c>
      <c r="F380" s="4952">
        <f>D380*E380</f>
        <v>1000000</v>
      </c>
      <c r="G380" s="4952"/>
      <c r="H380" s="4952"/>
      <c r="I380" s="4952" t="s">
        <v>848</v>
      </c>
      <c r="J380" s="4952">
        <f t="shared" si="34"/>
        <v>0</v>
      </c>
      <c r="K380" s="4952">
        <f t="shared" si="33"/>
        <v>1000000</v>
      </c>
      <c r="L380" s="7732"/>
      <c r="M380" s="7733"/>
      <c r="N380" s="7733"/>
      <c r="O380" s="7733"/>
      <c r="P380" s="7734"/>
    </row>
    <row r="381" spans="1:16" ht="30" customHeight="1" x14ac:dyDescent="0.2">
      <c r="A381" s="5014">
        <v>170</v>
      </c>
      <c r="B381" s="4968" t="s">
        <v>30</v>
      </c>
      <c r="C381" s="4990" t="s">
        <v>1107</v>
      </c>
      <c r="D381" s="4952">
        <v>70000000</v>
      </c>
      <c r="E381" s="5011">
        <v>5.2999999999999999E-2</v>
      </c>
      <c r="F381" s="4952">
        <v>3700000</v>
      </c>
      <c r="G381" s="4952"/>
      <c r="H381" s="4952"/>
      <c r="I381" s="5071" t="s">
        <v>4138</v>
      </c>
      <c r="J381" s="4952">
        <f t="shared" si="34"/>
        <v>0</v>
      </c>
      <c r="K381" s="4952">
        <f>F381-J381</f>
        <v>3700000</v>
      </c>
      <c r="L381" s="4968"/>
      <c r="M381" s="366"/>
      <c r="N381" s="366"/>
      <c r="O381" s="366"/>
      <c r="P381" s="366"/>
    </row>
    <row r="382" spans="1:16" ht="30" customHeight="1" x14ac:dyDescent="0.2">
      <c r="A382" s="5014">
        <v>171</v>
      </c>
      <c r="B382" s="4968" t="s">
        <v>31</v>
      </c>
      <c r="C382" s="4990" t="s">
        <v>1293</v>
      </c>
      <c r="D382" s="4952">
        <v>10000000</v>
      </c>
      <c r="E382" s="5011">
        <v>0.04</v>
      </c>
      <c r="F382" s="4952">
        <f>D382*E382</f>
        <v>400000</v>
      </c>
      <c r="G382" s="4952">
        <v>400000</v>
      </c>
      <c r="H382" s="4952" t="s">
        <v>6789</v>
      </c>
      <c r="I382" s="5071" t="s">
        <v>670</v>
      </c>
      <c r="J382" s="4952">
        <f t="shared" si="34"/>
        <v>400000</v>
      </c>
      <c r="K382" s="4952">
        <f>F382-J382</f>
        <v>0</v>
      </c>
      <c r="L382" s="5048"/>
    </row>
    <row r="383" spans="1:16" ht="30" customHeight="1" x14ac:dyDescent="0.2">
      <c r="A383" s="4957">
        <v>172</v>
      </c>
      <c r="B383" s="5017" t="s">
        <v>32</v>
      </c>
      <c r="C383" s="5016" t="s">
        <v>989</v>
      </c>
      <c r="D383" s="4952">
        <v>5000000</v>
      </c>
      <c r="E383" s="5011">
        <v>0.06</v>
      </c>
      <c r="F383" s="4952">
        <f t="shared" si="29"/>
        <v>300000</v>
      </c>
      <c r="G383" s="4952">
        <v>300000</v>
      </c>
      <c r="H383" s="4952" t="s">
        <v>7252</v>
      </c>
      <c r="I383" s="5071" t="s">
        <v>632</v>
      </c>
      <c r="J383" s="4952">
        <f t="shared" si="34"/>
        <v>300000</v>
      </c>
      <c r="K383" s="4952">
        <f>F383-J383</f>
        <v>0</v>
      </c>
      <c r="L383" s="5087"/>
    </row>
    <row r="384" spans="1:16" ht="30" customHeight="1" x14ac:dyDescent="0.2">
      <c r="A384" s="5014">
        <v>173</v>
      </c>
      <c r="B384" s="4968" t="s">
        <v>33</v>
      </c>
      <c r="C384" s="5016" t="s">
        <v>1306</v>
      </c>
      <c r="D384" s="4944">
        <v>50000000</v>
      </c>
      <c r="E384" s="5011">
        <v>0.05</v>
      </c>
      <c r="F384" s="4944">
        <f t="shared" si="29"/>
        <v>2500000</v>
      </c>
      <c r="G384" s="4944">
        <v>2500000</v>
      </c>
      <c r="H384" s="4944" t="s">
        <v>7252</v>
      </c>
      <c r="I384" s="5020" t="s">
        <v>838</v>
      </c>
      <c r="J384" s="4944">
        <f>G384</f>
        <v>2500000</v>
      </c>
      <c r="K384" s="4944">
        <f>F384-J384</f>
        <v>0</v>
      </c>
      <c r="L384" s="4393"/>
    </row>
    <row r="385" spans="1:12" ht="30" customHeight="1" x14ac:dyDescent="0.2">
      <c r="A385" s="7654"/>
      <c r="B385" s="7652" t="s">
        <v>4266</v>
      </c>
      <c r="C385" s="7723" t="s">
        <v>1287</v>
      </c>
      <c r="D385" s="4953">
        <v>5730000000</v>
      </c>
      <c r="E385" s="2519">
        <v>0.08</v>
      </c>
      <c r="F385" s="4953">
        <f>D385*E385</f>
        <v>458400000</v>
      </c>
      <c r="G385" s="7732"/>
      <c r="H385" s="7733"/>
      <c r="I385" s="7733"/>
      <c r="J385" s="7734"/>
      <c r="K385" s="233"/>
      <c r="L385" s="1661" t="s">
        <v>6696</v>
      </c>
    </row>
    <row r="386" spans="1:12" ht="30" customHeight="1" x14ac:dyDescent="0.2">
      <c r="A386" s="7656"/>
      <c r="B386" s="7665"/>
      <c r="C386" s="7747"/>
      <c r="D386" s="5072">
        <v>10000000000</v>
      </c>
      <c r="E386" s="896">
        <v>8.5000000000000006E-2</v>
      </c>
      <c r="F386" s="5072">
        <f>D386*E386</f>
        <v>850000000.00000012</v>
      </c>
      <c r="G386" s="7732" t="s">
        <v>6698</v>
      </c>
      <c r="H386" s="7733"/>
      <c r="I386" s="7733"/>
      <c r="J386" s="7734"/>
      <c r="K386" s="178"/>
      <c r="L386" s="1661" t="s">
        <v>6697</v>
      </c>
    </row>
    <row r="387" spans="1:12" ht="30" customHeight="1" x14ac:dyDescent="0.2">
      <c r="A387" s="7655"/>
      <c r="B387" s="7653"/>
      <c r="C387" s="7724"/>
      <c r="D387" s="7470" t="s">
        <v>6699</v>
      </c>
      <c r="E387" s="7493"/>
      <c r="F387" s="7510"/>
      <c r="G387" s="5041"/>
      <c r="H387" s="5042"/>
      <c r="I387" s="4977"/>
      <c r="J387" s="5043"/>
      <c r="K387" s="178"/>
      <c r="L387" s="1661" t="s">
        <v>6700</v>
      </c>
    </row>
    <row r="388" spans="1:12" ht="30" customHeight="1" x14ac:dyDescent="0.2">
      <c r="A388" s="5014">
        <v>175</v>
      </c>
      <c r="B388" s="4968" t="s">
        <v>36</v>
      </c>
      <c r="C388" s="4990" t="s">
        <v>1306</v>
      </c>
      <c r="D388" s="4952">
        <v>200000000</v>
      </c>
      <c r="E388" s="4962">
        <v>0.05</v>
      </c>
      <c r="F388" s="4952">
        <f t="shared" si="29"/>
        <v>10000000</v>
      </c>
      <c r="G388" s="4952"/>
      <c r="H388" s="4952"/>
      <c r="I388" s="18" t="s">
        <v>3738</v>
      </c>
      <c r="J388" s="4952">
        <f>G388</f>
        <v>0</v>
      </c>
      <c r="K388" s="4944">
        <f t="shared" ref="K388:K395" si="35">F388-J388</f>
        <v>10000000</v>
      </c>
      <c r="L388" s="4968"/>
    </row>
    <row r="389" spans="1:12" ht="30" customHeight="1" x14ac:dyDescent="0.2">
      <c r="A389" s="5014">
        <v>176</v>
      </c>
      <c r="B389" s="4968" t="s">
        <v>37</v>
      </c>
      <c r="C389" s="4990" t="s">
        <v>1107</v>
      </c>
      <c r="D389" s="4952">
        <v>150000000</v>
      </c>
      <c r="E389" s="5011">
        <v>7.0000000000000007E-2</v>
      </c>
      <c r="F389" s="4952">
        <f t="shared" si="29"/>
        <v>10500000.000000002</v>
      </c>
      <c r="G389" s="4952"/>
      <c r="H389" s="4952"/>
      <c r="I389" s="5071" t="s">
        <v>3223</v>
      </c>
      <c r="J389" s="4952">
        <f t="shared" ref="J389:J406" si="36">G389</f>
        <v>0</v>
      </c>
      <c r="K389" s="4952">
        <f t="shared" si="35"/>
        <v>10500000.000000002</v>
      </c>
      <c r="L389" s="4968"/>
    </row>
    <row r="390" spans="1:12" ht="30" customHeight="1" x14ac:dyDescent="0.2">
      <c r="A390" s="7654">
        <v>177</v>
      </c>
      <c r="B390" s="7652" t="s">
        <v>5177</v>
      </c>
      <c r="C390" s="7723" t="s">
        <v>1299</v>
      </c>
      <c r="D390" s="4952">
        <v>25000000</v>
      </c>
      <c r="E390" s="5011">
        <v>0.05</v>
      </c>
      <c r="F390" s="4952">
        <f t="shared" si="29"/>
        <v>1250000</v>
      </c>
      <c r="G390" s="7563">
        <v>1750000</v>
      </c>
      <c r="H390" s="7563" t="s">
        <v>2474</v>
      </c>
      <c r="I390" s="7772" t="s">
        <v>746</v>
      </c>
      <c r="J390" s="7563">
        <f t="shared" si="36"/>
        <v>1750000</v>
      </c>
      <c r="K390" s="7563">
        <f>(F390+F391)-J390</f>
        <v>0</v>
      </c>
      <c r="L390" s="4968"/>
    </row>
    <row r="391" spans="1:12" ht="30" customHeight="1" x14ac:dyDescent="0.2">
      <c r="A391" s="7655"/>
      <c r="B391" s="7653"/>
      <c r="C391" s="7724"/>
      <c r="D391" s="5449">
        <v>10000000</v>
      </c>
      <c r="E391" s="5455">
        <v>0.05</v>
      </c>
      <c r="F391" s="5449">
        <f t="shared" si="29"/>
        <v>500000</v>
      </c>
      <c r="G391" s="7564"/>
      <c r="H391" s="7564"/>
      <c r="I391" s="7773"/>
      <c r="J391" s="7564"/>
      <c r="K391" s="7564"/>
      <c r="L391" s="5583" t="s">
        <v>7134</v>
      </c>
    </row>
    <row r="392" spans="1:12" ht="30" customHeight="1" x14ac:dyDescent="0.2">
      <c r="A392" s="5014">
        <v>178</v>
      </c>
      <c r="B392" s="4968" t="s">
        <v>39</v>
      </c>
      <c r="C392" s="4990" t="s">
        <v>1299</v>
      </c>
      <c r="D392" s="4952">
        <v>90000000</v>
      </c>
      <c r="E392" s="5011">
        <v>0.05</v>
      </c>
      <c r="F392" s="4952">
        <f>D392*E392</f>
        <v>4500000</v>
      </c>
      <c r="G392" s="4952">
        <v>4500000</v>
      </c>
      <c r="H392" s="4952" t="s">
        <v>7252</v>
      </c>
      <c r="I392" s="5071" t="s">
        <v>6566</v>
      </c>
      <c r="J392" s="4952">
        <f t="shared" si="36"/>
        <v>4500000</v>
      </c>
      <c r="K392" s="4952">
        <f t="shared" si="35"/>
        <v>0</v>
      </c>
      <c r="L392" s="4968"/>
    </row>
    <row r="393" spans="1:12" ht="30" customHeight="1" x14ac:dyDescent="0.2">
      <c r="A393" s="7654">
        <v>179</v>
      </c>
      <c r="B393" s="7652" t="s">
        <v>40</v>
      </c>
      <c r="C393" s="7723" t="s">
        <v>1306</v>
      </c>
      <c r="D393" s="7563">
        <v>320000000</v>
      </c>
      <c r="E393" s="7659">
        <v>0.06</v>
      </c>
      <c r="F393" s="7563">
        <f t="shared" si="29"/>
        <v>19200000</v>
      </c>
      <c r="G393" s="4952">
        <v>10000000</v>
      </c>
      <c r="H393" s="4952" t="s">
        <v>7168</v>
      </c>
      <c r="I393" s="5071" t="s">
        <v>1090</v>
      </c>
      <c r="J393" s="7563">
        <f>G393+G394</f>
        <v>19600000</v>
      </c>
      <c r="K393" s="7563">
        <f t="shared" si="35"/>
        <v>-400000</v>
      </c>
      <c r="L393" s="7798" t="s">
        <v>7220</v>
      </c>
    </row>
    <row r="394" spans="1:12" ht="30" customHeight="1" x14ac:dyDescent="0.2">
      <c r="A394" s="7655"/>
      <c r="B394" s="7653"/>
      <c r="C394" s="7724"/>
      <c r="D394" s="7564"/>
      <c r="E394" s="7660"/>
      <c r="F394" s="7564"/>
      <c r="G394" s="5490">
        <v>9600000</v>
      </c>
      <c r="H394" s="5490" t="s">
        <v>7210</v>
      </c>
      <c r="I394" s="5557" t="s">
        <v>1090</v>
      </c>
      <c r="J394" s="7564"/>
      <c r="K394" s="7564"/>
      <c r="L394" s="7800"/>
    </row>
    <row r="395" spans="1:12" ht="30" customHeight="1" x14ac:dyDescent="0.2">
      <c r="A395" s="4957">
        <v>180</v>
      </c>
      <c r="B395" s="19" t="s">
        <v>41</v>
      </c>
      <c r="C395" s="5065" t="s">
        <v>2403</v>
      </c>
      <c r="D395" s="4944">
        <v>300000000</v>
      </c>
      <c r="E395" s="5011">
        <v>5.7000000000000002E-2</v>
      </c>
      <c r="F395" s="4944">
        <v>17000000</v>
      </c>
      <c r="G395" s="4944"/>
      <c r="H395" s="4944"/>
      <c r="I395" s="5020" t="s">
        <v>2260</v>
      </c>
      <c r="J395" s="4944">
        <f t="shared" si="36"/>
        <v>0</v>
      </c>
      <c r="K395" s="4944">
        <f t="shared" si="35"/>
        <v>17000000</v>
      </c>
      <c r="L395" s="5033"/>
    </row>
    <row r="396" spans="1:12" ht="30" customHeight="1" x14ac:dyDescent="0.2">
      <c r="A396" s="7654">
        <v>181</v>
      </c>
      <c r="B396" s="7652" t="s">
        <v>42</v>
      </c>
      <c r="C396" s="7723" t="s">
        <v>989</v>
      </c>
      <c r="D396" s="7563">
        <v>50000000</v>
      </c>
      <c r="E396" s="7659">
        <v>0.05</v>
      </c>
      <c r="F396" s="7563">
        <f t="shared" si="29"/>
        <v>2500000</v>
      </c>
      <c r="G396" s="4944"/>
      <c r="H396" s="4944"/>
      <c r="I396" s="5071" t="s">
        <v>3193</v>
      </c>
      <c r="J396" s="7563">
        <f>G396+G397</f>
        <v>0</v>
      </c>
      <c r="K396" s="7563">
        <f>F396-J396</f>
        <v>2500000</v>
      </c>
      <c r="L396" s="4956"/>
    </row>
    <row r="397" spans="1:12" ht="30" customHeight="1" x14ac:dyDescent="0.2">
      <c r="A397" s="7656"/>
      <c r="B397" s="7665"/>
      <c r="C397" s="7747"/>
      <c r="D397" s="7564"/>
      <c r="E397" s="7660"/>
      <c r="F397" s="7564"/>
      <c r="G397" s="4944"/>
      <c r="H397" s="4944"/>
      <c r="I397" s="5071" t="s">
        <v>3193</v>
      </c>
      <c r="J397" s="7564"/>
      <c r="K397" s="7564"/>
      <c r="L397" s="5024" t="s">
        <v>7296</v>
      </c>
    </row>
    <row r="398" spans="1:12" ht="30" customHeight="1" x14ac:dyDescent="0.2">
      <c r="A398" s="7656"/>
      <c r="B398" s="7665"/>
      <c r="C398" s="7747"/>
      <c r="D398" s="4952">
        <v>50000000</v>
      </c>
      <c r="E398" s="4962">
        <v>0.05</v>
      </c>
      <c r="F398" s="4952">
        <f t="shared" si="29"/>
        <v>2500000</v>
      </c>
      <c r="G398" s="233"/>
      <c r="H398" s="4944"/>
      <c r="I398" s="5071"/>
      <c r="J398" s="4952"/>
      <c r="K398" s="4952"/>
      <c r="L398" s="5024" t="s">
        <v>6616</v>
      </c>
    </row>
    <row r="399" spans="1:12" ht="30" customHeight="1" x14ac:dyDescent="0.2">
      <c r="A399" s="7655"/>
      <c r="B399" s="7653"/>
      <c r="C399" s="7724"/>
      <c r="D399" s="4988">
        <v>100000000</v>
      </c>
      <c r="E399" s="4986">
        <v>0.05</v>
      </c>
      <c r="F399" s="4988">
        <f t="shared" si="29"/>
        <v>5000000</v>
      </c>
      <c r="G399" s="233"/>
      <c r="H399" s="4951"/>
      <c r="I399" s="5071"/>
      <c r="J399" s="4952"/>
      <c r="K399" s="4952"/>
      <c r="L399" s="5024" t="s">
        <v>6563</v>
      </c>
    </row>
    <row r="400" spans="1:12" ht="30" customHeight="1" x14ac:dyDescent="0.2">
      <c r="A400" s="4972"/>
      <c r="B400" s="4954" t="s">
        <v>43</v>
      </c>
      <c r="C400" s="4989" t="s">
        <v>1287</v>
      </c>
      <c r="D400" s="4952">
        <v>126200000</v>
      </c>
      <c r="E400" s="4962">
        <v>0.05</v>
      </c>
      <c r="F400" s="4952">
        <f>D400*E400</f>
        <v>6310000</v>
      </c>
      <c r="G400" s="4950">
        <v>6310000</v>
      </c>
      <c r="H400" s="4950" t="s">
        <v>7065</v>
      </c>
      <c r="I400" s="4944" t="s">
        <v>3716</v>
      </c>
      <c r="J400" s="4944">
        <f t="shared" si="36"/>
        <v>6310000</v>
      </c>
      <c r="K400" s="4944">
        <f>F400-J400</f>
        <v>0</v>
      </c>
      <c r="L400" s="5024" t="s">
        <v>6114</v>
      </c>
    </row>
    <row r="401" spans="1:12" ht="30" customHeight="1" x14ac:dyDescent="0.2">
      <c r="A401" s="4970">
        <v>183</v>
      </c>
      <c r="B401" s="5017" t="s">
        <v>4148</v>
      </c>
      <c r="C401" s="378" t="s">
        <v>1100</v>
      </c>
      <c r="D401" s="4944">
        <v>50000000</v>
      </c>
      <c r="E401" s="5011">
        <v>0.05</v>
      </c>
      <c r="F401" s="4944">
        <f t="shared" si="29"/>
        <v>2500000</v>
      </c>
      <c r="G401" s="4944"/>
      <c r="H401" s="4944"/>
      <c r="I401" s="5071" t="s">
        <v>5951</v>
      </c>
      <c r="J401" s="4952">
        <f t="shared" si="36"/>
        <v>0</v>
      </c>
      <c r="K401" s="4952">
        <f t="shared" ref="K401:K404" si="37">F401-J401</f>
        <v>2500000</v>
      </c>
      <c r="L401" s="5084"/>
    </row>
    <row r="402" spans="1:12" ht="30" customHeight="1" x14ac:dyDescent="0.2">
      <c r="A402" s="5014">
        <v>184</v>
      </c>
      <c r="B402" s="4968" t="s">
        <v>45</v>
      </c>
      <c r="C402" s="4990" t="s">
        <v>989</v>
      </c>
      <c r="D402" s="4952">
        <v>20000000</v>
      </c>
      <c r="E402" s="4962">
        <v>0.05</v>
      </c>
      <c r="F402" s="4952">
        <f t="shared" si="29"/>
        <v>1000000</v>
      </c>
      <c r="G402" s="4952"/>
      <c r="H402" s="4952"/>
      <c r="I402" s="5071" t="s">
        <v>4505</v>
      </c>
      <c r="J402" s="4952">
        <f t="shared" si="36"/>
        <v>0</v>
      </c>
      <c r="K402" s="4952">
        <f t="shared" si="37"/>
        <v>1000000</v>
      </c>
      <c r="L402" s="5048" t="s">
        <v>5693</v>
      </c>
    </row>
    <row r="403" spans="1:12" ht="30" customHeight="1" x14ac:dyDescent="0.2">
      <c r="A403" s="5014">
        <v>186</v>
      </c>
      <c r="B403" s="4968" t="s">
        <v>47</v>
      </c>
      <c r="C403" s="4990" t="s">
        <v>1107</v>
      </c>
      <c r="D403" s="4952">
        <v>8000000</v>
      </c>
      <c r="E403" s="5011">
        <v>0.04</v>
      </c>
      <c r="F403" s="4952">
        <f t="shared" si="29"/>
        <v>320000</v>
      </c>
      <c r="G403" s="4952"/>
      <c r="H403" s="4952"/>
      <c r="I403" s="5071" t="s">
        <v>5275</v>
      </c>
      <c r="J403" s="4952">
        <f t="shared" si="36"/>
        <v>0</v>
      </c>
      <c r="K403" s="4952">
        <f t="shared" si="37"/>
        <v>320000</v>
      </c>
      <c r="L403" s="4968"/>
    </row>
    <row r="404" spans="1:12" ht="30" customHeight="1" x14ac:dyDescent="0.2">
      <c r="A404" s="1028">
        <v>187</v>
      </c>
      <c r="B404" s="19" t="s">
        <v>2470</v>
      </c>
      <c r="C404" s="5016" t="s">
        <v>1138</v>
      </c>
      <c r="D404" s="4944">
        <v>200000000</v>
      </c>
      <c r="E404" s="5011">
        <v>0.05</v>
      </c>
      <c r="F404" s="4944">
        <f t="shared" si="29"/>
        <v>10000000</v>
      </c>
      <c r="G404" s="4944">
        <v>10000000</v>
      </c>
      <c r="H404" s="4944" t="s">
        <v>6785</v>
      </c>
      <c r="I404" s="5020" t="s">
        <v>3331</v>
      </c>
      <c r="J404" s="4944">
        <f t="shared" si="36"/>
        <v>10000000</v>
      </c>
      <c r="K404" s="4944">
        <f t="shared" si="37"/>
        <v>0</v>
      </c>
      <c r="L404" s="5048" t="s">
        <v>5482</v>
      </c>
    </row>
    <row r="405" spans="1:12" ht="30" customHeight="1" x14ac:dyDescent="0.2">
      <c r="A405" s="5014">
        <v>188</v>
      </c>
      <c r="B405" s="4968" t="s">
        <v>49</v>
      </c>
      <c r="C405" s="5016" t="s">
        <v>1107</v>
      </c>
      <c r="D405" s="4952">
        <v>500000000</v>
      </c>
      <c r="E405" s="4962">
        <v>0.05</v>
      </c>
      <c r="F405" s="4952">
        <f t="shared" si="29"/>
        <v>25000000</v>
      </c>
      <c r="G405" s="4950"/>
      <c r="H405" s="4950"/>
      <c r="I405" s="4966" t="s">
        <v>5921</v>
      </c>
      <c r="J405" s="4950">
        <f t="shared" si="36"/>
        <v>0</v>
      </c>
      <c r="K405" s="4950">
        <f>F405-J405</f>
        <v>25000000</v>
      </c>
      <c r="L405" s="1661" t="s">
        <v>5224</v>
      </c>
    </row>
    <row r="406" spans="1:12" ht="30" customHeight="1" x14ac:dyDescent="0.2">
      <c r="A406" s="7654">
        <v>190</v>
      </c>
      <c r="B406" s="7652" t="s">
        <v>51</v>
      </c>
      <c r="C406" s="4990" t="s">
        <v>1100</v>
      </c>
      <c r="D406" s="4952">
        <v>80000000</v>
      </c>
      <c r="E406" s="5011">
        <v>0.05</v>
      </c>
      <c r="F406" s="4952">
        <f t="shared" si="29"/>
        <v>4000000</v>
      </c>
      <c r="G406" s="7563"/>
      <c r="H406" s="7563"/>
      <c r="I406" s="7561" t="s">
        <v>2967</v>
      </c>
      <c r="J406" s="7563">
        <f t="shared" si="36"/>
        <v>0</v>
      </c>
      <c r="K406" s="7563">
        <f>(F406+F407)-J406</f>
        <v>14000000</v>
      </c>
      <c r="L406" s="7703"/>
    </row>
    <row r="407" spans="1:12" ht="30" customHeight="1" x14ac:dyDescent="0.2">
      <c r="A407" s="7656"/>
      <c r="B407" s="7665"/>
      <c r="C407" s="4990" t="s">
        <v>1100</v>
      </c>
      <c r="D407" s="4952">
        <v>200000000</v>
      </c>
      <c r="E407" s="5011">
        <v>0.05</v>
      </c>
      <c r="F407" s="4952">
        <f t="shared" si="29"/>
        <v>10000000</v>
      </c>
      <c r="G407" s="7564"/>
      <c r="H407" s="7564"/>
      <c r="I407" s="7562"/>
      <c r="J407" s="7564"/>
      <c r="K407" s="7564"/>
      <c r="L407" s="7705"/>
    </row>
    <row r="408" spans="1:12" ht="30" customHeight="1" x14ac:dyDescent="0.2">
      <c r="A408" s="7655"/>
      <c r="B408" s="7653"/>
      <c r="C408" s="4992" t="s">
        <v>262</v>
      </c>
      <c r="D408" s="4951">
        <v>220000000</v>
      </c>
      <c r="E408" s="4960">
        <v>0.05</v>
      </c>
      <c r="F408" s="4951">
        <f t="shared" si="29"/>
        <v>11000000</v>
      </c>
      <c r="G408" s="4952">
        <v>11000000</v>
      </c>
      <c r="H408" s="4952" t="s">
        <v>7010</v>
      </c>
      <c r="I408" s="5071" t="s">
        <v>2967</v>
      </c>
      <c r="J408" s="4951">
        <f>G408</f>
        <v>11000000</v>
      </c>
      <c r="K408" s="4951">
        <f>F408-J408</f>
        <v>0</v>
      </c>
      <c r="L408" s="5006"/>
    </row>
    <row r="409" spans="1:12" ht="30" customHeight="1" x14ac:dyDescent="0.2">
      <c r="A409" s="7654">
        <v>191</v>
      </c>
      <c r="B409" s="7652" t="s">
        <v>52</v>
      </c>
      <c r="C409" s="7723" t="s">
        <v>262</v>
      </c>
      <c r="D409" s="5363">
        <v>700000000</v>
      </c>
      <c r="E409" s="896">
        <v>7.6999999999999999E-2</v>
      </c>
      <c r="F409" s="5363">
        <v>54000000</v>
      </c>
      <c r="G409" s="8105" t="s">
        <v>6812</v>
      </c>
      <c r="H409" s="8106"/>
      <c r="I409" s="8106"/>
      <c r="J409" s="8107"/>
      <c r="K409" s="5346">
        <f>F409-J409</f>
        <v>54000000</v>
      </c>
      <c r="L409" s="378"/>
    </row>
    <row r="410" spans="1:12" ht="30" customHeight="1" x14ac:dyDescent="0.2">
      <c r="A410" s="7656"/>
      <c r="B410" s="7665"/>
      <c r="C410" s="7747"/>
      <c r="D410" s="5346">
        <v>54000000</v>
      </c>
      <c r="E410" s="5356"/>
      <c r="F410" s="5346"/>
      <c r="G410" s="8111"/>
      <c r="H410" s="8112"/>
      <c r="I410" s="8112"/>
      <c r="J410" s="8113"/>
      <c r="K410" s="5346"/>
      <c r="L410" s="378"/>
    </row>
    <row r="411" spans="1:12" ht="30" customHeight="1" x14ac:dyDescent="0.2">
      <c r="A411" s="7656"/>
      <c r="B411" s="7665"/>
      <c r="C411" s="7747"/>
      <c r="D411" s="5346">
        <v>46000000</v>
      </c>
      <c r="E411" s="5356"/>
      <c r="F411" s="5346"/>
      <c r="G411" s="7732" t="s">
        <v>7017</v>
      </c>
      <c r="H411" s="7733"/>
      <c r="I411" s="7733"/>
      <c r="J411" s="7734"/>
      <c r="K411" s="5346"/>
      <c r="L411" s="378"/>
    </row>
    <row r="412" spans="1:12" ht="30" customHeight="1" x14ac:dyDescent="0.2">
      <c r="A412" s="7656"/>
      <c r="B412" s="7665"/>
      <c r="C412" s="7747"/>
      <c r="D412" s="5346">
        <v>200000000</v>
      </c>
      <c r="E412" s="5356"/>
      <c r="F412" s="5346"/>
      <c r="G412" s="5346"/>
      <c r="H412" s="5346"/>
      <c r="I412" s="5357"/>
      <c r="J412" s="5346"/>
      <c r="K412" s="5346"/>
      <c r="L412" s="378"/>
    </row>
    <row r="413" spans="1:12" ht="30" customHeight="1" x14ac:dyDescent="0.2">
      <c r="A413" s="7655"/>
      <c r="B413" s="7653"/>
      <c r="C413" s="7724"/>
      <c r="D413" s="5363">
        <v>300000000</v>
      </c>
      <c r="E413" s="896">
        <v>7.0000000000000007E-2</v>
      </c>
      <c r="F413" s="5363">
        <f>D413*E413</f>
        <v>21000000.000000004</v>
      </c>
      <c r="G413" s="5346"/>
      <c r="H413" s="5346"/>
      <c r="I413" s="5357"/>
      <c r="J413" s="5346"/>
      <c r="K413" s="5346"/>
      <c r="L413" s="378" t="s">
        <v>7018</v>
      </c>
    </row>
    <row r="414" spans="1:12" ht="30" customHeight="1" x14ac:dyDescent="0.2">
      <c r="A414" s="8475">
        <v>192</v>
      </c>
      <c r="B414" s="8468" t="s">
        <v>53</v>
      </c>
      <c r="C414" s="8470" t="s">
        <v>1287</v>
      </c>
      <c r="D414" s="8464">
        <v>1400000000</v>
      </c>
      <c r="E414" s="8541">
        <v>7.0000000000000007E-2</v>
      </c>
      <c r="F414" s="8464">
        <f>D414*E414</f>
        <v>98000000.000000015</v>
      </c>
      <c r="G414" s="5525">
        <v>20000000</v>
      </c>
      <c r="H414" s="5525" t="s">
        <v>7059</v>
      </c>
      <c r="I414" s="5525" t="s">
        <v>6553</v>
      </c>
      <c r="J414" s="8464">
        <f>G414+G415+G416</f>
        <v>20000000</v>
      </c>
      <c r="K414" s="8464">
        <f>F414-J414</f>
        <v>78000000.000000015</v>
      </c>
      <c r="L414" s="5526" t="s">
        <v>7119</v>
      </c>
    </row>
    <row r="415" spans="1:12" ht="30" customHeight="1" x14ac:dyDescent="0.2">
      <c r="A415" s="8476"/>
      <c r="B415" s="8469"/>
      <c r="C415" s="8471"/>
      <c r="D415" s="8465"/>
      <c r="E415" s="8542"/>
      <c r="F415" s="8465"/>
      <c r="G415" s="5525"/>
      <c r="H415" s="5525"/>
      <c r="I415" s="5525"/>
      <c r="J415" s="8465"/>
      <c r="K415" s="8465"/>
      <c r="L415" s="5526" t="s">
        <v>7117</v>
      </c>
    </row>
    <row r="416" spans="1:12" ht="30" customHeight="1" x14ac:dyDescent="0.2">
      <c r="A416" s="8476"/>
      <c r="B416" s="8469"/>
      <c r="C416" s="8471"/>
      <c r="D416" s="8465"/>
      <c r="E416" s="8542"/>
      <c r="F416" s="8465"/>
      <c r="G416" s="5525"/>
      <c r="H416" s="5527"/>
      <c r="I416" s="5527"/>
      <c r="J416" s="8466"/>
      <c r="K416" s="8466"/>
      <c r="L416" s="5526" t="s">
        <v>7118</v>
      </c>
    </row>
    <row r="417" spans="1:16" ht="30" customHeight="1" x14ac:dyDescent="0.2">
      <c r="A417" s="8476"/>
      <c r="B417" s="5528" t="s">
        <v>7113</v>
      </c>
      <c r="C417" s="5529"/>
      <c r="D417" s="8473" t="s">
        <v>7111</v>
      </c>
      <c r="E417" s="8473"/>
      <c r="F417" s="8473"/>
      <c r="G417" s="8534" t="s">
        <v>7170</v>
      </c>
      <c r="H417" s="8535"/>
      <c r="I417" s="8535"/>
      <c r="J417" s="8536"/>
      <c r="K417" s="5525"/>
      <c r="L417" s="5530" t="s">
        <v>7114</v>
      </c>
    </row>
    <row r="418" spans="1:16" ht="30" customHeight="1" x14ac:dyDescent="0.2">
      <c r="A418" s="8476"/>
      <c r="B418" s="8468" t="s">
        <v>7110</v>
      </c>
      <c r="C418" s="5526"/>
      <c r="D418" s="8473" t="s">
        <v>7109</v>
      </c>
      <c r="E418" s="8473"/>
      <c r="F418" s="8473"/>
      <c r="G418" s="8537"/>
      <c r="H418" s="8538"/>
      <c r="I418" s="8538"/>
      <c r="J418" s="8539"/>
      <c r="K418" s="5525"/>
      <c r="L418" s="5530" t="s">
        <v>7115</v>
      </c>
    </row>
    <row r="419" spans="1:16" ht="30" customHeight="1" x14ac:dyDescent="0.2">
      <c r="A419" s="8477"/>
      <c r="B419" s="8474"/>
      <c r="C419" s="5526"/>
      <c r="D419" s="8473" t="s">
        <v>7112</v>
      </c>
      <c r="E419" s="8473"/>
      <c r="F419" s="8473"/>
      <c r="G419" s="5525"/>
      <c r="H419" s="5527"/>
      <c r="I419" s="5527"/>
      <c r="J419" s="5525"/>
      <c r="K419" s="5525"/>
      <c r="L419" s="5530" t="s">
        <v>7116</v>
      </c>
    </row>
    <row r="420" spans="1:16" ht="30" customHeight="1" x14ac:dyDescent="0.2">
      <c r="A420" s="5531"/>
      <c r="B420" s="5528" t="s">
        <v>7110</v>
      </c>
      <c r="C420" s="5532"/>
      <c r="D420" s="5533">
        <v>50000000</v>
      </c>
      <c r="E420" s="5533"/>
      <c r="F420" s="5533"/>
      <c r="G420" s="5525"/>
      <c r="H420" s="5527"/>
      <c r="I420" s="5527"/>
      <c r="J420" s="5527"/>
      <c r="K420" s="5527"/>
      <c r="L420" s="5534" t="s">
        <v>7174</v>
      </c>
    </row>
    <row r="421" spans="1:16" ht="30" customHeight="1" x14ac:dyDescent="0.2">
      <c r="A421" s="5531"/>
      <c r="B421" s="5528" t="s">
        <v>7175</v>
      </c>
      <c r="C421" s="5532"/>
      <c r="D421" s="5533">
        <v>400000000</v>
      </c>
      <c r="E421" s="5533"/>
      <c r="F421" s="5533"/>
      <c r="G421" s="5525"/>
      <c r="H421" s="5527"/>
      <c r="I421" s="5527"/>
      <c r="J421" s="5527"/>
      <c r="K421" s="5527"/>
      <c r="L421" s="5534" t="s">
        <v>7176</v>
      </c>
    </row>
    <row r="422" spans="1:16" ht="30" customHeight="1" x14ac:dyDescent="0.2">
      <c r="A422" s="5531"/>
      <c r="B422" s="5528" t="s">
        <v>53</v>
      </c>
      <c r="C422" s="5532"/>
      <c r="D422" s="5533">
        <v>500000000</v>
      </c>
      <c r="E422" s="5533"/>
      <c r="F422" s="5533"/>
      <c r="G422" s="5525"/>
      <c r="H422" s="5527"/>
      <c r="I422" s="5527"/>
      <c r="J422" s="5527"/>
      <c r="K422" s="5527"/>
      <c r="L422" s="5534" t="s">
        <v>7177</v>
      </c>
    </row>
    <row r="423" spans="1:16" ht="30" customHeight="1" x14ac:dyDescent="0.2">
      <c r="A423" s="7654">
        <v>193</v>
      </c>
      <c r="B423" s="7652" t="s">
        <v>54</v>
      </c>
      <c r="C423" s="7723" t="s">
        <v>1306</v>
      </c>
      <c r="D423" s="4952">
        <v>75000000</v>
      </c>
      <c r="E423" s="4962">
        <v>0.05</v>
      </c>
      <c r="F423" s="4952">
        <f>D423*E423</f>
        <v>3750000</v>
      </c>
      <c r="G423" s="4944"/>
      <c r="H423" s="4944"/>
      <c r="I423" s="4944" t="s">
        <v>4136</v>
      </c>
      <c r="J423" s="4950">
        <f>G423</f>
        <v>0</v>
      </c>
      <c r="K423" s="4950">
        <f>F423-J423</f>
        <v>3750000</v>
      </c>
      <c r="L423" s="4968"/>
    </row>
    <row r="424" spans="1:16" ht="30" customHeight="1" x14ac:dyDescent="0.2">
      <c r="A424" s="7655"/>
      <c r="B424" s="7653"/>
      <c r="C424" s="7724"/>
      <c r="D424" s="4952">
        <v>50000000</v>
      </c>
      <c r="E424" s="4962">
        <v>0.05</v>
      </c>
      <c r="F424" s="4952">
        <f>D424*E424</f>
        <v>2500000</v>
      </c>
      <c r="G424" s="7732" t="s">
        <v>6736</v>
      </c>
      <c r="H424" s="7733"/>
      <c r="I424" s="7733"/>
      <c r="J424" s="7734"/>
      <c r="K424" s="4950"/>
      <c r="L424" s="736" t="s">
        <v>6730</v>
      </c>
    </row>
    <row r="425" spans="1:16" ht="30" customHeight="1" x14ac:dyDescent="0.2">
      <c r="A425" s="4957">
        <v>194</v>
      </c>
      <c r="B425" s="4968" t="s">
        <v>55</v>
      </c>
      <c r="C425" s="5016" t="s">
        <v>1287</v>
      </c>
      <c r="D425" s="4944">
        <v>160000000</v>
      </c>
      <c r="E425" s="1027">
        <v>0.05</v>
      </c>
      <c r="F425" s="4944">
        <f>D425*E425</f>
        <v>8000000</v>
      </c>
      <c r="G425" s="4944"/>
      <c r="H425" s="5020"/>
      <c r="I425" s="5020" t="s">
        <v>3184</v>
      </c>
      <c r="J425" s="4944">
        <f>G425</f>
        <v>0</v>
      </c>
      <c r="K425" s="4944">
        <f>J425-J425</f>
        <v>0</v>
      </c>
      <c r="L425" s="5048"/>
    </row>
    <row r="426" spans="1:16" ht="30" customHeight="1" x14ac:dyDescent="0.2">
      <c r="A426" s="5014">
        <v>195</v>
      </c>
      <c r="B426" s="4956" t="s">
        <v>56</v>
      </c>
      <c r="C426" s="4990" t="s">
        <v>990</v>
      </c>
      <c r="D426" s="4952">
        <v>10000000</v>
      </c>
      <c r="E426" s="4962">
        <v>0.05</v>
      </c>
      <c r="F426" s="4952">
        <f t="shared" ref="F426:F536" si="38">D426*E426</f>
        <v>500000</v>
      </c>
      <c r="G426" s="4952"/>
      <c r="H426" s="4952"/>
      <c r="I426" s="5071" t="s">
        <v>1121</v>
      </c>
      <c r="J426" s="4952">
        <f t="shared" ref="J426:J459" si="39">G426</f>
        <v>0</v>
      </c>
      <c r="K426" s="4952">
        <f t="shared" ref="K426:K443" si="40">F426-J426</f>
        <v>500000</v>
      </c>
      <c r="L426" s="4968"/>
    </row>
    <row r="427" spans="1:16" ht="30" customHeight="1" x14ac:dyDescent="0.2">
      <c r="A427" s="7654">
        <v>196</v>
      </c>
      <c r="B427" s="7652" t="s">
        <v>57</v>
      </c>
      <c r="C427" s="7723" t="s">
        <v>1107</v>
      </c>
      <c r="D427" s="4952">
        <v>20000000</v>
      </c>
      <c r="E427" s="5011">
        <v>0.04</v>
      </c>
      <c r="F427" s="4952">
        <f t="shared" si="38"/>
        <v>800000</v>
      </c>
      <c r="G427" s="7563"/>
      <c r="H427" s="7563"/>
      <c r="I427" s="7561" t="s">
        <v>3761</v>
      </c>
      <c r="J427" s="7563">
        <f t="shared" si="39"/>
        <v>0</v>
      </c>
      <c r="K427" s="7563"/>
      <c r="L427" s="736" t="s">
        <v>5957</v>
      </c>
    </row>
    <row r="428" spans="1:16" ht="30" customHeight="1" x14ac:dyDescent="0.2">
      <c r="A428" s="7656"/>
      <c r="B428" s="7665"/>
      <c r="C428" s="7747"/>
      <c r="D428" s="4952">
        <v>30000000</v>
      </c>
      <c r="E428" s="5011">
        <v>0.05</v>
      </c>
      <c r="F428" s="4952">
        <f t="shared" si="38"/>
        <v>1500000</v>
      </c>
      <c r="G428" s="7586"/>
      <c r="H428" s="7586"/>
      <c r="I428" s="7672"/>
      <c r="J428" s="7586"/>
      <c r="K428" s="7586"/>
      <c r="L428" s="5048" t="s">
        <v>6101</v>
      </c>
    </row>
    <row r="429" spans="1:16" ht="30" customHeight="1" x14ac:dyDescent="0.2">
      <c r="A429" s="7656"/>
      <c r="B429" s="7665"/>
      <c r="C429" s="7747"/>
      <c r="D429" s="4952">
        <v>10000000</v>
      </c>
      <c r="E429" s="5011">
        <v>0.05</v>
      </c>
      <c r="F429" s="4952">
        <f t="shared" si="38"/>
        <v>500000</v>
      </c>
      <c r="G429" s="7586"/>
      <c r="H429" s="7586"/>
      <c r="I429" s="7672"/>
      <c r="J429" s="7586"/>
      <c r="K429" s="7586"/>
      <c r="L429" s="5048" t="s">
        <v>5956</v>
      </c>
    </row>
    <row r="430" spans="1:16" ht="30" customHeight="1" x14ac:dyDescent="0.2">
      <c r="A430" s="7655"/>
      <c r="B430" s="7653"/>
      <c r="C430" s="7724"/>
      <c r="D430" s="4988">
        <v>60000000</v>
      </c>
      <c r="E430" s="5083">
        <v>0.05</v>
      </c>
      <c r="F430" s="4988">
        <f t="shared" si="38"/>
        <v>3000000</v>
      </c>
      <c r="G430" s="7564"/>
      <c r="H430" s="7564"/>
      <c r="I430" s="7562"/>
      <c r="J430" s="7564"/>
      <c r="K430" s="7564"/>
      <c r="L430" s="5048" t="s">
        <v>6115</v>
      </c>
    </row>
    <row r="431" spans="1:16" ht="30" customHeight="1" x14ac:dyDescent="0.2">
      <c r="A431" s="7654">
        <v>197</v>
      </c>
      <c r="B431" s="7717" t="s">
        <v>4151</v>
      </c>
      <c r="C431" s="7723" t="s">
        <v>1134</v>
      </c>
      <c r="D431" s="4944">
        <v>100000000</v>
      </c>
      <c r="E431" s="5011">
        <v>0.05</v>
      </c>
      <c r="F431" s="4944">
        <f t="shared" si="38"/>
        <v>5000000</v>
      </c>
      <c r="G431" s="7563"/>
      <c r="H431" s="7563"/>
      <c r="I431" s="7563" t="s">
        <v>4152</v>
      </c>
      <c r="J431" s="7563">
        <f t="shared" si="39"/>
        <v>0</v>
      </c>
      <c r="K431" s="7563">
        <f>(F431+F432)-J431</f>
        <v>12000000</v>
      </c>
      <c r="L431" s="736"/>
      <c r="M431" s="366"/>
      <c r="N431" s="366"/>
      <c r="O431" s="366"/>
      <c r="P431" s="366"/>
    </row>
    <row r="432" spans="1:16" ht="30" customHeight="1" x14ac:dyDescent="0.2">
      <c r="A432" s="7655"/>
      <c r="B432" s="7717"/>
      <c r="C432" s="7724"/>
      <c r="D432" s="4952">
        <v>100000000</v>
      </c>
      <c r="E432" s="4962">
        <v>7.0000000000000007E-2</v>
      </c>
      <c r="F432" s="4952">
        <f t="shared" si="38"/>
        <v>7000000.0000000009</v>
      </c>
      <c r="G432" s="7564"/>
      <c r="H432" s="7564"/>
      <c r="I432" s="7564"/>
      <c r="J432" s="7564"/>
      <c r="K432" s="7564"/>
      <c r="L432" s="637" t="s">
        <v>5161</v>
      </c>
      <c r="M432" s="366"/>
      <c r="N432" s="366"/>
      <c r="O432" s="366"/>
      <c r="P432" s="366"/>
    </row>
    <row r="433" spans="1:16" ht="30" customHeight="1" x14ac:dyDescent="0.2">
      <c r="A433" s="7654">
        <v>198</v>
      </c>
      <c r="B433" s="7665" t="s">
        <v>59</v>
      </c>
      <c r="C433" s="5016" t="s">
        <v>1796</v>
      </c>
      <c r="D433" s="4952">
        <v>30000000</v>
      </c>
      <c r="E433" s="4962">
        <v>8.5000000000000006E-2</v>
      </c>
      <c r="F433" s="4952">
        <v>2500000</v>
      </c>
      <c r="G433" s="233"/>
      <c r="H433" s="4952"/>
      <c r="I433" s="4952" t="s">
        <v>4137</v>
      </c>
      <c r="J433" s="4952">
        <f t="shared" si="39"/>
        <v>0</v>
      </c>
      <c r="K433" s="4952">
        <f t="shared" si="40"/>
        <v>2500000</v>
      </c>
      <c r="L433" s="7713" t="s">
        <v>4607</v>
      </c>
      <c r="M433" s="366"/>
      <c r="N433" s="366"/>
      <c r="O433" s="366"/>
      <c r="P433" s="366"/>
    </row>
    <row r="434" spans="1:16" ht="30" customHeight="1" x14ac:dyDescent="0.2">
      <c r="A434" s="7655"/>
      <c r="B434" s="7653"/>
      <c r="C434" s="5016" t="s">
        <v>1718</v>
      </c>
      <c r="D434" s="4952">
        <v>100000000</v>
      </c>
      <c r="E434" s="5011">
        <v>7.0000000000000007E-2</v>
      </c>
      <c r="F434" s="4952">
        <f>D434*E434</f>
        <v>7000000.0000000009</v>
      </c>
      <c r="G434" s="4944">
        <v>7000000</v>
      </c>
      <c r="H434" s="4952" t="s">
        <v>6895</v>
      </c>
      <c r="I434" s="4952" t="s">
        <v>4137</v>
      </c>
      <c r="J434" s="4952">
        <f>G434</f>
        <v>7000000</v>
      </c>
      <c r="K434" s="4952">
        <f>F434-J434</f>
        <v>0</v>
      </c>
      <c r="L434" s="7714"/>
      <c r="M434" s="366"/>
      <c r="N434" s="366"/>
      <c r="O434" s="366"/>
      <c r="P434" s="366"/>
    </row>
    <row r="435" spans="1:16" ht="30" customHeight="1" x14ac:dyDescent="0.2">
      <c r="A435" s="5014">
        <v>199</v>
      </c>
      <c r="B435" s="4968" t="s">
        <v>60</v>
      </c>
      <c r="C435" s="4990" t="s">
        <v>1100</v>
      </c>
      <c r="D435" s="4952">
        <v>50000000</v>
      </c>
      <c r="E435" s="5011">
        <v>0.05</v>
      </c>
      <c r="F435" s="4952">
        <f t="shared" si="38"/>
        <v>2500000</v>
      </c>
      <c r="G435" s="4952"/>
      <c r="H435" s="4952"/>
      <c r="I435" s="4944" t="s">
        <v>4776</v>
      </c>
      <c r="J435" s="4952">
        <f t="shared" si="39"/>
        <v>0</v>
      </c>
      <c r="K435" s="4952">
        <f t="shared" si="40"/>
        <v>2500000</v>
      </c>
      <c r="L435" s="4968"/>
      <c r="M435" s="366"/>
      <c r="N435" s="366"/>
      <c r="O435" s="366"/>
      <c r="P435" s="366"/>
    </row>
    <row r="436" spans="1:16" ht="30" customHeight="1" x14ac:dyDescent="0.2">
      <c r="A436" s="7654">
        <v>200</v>
      </c>
      <c r="B436" s="7652" t="s">
        <v>61</v>
      </c>
      <c r="C436" s="7723" t="s">
        <v>1081</v>
      </c>
      <c r="D436" s="4944">
        <v>350000000</v>
      </c>
      <c r="E436" s="5011">
        <v>7.0000000000000007E-2</v>
      </c>
      <c r="F436" s="4944">
        <f t="shared" si="38"/>
        <v>24500000.000000004</v>
      </c>
      <c r="G436" s="7563">
        <v>15000000</v>
      </c>
      <c r="H436" s="7846" t="s">
        <v>2474</v>
      </c>
      <c r="I436" s="7561" t="s">
        <v>1574</v>
      </c>
      <c r="J436" s="7563">
        <f>G436+G438</f>
        <v>15000000</v>
      </c>
      <c r="K436" s="7563">
        <f>F439-J436</f>
        <v>23500000</v>
      </c>
      <c r="L436" s="5084"/>
      <c r="M436" s="366"/>
      <c r="N436" s="366"/>
      <c r="O436" s="366"/>
      <c r="P436" s="366"/>
    </row>
    <row r="437" spans="1:16" ht="30" customHeight="1" x14ac:dyDescent="0.2">
      <c r="A437" s="7656"/>
      <c r="B437" s="7665"/>
      <c r="C437" s="7747"/>
      <c r="D437" s="5161">
        <v>110000000</v>
      </c>
      <c r="E437" s="5174">
        <v>7.0000000000000007E-2</v>
      </c>
      <c r="F437" s="5161">
        <f t="shared" si="38"/>
        <v>7700000.0000000009</v>
      </c>
      <c r="G437" s="7564"/>
      <c r="H437" s="7848"/>
      <c r="I437" s="7562"/>
      <c r="J437" s="7586"/>
      <c r="K437" s="7586"/>
      <c r="L437" s="5180" t="s">
        <v>6808</v>
      </c>
      <c r="M437" s="366"/>
      <c r="N437" s="366"/>
      <c r="O437" s="366"/>
      <c r="P437" s="366"/>
    </row>
    <row r="438" spans="1:16" ht="30" customHeight="1" x14ac:dyDescent="0.2">
      <c r="A438" s="7656"/>
      <c r="B438" s="7665"/>
      <c r="C438" s="7747"/>
      <c r="D438" s="5161">
        <v>90000000</v>
      </c>
      <c r="E438" s="5174">
        <v>7.0000000000000007E-2</v>
      </c>
      <c r="F438" s="5161">
        <f t="shared" si="38"/>
        <v>6300000.0000000009</v>
      </c>
      <c r="G438" s="7563"/>
      <c r="H438" s="7563"/>
      <c r="I438" s="7561"/>
      <c r="J438" s="7586"/>
      <c r="K438" s="7586"/>
      <c r="L438" s="5180" t="s">
        <v>6809</v>
      </c>
      <c r="M438" s="366"/>
      <c r="N438" s="366"/>
      <c r="O438" s="366"/>
      <c r="P438" s="366"/>
    </row>
    <row r="439" spans="1:16" ht="30" customHeight="1" x14ac:dyDescent="0.2">
      <c r="A439" s="7655"/>
      <c r="B439" s="7653"/>
      <c r="C439" s="7724"/>
      <c r="D439" s="5167">
        <f>SUM(D436:D438)</f>
        <v>550000000</v>
      </c>
      <c r="E439" s="5179">
        <v>7.0000000000000007E-2</v>
      </c>
      <c r="F439" s="5167">
        <f>D439*E439</f>
        <v>38500000</v>
      </c>
      <c r="G439" s="7564"/>
      <c r="H439" s="7564"/>
      <c r="I439" s="7562"/>
      <c r="J439" s="7564"/>
      <c r="K439" s="7564"/>
      <c r="L439" s="5180" t="s">
        <v>6810</v>
      </c>
      <c r="M439" s="366"/>
      <c r="N439" s="366"/>
      <c r="O439" s="366"/>
      <c r="P439" s="366"/>
    </row>
    <row r="440" spans="1:16" ht="30" customHeight="1" x14ac:dyDescent="0.2">
      <c r="A440" s="5014">
        <v>201</v>
      </c>
      <c r="B440" s="4968" t="s">
        <v>62</v>
      </c>
      <c r="C440" s="4990"/>
      <c r="D440" s="4952">
        <v>60000000</v>
      </c>
      <c r="E440" s="5011">
        <v>7.0000000000000007E-2</v>
      </c>
      <c r="F440" s="4952">
        <v>4500000</v>
      </c>
      <c r="G440" s="4952">
        <v>4500000</v>
      </c>
      <c r="H440" s="4952" t="s">
        <v>6773</v>
      </c>
      <c r="I440" s="5036" t="s">
        <v>3900</v>
      </c>
      <c r="J440" s="4952">
        <f t="shared" si="39"/>
        <v>4500000</v>
      </c>
      <c r="K440" s="4952">
        <f t="shared" si="40"/>
        <v>0</v>
      </c>
      <c r="L440" s="4968"/>
      <c r="M440" s="366"/>
      <c r="N440" s="366"/>
      <c r="O440" s="366"/>
      <c r="P440" s="366"/>
    </row>
    <row r="441" spans="1:16" ht="30" customHeight="1" x14ac:dyDescent="0.2">
      <c r="A441" s="3316">
        <v>202</v>
      </c>
      <c r="B441" s="4968" t="s">
        <v>63</v>
      </c>
      <c r="C441" s="5016" t="s">
        <v>1081</v>
      </c>
      <c r="D441" s="4944">
        <v>100000000</v>
      </c>
      <c r="E441" s="5011">
        <v>0.05</v>
      </c>
      <c r="F441" s="4944">
        <f t="shared" si="38"/>
        <v>5000000</v>
      </c>
      <c r="G441" s="4944"/>
      <c r="H441" s="4952"/>
      <c r="I441" s="5071" t="s">
        <v>3889</v>
      </c>
      <c r="J441" s="4952">
        <f t="shared" si="39"/>
        <v>0</v>
      </c>
      <c r="K441" s="4952">
        <f t="shared" si="40"/>
        <v>5000000</v>
      </c>
      <c r="L441" s="5048" t="s">
        <v>5478</v>
      </c>
      <c r="M441" s="366"/>
      <c r="N441" s="366"/>
      <c r="O441" s="366"/>
      <c r="P441" s="366"/>
    </row>
    <row r="442" spans="1:16" ht="30" customHeight="1" x14ac:dyDescent="0.2">
      <c r="A442" s="5014">
        <v>203</v>
      </c>
      <c r="B442" s="4956" t="s">
        <v>1244</v>
      </c>
      <c r="C442" s="4990" t="s">
        <v>1081</v>
      </c>
      <c r="D442" s="4952">
        <v>60000000</v>
      </c>
      <c r="E442" s="4962">
        <v>0.05</v>
      </c>
      <c r="F442" s="4952">
        <f t="shared" si="38"/>
        <v>3000000</v>
      </c>
      <c r="G442" s="4952"/>
      <c r="H442" s="4952"/>
      <c r="I442" s="5071" t="s">
        <v>1154</v>
      </c>
      <c r="J442" s="4952">
        <f t="shared" si="39"/>
        <v>0</v>
      </c>
      <c r="K442" s="4952">
        <f t="shared" si="40"/>
        <v>3000000</v>
      </c>
      <c r="L442" s="4968"/>
    </row>
    <row r="443" spans="1:16" ht="30" customHeight="1" x14ac:dyDescent="0.2">
      <c r="A443" s="5014">
        <v>205</v>
      </c>
      <c r="B443" s="4968" t="s">
        <v>65</v>
      </c>
      <c r="C443" s="4990" t="s">
        <v>3245</v>
      </c>
      <c r="D443" s="4952">
        <v>15000000</v>
      </c>
      <c r="E443" s="5011">
        <v>0.04</v>
      </c>
      <c r="F443" s="4952">
        <f t="shared" si="38"/>
        <v>600000</v>
      </c>
      <c r="G443" s="4952"/>
      <c r="H443" s="4952"/>
      <c r="I443" s="5071" t="s">
        <v>3244</v>
      </c>
      <c r="J443" s="4952">
        <f t="shared" si="39"/>
        <v>0</v>
      </c>
      <c r="K443" s="4952">
        <f t="shared" si="40"/>
        <v>600000</v>
      </c>
      <c r="L443" s="4968"/>
    </row>
    <row r="444" spans="1:16" ht="30" customHeight="1" x14ac:dyDescent="0.2">
      <c r="A444" s="4970">
        <v>207</v>
      </c>
      <c r="B444" s="5017" t="s">
        <v>2676</v>
      </c>
      <c r="C444" s="4989" t="s">
        <v>681</v>
      </c>
      <c r="D444" s="4952">
        <v>150000000</v>
      </c>
      <c r="E444" s="5011">
        <v>0.04</v>
      </c>
      <c r="F444" s="4952">
        <f t="shared" si="38"/>
        <v>6000000</v>
      </c>
      <c r="G444" s="4950"/>
      <c r="H444" s="4950"/>
      <c r="I444" s="4966" t="s">
        <v>3739</v>
      </c>
      <c r="J444" s="4950">
        <f t="shared" si="39"/>
        <v>0</v>
      </c>
      <c r="K444" s="4950">
        <f>F444-J444</f>
        <v>6000000</v>
      </c>
      <c r="L444" s="4981"/>
    </row>
    <row r="445" spans="1:16" ht="30" customHeight="1" x14ac:dyDescent="0.2">
      <c r="A445" s="4957">
        <v>208</v>
      </c>
      <c r="B445" s="19" t="s">
        <v>69</v>
      </c>
      <c r="C445" s="5016" t="s">
        <v>1100</v>
      </c>
      <c r="D445" s="4944">
        <v>15000000</v>
      </c>
      <c r="E445" s="5011">
        <v>0.04</v>
      </c>
      <c r="F445" s="4944">
        <f t="shared" si="38"/>
        <v>600000</v>
      </c>
      <c r="G445" s="4944"/>
      <c r="H445" s="4944"/>
      <c r="I445" s="5020" t="s">
        <v>1099</v>
      </c>
      <c r="J445" s="4944">
        <f t="shared" si="39"/>
        <v>0</v>
      </c>
      <c r="K445" s="4944">
        <f t="shared" ref="K445:K461" si="41">F445-J445</f>
        <v>600000</v>
      </c>
      <c r="L445" s="5084"/>
    </row>
    <row r="446" spans="1:16" ht="30" customHeight="1" x14ac:dyDescent="0.2">
      <c r="A446" s="5014">
        <v>210</v>
      </c>
      <c r="B446" s="4968" t="s">
        <v>72</v>
      </c>
      <c r="C446" s="7723" t="s">
        <v>392</v>
      </c>
      <c r="D446" s="4952">
        <v>50000000</v>
      </c>
      <c r="E446" s="5011">
        <v>7.0000000000000007E-2</v>
      </c>
      <c r="F446" s="4952">
        <f t="shared" si="38"/>
        <v>3500000.0000000005</v>
      </c>
      <c r="G446" s="7563">
        <v>7000000</v>
      </c>
      <c r="H446" s="7563" t="s">
        <v>6828</v>
      </c>
      <c r="I446" s="7561" t="s">
        <v>4892</v>
      </c>
      <c r="J446" s="7563">
        <f t="shared" si="39"/>
        <v>7000000</v>
      </c>
      <c r="K446" s="7563">
        <f>(F446+F447)-J446</f>
        <v>0</v>
      </c>
      <c r="L446" s="4968"/>
    </row>
    <row r="447" spans="1:16" ht="30" customHeight="1" x14ac:dyDescent="0.2">
      <c r="A447" s="5014"/>
      <c r="B447" s="4968" t="s">
        <v>4821</v>
      </c>
      <c r="C447" s="7724"/>
      <c r="D447" s="4952">
        <v>50000000</v>
      </c>
      <c r="E447" s="5011">
        <v>7.0000000000000007E-2</v>
      </c>
      <c r="F447" s="4952">
        <f t="shared" si="38"/>
        <v>3500000.0000000005</v>
      </c>
      <c r="G447" s="7564"/>
      <c r="H447" s="7564"/>
      <c r="I447" s="7562"/>
      <c r="J447" s="7564"/>
      <c r="K447" s="7564"/>
      <c r="L447" s="4968"/>
    </row>
    <row r="448" spans="1:16" ht="30" customHeight="1" x14ac:dyDescent="0.2">
      <c r="A448" s="7654">
        <v>211</v>
      </c>
      <c r="B448" s="7652" t="s">
        <v>73</v>
      </c>
      <c r="C448" s="7723" t="s">
        <v>1295</v>
      </c>
      <c r="D448" s="4952">
        <v>100000000</v>
      </c>
      <c r="E448" s="5011">
        <v>5.5E-2</v>
      </c>
      <c r="F448" s="4952">
        <f t="shared" si="38"/>
        <v>5500000</v>
      </c>
      <c r="G448" s="7563">
        <v>11000000</v>
      </c>
      <c r="H448" s="7563" t="s">
        <v>6789</v>
      </c>
      <c r="I448" s="7561" t="s">
        <v>4001</v>
      </c>
      <c r="J448" s="7563">
        <f t="shared" si="39"/>
        <v>11000000</v>
      </c>
      <c r="K448" s="7563">
        <f>(F449+F448)-J448</f>
        <v>0</v>
      </c>
      <c r="L448" s="5030" t="s">
        <v>6012</v>
      </c>
    </row>
    <row r="449" spans="1:12" ht="30" customHeight="1" x14ac:dyDescent="0.2">
      <c r="A449" s="7655"/>
      <c r="B449" s="7653"/>
      <c r="C449" s="7724"/>
      <c r="D449" s="4952">
        <v>100000000</v>
      </c>
      <c r="E449" s="5011">
        <v>5.5E-2</v>
      </c>
      <c r="F449" s="4952">
        <f t="shared" si="38"/>
        <v>5500000</v>
      </c>
      <c r="G449" s="7564"/>
      <c r="H449" s="7564"/>
      <c r="I449" s="7562"/>
      <c r="J449" s="7564"/>
      <c r="K449" s="7564"/>
      <c r="L449" s="5030" t="s">
        <v>6117</v>
      </c>
    </row>
    <row r="450" spans="1:12" ht="30" customHeight="1" x14ac:dyDescent="0.2">
      <c r="A450" s="7654">
        <v>212</v>
      </c>
      <c r="B450" s="7652" t="s">
        <v>74</v>
      </c>
      <c r="C450" s="7723" t="s">
        <v>889</v>
      </c>
      <c r="D450" s="4952">
        <v>30000000</v>
      </c>
      <c r="E450" s="5011">
        <v>0.05</v>
      </c>
      <c r="F450" s="4952">
        <f t="shared" si="38"/>
        <v>1500000</v>
      </c>
      <c r="G450" s="7563">
        <v>1500000</v>
      </c>
      <c r="H450" s="7563" t="s">
        <v>6773</v>
      </c>
      <c r="I450" s="7561" t="s">
        <v>1275</v>
      </c>
      <c r="J450" s="7563">
        <f t="shared" si="39"/>
        <v>1500000</v>
      </c>
      <c r="K450" s="7563"/>
      <c r="L450" s="4968"/>
    </row>
    <row r="451" spans="1:12" ht="30" customHeight="1" x14ac:dyDescent="0.2">
      <c r="A451" s="7656"/>
      <c r="B451" s="7665"/>
      <c r="C451" s="7747"/>
      <c r="D451" s="4952">
        <v>10000000</v>
      </c>
      <c r="E451" s="5011">
        <v>0.05</v>
      </c>
      <c r="F451" s="4952">
        <f t="shared" si="38"/>
        <v>500000</v>
      </c>
      <c r="G451" s="7564"/>
      <c r="H451" s="7564"/>
      <c r="I451" s="7562"/>
      <c r="J451" s="7564"/>
      <c r="K451" s="7564"/>
      <c r="L451" s="4968"/>
    </row>
    <row r="452" spans="1:12" ht="30" customHeight="1" x14ac:dyDescent="0.2">
      <c r="A452" s="7656"/>
      <c r="B452" s="7665"/>
      <c r="C452" s="7747"/>
      <c r="D452" s="7563">
        <v>20000000</v>
      </c>
      <c r="E452" s="7659">
        <v>0.06</v>
      </c>
      <c r="F452" s="7563">
        <f t="shared" si="38"/>
        <v>1200000</v>
      </c>
      <c r="G452" s="7732" t="s">
        <v>6534</v>
      </c>
      <c r="H452" s="7733"/>
      <c r="I452" s="7733"/>
      <c r="J452" s="7734"/>
      <c r="K452" s="4952"/>
      <c r="L452" s="5030" t="s">
        <v>6533</v>
      </c>
    </row>
    <row r="453" spans="1:12" ht="30" customHeight="1" x14ac:dyDescent="0.2">
      <c r="A453" s="7655"/>
      <c r="B453" s="7653"/>
      <c r="C453" s="7724"/>
      <c r="D453" s="7564"/>
      <c r="E453" s="7660"/>
      <c r="F453" s="7564"/>
      <c r="G453" s="7732" t="s">
        <v>7386</v>
      </c>
      <c r="H453" s="7733"/>
      <c r="I453" s="7733"/>
      <c r="J453" s="7734"/>
      <c r="K453" s="4952"/>
      <c r="L453" s="5030" t="s">
        <v>6535</v>
      </c>
    </row>
    <row r="454" spans="1:12" ht="30" customHeight="1" x14ac:dyDescent="0.2">
      <c r="A454" s="5014">
        <v>213</v>
      </c>
      <c r="B454" s="4968" t="s">
        <v>5115</v>
      </c>
      <c r="C454" s="4990" t="s">
        <v>889</v>
      </c>
      <c r="D454" s="4952">
        <v>15000000</v>
      </c>
      <c r="E454" s="5011">
        <v>4.7E-2</v>
      </c>
      <c r="F454" s="4952">
        <v>700000</v>
      </c>
      <c r="G454" s="4952">
        <v>700000</v>
      </c>
      <c r="H454" s="4952" t="s">
        <v>6773</v>
      </c>
      <c r="I454" s="5071" t="s">
        <v>325</v>
      </c>
      <c r="J454" s="4952">
        <f t="shared" si="39"/>
        <v>700000</v>
      </c>
      <c r="K454" s="4952">
        <f t="shared" si="41"/>
        <v>0</v>
      </c>
      <c r="L454" s="4968"/>
    </row>
    <row r="455" spans="1:12" ht="30" customHeight="1" x14ac:dyDescent="0.2">
      <c r="A455" s="5014">
        <v>214</v>
      </c>
      <c r="B455" s="4968" t="s">
        <v>937</v>
      </c>
      <c r="C455" s="4990"/>
      <c r="D455" s="4952">
        <v>200000000</v>
      </c>
      <c r="E455" s="5011">
        <v>5.5E-2</v>
      </c>
      <c r="F455" s="4952">
        <f t="shared" si="38"/>
        <v>11000000</v>
      </c>
      <c r="G455" s="4952">
        <v>11000000</v>
      </c>
      <c r="H455" s="4952" t="s">
        <v>6792</v>
      </c>
      <c r="I455" s="5071" t="s">
        <v>3974</v>
      </c>
      <c r="J455" s="4952">
        <f t="shared" si="39"/>
        <v>11000000</v>
      </c>
      <c r="K455" s="4952">
        <f t="shared" si="41"/>
        <v>0</v>
      </c>
      <c r="L455" s="4968"/>
    </row>
    <row r="456" spans="1:12" ht="30" customHeight="1" x14ac:dyDescent="0.2">
      <c r="A456" s="4970">
        <v>216</v>
      </c>
      <c r="B456" s="5017" t="s">
        <v>77</v>
      </c>
      <c r="C456" s="4989" t="s">
        <v>889</v>
      </c>
      <c r="D456" s="4952">
        <v>460000000</v>
      </c>
      <c r="E456" s="5011">
        <v>0.05</v>
      </c>
      <c r="F456" s="4952">
        <f t="shared" si="38"/>
        <v>23000000</v>
      </c>
      <c r="G456" s="4952">
        <v>23000000</v>
      </c>
      <c r="H456" s="4952" t="s">
        <v>6789</v>
      </c>
      <c r="I456" s="5071" t="s">
        <v>3401</v>
      </c>
      <c r="J456" s="4950">
        <f>G456</f>
        <v>23000000</v>
      </c>
      <c r="K456" s="4952">
        <f t="shared" si="41"/>
        <v>0</v>
      </c>
      <c r="L456" s="4968"/>
    </row>
    <row r="457" spans="1:12" ht="30" customHeight="1" x14ac:dyDescent="0.2">
      <c r="A457" s="4957">
        <v>217</v>
      </c>
      <c r="B457" s="4968" t="s">
        <v>79</v>
      </c>
      <c r="C457" s="5016"/>
      <c r="D457" s="4944">
        <v>160000000</v>
      </c>
      <c r="E457" s="5011">
        <v>0.05</v>
      </c>
      <c r="F457" s="4944">
        <f t="shared" si="38"/>
        <v>8000000</v>
      </c>
      <c r="G457" s="4952"/>
      <c r="H457" s="4952"/>
      <c r="I457" s="5071"/>
      <c r="J457" s="4950">
        <f t="shared" si="39"/>
        <v>0</v>
      </c>
      <c r="K457" s="4944">
        <f t="shared" si="41"/>
        <v>8000000</v>
      </c>
      <c r="L457" s="4981"/>
    </row>
    <row r="458" spans="1:12" ht="30" customHeight="1" x14ac:dyDescent="0.2">
      <c r="A458" s="7654">
        <v>218</v>
      </c>
      <c r="B458" s="7710" t="s">
        <v>80</v>
      </c>
      <c r="C458" s="7813"/>
      <c r="D458" s="7677">
        <v>45000000</v>
      </c>
      <c r="E458" s="7691">
        <v>0.04</v>
      </c>
      <c r="F458" s="7677">
        <f t="shared" si="38"/>
        <v>1800000</v>
      </c>
      <c r="G458" s="4965"/>
      <c r="H458" s="4965"/>
      <c r="I458" s="3026" t="s">
        <v>1695</v>
      </c>
      <c r="J458" s="4965">
        <f t="shared" si="39"/>
        <v>0</v>
      </c>
      <c r="K458" s="4965">
        <f t="shared" si="41"/>
        <v>1800000</v>
      </c>
      <c r="L458" s="4968"/>
    </row>
    <row r="459" spans="1:12" ht="30" customHeight="1" x14ac:dyDescent="0.2">
      <c r="A459" s="7655"/>
      <c r="B459" s="7712"/>
      <c r="C459" s="7815"/>
      <c r="D459" s="7678"/>
      <c r="E459" s="7693"/>
      <c r="F459" s="7678"/>
      <c r="G459" s="4965"/>
      <c r="H459" s="4965"/>
      <c r="I459" s="3026" t="s">
        <v>3561</v>
      </c>
      <c r="J459" s="4965">
        <f t="shared" si="39"/>
        <v>0</v>
      </c>
      <c r="K459" s="4965"/>
      <c r="L459" s="5084"/>
    </row>
    <row r="460" spans="1:12" ht="30" customHeight="1" x14ac:dyDescent="0.2">
      <c r="A460" s="5014">
        <v>219</v>
      </c>
      <c r="B460" s="4968" t="s">
        <v>1791</v>
      </c>
      <c r="C460" s="4990"/>
      <c r="D460" s="4965"/>
      <c r="E460" s="2519"/>
      <c r="F460" s="4965">
        <f t="shared" si="38"/>
        <v>0</v>
      </c>
      <c r="G460" s="4952"/>
      <c r="H460" s="4952"/>
      <c r="I460" s="5071"/>
      <c r="J460" s="4952"/>
      <c r="K460" s="4965">
        <f t="shared" si="41"/>
        <v>0</v>
      </c>
      <c r="L460" s="4968"/>
    </row>
    <row r="461" spans="1:12" ht="30" customHeight="1" x14ac:dyDescent="0.2">
      <c r="A461" s="5014">
        <v>221</v>
      </c>
      <c r="B461" s="5017" t="s">
        <v>326</v>
      </c>
      <c r="C461" s="4989" t="s">
        <v>1652</v>
      </c>
      <c r="D461" s="4950">
        <v>275000000</v>
      </c>
      <c r="E461" s="4960">
        <v>4.2000000000000003E-2</v>
      </c>
      <c r="F461" s="4950">
        <f>D461*E461</f>
        <v>11550000</v>
      </c>
      <c r="G461" s="4951">
        <v>11550000</v>
      </c>
      <c r="H461" s="4951" t="s">
        <v>7010</v>
      </c>
      <c r="I461" s="5070" t="s">
        <v>1654</v>
      </c>
      <c r="J461" s="4950">
        <f>G461</f>
        <v>11550000</v>
      </c>
      <c r="K461" s="4950">
        <f t="shared" si="41"/>
        <v>0</v>
      </c>
      <c r="L461" s="5005"/>
    </row>
    <row r="462" spans="1:12" ht="30" customHeight="1" x14ac:dyDescent="0.2">
      <c r="A462" s="5014">
        <v>222</v>
      </c>
      <c r="B462" s="4968" t="s">
        <v>1818</v>
      </c>
      <c r="C462" s="5016" t="s">
        <v>1287</v>
      </c>
      <c r="D462" s="4944">
        <v>700000000</v>
      </c>
      <c r="E462" s="5011">
        <v>0.06</v>
      </c>
      <c r="F462" s="4944">
        <f>D462*E462</f>
        <v>42000000</v>
      </c>
      <c r="G462" s="4944">
        <v>42000000</v>
      </c>
      <c r="H462" s="4944" t="s">
        <v>7065</v>
      </c>
      <c r="I462" s="5020" t="s">
        <v>3724</v>
      </c>
      <c r="J462" s="4944">
        <f>G462</f>
        <v>42000000</v>
      </c>
      <c r="K462" s="4944">
        <f>F462-J462</f>
        <v>0</v>
      </c>
      <c r="L462" s="5016"/>
    </row>
    <row r="463" spans="1:12" ht="30" customHeight="1" x14ac:dyDescent="0.2">
      <c r="A463" s="1028">
        <v>224</v>
      </c>
      <c r="B463" s="19" t="s">
        <v>2623</v>
      </c>
      <c r="C463" s="5016"/>
      <c r="D463" s="4944">
        <v>10000000</v>
      </c>
      <c r="E463" s="5011">
        <v>0.05</v>
      </c>
      <c r="F463" s="4944">
        <f t="shared" si="38"/>
        <v>500000</v>
      </c>
      <c r="G463" s="4952"/>
      <c r="H463" s="4952"/>
      <c r="I463" s="5071" t="s">
        <v>3934</v>
      </c>
      <c r="J463" s="4952">
        <f t="shared" ref="J463:J468" si="42">G463</f>
        <v>0</v>
      </c>
      <c r="K463" s="4952">
        <f t="shared" ref="K463:K468" si="43">F463-J463</f>
        <v>500000</v>
      </c>
      <c r="L463" s="4968"/>
    </row>
    <row r="464" spans="1:12" ht="30" customHeight="1" x14ac:dyDescent="0.2">
      <c r="A464" s="7654">
        <v>226</v>
      </c>
      <c r="B464" s="7652" t="s">
        <v>86</v>
      </c>
      <c r="C464" s="7723" t="s">
        <v>889</v>
      </c>
      <c r="D464" s="4944">
        <v>410000000</v>
      </c>
      <c r="E464" s="5011">
        <v>0.06</v>
      </c>
      <c r="F464" s="4944">
        <f>D464*E464</f>
        <v>24600000</v>
      </c>
      <c r="G464" s="7563">
        <v>30000000</v>
      </c>
      <c r="H464" s="7563" t="s">
        <v>6789</v>
      </c>
      <c r="I464" s="7563" t="s">
        <v>2391</v>
      </c>
      <c r="J464" s="7563">
        <f t="shared" si="42"/>
        <v>30000000</v>
      </c>
      <c r="K464" s="7563">
        <f>F467-J464</f>
        <v>0</v>
      </c>
      <c r="L464" s="4982"/>
    </row>
    <row r="465" spans="1:12" ht="30" customHeight="1" x14ac:dyDescent="0.2">
      <c r="A465" s="7656"/>
      <c r="B465" s="7665"/>
      <c r="C465" s="7747"/>
      <c r="D465" s="4944">
        <v>60000000</v>
      </c>
      <c r="E465" s="5011">
        <v>0.06</v>
      </c>
      <c r="F465" s="4944">
        <f>D465*E465</f>
        <v>3600000</v>
      </c>
      <c r="G465" s="7586"/>
      <c r="H465" s="7586"/>
      <c r="I465" s="7586"/>
      <c r="J465" s="7586"/>
      <c r="K465" s="7586"/>
      <c r="L465" s="4982" t="s">
        <v>5653</v>
      </c>
    </row>
    <row r="466" spans="1:12" ht="30" customHeight="1" x14ac:dyDescent="0.2">
      <c r="A466" s="7656"/>
      <c r="B466" s="7665"/>
      <c r="C466" s="7747"/>
      <c r="D466" s="4944">
        <v>30000000</v>
      </c>
      <c r="E466" s="5011">
        <v>0.06</v>
      </c>
      <c r="F466" s="4944">
        <f>D466*E466</f>
        <v>1800000</v>
      </c>
      <c r="G466" s="7586"/>
      <c r="H466" s="7586"/>
      <c r="I466" s="7586"/>
      <c r="J466" s="7586"/>
      <c r="K466" s="7586"/>
      <c r="L466" s="4982"/>
    </row>
    <row r="467" spans="1:12" ht="30" customHeight="1" x14ac:dyDescent="0.2">
      <c r="A467" s="7655"/>
      <c r="B467" s="7653"/>
      <c r="C467" s="7724"/>
      <c r="D467" s="5072">
        <f>SUM(D464:D466)</f>
        <v>500000000</v>
      </c>
      <c r="E467" s="896">
        <v>0.06</v>
      </c>
      <c r="F467" s="5072">
        <f>D467*E467</f>
        <v>30000000</v>
      </c>
      <c r="G467" s="7564"/>
      <c r="H467" s="7564"/>
      <c r="I467" s="7564"/>
      <c r="J467" s="7564"/>
      <c r="K467" s="7564"/>
      <c r="L467" s="4982"/>
    </row>
    <row r="468" spans="1:12" ht="30" customHeight="1" x14ac:dyDescent="0.2">
      <c r="A468" s="5014">
        <v>228</v>
      </c>
      <c r="B468" s="4968" t="s">
        <v>88</v>
      </c>
      <c r="C468" s="4990" t="s">
        <v>1176</v>
      </c>
      <c r="D468" s="4952">
        <v>10000000</v>
      </c>
      <c r="E468" s="5011">
        <v>0.04</v>
      </c>
      <c r="F468" s="4952">
        <f t="shared" si="38"/>
        <v>400000</v>
      </c>
      <c r="G468" s="4952">
        <v>400000</v>
      </c>
      <c r="H468" s="4952" t="s">
        <v>6828</v>
      </c>
      <c r="I468" s="26" t="s">
        <v>417</v>
      </c>
      <c r="J468" s="4952">
        <f t="shared" si="42"/>
        <v>400000</v>
      </c>
      <c r="K468" s="4952">
        <f t="shared" si="43"/>
        <v>0</v>
      </c>
      <c r="L468" s="4968"/>
    </row>
    <row r="469" spans="1:12" ht="30" customHeight="1" x14ac:dyDescent="0.2">
      <c r="A469" s="7654"/>
      <c r="B469" s="7652" t="s">
        <v>89</v>
      </c>
      <c r="C469" s="7723" t="s">
        <v>942</v>
      </c>
      <c r="D469" s="4952">
        <v>180000000</v>
      </c>
      <c r="E469" s="5011">
        <v>0.05</v>
      </c>
      <c r="F469" s="4952">
        <f>D469*E469</f>
        <v>9000000</v>
      </c>
      <c r="G469" s="7563"/>
      <c r="H469" s="7563"/>
      <c r="I469" s="7563" t="s">
        <v>3969</v>
      </c>
      <c r="J469" s="7563">
        <f>G469</f>
        <v>0</v>
      </c>
      <c r="K469" s="7563"/>
      <c r="L469" s="5030" t="s">
        <v>6026</v>
      </c>
    </row>
    <row r="470" spans="1:12" ht="30" customHeight="1" x14ac:dyDescent="0.2">
      <c r="A470" s="7656"/>
      <c r="B470" s="7665"/>
      <c r="C470" s="7747"/>
      <c r="D470" s="4952">
        <v>150000000</v>
      </c>
      <c r="E470" s="5011">
        <v>0.05</v>
      </c>
      <c r="F470" s="4952">
        <f>D470*E470</f>
        <v>7500000</v>
      </c>
      <c r="G470" s="7564"/>
      <c r="H470" s="7564"/>
      <c r="I470" s="7564"/>
      <c r="J470" s="7564"/>
      <c r="K470" s="7564"/>
      <c r="L470" s="5030" t="s">
        <v>6332</v>
      </c>
    </row>
    <row r="471" spans="1:12" ht="30" customHeight="1" x14ac:dyDescent="0.2">
      <c r="A471" s="7656"/>
      <c r="B471" s="7665"/>
      <c r="C471" s="7747"/>
      <c r="D471" s="5449">
        <v>10000000</v>
      </c>
      <c r="E471" s="5455"/>
      <c r="F471" s="5449"/>
      <c r="G471" s="7732" t="s">
        <v>7139</v>
      </c>
      <c r="H471" s="7733"/>
      <c r="I471" s="7733"/>
      <c r="J471" s="7734"/>
      <c r="K471" s="5449"/>
      <c r="L471" s="5461"/>
    </row>
    <row r="472" spans="1:12" ht="30" customHeight="1" x14ac:dyDescent="0.2">
      <c r="A472" s="7656"/>
      <c r="B472" s="7665"/>
      <c r="C472" s="7747"/>
      <c r="D472" s="5449">
        <v>10000000</v>
      </c>
      <c r="E472" s="5455"/>
      <c r="F472" s="5449"/>
      <c r="G472" s="7732" t="s">
        <v>7140</v>
      </c>
      <c r="H472" s="7733"/>
      <c r="I472" s="7733"/>
      <c r="J472" s="7734"/>
      <c r="K472" s="5449"/>
      <c r="L472" s="5461"/>
    </row>
    <row r="473" spans="1:12" ht="30" customHeight="1" x14ac:dyDescent="0.2">
      <c r="A473" s="7655"/>
      <c r="B473" s="7653"/>
      <c r="C473" s="7724"/>
      <c r="D473" s="5562">
        <v>20000000</v>
      </c>
      <c r="E473" s="5574"/>
      <c r="F473" s="5562"/>
      <c r="G473" s="7470"/>
      <c r="H473" s="7493"/>
      <c r="I473" s="7493"/>
      <c r="J473" s="7510"/>
      <c r="K473" s="5562"/>
      <c r="L473" s="5579" t="s">
        <v>7232</v>
      </c>
    </row>
    <row r="474" spans="1:12" ht="30" customHeight="1" x14ac:dyDescent="0.2">
      <c r="A474" s="1028"/>
      <c r="B474" s="19" t="s">
        <v>5008</v>
      </c>
      <c r="C474" s="5016" t="s">
        <v>1718</v>
      </c>
      <c r="D474" s="4944">
        <v>50000000</v>
      </c>
      <c r="E474" s="5011">
        <v>0.05</v>
      </c>
      <c r="F474" s="4944">
        <f t="shared" si="38"/>
        <v>2500000</v>
      </c>
      <c r="G474" s="4944">
        <v>2500000</v>
      </c>
      <c r="H474" s="4944" t="s">
        <v>6895</v>
      </c>
      <c r="I474" s="4944" t="s">
        <v>6904</v>
      </c>
      <c r="J474" s="4944">
        <f>G474</f>
        <v>2500000</v>
      </c>
      <c r="K474" s="4944">
        <v>0</v>
      </c>
      <c r="L474" s="1661"/>
    </row>
    <row r="475" spans="1:12" ht="30" customHeight="1" x14ac:dyDescent="0.2">
      <c r="A475" s="4957">
        <v>231</v>
      </c>
      <c r="B475" s="5017" t="s">
        <v>91</v>
      </c>
      <c r="C475" s="5016" t="s">
        <v>1080</v>
      </c>
      <c r="D475" s="4952">
        <v>20000000</v>
      </c>
      <c r="E475" s="4962">
        <v>0.05</v>
      </c>
      <c r="F475" s="4952">
        <f t="shared" si="38"/>
        <v>1000000</v>
      </c>
      <c r="G475" s="4944">
        <v>1000000</v>
      </c>
      <c r="H475" s="4944" t="s">
        <v>3788</v>
      </c>
      <c r="I475" s="26" t="s">
        <v>298</v>
      </c>
      <c r="J475" s="4944">
        <f>G475</f>
        <v>1000000</v>
      </c>
      <c r="K475" s="4944">
        <f>F475-G475</f>
        <v>0</v>
      </c>
      <c r="L475" s="5084"/>
    </row>
    <row r="476" spans="1:12" ht="30" customHeight="1" x14ac:dyDescent="0.2">
      <c r="A476" s="7654">
        <v>232</v>
      </c>
      <c r="B476" s="7652" t="s">
        <v>1602</v>
      </c>
      <c r="C476" s="7723" t="s">
        <v>1172</v>
      </c>
      <c r="D476" s="4952">
        <v>95000000</v>
      </c>
      <c r="E476" s="5011">
        <v>5.5E-2</v>
      </c>
      <c r="F476" s="4952">
        <f t="shared" si="38"/>
        <v>5225000</v>
      </c>
      <c r="G476" s="8494" t="s">
        <v>6812</v>
      </c>
      <c r="H476" s="8494"/>
      <c r="I476" s="8494"/>
      <c r="J476" s="8494"/>
      <c r="K476" s="4952">
        <f t="shared" ref="K476:K489" si="44">F476-J476</f>
        <v>5225000</v>
      </c>
      <c r="L476" s="5200" t="s">
        <v>5491</v>
      </c>
    </row>
    <row r="477" spans="1:12" ht="30" customHeight="1" x14ac:dyDescent="0.2">
      <c r="A477" s="7655"/>
      <c r="B477" s="7653"/>
      <c r="C477" s="7724"/>
      <c r="D477" s="5177">
        <v>100000000</v>
      </c>
      <c r="E477" s="896">
        <v>5.5E-2</v>
      </c>
      <c r="F477" s="5177">
        <f t="shared" si="38"/>
        <v>5500000</v>
      </c>
      <c r="G477" s="8494" t="s">
        <v>6822</v>
      </c>
      <c r="H477" s="8494"/>
      <c r="I477" s="8494"/>
      <c r="J477" s="8494"/>
      <c r="K477" s="4952"/>
      <c r="L477" s="5201"/>
    </row>
    <row r="478" spans="1:12" ht="30" customHeight="1" x14ac:dyDescent="0.2">
      <c r="A478" s="5014">
        <v>233</v>
      </c>
      <c r="B478" s="4968" t="s">
        <v>275</v>
      </c>
      <c r="C478" s="4990" t="s">
        <v>372</v>
      </c>
      <c r="D478" s="4952">
        <v>50000000</v>
      </c>
      <c r="E478" s="5011">
        <v>0.05</v>
      </c>
      <c r="F478" s="4952">
        <f t="shared" si="38"/>
        <v>2500000</v>
      </c>
      <c r="G478" s="4952">
        <v>2500000</v>
      </c>
      <c r="H478" s="4952" t="s">
        <v>6895</v>
      </c>
      <c r="I478" s="5071" t="s">
        <v>5699</v>
      </c>
      <c r="J478" s="4952">
        <f t="shared" ref="J478:J490" si="45">G478</f>
        <v>2500000</v>
      </c>
      <c r="K478" s="4952">
        <f t="shared" si="44"/>
        <v>0</v>
      </c>
      <c r="L478" s="5084"/>
    </row>
    <row r="479" spans="1:12" ht="30" customHeight="1" x14ac:dyDescent="0.2">
      <c r="A479" s="5014">
        <v>234</v>
      </c>
      <c r="B479" s="5017" t="s">
        <v>93</v>
      </c>
      <c r="C479" s="5016" t="s">
        <v>1293</v>
      </c>
      <c r="D479" s="4944">
        <v>400000000</v>
      </c>
      <c r="E479" s="5011">
        <f>F479/D479</f>
        <v>5.2499999999999998E-2</v>
      </c>
      <c r="F479" s="4944">
        <v>21000000</v>
      </c>
      <c r="G479" s="4944">
        <v>21000000</v>
      </c>
      <c r="H479" s="4944" t="s">
        <v>6828</v>
      </c>
      <c r="I479" s="5020" t="s">
        <v>506</v>
      </c>
      <c r="J479" s="4944">
        <f t="shared" si="45"/>
        <v>21000000</v>
      </c>
      <c r="K479" s="4952">
        <f t="shared" si="44"/>
        <v>0</v>
      </c>
      <c r="L479" s="5021"/>
    </row>
    <row r="480" spans="1:12" ht="30" customHeight="1" x14ac:dyDescent="0.2">
      <c r="A480" s="4957">
        <v>235</v>
      </c>
      <c r="B480" s="4968" t="s">
        <v>94</v>
      </c>
      <c r="C480" s="5016" t="s">
        <v>1172</v>
      </c>
      <c r="D480" s="4944">
        <v>60000000</v>
      </c>
      <c r="E480" s="5011">
        <v>0.05</v>
      </c>
      <c r="F480" s="4944">
        <f t="shared" si="38"/>
        <v>3000000</v>
      </c>
      <c r="G480" s="4944">
        <v>3000000</v>
      </c>
      <c r="H480" s="4944" t="s">
        <v>6828</v>
      </c>
      <c r="I480" s="4394" t="s">
        <v>4384</v>
      </c>
      <c r="J480" s="4944">
        <f t="shared" si="45"/>
        <v>3000000</v>
      </c>
      <c r="K480" s="4944">
        <f t="shared" si="44"/>
        <v>0</v>
      </c>
      <c r="L480" s="5065"/>
    </row>
    <row r="481" spans="1:14" ht="30" customHeight="1" x14ac:dyDescent="0.2">
      <c r="A481" s="5014">
        <v>236</v>
      </c>
      <c r="B481" s="4968" t="s">
        <v>95</v>
      </c>
      <c r="C481" s="4990"/>
      <c r="D481" s="4952">
        <v>20000000</v>
      </c>
      <c r="E481" s="5011">
        <v>0.05</v>
      </c>
      <c r="F481" s="4952">
        <f>D481*E481</f>
        <v>1000000</v>
      </c>
      <c r="G481" s="4952">
        <v>1000000</v>
      </c>
      <c r="H481" s="4952" t="s">
        <v>7061</v>
      </c>
      <c r="I481" s="4995" t="s">
        <v>334</v>
      </c>
      <c r="J481" s="4952">
        <f t="shared" si="45"/>
        <v>1000000</v>
      </c>
      <c r="K481" s="4952">
        <f t="shared" si="44"/>
        <v>0</v>
      </c>
      <c r="L481" s="5084"/>
    </row>
    <row r="482" spans="1:14" ht="30" customHeight="1" x14ac:dyDescent="0.2">
      <c r="A482" s="7654"/>
      <c r="B482" s="4956" t="s">
        <v>96</v>
      </c>
      <c r="C482" s="7723" t="s">
        <v>1718</v>
      </c>
      <c r="D482" s="4952">
        <v>55000000</v>
      </c>
      <c r="E482" s="5011">
        <v>0.05</v>
      </c>
      <c r="F482" s="4952">
        <f>D482*E482</f>
        <v>2750000</v>
      </c>
      <c r="G482" s="7563">
        <v>5250000</v>
      </c>
      <c r="H482" s="7563" t="s">
        <v>6895</v>
      </c>
      <c r="I482" s="7563" t="s">
        <v>4415</v>
      </c>
      <c r="J482" s="7563">
        <f>G482</f>
        <v>5250000</v>
      </c>
      <c r="K482" s="7563">
        <f>(F482+F483)-J482</f>
        <v>0</v>
      </c>
      <c r="L482" s="7679"/>
    </row>
    <row r="483" spans="1:14" ht="30" customHeight="1" x14ac:dyDescent="0.2">
      <c r="A483" s="7655"/>
      <c r="B483" s="4956" t="s">
        <v>2011</v>
      </c>
      <c r="C483" s="7724"/>
      <c r="D483" s="4952">
        <v>50000000</v>
      </c>
      <c r="E483" s="5011">
        <v>0.05</v>
      </c>
      <c r="F483" s="4952">
        <f>D483*E483</f>
        <v>2500000</v>
      </c>
      <c r="G483" s="7564"/>
      <c r="H483" s="7564"/>
      <c r="I483" s="7564"/>
      <c r="J483" s="7564"/>
      <c r="K483" s="7564"/>
      <c r="L483" s="7680"/>
    </row>
    <row r="484" spans="1:14" ht="30" customHeight="1" x14ac:dyDescent="0.2">
      <c r="A484" s="4959"/>
      <c r="B484" s="4956" t="s">
        <v>4008</v>
      </c>
      <c r="C484" s="4990" t="s">
        <v>262</v>
      </c>
      <c r="D484" s="4952">
        <v>10000000</v>
      </c>
      <c r="E484" s="5011">
        <v>0.05</v>
      </c>
      <c r="F484" s="4952">
        <f>D484*E484</f>
        <v>500000</v>
      </c>
      <c r="G484" s="4944">
        <v>500000</v>
      </c>
      <c r="H484" s="4944" t="s">
        <v>6932</v>
      </c>
      <c r="I484" s="4944" t="s">
        <v>5086</v>
      </c>
      <c r="J484" s="4944">
        <f>G484</f>
        <v>500000</v>
      </c>
      <c r="K484" s="4952">
        <f>F484-J484</f>
        <v>0</v>
      </c>
      <c r="L484" s="4982"/>
    </row>
    <row r="485" spans="1:14" ht="30" customHeight="1" x14ac:dyDescent="0.2">
      <c r="A485" s="7654">
        <v>238</v>
      </c>
      <c r="B485" s="7652" t="s">
        <v>97</v>
      </c>
      <c r="C485" s="7723" t="s">
        <v>1176</v>
      </c>
      <c r="D485" s="4952">
        <v>100000000</v>
      </c>
      <c r="E485" s="5011">
        <v>0.05</v>
      </c>
      <c r="F485" s="4952">
        <f t="shared" si="38"/>
        <v>5000000</v>
      </c>
      <c r="G485" s="8214" t="s">
        <v>6812</v>
      </c>
      <c r="H485" s="8215"/>
      <c r="I485" s="8215"/>
      <c r="J485" s="8216"/>
      <c r="K485" s="4952">
        <f t="shared" si="44"/>
        <v>5000000</v>
      </c>
      <c r="L485" s="4968"/>
    </row>
    <row r="486" spans="1:14" ht="30" customHeight="1" x14ac:dyDescent="0.2">
      <c r="A486" s="7656"/>
      <c r="B486" s="7665"/>
      <c r="C486" s="7747"/>
      <c r="D486" s="5887">
        <v>5000000</v>
      </c>
      <c r="E486" s="5903">
        <v>0.05</v>
      </c>
      <c r="F486" s="5887">
        <f t="shared" si="38"/>
        <v>250000</v>
      </c>
      <c r="G486" s="8217"/>
      <c r="H486" s="8218"/>
      <c r="I486" s="8218"/>
      <c r="J486" s="8219"/>
      <c r="K486" s="5887">
        <f t="shared" si="44"/>
        <v>250000</v>
      </c>
      <c r="L486" s="5896"/>
    </row>
    <row r="487" spans="1:14" ht="30" customHeight="1" x14ac:dyDescent="0.2">
      <c r="A487" s="7656"/>
      <c r="B487" s="7665"/>
      <c r="C487" s="7747"/>
      <c r="D487" s="5887">
        <v>45000000</v>
      </c>
      <c r="E487" s="5903">
        <v>0.05</v>
      </c>
      <c r="F487" s="5887">
        <f t="shared" si="38"/>
        <v>2250000</v>
      </c>
      <c r="G487" s="7732" t="s">
        <v>7387</v>
      </c>
      <c r="H487" s="7733"/>
      <c r="I487" s="7733"/>
      <c r="J487" s="7734"/>
      <c r="K487" s="5887">
        <f t="shared" si="44"/>
        <v>2250000</v>
      </c>
      <c r="L487" s="5896"/>
    </row>
    <row r="488" spans="1:14" ht="30" customHeight="1" x14ac:dyDescent="0.2">
      <c r="A488" s="7655"/>
      <c r="B488" s="7653"/>
      <c r="C488" s="7724"/>
      <c r="D488" s="5239">
        <v>150000000</v>
      </c>
      <c r="E488" s="5262">
        <v>0.05</v>
      </c>
      <c r="F488" s="5239">
        <f t="shared" si="38"/>
        <v>7500000</v>
      </c>
      <c r="G488" s="5235"/>
      <c r="H488" s="5235"/>
      <c r="I488" s="96"/>
      <c r="J488" s="5235"/>
      <c r="K488" s="5235"/>
      <c r="L488" s="5254" t="s">
        <v>6878</v>
      </c>
    </row>
    <row r="489" spans="1:14" ht="30" customHeight="1" x14ac:dyDescent="0.2">
      <c r="A489" s="5014">
        <v>239</v>
      </c>
      <c r="B489" s="4968" t="s">
        <v>98</v>
      </c>
      <c r="C489" s="4990" t="s">
        <v>372</v>
      </c>
      <c r="D489" s="4952">
        <v>50000000</v>
      </c>
      <c r="E489" s="5011">
        <v>0.05</v>
      </c>
      <c r="F489" s="4952">
        <f t="shared" si="38"/>
        <v>2500000</v>
      </c>
      <c r="G489" s="4952">
        <v>2500000</v>
      </c>
      <c r="H489" s="4952" t="s">
        <v>6895</v>
      </c>
      <c r="I489" s="5071" t="s">
        <v>348</v>
      </c>
      <c r="J489" s="4952">
        <f t="shared" si="45"/>
        <v>2500000</v>
      </c>
      <c r="K489" s="4952">
        <f t="shared" si="44"/>
        <v>0</v>
      </c>
      <c r="L489" s="4982"/>
    </row>
    <row r="490" spans="1:14" ht="30" customHeight="1" x14ac:dyDescent="0.2">
      <c r="A490" s="7654">
        <v>241</v>
      </c>
      <c r="B490" s="7652" t="s">
        <v>559</v>
      </c>
      <c r="C490" s="7873" t="s">
        <v>1796</v>
      </c>
      <c r="D490" s="4944">
        <v>20000000</v>
      </c>
      <c r="E490" s="5011">
        <v>7.0000000000000007E-2</v>
      </c>
      <c r="F490" s="4944">
        <f>D490*E490</f>
        <v>1400000.0000000002</v>
      </c>
      <c r="G490" s="7563"/>
      <c r="H490" s="7563"/>
      <c r="I490" s="7772" t="s">
        <v>557</v>
      </c>
      <c r="J490" s="7563">
        <f t="shared" si="45"/>
        <v>0</v>
      </c>
      <c r="K490" s="7563">
        <f>(F490+F491)-J490</f>
        <v>2300000</v>
      </c>
      <c r="L490" s="8037"/>
    </row>
    <row r="491" spans="1:14" ht="30" customHeight="1" x14ac:dyDescent="0.2">
      <c r="A491" s="7656"/>
      <c r="B491" s="7653"/>
      <c r="C491" s="7873"/>
      <c r="D491" s="4944">
        <v>10000000</v>
      </c>
      <c r="E491" s="5011">
        <v>0.09</v>
      </c>
      <c r="F491" s="4944">
        <f>D491*E491</f>
        <v>900000</v>
      </c>
      <c r="G491" s="7564"/>
      <c r="H491" s="7564"/>
      <c r="I491" s="7773"/>
      <c r="J491" s="7564"/>
      <c r="K491" s="7564"/>
      <c r="L491" s="7758"/>
    </row>
    <row r="492" spans="1:14" ht="30" customHeight="1" x14ac:dyDescent="0.2">
      <c r="A492" s="5014">
        <v>242</v>
      </c>
      <c r="B492" s="4968" t="s">
        <v>100</v>
      </c>
      <c r="C492" s="4990" t="s">
        <v>1652</v>
      </c>
      <c r="D492" s="4952">
        <v>140000000</v>
      </c>
      <c r="E492" s="4962">
        <v>4.4999999999999998E-2</v>
      </c>
      <c r="F492" s="4952">
        <f t="shared" si="38"/>
        <v>6300000</v>
      </c>
      <c r="G492" s="4952">
        <v>6300000</v>
      </c>
      <c r="H492" s="4952" t="s">
        <v>6828</v>
      </c>
      <c r="I492" s="5071" t="s">
        <v>3493</v>
      </c>
      <c r="J492" s="4952">
        <f>G492</f>
        <v>6300000</v>
      </c>
      <c r="K492" s="4952">
        <f t="shared" ref="K492:K502" si="46">F492-J492</f>
        <v>0</v>
      </c>
      <c r="L492" s="5048"/>
    </row>
    <row r="493" spans="1:14" ht="30" customHeight="1" x14ac:dyDescent="0.2">
      <c r="A493" s="5014">
        <v>243</v>
      </c>
      <c r="B493" s="19" t="s">
        <v>507</v>
      </c>
      <c r="C493" s="5016" t="s">
        <v>262</v>
      </c>
      <c r="D493" s="4944">
        <v>20000000</v>
      </c>
      <c r="E493" s="5011">
        <v>0.05</v>
      </c>
      <c r="F493" s="4944">
        <f>D493*E493</f>
        <v>1000000</v>
      </c>
      <c r="G493" s="4944">
        <v>1000000</v>
      </c>
      <c r="H493" s="4944" t="s">
        <v>6932</v>
      </c>
      <c r="I493" s="4944" t="s">
        <v>296</v>
      </c>
      <c r="J493" s="4944">
        <f>G493</f>
        <v>1000000</v>
      </c>
      <c r="K493" s="4944">
        <f t="shared" si="46"/>
        <v>0</v>
      </c>
      <c r="L493" s="5048"/>
      <c r="M493" s="248"/>
      <c r="N493" s="248"/>
    </row>
    <row r="494" spans="1:14" ht="30" customHeight="1" x14ac:dyDescent="0.2">
      <c r="A494" s="1028">
        <v>244</v>
      </c>
      <c r="B494" s="19" t="s">
        <v>101</v>
      </c>
      <c r="C494" s="5016" t="s">
        <v>372</v>
      </c>
      <c r="D494" s="4944">
        <v>60000000</v>
      </c>
      <c r="E494" s="5011">
        <v>0.06</v>
      </c>
      <c r="F494" s="4952">
        <f t="shared" ref="F494" si="47">D494*E494</f>
        <v>3600000</v>
      </c>
      <c r="G494" s="4944">
        <v>3600000</v>
      </c>
      <c r="H494" s="4944" t="s">
        <v>6932</v>
      </c>
      <c r="I494" s="5020" t="s">
        <v>3530</v>
      </c>
      <c r="J494" s="4944">
        <f>G494</f>
        <v>3600000</v>
      </c>
      <c r="K494" s="4944">
        <f>F494-J494</f>
        <v>0</v>
      </c>
      <c r="L494" s="1661" t="s">
        <v>5030</v>
      </c>
    </row>
    <row r="495" spans="1:14" ht="30" customHeight="1" x14ac:dyDescent="0.2">
      <c r="A495" s="5014">
        <v>245</v>
      </c>
      <c r="B495" s="4968" t="s">
        <v>4058</v>
      </c>
      <c r="C495" s="4990" t="s">
        <v>262</v>
      </c>
      <c r="D495" s="4952">
        <v>70000000</v>
      </c>
      <c r="E495" s="5011">
        <v>0.05</v>
      </c>
      <c r="F495" s="4952">
        <f t="shared" si="38"/>
        <v>3500000</v>
      </c>
      <c r="G495" s="4952">
        <v>3500000</v>
      </c>
      <c r="H495" s="4952" t="s">
        <v>6932</v>
      </c>
      <c r="I495" s="5001" t="s">
        <v>4064</v>
      </c>
      <c r="J495" s="4952">
        <f>G495</f>
        <v>3500000</v>
      </c>
      <c r="K495" s="4952">
        <f t="shared" si="46"/>
        <v>0</v>
      </c>
      <c r="L495" s="5039"/>
    </row>
    <row r="496" spans="1:14" ht="30" customHeight="1" x14ac:dyDescent="0.2">
      <c r="A496" s="7654">
        <v>246</v>
      </c>
      <c r="B496" s="7652" t="s">
        <v>103</v>
      </c>
      <c r="C496" s="7723" t="s">
        <v>1718</v>
      </c>
      <c r="D496" s="4952">
        <v>85000000</v>
      </c>
      <c r="E496" s="5011">
        <v>5.0999999999999997E-2</v>
      </c>
      <c r="F496" s="4952">
        <v>4300000</v>
      </c>
      <c r="G496" s="7482">
        <v>3870000</v>
      </c>
      <c r="H496" s="7482" t="s">
        <v>6895</v>
      </c>
      <c r="I496" s="8467" t="s">
        <v>2864</v>
      </c>
      <c r="J496" s="7482">
        <f>G496</f>
        <v>3870000</v>
      </c>
      <c r="K496" s="7482"/>
      <c r="L496" s="4968"/>
    </row>
    <row r="497" spans="1:14" ht="30" customHeight="1" x14ac:dyDescent="0.2">
      <c r="A497" s="7656"/>
      <c r="B497" s="7665"/>
      <c r="C497" s="7747"/>
      <c r="D497" s="4952">
        <v>10000000</v>
      </c>
      <c r="E497" s="5011">
        <v>0.05</v>
      </c>
      <c r="F497" s="4952">
        <f>D497*E497</f>
        <v>500000</v>
      </c>
      <c r="G497" s="7482"/>
      <c r="H497" s="7482"/>
      <c r="I497" s="8467"/>
      <c r="J497" s="7482"/>
      <c r="K497" s="7482"/>
      <c r="L497" s="5030" t="s">
        <v>6663</v>
      </c>
    </row>
    <row r="498" spans="1:14" ht="30" customHeight="1" x14ac:dyDescent="0.2">
      <c r="A498" s="7656"/>
      <c r="B498" s="7665"/>
      <c r="C498" s="7747"/>
      <c r="D498" s="4952">
        <v>10000000</v>
      </c>
      <c r="E498" s="5011">
        <v>0.05</v>
      </c>
      <c r="F498" s="5403">
        <f t="shared" ref="F498:F500" si="48">D498*E498</f>
        <v>500000</v>
      </c>
      <c r="G498" s="7482"/>
      <c r="H498" s="7482"/>
      <c r="I498" s="8467"/>
      <c r="J498" s="7482"/>
      <c r="K498" s="7482"/>
      <c r="L498" s="5030" t="s">
        <v>6662</v>
      </c>
    </row>
    <row r="499" spans="1:14" ht="30" customHeight="1" x14ac:dyDescent="0.2">
      <c r="A499" s="7656"/>
      <c r="B499" s="7665"/>
      <c r="C499" s="7747"/>
      <c r="D499" s="4952">
        <v>10000000</v>
      </c>
      <c r="E499" s="5011">
        <v>0.05</v>
      </c>
      <c r="F499" s="5403">
        <f t="shared" si="48"/>
        <v>500000</v>
      </c>
      <c r="G499" s="7625">
        <v>866000</v>
      </c>
      <c r="H499" s="7625" t="s">
        <v>6932</v>
      </c>
      <c r="I499" s="8506" t="s">
        <v>2864</v>
      </c>
      <c r="J499" s="7625">
        <f>G499</f>
        <v>866000</v>
      </c>
      <c r="K499" s="178"/>
      <c r="L499" s="5030" t="s">
        <v>6664</v>
      </c>
    </row>
    <row r="500" spans="1:14" ht="30" customHeight="1" x14ac:dyDescent="0.2">
      <c r="A500" s="7656"/>
      <c r="B500" s="7665"/>
      <c r="C500" s="7747"/>
      <c r="D500" s="4952">
        <v>10000000</v>
      </c>
      <c r="E500" s="5011">
        <v>0.05</v>
      </c>
      <c r="F500" s="5403">
        <f t="shared" si="48"/>
        <v>500000</v>
      </c>
      <c r="G500" s="7625"/>
      <c r="H500" s="7625"/>
      <c r="I500" s="8506"/>
      <c r="J500" s="7625"/>
      <c r="K500" s="178"/>
      <c r="L500" s="5216" t="s">
        <v>6836</v>
      </c>
    </row>
    <row r="501" spans="1:14" ht="30" customHeight="1" x14ac:dyDescent="0.2">
      <c r="A501" s="7655"/>
      <c r="B501" s="7653"/>
      <c r="C501" s="7724"/>
      <c r="D501" s="4988">
        <v>125000000</v>
      </c>
      <c r="E501" s="5083">
        <v>0.05</v>
      </c>
      <c r="F501" s="4988">
        <v>6300000</v>
      </c>
      <c r="G501" s="5399">
        <v>866000</v>
      </c>
      <c r="H501" s="5399" t="s">
        <v>7065</v>
      </c>
      <c r="I501" s="27" t="s">
        <v>7074</v>
      </c>
      <c r="J501" s="5399">
        <f>G501</f>
        <v>866000</v>
      </c>
      <c r="K501" s="7"/>
      <c r="L501" s="5030" t="s">
        <v>6676</v>
      </c>
    </row>
    <row r="502" spans="1:14" ht="30" customHeight="1" x14ac:dyDescent="0.2">
      <c r="A502" s="5014">
        <v>247</v>
      </c>
      <c r="B502" s="4968" t="s">
        <v>104</v>
      </c>
      <c r="C502" s="4990" t="s">
        <v>262</v>
      </c>
      <c r="D502" s="4952">
        <v>220000000</v>
      </c>
      <c r="E502" s="5011">
        <v>7.0000000000000007E-2</v>
      </c>
      <c r="F502" s="4952">
        <f t="shared" si="38"/>
        <v>15400000.000000002</v>
      </c>
      <c r="G502" s="4952">
        <v>15400000</v>
      </c>
      <c r="H502" s="4952" t="s">
        <v>7010</v>
      </c>
      <c r="I502" s="5071" t="s">
        <v>4090</v>
      </c>
      <c r="J502" s="4952">
        <f t="shared" ref="J502:J530" si="49">G502</f>
        <v>15400000</v>
      </c>
      <c r="K502" s="4952">
        <f t="shared" si="46"/>
        <v>0</v>
      </c>
      <c r="L502" s="5048"/>
      <c r="M502" s="5088"/>
      <c r="N502" s="859"/>
    </row>
    <row r="503" spans="1:14" ht="30" customHeight="1" x14ac:dyDescent="0.2">
      <c r="A503" s="7654">
        <v>250</v>
      </c>
      <c r="B503" s="7652" t="s">
        <v>107</v>
      </c>
      <c r="C503" s="7723" t="s">
        <v>1718</v>
      </c>
      <c r="D503" s="4952">
        <v>200000000</v>
      </c>
      <c r="E503" s="5011">
        <v>0.05</v>
      </c>
      <c r="F503" s="4952">
        <f t="shared" si="38"/>
        <v>10000000</v>
      </c>
      <c r="G503" s="7563">
        <v>22500000</v>
      </c>
      <c r="H503" s="7563" t="s">
        <v>6828</v>
      </c>
      <c r="I503" s="7871" t="s">
        <v>6833</v>
      </c>
      <c r="J503" s="7563">
        <f t="shared" si="49"/>
        <v>22500000</v>
      </c>
      <c r="K503" s="7563">
        <f>(F503+F504)-J503</f>
        <v>0</v>
      </c>
      <c r="L503" s="7674" t="s">
        <v>6175</v>
      </c>
    </row>
    <row r="504" spans="1:14" ht="30" customHeight="1" x14ac:dyDescent="0.2">
      <c r="A504" s="7655"/>
      <c r="B504" s="7653"/>
      <c r="C504" s="7724"/>
      <c r="D504" s="4952">
        <v>250000000</v>
      </c>
      <c r="E504" s="5011">
        <v>0.05</v>
      </c>
      <c r="F504" s="4952">
        <f t="shared" si="38"/>
        <v>12500000</v>
      </c>
      <c r="G504" s="7564"/>
      <c r="H504" s="7564"/>
      <c r="I504" s="7872"/>
      <c r="J504" s="7564"/>
      <c r="K504" s="7564"/>
      <c r="L504" s="7675"/>
    </row>
    <row r="505" spans="1:14" ht="30" customHeight="1" x14ac:dyDescent="0.2">
      <c r="A505" s="7654">
        <v>251</v>
      </c>
      <c r="B505" s="7652" t="s">
        <v>1830</v>
      </c>
      <c r="C505" s="7723" t="s">
        <v>371</v>
      </c>
      <c r="D505" s="4944">
        <v>90000000</v>
      </c>
      <c r="E505" s="5011">
        <v>0.06</v>
      </c>
      <c r="F505" s="4944">
        <f t="shared" si="38"/>
        <v>5400000</v>
      </c>
      <c r="G505" s="7563">
        <v>15200000</v>
      </c>
      <c r="H505" s="7563" t="s">
        <v>4612</v>
      </c>
      <c r="I505" s="7561" t="s">
        <v>5060</v>
      </c>
      <c r="J505" s="7482">
        <f t="shared" si="49"/>
        <v>15200000</v>
      </c>
      <c r="K505" s="7563">
        <f>(F505+F506+F507)-J505</f>
        <v>0</v>
      </c>
      <c r="L505" s="5051"/>
    </row>
    <row r="506" spans="1:14" ht="30" customHeight="1" x14ac:dyDescent="0.2">
      <c r="A506" s="7656"/>
      <c r="B506" s="7665"/>
      <c r="C506" s="7747"/>
      <c r="D506" s="4944">
        <v>100000000</v>
      </c>
      <c r="E506" s="5011">
        <v>7.0000000000000007E-2</v>
      </c>
      <c r="F506" s="4944">
        <f t="shared" si="38"/>
        <v>7000000.0000000009</v>
      </c>
      <c r="G506" s="7586"/>
      <c r="H506" s="7586"/>
      <c r="I506" s="7672"/>
      <c r="J506" s="7482"/>
      <c r="K506" s="7586"/>
      <c r="L506" s="5030"/>
    </row>
    <row r="507" spans="1:14" ht="30" customHeight="1" x14ac:dyDescent="0.2">
      <c r="A507" s="7656"/>
      <c r="B507" s="7665"/>
      <c r="C507" s="7747"/>
      <c r="D507" s="4952">
        <v>40000000</v>
      </c>
      <c r="E507" s="4962">
        <v>7.0000000000000007E-2</v>
      </c>
      <c r="F507" s="4952">
        <f t="shared" si="38"/>
        <v>2800000.0000000005</v>
      </c>
      <c r="G507" s="7564"/>
      <c r="H507" s="7586"/>
      <c r="I507" s="7672"/>
      <c r="J507" s="7482"/>
      <c r="K507" s="7564"/>
      <c r="L507" s="5030"/>
    </row>
    <row r="508" spans="1:14" ht="30" customHeight="1" x14ac:dyDescent="0.2">
      <c r="A508" s="7656"/>
      <c r="B508" s="7665"/>
      <c r="C508" s="7747"/>
      <c r="D508" s="7494" t="s">
        <v>7022</v>
      </c>
      <c r="E508" s="7495"/>
      <c r="F508" s="7768"/>
      <c r="G508" s="227">
        <v>84800000</v>
      </c>
      <c r="H508" s="7564"/>
      <c r="I508" s="7562"/>
      <c r="J508" s="7563">
        <f>G508+G509</f>
        <v>97284000</v>
      </c>
      <c r="K508" s="7563">
        <f>G508+G509</f>
        <v>97284000</v>
      </c>
      <c r="L508" s="5334"/>
    </row>
    <row r="509" spans="1:14" ht="30" customHeight="1" x14ac:dyDescent="0.2">
      <c r="A509" s="7656"/>
      <c r="B509" s="7665"/>
      <c r="C509" s="7747"/>
      <c r="D509" s="7769"/>
      <c r="E509" s="7805"/>
      <c r="F509" s="7770"/>
      <c r="G509" s="5347">
        <v>12484000</v>
      </c>
      <c r="H509" s="5347" t="s">
        <v>7020</v>
      </c>
      <c r="I509" s="5352" t="s">
        <v>7021</v>
      </c>
      <c r="J509" s="7564"/>
      <c r="K509" s="7564"/>
      <c r="L509" s="5334"/>
    </row>
    <row r="510" spans="1:14" ht="30" customHeight="1" x14ac:dyDescent="0.2">
      <c r="A510" s="7655"/>
      <c r="B510" s="7653"/>
      <c r="C510" s="7724"/>
      <c r="D510" s="5586">
        <v>32000000</v>
      </c>
      <c r="E510" s="5586"/>
      <c r="F510" s="5586"/>
      <c r="G510" s="5592"/>
      <c r="H510" s="5592"/>
      <c r="I510" s="5621"/>
      <c r="J510" s="5593"/>
      <c r="K510" s="5593"/>
      <c r="L510" s="5672" t="s">
        <v>7257</v>
      </c>
    </row>
    <row r="511" spans="1:14" ht="30" customHeight="1" x14ac:dyDescent="0.2">
      <c r="A511" s="7654"/>
      <c r="B511" s="7652" t="s">
        <v>4605</v>
      </c>
      <c r="C511" s="7723" t="s">
        <v>1293</v>
      </c>
      <c r="D511" s="4952">
        <v>150000000</v>
      </c>
      <c r="E511" s="4962">
        <v>0.06</v>
      </c>
      <c r="F511" s="4952">
        <f t="shared" si="38"/>
        <v>9000000</v>
      </c>
      <c r="G511" s="7563">
        <v>19500000</v>
      </c>
      <c r="H511" s="7563" t="s">
        <v>6785</v>
      </c>
      <c r="I511" s="7561" t="s">
        <v>6221</v>
      </c>
      <c r="J511" s="7563">
        <f>G511</f>
        <v>19500000</v>
      </c>
      <c r="K511" s="7563">
        <f>F515-J511</f>
        <v>0</v>
      </c>
      <c r="L511" s="4628" t="s">
        <v>6374</v>
      </c>
    </row>
    <row r="512" spans="1:14" ht="30" customHeight="1" x14ac:dyDescent="0.2">
      <c r="A512" s="7656"/>
      <c r="B512" s="7665"/>
      <c r="C512" s="7747"/>
      <c r="D512" s="4952">
        <v>90000000</v>
      </c>
      <c r="E512" s="4962">
        <v>0.06</v>
      </c>
      <c r="F512" s="4952">
        <f t="shared" si="38"/>
        <v>5400000</v>
      </c>
      <c r="G512" s="7586"/>
      <c r="H512" s="7586"/>
      <c r="I512" s="7672"/>
      <c r="J512" s="7586"/>
      <c r="K512" s="7586"/>
      <c r="L512" s="4628" t="s">
        <v>6373</v>
      </c>
    </row>
    <row r="513" spans="1:12" ht="30" customHeight="1" x14ac:dyDescent="0.2">
      <c r="A513" s="7656"/>
      <c r="B513" s="7665"/>
      <c r="C513" s="7747"/>
      <c r="D513" s="4952">
        <v>70000000</v>
      </c>
      <c r="E513" s="4962">
        <v>0.06</v>
      </c>
      <c r="F513" s="4952">
        <f t="shared" si="38"/>
        <v>4200000</v>
      </c>
      <c r="G513" s="7586"/>
      <c r="H513" s="7586"/>
      <c r="I513" s="7672"/>
      <c r="J513" s="7586"/>
      <c r="K513" s="7586"/>
      <c r="L513" s="4628" t="s">
        <v>6219</v>
      </c>
    </row>
    <row r="514" spans="1:12" ht="30" customHeight="1" x14ac:dyDescent="0.2">
      <c r="A514" s="7656"/>
      <c r="B514" s="7665"/>
      <c r="C514" s="7747"/>
      <c r="D514" s="4944">
        <v>15000000</v>
      </c>
      <c r="E514" s="4962">
        <v>0.06</v>
      </c>
      <c r="F514" s="4952">
        <f t="shared" si="38"/>
        <v>900000</v>
      </c>
      <c r="G514" s="7586"/>
      <c r="H514" s="7586"/>
      <c r="I514" s="7672"/>
      <c r="J514" s="7586"/>
      <c r="K514" s="7586"/>
      <c r="L514" s="4628" t="s">
        <v>6383</v>
      </c>
    </row>
    <row r="515" spans="1:12" ht="30" customHeight="1" x14ac:dyDescent="0.2">
      <c r="A515" s="7656"/>
      <c r="B515" s="7665"/>
      <c r="C515" s="7747"/>
      <c r="D515" s="4988">
        <f>SUM(D511:D514)</f>
        <v>325000000</v>
      </c>
      <c r="E515" s="4986">
        <v>0.06</v>
      </c>
      <c r="F515" s="4988">
        <f t="shared" si="38"/>
        <v>19500000</v>
      </c>
      <c r="G515" s="7564"/>
      <c r="H515" s="7564"/>
      <c r="I515" s="7562"/>
      <c r="J515" s="7564"/>
      <c r="K515" s="7564"/>
      <c r="L515" s="5030" t="s">
        <v>6786</v>
      </c>
    </row>
    <row r="516" spans="1:12" ht="30" customHeight="1" x14ac:dyDescent="0.2">
      <c r="A516" s="7656"/>
      <c r="B516" s="7665"/>
      <c r="C516" s="7747"/>
      <c r="D516" s="7494"/>
      <c r="E516" s="7495"/>
      <c r="F516" s="7768"/>
      <c r="G516" s="5402">
        <v>10000000</v>
      </c>
      <c r="H516" s="5402" t="s">
        <v>7061</v>
      </c>
      <c r="I516" s="5406" t="s">
        <v>6221</v>
      </c>
      <c r="J516" s="5402">
        <f>G516</f>
        <v>10000000</v>
      </c>
      <c r="K516" s="5402"/>
      <c r="L516" s="5416" t="s">
        <v>6786</v>
      </c>
    </row>
    <row r="517" spans="1:12" ht="30" customHeight="1" x14ac:dyDescent="0.2">
      <c r="A517" s="7655"/>
      <c r="B517" s="7653"/>
      <c r="C517" s="7724"/>
      <c r="D517" s="7769"/>
      <c r="E517" s="7805"/>
      <c r="F517" s="7770"/>
      <c r="G517" s="5399">
        <v>10000000</v>
      </c>
      <c r="H517" s="5399" t="s">
        <v>7065</v>
      </c>
      <c r="I517" s="5412" t="s">
        <v>7078</v>
      </c>
      <c r="J517" s="5399">
        <f>G517</f>
        <v>10000000</v>
      </c>
      <c r="K517" s="5402"/>
      <c r="L517" s="5416" t="s">
        <v>7079</v>
      </c>
    </row>
    <row r="518" spans="1:12" ht="30" customHeight="1" x14ac:dyDescent="0.2">
      <c r="A518" s="7654"/>
      <c r="B518" s="7717" t="s">
        <v>4609</v>
      </c>
      <c r="C518" s="7723" t="s">
        <v>1176</v>
      </c>
      <c r="D518" s="4952">
        <v>165000000</v>
      </c>
      <c r="E518" s="4962">
        <v>0.06</v>
      </c>
      <c r="F518" s="4952">
        <f t="shared" si="38"/>
        <v>9900000</v>
      </c>
      <c r="G518" s="7563">
        <v>18000000</v>
      </c>
      <c r="H518" s="7563" t="s">
        <v>6895</v>
      </c>
      <c r="I518" s="7561" t="s">
        <v>1810</v>
      </c>
      <c r="J518" s="7563">
        <f>G518</f>
        <v>18000000</v>
      </c>
      <c r="K518" s="7563">
        <f>(F518+F519+F520)-J518</f>
        <v>0</v>
      </c>
      <c r="L518" s="5030" t="s">
        <v>4951</v>
      </c>
    </row>
    <row r="519" spans="1:12" ht="30" customHeight="1" x14ac:dyDescent="0.2">
      <c r="A519" s="7656"/>
      <c r="B519" s="7717"/>
      <c r="C519" s="7747"/>
      <c r="D519" s="4952">
        <v>105000000</v>
      </c>
      <c r="E519" s="4962">
        <v>0.06</v>
      </c>
      <c r="F519" s="4952">
        <f t="shared" si="38"/>
        <v>6300000</v>
      </c>
      <c r="G519" s="7586"/>
      <c r="H519" s="7586"/>
      <c r="I519" s="7672"/>
      <c r="J519" s="7586"/>
      <c r="K519" s="7586"/>
      <c r="L519" s="5030" t="s">
        <v>4952</v>
      </c>
    </row>
    <row r="520" spans="1:12" ht="30" customHeight="1" x14ac:dyDescent="0.2">
      <c r="A520" s="7656"/>
      <c r="B520" s="7717"/>
      <c r="C520" s="7724"/>
      <c r="D520" s="4952">
        <v>30000000</v>
      </c>
      <c r="E520" s="4962">
        <v>0.06</v>
      </c>
      <c r="F520" s="4952">
        <f t="shared" si="38"/>
        <v>1800000</v>
      </c>
      <c r="G520" s="7564"/>
      <c r="H520" s="7564"/>
      <c r="I520" s="7562"/>
      <c r="J520" s="7564"/>
      <c r="K520" s="7564"/>
      <c r="L520" s="5030" t="s">
        <v>5658</v>
      </c>
    </row>
    <row r="521" spans="1:12" ht="30" customHeight="1" x14ac:dyDescent="0.2">
      <c r="A521" s="5014"/>
      <c r="B521" s="4955" t="s">
        <v>5419</v>
      </c>
      <c r="C521" s="4989"/>
      <c r="D521" s="4965"/>
      <c r="E521" s="4975"/>
      <c r="F521" s="4965"/>
      <c r="G521" s="4952"/>
      <c r="H521" s="4952"/>
      <c r="I521" s="4967" t="s">
        <v>5420</v>
      </c>
      <c r="J521" s="4952">
        <f>G521</f>
        <v>0</v>
      </c>
      <c r="K521" s="4964">
        <f>F521-J521</f>
        <v>0</v>
      </c>
      <c r="L521" s="5030"/>
    </row>
    <row r="522" spans="1:12" ht="30" customHeight="1" x14ac:dyDescent="0.2">
      <c r="A522" s="7654"/>
      <c r="B522" s="7652" t="s">
        <v>6274</v>
      </c>
      <c r="C522" s="7723"/>
      <c r="D522" s="7563"/>
      <c r="E522" s="7563"/>
      <c r="F522" s="7563"/>
      <c r="G522" s="7563"/>
      <c r="H522" s="7563"/>
      <c r="I522" s="7561"/>
      <c r="J522" s="7563"/>
      <c r="K522" s="7563"/>
      <c r="L522" s="7674" t="s">
        <v>6454</v>
      </c>
    </row>
    <row r="523" spans="1:12" ht="30" customHeight="1" x14ac:dyDescent="0.2">
      <c r="A523" s="7655"/>
      <c r="B523" s="7653"/>
      <c r="C523" s="7724"/>
      <c r="D523" s="7564"/>
      <c r="E523" s="7564"/>
      <c r="F523" s="7564"/>
      <c r="G523" s="7564"/>
      <c r="H523" s="7564"/>
      <c r="I523" s="7562"/>
      <c r="J523" s="7564"/>
      <c r="K523" s="7564"/>
      <c r="L523" s="7675"/>
    </row>
    <row r="524" spans="1:12" ht="30" customHeight="1" x14ac:dyDescent="0.2">
      <c r="A524" s="5597"/>
      <c r="B524" s="5613" t="s">
        <v>7258</v>
      </c>
      <c r="C524" s="5657"/>
      <c r="D524" s="5586">
        <v>40000000</v>
      </c>
      <c r="E524" s="5586"/>
      <c r="F524" s="5586"/>
      <c r="G524" s="5693"/>
      <c r="H524" s="5693"/>
      <c r="I524" s="5693"/>
      <c r="J524" s="5693"/>
      <c r="K524" s="5586"/>
      <c r="L524" s="5693" t="s">
        <v>7259</v>
      </c>
    </row>
    <row r="525" spans="1:12" ht="30" customHeight="1" x14ac:dyDescent="0.2">
      <c r="A525" s="4959"/>
      <c r="B525" s="4955" t="s">
        <v>2396</v>
      </c>
      <c r="C525" s="4992"/>
      <c r="D525" s="5586"/>
      <c r="E525" s="5586"/>
      <c r="F525" s="5586"/>
      <c r="G525" s="5586"/>
      <c r="H525" s="5586"/>
      <c r="I525" s="5586"/>
      <c r="J525" s="5586"/>
      <c r="K525" s="5593"/>
      <c r="L525" s="5704" t="s">
        <v>7262</v>
      </c>
    </row>
    <row r="526" spans="1:12" ht="30" customHeight="1" x14ac:dyDescent="0.2">
      <c r="A526" s="1028"/>
      <c r="B526" s="5017" t="s">
        <v>4893</v>
      </c>
      <c r="C526" s="4989" t="s">
        <v>1293</v>
      </c>
      <c r="D526" s="4952">
        <v>350000000</v>
      </c>
      <c r="E526" s="4962">
        <v>0.06</v>
      </c>
      <c r="F526" s="4952">
        <f>D526*E526</f>
        <v>21000000</v>
      </c>
      <c r="G526" s="4950">
        <v>21000000</v>
      </c>
      <c r="H526" s="4950" t="s">
        <v>6789</v>
      </c>
      <c r="I526" s="4966" t="s">
        <v>4894</v>
      </c>
      <c r="J526" s="4950">
        <f>G526</f>
        <v>21000000</v>
      </c>
      <c r="K526" s="4950">
        <f>F526-J526</f>
        <v>0</v>
      </c>
      <c r="L526" s="5030"/>
    </row>
    <row r="527" spans="1:12" ht="30" customHeight="1" x14ac:dyDescent="0.2">
      <c r="A527" s="7654">
        <v>252</v>
      </c>
      <c r="B527" s="7652" t="s">
        <v>109</v>
      </c>
      <c r="C527" s="7723" t="s">
        <v>262</v>
      </c>
      <c r="D527" s="4952">
        <v>270000000</v>
      </c>
      <c r="E527" s="4962">
        <v>0.05</v>
      </c>
      <c r="F527" s="4952">
        <f>D527*E527</f>
        <v>13500000</v>
      </c>
      <c r="G527" s="5268">
        <v>1700000</v>
      </c>
      <c r="H527" s="5268" t="s">
        <v>6932</v>
      </c>
      <c r="I527" s="5289" t="s">
        <v>1810</v>
      </c>
      <c r="J527" s="8180">
        <f>G527+G528</f>
        <v>17000000</v>
      </c>
      <c r="K527" s="7563">
        <f>(F527+F528)-J527</f>
        <v>0</v>
      </c>
      <c r="L527" s="5051" t="s">
        <v>4425</v>
      </c>
    </row>
    <row r="528" spans="1:12" ht="30" customHeight="1" x14ac:dyDescent="0.2">
      <c r="A528" s="7656"/>
      <c r="B528" s="7665"/>
      <c r="C528" s="7747"/>
      <c r="D528" s="7563">
        <v>70000000</v>
      </c>
      <c r="E528" s="7659">
        <v>0.05</v>
      </c>
      <c r="F528" s="7563">
        <f>D528*E528</f>
        <v>3500000</v>
      </c>
      <c r="G528" s="7563">
        <v>15300000</v>
      </c>
      <c r="H528" s="7563" t="s">
        <v>7010</v>
      </c>
      <c r="I528" s="7561" t="s">
        <v>1810</v>
      </c>
      <c r="J528" s="8220"/>
      <c r="K528" s="7586"/>
      <c r="L528" s="5051" t="s">
        <v>4424</v>
      </c>
    </row>
    <row r="529" spans="1:15" ht="30" customHeight="1" x14ac:dyDescent="0.2">
      <c r="A529" s="7655"/>
      <c r="B529" s="7653"/>
      <c r="C529" s="7724"/>
      <c r="D529" s="7564"/>
      <c r="E529" s="7660"/>
      <c r="F529" s="7564"/>
      <c r="G529" s="7564"/>
      <c r="H529" s="7564"/>
      <c r="I529" s="7562"/>
      <c r="J529" s="8183"/>
      <c r="K529" s="7564"/>
      <c r="L529" s="5359"/>
    </row>
    <row r="530" spans="1:15" ht="30" customHeight="1" x14ac:dyDescent="0.2">
      <c r="A530" s="7879">
        <v>253</v>
      </c>
      <c r="B530" s="7652" t="s">
        <v>110</v>
      </c>
      <c r="C530" s="7723" t="s">
        <v>262</v>
      </c>
      <c r="D530" s="4952">
        <v>20000000</v>
      </c>
      <c r="E530" s="5011">
        <v>0.05</v>
      </c>
      <c r="F530" s="4952">
        <f t="shared" si="38"/>
        <v>1000000</v>
      </c>
      <c r="G530" s="7482">
        <v>3000000</v>
      </c>
      <c r="H530" s="7482" t="s">
        <v>4612</v>
      </c>
      <c r="I530" s="7923" t="s">
        <v>810</v>
      </c>
      <c r="J530" s="7482">
        <f t="shared" si="49"/>
        <v>3000000</v>
      </c>
      <c r="K530" s="7482">
        <f>(F530+F531+F532)-J530</f>
        <v>0</v>
      </c>
      <c r="L530" s="5030"/>
      <c r="M530" s="1175"/>
      <c r="N530" s="1175"/>
      <c r="O530" s="1175"/>
    </row>
    <row r="531" spans="1:15" ht="30" customHeight="1" x14ac:dyDescent="0.2">
      <c r="A531" s="7879"/>
      <c r="B531" s="7665"/>
      <c r="C531" s="7747"/>
      <c r="D531" s="4952">
        <v>20000000</v>
      </c>
      <c r="E531" s="5011">
        <v>0.05</v>
      </c>
      <c r="F531" s="4952">
        <f t="shared" si="38"/>
        <v>1000000</v>
      </c>
      <c r="G531" s="7482"/>
      <c r="H531" s="7482"/>
      <c r="I531" s="7923"/>
      <c r="J531" s="7482"/>
      <c r="K531" s="7482"/>
      <c r="L531" s="5062" t="s">
        <v>5900</v>
      </c>
      <c r="M531" s="248"/>
      <c r="N531" s="248"/>
      <c r="O531" s="248"/>
    </row>
    <row r="532" spans="1:15" ht="30" customHeight="1" x14ac:dyDescent="0.2">
      <c r="A532" s="7879"/>
      <c r="B532" s="7653"/>
      <c r="C532" s="7724"/>
      <c r="D532" s="4952">
        <v>20000000</v>
      </c>
      <c r="E532" s="5011">
        <v>0.05</v>
      </c>
      <c r="F532" s="4952">
        <f t="shared" si="38"/>
        <v>1000000</v>
      </c>
      <c r="G532" s="7482"/>
      <c r="H532" s="7482"/>
      <c r="I532" s="7923"/>
      <c r="J532" s="7482"/>
      <c r="K532" s="7482"/>
      <c r="L532" s="5031" t="s">
        <v>5335</v>
      </c>
      <c r="M532" s="248"/>
      <c r="N532" s="248"/>
      <c r="O532" s="248"/>
    </row>
    <row r="533" spans="1:15" ht="30" customHeight="1" x14ac:dyDescent="0.2">
      <c r="A533" s="7654">
        <v>256</v>
      </c>
      <c r="B533" s="7652" t="s">
        <v>113</v>
      </c>
      <c r="C533" s="7723" t="s">
        <v>371</v>
      </c>
      <c r="D533" s="4952">
        <v>100000000</v>
      </c>
      <c r="E533" s="5011">
        <v>0.05</v>
      </c>
      <c r="F533" s="4952">
        <f t="shared" si="38"/>
        <v>5000000</v>
      </c>
      <c r="G533" s="7563">
        <v>14000000</v>
      </c>
      <c r="H533" s="7563" t="s">
        <v>7010</v>
      </c>
      <c r="I533" s="7772" t="s">
        <v>4453</v>
      </c>
      <c r="J533" s="7563">
        <f>G533</f>
        <v>14000000</v>
      </c>
      <c r="K533" s="7563">
        <f>(F533+F534)-J533</f>
        <v>0</v>
      </c>
      <c r="L533" s="4968"/>
    </row>
    <row r="534" spans="1:15" ht="30" customHeight="1" x14ac:dyDescent="0.2">
      <c r="A534" s="7655"/>
      <c r="B534" s="7653"/>
      <c r="C534" s="7724"/>
      <c r="D534" s="4952">
        <v>150000000</v>
      </c>
      <c r="E534" s="5011">
        <v>0.06</v>
      </c>
      <c r="F534" s="4952">
        <f t="shared" si="38"/>
        <v>9000000</v>
      </c>
      <c r="G534" s="7564"/>
      <c r="H534" s="7564"/>
      <c r="I534" s="7773"/>
      <c r="J534" s="7564"/>
      <c r="K534" s="7564"/>
      <c r="L534" s="5062" t="s">
        <v>6213</v>
      </c>
    </row>
    <row r="535" spans="1:15" ht="30" customHeight="1" x14ac:dyDescent="0.2">
      <c r="A535" s="5014">
        <v>257</v>
      </c>
      <c r="B535" s="4968" t="s">
        <v>114</v>
      </c>
      <c r="C535" s="4990" t="s">
        <v>1292</v>
      </c>
      <c r="D535" s="4952">
        <v>30000000</v>
      </c>
      <c r="E535" s="5011">
        <v>0.05</v>
      </c>
      <c r="F535" s="4952">
        <f t="shared" si="38"/>
        <v>1500000</v>
      </c>
      <c r="G535" s="4952">
        <v>1500000</v>
      </c>
      <c r="H535" s="4952" t="s">
        <v>7013</v>
      </c>
      <c r="I535" s="5071" t="s">
        <v>482</v>
      </c>
      <c r="J535" s="4952">
        <f>G535</f>
        <v>1500000</v>
      </c>
      <c r="K535" s="4952">
        <f>F535-J535</f>
        <v>0</v>
      </c>
      <c r="L535" s="4968"/>
    </row>
    <row r="536" spans="1:15" ht="30" customHeight="1" x14ac:dyDescent="0.2">
      <c r="A536" s="5014">
        <v>258</v>
      </c>
      <c r="B536" s="4968" t="s">
        <v>849</v>
      </c>
      <c r="C536" s="4990" t="s">
        <v>262</v>
      </c>
      <c r="D536" s="4952">
        <v>12000000</v>
      </c>
      <c r="E536" s="5011">
        <v>0.05</v>
      </c>
      <c r="F536" s="4952">
        <f t="shared" si="38"/>
        <v>600000</v>
      </c>
      <c r="G536" s="7563">
        <v>1600000</v>
      </c>
      <c r="H536" s="7563" t="s">
        <v>7013</v>
      </c>
      <c r="I536" s="7772" t="s">
        <v>475</v>
      </c>
      <c r="J536" s="7563">
        <f>G536</f>
        <v>1600000</v>
      </c>
      <c r="K536" s="7563">
        <f>(F536+F537)-J536</f>
        <v>0</v>
      </c>
      <c r="L536" s="7703"/>
    </row>
    <row r="537" spans="1:15" ht="30" customHeight="1" x14ac:dyDescent="0.2">
      <c r="A537" s="5014">
        <v>259</v>
      </c>
      <c r="B537" s="4968" t="s">
        <v>156</v>
      </c>
      <c r="C537" s="4990" t="s">
        <v>262</v>
      </c>
      <c r="D537" s="4952">
        <v>20000000</v>
      </c>
      <c r="E537" s="5011">
        <v>0.05</v>
      </c>
      <c r="F537" s="4952">
        <f>D537*E537</f>
        <v>1000000</v>
      </c>
      <c r="G537" s="7564"/>
      <c r="H537" s="7564"/>
      <c r="I537" s="7773"/>
      <c r="J537" s="7564"/>
      <c r="K537" s="7564"/>
      <c r="L537" s="7705"/>
    </row>
    <row r="538" spans="1:15" ht="30" customHeight="1" x14ac:dyDescent="0.2">
      <c r="A538" s="7654">
        <v>261</v>
      </c>
      <c r="B538" s="19" t="s">
        <v>117</v>
      </c>
      <c r="C538" s="7723" t="s">
        <v>3323</v>
      </c>
      <c r="D538" s="4944">
        <v>25500000</v>
      </c>
      <c r="E538" s="5011">
        <f>F538/D538</f>
        <v>6.1764705882352944E-2</v>
      </c>
      <c r="F538" s="4944">
        <v>1575000</v>
      </c>
      <c r="G538" s="4950">
        <v>1575000</v>
      </c>
      <c r="H538" s="4950" t="s">
        <v>6773</v>
      </c>
      <c r="I538" s="4994" t="s">
        <v>414</v>
      </c>
      <c r="J538" s="4950">
        <f t="shared" ref="J538:J541" si="50">G538</f>
        <v>1575000</v>
      </c>
      <c r="K538" s="4950">
        <v>0</v>
      </c>
      <c r="L538" s="5030"/>
    </row>
    <row r="539" spans="1:15" ht="30" customHeight="1" x14ac:dyDescent="0.2">
      <c r="A539" s="7655"/>
      <c r="B539" s="19" t="s">
        <v>6817</v>
      </c>
      <c r="C539" s="7724"/>
      <c r="D539" s="5158">
        <v>10000000</v>
      </c>
      <c r="E539" s="5174">
        <v>0.05</v>
      </c>
      <c r="F539" s="5158">
        <f>D539*E539</f>
        <v>500000</v>
      </c>
      <c r="G539" s="7732" t="s">
        <v>6815</v>
      </c>
      <c r="H539" s="7733"/>
      <c r="I539" s="7733"/>
      <c r="J539" s="7734"/>
      <c r="K539" s="5159"/>
      <c r="L539" s="5178" t="s">
        <v>6816</v>
      </c>
    </row>
    <row r="540" spans="1:15" ht="30" customHeight="1" x14ac:dyDescent="0.2">
      <c r="A540" s="5014">
        <v>263</v>
      </c>
      <c r="B540" s="19" t="s">
        <v>572</v>
      </c>
      <c r="C540" s="5016" t="s">
        <v>1300</v>
      </c>
      <c r="D540" s="4944">
        <v>105000000</v>
      </c>
      <c r="E540" s="5011">
        <v>5.8000000000000003E-2</v>
      </c>
      <c r="F540" s="4944">
        <v>6000000</v>
      </c>
      <c r="G540" s="4944">
        <v>6000000</v>
      </c>
      <c r="H540" s="4944" t="s">
        <v>7065</v>
      </c>
      <c r="I540" s="4944" t="s">
        <v>4141</v>
      </c>
      <c r="J540" s="4944">
        <f t="shared" si="50"/>
        <v>6000000</v>
      </c>
      <c r="K540" s="4944">
        <f>F540-J540</f>
        <v>0</v>
      </c>
      <c r="L540" s="5025"/>
    </row>
    <row r="541" spans="1:15" ht="30" customHeight="1" x14ac:dyDescent="0.2">
      <c r="A541" s="4959">
        <v>264</v>
      </c>
      <c r="B541" s="4956" t="s">
        <v>119</v>
      </c>
      <c r="C541" s="4990" t="s">
        <v>262</v>
      </c>
      <c r="D541" s="4952">
        <v>50000000</v>
      </c>
      <c r="E541" s="4962">
        <f>F541/D541</f>
        <v>0.06</v>
      </c>
      <c r="F541" s="4952">
        <v>3000000</v>
      </c>
      <c r="G541" s="4952">
        <v>3000000</v>
      </c>
      <c r="H541" s="4944" t="s">
        <v>6932</v>
      </c>
      <c r="I541" s="4944" t="s">
        <v>3469</v>
      </c>
      <c r="J541" s="4952">
        <f t="shared" si="50"/>
        <v>3000000</v>
      </c>
      <c r="K541" s="4952">
        <f>F541-J541</f>
        <v>0</v>
      </c>
      <c r="L541" s="5051"/>
    </row>
    <row r="542" spans="1:15" ht="30" customHeight="1" x14ac:dyDescent="0.2">
      <c r="A542" s="1028">
        <v>265</v>
      </c>
      <c r="B542" s="19" t="s">
        <v>121</v>
      </c>
      <c r="C542" s="5016" t="s">
        <v>262</v>
      </c>
      <c r="D542" s="4944">
        <v>1000000000</v>
      </c>
      <c r="E542" s="5011">
        <v>7.0000000000000007E-2</v>
      </c>
      <c r="F542" s="4944">
        <f>D542*E542</f>
        <v>70000000</v>
      </c>
      <c r="G542" s="4944">
        <v>70000000</v>
      </c>
      <c r="H542" s="4944" t="s">
        <v>4612</v>
      </c>
      <c r="I542" s="4944" t="s">
        <v>3290</v>
      </c>
      <c r="J542" s="4944">
        <f>G542</f>
        <v>70000000</v>
      </c>
      <c r="K542" s="4944">
        <f>F542-J542</f>
        <v>0</v>
      </c>
      <c r="L542" s="5025" t="s">
        <v>5561</v>
      </c>
    </row>
    <row r="543" spans="1:15" ht="30" customHeight="1" x14ac:dyDescent="0.2">
      <c r="A543" s="7654">
        <v>266</v>
      </c>
      <c r="B543" s="7652" t="s">
        <v>1918</v>
      </c>
      <c r="C543" s="7723" t="s">
        <v>371</v>
      </c>
      <c r="D543" s="4952">
        <v>80000000</v>
      </c>
      <c r="E543" s="4962">
        <v>4.4999999999999998E-2</v>
      </c>
      <c r="F543" s="4952">
        <f t="shared" ref="F543:F654" si="51">D543*E543</f>
        <v>3600000</v>
      </c>
      <c r="G543" s="7563">
        <v>8000000</v>
      </c>
      <c r="H543" s="7563" t="s">
        <v>7080</v>
      </c>
      <c r="I543" s="7772" t="s">
        <v>4065</v>
      </c>
      <c r="J543" s="7563">
        <f>G543</f>
        <v>8000000</v>
      </c>
      <c r="K543" s="7563">
        <f>F545-J543</f>
        <v>0</v>
      </c>
      <c r="L543" s="5025" t="s">
        <v>6464</v>
      </c>
    </row>
    <row r="544" spans="1:15" ht="30" customHeight="1" x14ac:dyDescent="0.2">
      <c r="A544" s="7656"/>
      <c r="B544" s="7665"/>
      <c r="C544" s="7747"/>
      <c r="D544" s="4944">
        <v>80000000</v>
      </c>
      <c r="E544" s="5011"/>
      <c r="F544" s="4944"/>
      <c r="G544" s="7586"/>
      <c r="H544" s="7586"/>
      <c r="I544" s="8185"/>
      <c r="J544" s="7586"/>
      <c r="K544" s="7586"/>
      <c r="L544" s="5096" t="s">
        <v>6463</v>
      </c>
    </row>
    <row r="545" spans="1:15" ht="30" customHeight="1" x14ac:dyDescent="0.2">
      <c r="A545" s="7655"/>
      <c r="B545" s="7653"/>
      <c r="C545" s="7724"/>
      <c r="D545" s="5072">
        <v>160000000</v>
      </c>
      <c r="E545" s="896">
        <v>0.05</v>
      </c>
      <c r="F545" s="5072">
        <f>D545*E545</f>
        <v>8000000</v>
      </c>
      <c r="G545" s="7564"/>
      <c r="H545" s="7564"/>
      <c r="I545" s="7773"/>
      <c r="J545" s="7564"/>
      <c r="K545" s="7564"/>
      <c r="L545" s="5025" t="s">
        <v>6465</v>
      </c>
    </row>
    <row r="546" spans="1:15" ht="30" customHeight="1" x14ac:dyDescent="0.2">
      <c r="A546" s="7654">
        <v>267</v>
      </c>
      <c r="B546" s="7652" t="s">
        <v>497</v>
      </c>
      <c r="C546" s="7723" t="s">
        <v>371</v>
      </c>
      <c r="D546" s="7563">
        <v>300000000</v>
      </c>
      <c r="E546" s="7659">
        <v>0.04</v>
      </c>
      <c r="F546" s="7563">
        <f>D546*E546</f>
        <v>12000000</v>
      </c>
      <c r="G546" s="7563">
        <v>12000000</v>
      </c>
      <c r="H546" s="7563" t="s">
        <v>7013</v>
      </c>
      <c r="I546" s="7563" t="s">
        <v>3579</v>
      </c>
      <c r="J546" s="7563">
        <f>G546</f>
        <v>12000000</v>
      </c>
      <c r="K546" s="7563">
        <f>F546-J546</f>
        <v>0</v>
      </c>
      <c r="L546" s="5025" t="s">
        <v>2891</v>
      </c>
    </row>
    <row r="547" spans="1:15" ht="30" customHeight="1" x14ac:dyDescent="0.2">
      <c r="A547" s="7655"/>
      <c r="B547" s="7653"/>
      <c r="C547" s="7724"/>
      <c r="D547" s="7564"/>
      <c r="E547" s="7660"/>
      <c r="F547" s="7564"/>
      <c r="G547" s="7564"/>
      <c r="H547" s="7564"/>
      <c r="I547" s="7564"/>
      <c r="J547" s="7564"/>
      <c r="K547" s="7564"/>
      <c r="L547" s="5025"/>
    </row>
    <row r="548" spans="1:15" ht="30" customHeight="1" x14ac:dyDescent="0.2">
      <c r="A548" s="5014">
        <v>268</v>
      </c>
      <c r="B548" s="4968" t="s">
        <v>391</v>
      </c>
      <c r="C548" s="4990" t="s">
        <v>392</v>
      </c>
      <c r="D548" s="4952">
        <v>130000000</v>
      </c>
      <c r="E548" s="5011">
        <v>4.4999999999999998E-2</v>
      </c>
      <c r="F548" s="4952">
        <f t="shared" si="51"/>
        <v>5850000</v>
      </c>
      <c r="G548" s="4952">
        <v>5850000</v>
      </c>
      <c r="H548" s="4952" t="s">
        <v>6785</v>
      </c>
      <c r="I548" s="18" t="s">
        <v>3518</v>
      </c>
      <c r="J548" s="4952">
        <f>G548</f>
        <v>5850000</v>
      </c>
      <c r="K548" s="4952">
        <f>F548-J548</f>
        <v>0</v>
      </c>
      <c r="L548" s="4968"/>
    </row>
    <row r="549" spans="1:15" ht="30" customHeight="1" x14ac:dyDescent="0.2">
      <c r="A549" s="4957">
        <v>269</v>
      </c>
      <c r="B549" s="5017" t="s">
        <v>123</v>
      </c>
      <c r="C549" s="5016" t="s">
        <v>262</v>
      </c>
      <c r="D549" s="4952">
        <v>500000000</v>
      </c>
      <c r="E549" s="5011">
        <v>0.06</v>
      </c>
      <c r="F549" s="4952">
        <f t="shared" si="51"/>
        <v>30000000</v>
      </c>
      <c r="G549" s="4952">
        <v>30000000</v>
      </c>
      <c r="H549" s="4952" t="s">
        <v>6932</v>
      </c>
      <c r="I549" s="18" t="s">
        <v>3546</v>
      </c>
      <c r="J549" s="4952">
        <f>G549</f>
        <v>30000000</v>
      </c>
      <c r="K549" s="4952">
        <f>F549-J549</f>
        <v>0</v>
      </c>
      <c r="L549" s="4968"/>
    </row>
    <row r="550" spans="1:15" ht="30" customHeight="1" x14ac:dyDescent="0.2">
      <c r="A550" s="5014">
        <v>270</v>
      </c>
      <c r="B550" s="4968" t="s">
        <v>124</v>
      </c>
      <c r="C550" s="4990"/>
      <c r="D550" s="4952">
        <v>20000000</v>
      </c>
      <c r="E550" s="5011">
        <v>5.5E-2</v>
      </c>
      <c r="F550" s="4952">
        <f t="shared" si="51"/>
        <v>1100000</v>
      </c>
      <c r="G550" s="4952">
        <v>1100000</v>
      </c>
      <c r="H550" s="4952" t="s">
        <v>7065</v>
      </c>
      <c r="I550" s="5071" t="s">
        <v>492</v>
      </c>
      <c r="J550" s="4952">
        <f>G550</f>
        <v>1100000</v>
      </c>
      <c r="K550" s="4952">
        <f>F550-J550</f>
        <v>0</v>
      </c>
      <c r="L550" s="5048"/>
    </row>
    <row r="551" spans="1:15" ht="30" customHeight="1" x14ac:dyDescent="0.2">
      <c r="A551" s="7654">
        <v>271</v>
      </c>
      <c r="B551" s="7652" t="s">
        <v>125</v>
      </c>
      <c r="C551" s="7723" t="s">
        <v>402</v>
      </c>
      <c r="D551" s="4944">
        <v>40000000</v>
      </c>
      <c r="E551" s="5011">
        <v>5.5E-2</v>
      </c>
      <c r="F551" s="4944">
        <f t="shared" si="51"/>
        <v>2200000</v>
      </c>
      <c r="G551" s="7563">
        <v>4700000</v>
      </c>
      <c r="H551" s="7563" t="s">
        <v>6828</v>
      </c>
      <c r="I551" s="7772" t="s">
        <v>4459</v>
      </c>
      <c r="J551" s="7563">
        <f>G551</f>
        <v>4700000</v>
      </c>
      <c r="K551" s="7563">
        <f>(F551+F552+F553+F554)-J551</f>
        <v>0</v>
      </c>
      <c r="L551" s="5030" t="s">
        <v>6226</v>
      </c>
    </row>
    <row r="552" spans="1:15" ht="30" customHeight="1" x14ac:dyDescent="0.2">
      <c r="A552" s="7656"/>
      <c r="B552" s="7665"/>
      <c r="C552" s="7747"/>
      <c r="D552" s="4952">
        <v>10000000</v>
      </c>
      <c r="E552" s="4962">
        <v>0.05</v>
      </c>
      <c r="F552" s="4952">
        <f t="shared" si="51"/>
        <v>500000</v>
      </c>
      <c r="G552" s="7586"/>
      <c r="H552" s="7586"/>
      <c r="I552" s="8185"/>
      <c r="J552" s="7586"/>
      <c r="K552" s="7586"/>
      <c r="L552" s="8000" t="s">
        <v>4823</v>
      </c>
      <c r="M552" s="2058"/>
      <c r="N552" s="2058"/>
      <c r="O552" s="2058"/>
    </row>
    <row r="553" spans="1:15" ht="30" customHeight="1" x14ac:dyDescent="0.2">
      <c r="A553" s="7656"/>
      <c r="B553" s="7665"/>
      <c r="C553" s="7747"/>
      <c r="D553" s="4952">
        <v>10000000</v>
      </c>
      <c r="E553" s="4962">
        <v>0.05</v>
      </c>
      <c r="F553" s="4952">
        <f t="shared" si="51"/>
        <v>500000</v>
      </c>
      <c r="G553" s="7586"/>
      <c r="H553" s="7586"/>
      <c r="I553" s="8185"/>
      <c r="J553" s="7586"/>
      <c r="K553" s="7586"/>
      <c r="L553" s="8000"/>
      <c r="M553" s="248"/>
      <c r="N553" s="248"/>
      <c r="O553" s="248"/>
    </row>
    <row r="554" spans="1:15" ht="30" customHeight="1" x14ac:dyDescent="0.2">
      <c r="A554" s="7656"/>
      <c r="B554" s="7665"/>
      <c r="C554" s="7747"/>
      <c r="D554" s="4952">
        <v>30000000</v>
      </c>
      <c r="E554" s="4962">
        <v>0.05</v>
      </c>
      <c r="F554" s="4952">
        <f t="shared" si="51"/>
        <v>1500000</v>
      </c>
      <c r="G554" s="7564"/>
      <c r="H554" s="7564"/>
      <c r="I554" s="7773"/>
      <c r="J554" s="7564"/>
      <c r="K554" s="7564"/>
      <c r="L554" s="5030" t="s">
        <v>4824</v>
      </c>
      <c r="M554" s="248"/>
      <c r="N554" s="248"/>
      <c r="O554" s="248"/>
    </row>
    <row r="555" spans="1:15" ht="30" customHeight="1" x14ac:dyDescent="0.2">
      <c r="A555" s="7656"/>
      <c r="B555" s="7665"/>
      <c r="C555" s="7747"/>
      <c r="D555" s="7470" t="s">
        <v>5233</v>
      </c>
      <c r="E555" s="7493"/>
      <c r="F555" s="7510"/>
      <c r="G555" s="5271">
        <v>50000000</v>
      </c>
      <c r="H555" s="5271" t="s">
        <v>6895</v>
      </c>
      <c r="I555" s="5282" t="s">
        <v>6908</v>
      </c>
      <c r="J555" s="5271">
        <f>G555</f>
        <v>50000000</v>
      </c>
      <c r="K555" s="5271"/>
      <c r="L555" s="5287"/>
      <c r="M555" s="248"/>
      <c r="N555" s="248"/>
      <c r="O555" s="248"/>
    </row>
    <row r="556" spans="1:15" ht="30" customHeight="1" x14ac:dyDescent="0.2">
      <c r="A556" s="7655"/>
      <c r="B556" s="7653"/>
      <c r="C556" s="7724"/>
      <c r="D556" s="5293">
        <v>40000000</v>
      </c>
      <c r="E556" s="5294">
        <v>5.5E-2</v>
      </c>
      <c r="F556" s="5293">
        <f>D556*E556</f>
        <v>2200000</v>
      </c>
      <c r="G556" s="5271"/>
      <c r="H556" s="5271"/>
      <c r="I556" s="5282"/>
      <c r="J556" s="5271"/>
      <c r="K556" s="5271"/>
      <c r="L556" s="5287"/>
      <c r="M556" s="248"/>
      <c r="N556" s="248"/>
      <c r="O556" s="248"/>
    </row>
    <row r="557" spans="1:15" ht="30" customHeight="1" x14ac:dyDescent="0.2">
      <c r="A557" s="7654"/>
      <c r="B557" s="7717" t="s">
        <v>2524</v>
      </c>
      <c r="C557" s="7873" t="s">
        <v>1287</v>
      </c>
      <c r="D557" s="5055">
        <v>495000000</v>
      </c>
      <c r="E557" s="5045">
        <v>5.5E-2</v>
      </c>
      <c r="F557" s="5055">
        <f>D557*E557</f>
        <v>27225000</v>
      </c>
      <c r="G557" s="8040"/>
      <c r="H557" s="8040"/>
      <c r="I557" s="8040"/>
      <c r="J557" s="8040"/>
      <c r="K557" s="7482"/>
      <c r="L557" s="5320"/>
    </row>
    <row r="558" spans="1:15" ht="30" customHeight="1" x14ac:dyDescent="0.2">
      <c r="A558" s="7656"/>
      <c r="B558" s="7717"/>
      <c r="C558" s="7873"/>
      <c r="D558" s="5055">
        <v>65000000</v>
      </c>
      <c r="E558" s="5045">
        <v>0.06</v>
      </c>
      <c r="F558" s="5055">
        <f>D558*E558</f>
        <v>3900000</v>
      </c>
      <c r="G558" s="8040"/>
      <c r="H558" s="8040"/>
      <c r="I558" s="8040"/>
      <c r="J558" s="8040"/>
      <c r="K558" s="7482"/>
      <c r="L558" s="735" t="s">
        <v>6060</v>
      </c>
    </row>
    <row r="559" spans="1:15" ht="30" customHeight="1" x14ac:dyDescent="0.2">
      <c r="A559" s="7656"/>
      <c r="B559" s="7717"/>
      <c r="C559" s="7873"/>
      <c r="D559" s="5055">
        <v>246000000</v>
      </c>
      <c r="E559" s="5045">
        <v>0.06</v>
      </c>
      <c r="F559" s="5055">
        <f>D559*E559</f>
        <v>14760000</v>
      </c>
      <c r="G559" s="8040"/>
      <c r="H559" s="8040"/>
      <c r="I559" s="8040"/>
      <c r="J559" s="8040"/>
      <c r="K559" s="7482"/>
      <c r="L559" s="735" t="s">
        <v>6064</v>
      </c>
    </row>
    <row r="560" spans="1:15" ht="30" customHeight="1" x14ac:dyDescent="0.2">
      <c r="A560" s="7656"/>
      <c r="B560" s="7717"/>
      <c r="C560" s="7873"/>
      <c r="D560" s="8004" t="s">
        <v>1787</v>
      </c>
      <c r="E560" s="8005"/>
      <c r="F560" s="5055">
        <v>1300000</v>
      </c>
      <c r="G560" s="8040"/>
      <c r="H560" s="8040"/>
      <c r="I560" s="8040"/>
      <c r="J560" s="8040"/>
      <c r="K560" s="7482"/>
      <c r="L560" s="5321"/>
    </row>
    <row r="561" spans="1:12" ht="30" customHeight="1" x14ac:dyDescent="0.2">
      <c r="A561" s="7656"/>
      <c r="B561" s="7717"/>
      <c r="C561" s="7873"/>
      <c r="D561" s="4949">
        <f>D557+D558+D559</f>
        <v>806000000</v>
      </c>
      <c r="E561" s="4949"/>
      <c r="F561" s="4949">
        <f>F557+F558+F559+F560</f>
        <v>47185000</v>
      </c>
      <c r="G561" s="8365" t="s">
        <v>6892</v>
      </c>
      <c r="H561" s="8366"/>
      <c r="I561" s="8366"/>
      <c r="J561" s="8367"/>
      <c r="K561" s="7563">
        <f>F563-J561</f>
        <v>48400000</v>
      </c>
      <c r="L561" s="8374" t="s">
        <v>6057</v>
      </c>
    </row>
    <row r="562" spans="1:12" ht="30" customHeight="1" x14ac:dyDescent="0.2">
      <c r="A562" s="7656"/>
      <c r="B562" s="7717"/>
      <c r="C562" s="7873"/>
      <c r="D562" s="7545" t="s">
        <v>5704</v>
      </c>
      <c r="E562" s="7957"/>
      <c r="F562" s="4949">
        <v>1200000</v>
      </c>
      <c r="G562" s="8368"/>
      <c r="H562" s="8369"/>
      <c r="I562" s="8369"/>
      <c r="J562" s="8370"/>
      <c r="K562" s="7586"/>
      <c r="L562" s="8374"/>
    </row>
    <row r="563" spans="1:12" ht="30" customHeight="1" x14ac:dyDescent="0.2">
      <c r="A563" s="7656"/>
      <c r="B563" s="7717"/>
      <c r="C563" s="7873"/>
      <c r="D563" s="7545">
        <f>D561</f>
        <v>806000000</v>
      </c>
      <c r="E563" s="7957"/>
      <c r="F563" s="4949">
        <v>48400000</v>
      </c>
      <c r="G563" s="8371"/>
      <c r="H563" s="8372"/>
      <c r="I563" s="8372"/>
      <c r="J563" s="8373"/>
      <c r="K563" s="7564"/>
      <c r="L563" s="8374"/>
    </row>
    <row r="564" spans="1:12" ht="30" customHeight="1" x14ac:dyDescent="0.2">
      <c r="A564" s="7879"/>
      <c r="B564" s="7652" t="s">
        <v>2524</v>
      </c>
      <c r="C564" s="7723" t="s">
        <v>1287</v>
      </c>
      <c r="D564" s="516">
        <v>806000000</v>
      </c>
      <c r="E564" s="3032">
        <v>0.06</v>
      </c>
      <c r="F564" s="516">
        <f>D564*E564</f>
        <v>48360000</v>
      </c>
      <c r="G564" s="7934" t="s">
        <v>6893</v>
      </c>
      <c r="H564" s="7935"/>
      <c r="I564" s="7935"/>
      <c r="J564" s="7936"/>
      <c r="K564" s="7563">
        <f>F564+F565+F566+40000</f>
        <v>51500000</v>
      </c>
      <c r="L564" s="8463" t="s">
        <v>7003</v>
      </c>
    </row>
    <row r="565" spans="1:12" ht="30" customHeight="1" x14ac:dyDescent="0.2">
      <c r="A565" s="7879"/>
      <c r="B565" s="7665"/>
      <c r="C565" s="7747"/>
      <c r="D565" s="516">
        <v>10000000</v>
      </c>
      <c r="E565" s="2696">
        <v>0.06</v>
      </c>
      <c r="F565" s="516">
        <f>D565*E565</f>
        <v>600000</v>
      </c>
      <c r="G565" s="8507"/>
      <c r="H565" s="8508"/>
      <c r="I565" s="8508"/>
      <c r="J565" s="8509"/>
      <c r="K565" s="7586"/>
      <c r="L565" s="8463"/>
    </row>
    <row r="566" spans="1:12" ht="30" customHeight="1" x14ac:dyDescent="0.2">
      <c r="A566" s="7879"/>
      <c r="B566" s="7665"/>
      <c r="C566" s="7747"/>
      <c r="D566" s="7861" t="s">
        <v>5704</v>
      </c>
      <c r="E566" s="7863"/>
      <c r="F566" s="438">
        <v>2500000</v>
      </c>
      <c r="G566" s="7937"/>
      <c r="H566" s="7938"/>
      <c r="I566" s="7938"/>
      <c r="J566" s="7939"/>
      <c r="K566" s="7564"/>
      <c r="L566" s="8463"/>
    </row>
    <row r="567" spans="1:12" ht="30" customHeight="1" x14ac:dyDescent="0.2">
      <c r="A567" s="7879"/>
      <c r="B567" s="7665"/>
      <c r="C567" s="7747"/>
      <c r="D567" s="3239">
        <f>D564+D565+51500000</f>
        <v>867500000</v>
      </c>
      <c r="E567" s="868">
        <v>0.06</v>
      </c>
      <c r="F567" s="5301">
        <f>D567*E567</f>
        <v>52050000</v>
      </c>
      <c r="G567" s="8510" t="s">
        <v>6061</v>
      </c>
      <c r="H567" s="8511"/>
      <c r="I567" s="8511"/>
      <c r="J567" s="8512"/>
      <c r="K567" s="7563"/>
      <c r="L567" s="7818" t="s">
        <v>6063</v>
      </c>
    </row>
    <row r="568" spans="1:12" ht="30" customHeight="1" x14ac:dyDescent="0.2">
      <c r="A568" s="7879"/>
      <c r="B568" s="7665"/>
      <c r="C568" s="7747"/>
      <c r="D568" s="8250" t="s">
        <v>6894</v>
      </c>
      <c r="E568" s="8519"/>
      <c r="F568" s="8251"/>
      <c r="G568" s="8513"/>
      <c r="H568" s="8514"/>
      <c r="I568" s="8514"/>
      <c r="J568" s="8515"/>
      <c r="K568" s="7586"/>
      <c r="L568" s="7855"/>
    </row>
    <row r="569" spans="1:12" ht="30" customHeight="1" x14ac:dyDescent="0.2">
      <c r="A569" s="7879"/>
      <c r="B569" s="7653"/>
      <c r="C569" s="7724"/>
      <c r="D569" s="3239">
        <f>D567-100000000</f>
        <v>767500000</v>
      </c>
      <c r="E569" s="868">
        <v>0.06</v>
      </c>
      <c r="F569" s="5301">
        <f>D569*E569</f>
        <v>46050000</v>
      </c>
      <c r="G569" s="8516"/>
      <c r="H569" s="8517"/>
      <c r="I569" s="8517"/>
      <c r="J569" s="8518"/>
      <c r="K569" s="7564"/>
      <c r="L569" s="7819"/>
    </row>
    <row r="570" spans="1:12" ht="30" customHeight="1" x14ac:dyDescent="0.2">
      <c r="A570" s="5014">
        <v>273</v>
      </c>
      <c r="B570" s="4968" t="s">
        <v>127</v>
      </c>
      <c r="C570" s="5016" t="s">
        <v>1291</v>
      </c>
      <c r="D570" s="4952">
        <v>20000000</v>
      </c>
      <c r="E570" s="5011">
        <v>0.05</v>
      </c>
      <c r="F570" s="4952">
        <f t="shared" si="51"/>
        <v>1000000</v>
      </c>
      <c r="G570" s="4952">
        <v>1000000</v>
      </c>
      <c r="H570" s="4952" t="s">
        <v>7061</v>
      </c>
      <c r="I570" s="5071" t="s">
        <v>480</v>
      </c>
      <c r="J570" s="4952">
        <f>G570</f>
        <v>1000000</v>
      </c>
      <c r="K570" s="4952">
        <f>F570-J570</f>
        <v>0</v>
      </c>
      <c r="L570" s="5021" t="s">
        <v>6559</v>
      </c>
    </row>
    <row r="571" spans="1:12" ht="30" customHeight="1" x14ac:dyDescent="0.2">
      <c r="A571" s="7654">
        <v>274</v>
      </c>
      <c r="B571" s="7652" t="s">
        <v>128</v>
      </c>
      <c r="C571" s="7723" t="s">
        <v>1306</v>
      </c>
      <c r="D571" s="4944">
        <v>50000000</v>
      </c>
      <c r="E571" s="5011">
        <v>0.05</v>
      </c>
      <c r="F571" s="4952">
        <f>D571*E571</f>
        <v>2500000</v>
      </c>
      <c r="G571" s="1388"/>
      <c r="H571" s="1388"/>
      <c r="I571" s="1388"/>
      <c r="J571" s="1388"/>
      <c r="K571" s="4952">
        <f>F571-J571</f>
        <v>2500000</v>
      </c>
      <c r="L571" s="5021" t="s">
        <v>7101</v>
      </c>
    </row>
    <row r="572" spans="1:12" ht="30" customHeight="1" x14ac:dyDescent="0.2">
      <c r="A572" s="7655"/>
      <c r="B572" s="7653"/>
      <c r="C572" s="7724"/>
      <c r="D572" s="5444">
        <v>200000000</v>
      </c>
      <c r="E572" s="896">
        <v>5.5E-2</v>
      </c>
      <c r="F572" s="5444">
        <f>D572*E572</f>
        <v>11000000</v>
      </c>
      <c r="G572" s="7954" t="s">
        <v>7102</v>
      </c>
      <c r="H572" s="7955"/>
      <c r="I572" s="7955"/>
      <c r="J572" s="7956"/>
      <c r="K572" s="5429"/>
      <c r="L572" s="5439" t="s">
        <v>7100</v>
      </c>
    </row>
    <row r="573" spans="1:12" ht="30" customHeight="1" x14ac:dyDescent="0.2">
      <c r="A573" s="5014">
        <v>275</v>
      </c>
      <c r="B573" s="4968" t="s">
        <v>129</v>
      </c>
      <c r="C573" s="4990" t="s">
        <v>1291</v>
      </c>
      <c r="D573" s="4952">
        <v>130000000</v>
      </c>
      <c r="E573" s="5011">
        <v>0.05</v>
      </c>
      <c r="F573" s="4952">
        <f t="shared" si="51"/>
        <v>6500000</v>
      </c>
      <c r="G573" s="4952">
        <v>6500000</v>
      </c>
      <c r="H573" s="4952" t="s">
        <v>7067</v>
      </c>
      <c r="I573" s="5071" t="s">
        <v>3175</v>
      </c>
      <c r="J573" s="4952">
        <f>G573</f>
        <v>6500000</v>
      </c>
      <c r="K573" s="4952">
        <f>F573-J573</f>
        <v>0</v>
      </c>
      <c r="L573" s="4968"/>
    </row>
    <row r="574" spans="1:12" ht="30" customHeight="1" x14ac:dyDescent="0.2">
      <c r="A574" s="4957">
        <v>277</v>
      </c>
      <c r="B574" s="4954" t="s">
        <v>131</v>
      </c>
      <c r="C574" s="4992" t="s">
        <v>2849</v>
      </c>
      <c r="D574" s="4951">
        <v>200000000</v>
      </c>
      <c r="E574" s="4960">
        <v>0.05</v>
      </c>
      <c r="F574" s="4951">
        <f t="shared" si="51"/>
        <v>10000000</v>
      </c>
      <c r="G574" s="4951">
        <v>10000000</v>
      </c>
      <c r="H574" s="4951" t="s">
        <v>7065</v>
      </c>
      <c r="I574" s="5070" t="s">
        <v>3726</v>
      </c>
      <c r="J574" s="4951">
        <f>G574</f>
        <v>10000000</v>
      </c>
      <c r="K574" s="4951">
        <f>F574-J574</f>
        <v>0</v>
      </c>
      <c r="L574" s="4954"/>
    </row>
    <row r="575" spans="1:12" s="1539" customFormat="1" ht="30" customHeight="1" x14ac:dyDescent="0.2">
      <c r="A575" s="4957">
        <v>278</v>
      </c>
      <c r="B575" s="19" t="s">
        <v>620</v>
      </c>
      <c r="C575" s="5016" t="s">
        <v>3007</v>
      </c>
      <c r="D575" s="4944">
        <v>30000000</v>
      </c>
      <c r="E575" s="5011">
        <v>4.4999999999999998E-2</v>
      </c>
      <c r="F575" s="4944">
        <f t="shared" si="51"/>
        <v>1350000</v>
      </c>
      <c r="G575" s="4944">
        <v>1350000</v>
      </c>
      <c r="H575" s="4944" t="s">
        <v>3116</v>
      </c>
      <c r="I575" s="5020" t="s">
        <v>2066</v>
      </c>
      <c r="J575" s="4944">
        <f>G575</f>
        <v>1350000</v>
      </c>
      <c r="K575" s="4944">
        <f>F575-J575</f>
        <v>0</v>
      </c>
      <c r="L575" s="5021"/>
    </row>
    <row r="576" spans="1:12" ht="30" customHeight="1" x14ac:dyDescent="0.2">
      <c r="A576" s="5014">
        <v>279</v>
      </c>
      <c r="B576" s="4968" t="s">
        <v>132</v>
      </c>
      <c r="C576" s="4990" t="s">
        <v>402</v>
      </c>
      <c r="D576" s="4952">
        <v>11000000</v>
      </c>
      <c r="E576" s="5011">
        <v>4.4999999999999998E-2</v>
      </c>
      <c r="F576" s="4952">
        <v>500000</v>
      </c>
      <c r="G576" s="4952">
        <v>500000</v>
      </c>
      <c r="H576" s="4952" t="s">
        <v>6828</v>
      </c>
      <c r="I576" s="5071" t="s">
        <v>5587</v>
      </c>
      <c r="J576" s="4952">
        <f t="shared" ref="J576:J592" si="52">G576</f>
        <v>500000</v>
      </c>
      <c r="K576" s="4952">
        <f t="shared" ref="K576:K592" si="53">F576-J576</f>
        <v>0</v>
      </c>
      <c r="L576" s="5079" t="s">
        <v>6246</v>
      </c>
    </row>
    <row r="577" spans="1:12" ht="30" customHeight="1" x14ac:dyDescent="0.2">
      <c r="A577" s="5014">
        <v>280</v>
      </c>
      <c r="B577" s="5017" t="s">
        <v>458</v>
      </c>
      <c r="C577" s="4990" t="s">
        <v>1107</v>
      </c>
      <c r="D577" s="4944">
        <v>20000000</v>
      </c>
      <c r="E577" s="5011">
        <v>0.05</v>
      </c>
      <c r="F577" s="4944">
        <f t="shared" si="51"/>
        <v>1000000</v>
      </c>
      <c r="G577" s="4944">
        <v>1000000</v>
      </c>
      <c r="H577" s="4944" t="s">
        <v>7252</v>
      </c>
      <c r="I577" s="4944" t="s">
        <v>3756</v>
      </c>
      <c r="J577" s="4944">
        <f t="shared" si="52"/>
        <v>1000000</v>
      </c>
      <c r="K577" s="4944">
        <f t="shared" si="53"/>
        <v>0</v>
      </c>
      <c r="L577" s="5048"/>
    </row>
    <row r="578" spans="1:12" ht="30" customHeight="1" x14ac:dyDescent="0.2">
      <c r="A578" s="4959">
        <v>281</v>
      </c>
      <c r="B578" s="5017" t="s">
        <v>133</v>
      </c>
      <c r="C578" s="4990" t="s">
        <v>1290</v>
      </c>
      <c r="D578" s="4952">
        <v>40000000</v>
      </c>
      <c r="E578" s="4962">
        <v>0.05</v>
      </c>
      <c r="F578" s="4952">
        <f t="shared" si="51"/>
        <v>2000000</v>
      </c>
      <c r="G578" s="4952">
        <v>2000000</v>
      </c>
      <c r="H578" s="4952" t="s">
        <v>7065</v>
      </c>
      <c r="I578" s="4952" t="s">
        <v>635</v>
      </c>
      <c r="J578" s="4952">
        <f t="shared" si="52"/>
        <v>2000000</v>
      </c>
      <c r="K578" s="4952">
        <f t="shared" si="53"/>
        <v>0</v>
      </c>
      <c r="L578" s="4968"/>
    </row>
    <row r="579" spans="1:12" ht="30" customHeight="1" x14ac:dyDescent="0.2">
      <c r="A579" s="5014">
        <v>282</v>
      </c>
      <c r="B579" s="4968" t="s">
        <v>1024</v>
      </c>
      <c r="C579" s="4990" t="s">
        <v>371</v>
      </c>
      <c r="D579" s="4952">
        <v>20000000</v>
      </c>
      <c r="E579" s="5011">
        <v>0.04</v>
      </c>
      <c r="F579" s="4952">
        <f t="shared" si="51"/>
        <v>800000</v>
      </c>
      <c r="G579" s="4952">
        <v>800000</v>
      </c>
      <c r="H579" s="4952" t="s">
        <v>7065</v>
      </c>
      <c r="I579" s="4952" t="s">
        <v>2453</v>
      </c>
      <c r="J579" s="4952">
        <f t="shared" si="52"/>
        <v>800000</v>
      </c>
      <c r="K579" s="4952">
        <f t="shared" si="53"/>
        <v>0</v>
      </c>
      <c r="L579" s="4968"/>
    </row>
    <row r="580" spans="1:12" ht="30" customHeight="1" x14ac:dyDescent="0.2">
      <c r="A580" s="7879"/>
      <c r="B580" s="7652" t="s">
        <v>134</v>
      </c>
      <c r="C580" s="7723" t="s">
        <v>1294</v>
      </c>
      <c r="D580" s="4952">
        <v>50111000</v>
      </c>
      <c r="E580" s="4962">
        <v>0.05</v>
      </c>
      <c r="F580" s="4952">
        <f>D580*E580</f>
        <v>2505550</v>
      </c>
      <c r="G580" s="7625">
        <v>4294250</v>
      </c>
      <c r="H580" s="7677" t="s">
        <v>3116</v>
      </c>
      <c r="I580" s="7677" t="s">
        <v>5758</v>
      </c>
      <c r="J580" s="7625">
        <f>G580</f>
        <v>4294250</v>
      </c>
      <c r="K580" s="7625">
        <f>F591-J580</f>
        <v>0</v>
      </c>
      <c r="L580" s="5079"/>
    </row>
    <row r="581" spans="1:12" ht="30" customHeight="1" x14ac:dyDescent="0.2">
      <c r="A581" s="7879"/>
      <c r="B581" s="7665"/>
      <c r="C581" s="7747"/>
      <c r="D581" s="4952">
        <v>3230000</v>
      </c>
      <c r="E581" s="4962">
        <v>0.05</v>
      </c>
      <c r="F581" s="4952">
        <f>D581*E581</f>
        <v>161500</v>
      </c>
      <c r="G581" s="7625"/>
      <c r="H581" s="7690"/>
      <c r="I581" s="7690"/>
      <c r="J581" s="7625"/>
      <c r="K581" s="7625"/>
      <c r="L581" s="5079" t="s">
        <v>4497</v>
      </c>
    </row>
    <row r="582" spans="1:12" ht="30" customHeight="1" x14ac:dyDescent="0.2">
      <c r="A582" s="7879"/>
      <c r="B582" s="7665"/>
      <c r="C582" s="7747"/>
      <c r="D582" s="5057">
        <f>D580+D581</f>
        <v>53341000</v>
      </c>
      <c r="E582" s="5059">
        <v>0.05</v>
      </c>
      <c r="F582" s="5057">
        <f>D582*E582</f>
        <v>2667050</v>
      </c>
      <c r="G582" s="7625"/>
      <c r="H582" s="7690"/>
      <c r="I582" s="7690"/>
      <c r="J582" s="7625"/>
      <c r="K582" s="7625"/>
      <c r="L582" s="5079"/>
    </row>
    <row r="583" spans="1:12" ht="30" customHeight="1" x14ac:dyDescent="0.2">
      <c r="A583" s="7879"/>
      <c r="B583" s="7665"/>
      <c r="C583" s="7747"/>
      <c r="D583" s="4952">
        <v>4473000</v>
      </c>
      <c r="E583" s="4962">
        <v>0.05</v>
      </c>
      <c r="F583" s="4952">
        <f>D583*E583</f>
        <v>223650</v>
      </c>
      <c r="G583" s="7625"/>
      <c r="H583" s="7690"/>
      <c r="I583" s="7690"/>
      <c r="J583" s="7625"/>
      <c r="K583" s="7625"/>
      <c r="L583" s="5079" t="s">
        <v>5152</v>
      </c>
    </row>
    <row r="584" spans="1:12" ht="30" customHeight="1" x14ac:dyDescent="0.2">
      <c r="A584" s="7879"/>
      <c r="B584" s="7665"/>
      <c r="C584" s="7747"/>
      <c r="D584" s="4952">
        <v>10000000</v>
      </c>
      <c r="E584" s="4962">
        <v>0.05</v>
      </c>
      <c r="F584" s="4952">
        <f t="shared" ref="F584:F585" si="54">D584*E584</f>
        <v>500000</v>
      </c>
      <c r="G584" s="7625"/>
      <c r="H584" s="7690"/>
      <c r="I584" s="7690"/>
      <c r="J584" s="7625"/>
      <c r="K584" s="7625"/>
      <c r="L584" s="5079" t="s">
        <v>5153</v>
      </c>
    </row>
    <row r="585" spans="1:12" ht="30" customHeight="1" x14ac:dyDescent="0.2">
      <c r="A585" s="7879"/>
      <c r="B585" s="7665"/>
      <c r="C585" s="7747"/>
      <c r="D585" s="4952">
        <v>10000000</v>
      </c>
      <c r="E585" s="4962">
        <v>0.05</v>
      </c>
      <c r="F585" s="4952">
        <f t="shared" si="54"/>
        <v>500000</v>
      </c>
      <c r="G585" s="7625"/>
      <c r="H585" s="7690"/>
      <c r="I585" s="7690"/>
      <c r="J585" s="7625"/>
      <c r="K585" s="7625"/>
      <c r="L585" s="5079" t="s">
        <v>5240</v>
      </c>
    </row>
    <row r="586" spans="1:12" ht="30" customHeight="1" x14ac:dyDescent="0.2">
      <c r="A586" s="7879"/>
      <c r="B586" s="7665"/>
      <c r="C586" s="7747"/>
      <c r="D586" s="5057">
        <f>D582+D583+D584+D585</f>
        <v>77814000</v>
      </c>
      <c r="E586" s="5059">
        <v>0.05</v>
      </c>
      <c r="F586" s="5057">
        <f>D586*E586</f>
        <v>3890700</v>
      </c>
      <c r="G586" s="7625"/>
      <c r="H586" s="7678"/>
      <c r="I586" s="7678"/>
      <c r="J586" s="7625"/>
      <c r="K586" s="7625"/>
      <c r="L586" s="5079" t="s">
        <v>5208</v>
      </c>
    </row>
    <row r="587" spans="1:12" ht="30" customHeight="1" x14ac:dyDescent="0.2">
      <c r="A587" s="7879"/>
      <c r="B587" s="7665"/>
      <c r="C587" s="7747"/>
      <c r="D587" s="4952">
        <v>2000000</v>
      </c>
      <c r="E587" s="4962">
        <v>0.05</v>
      </c>
      <c r="F587" s="4952">
        <f>D587*E587</f>
        <v>100000</v>
      </c>
      <c r="G587" s="7563">
        <v>4294250</v>
      </c>
      <c r="H587" s="7563" t="s">
        <v>7067</v>
      </c>
      <c r="I587" s="7563" t="s">
        <v>5758</v>
      </c>
      <c r="J587" s="7563">
        <f>G587</f>
        <v>4294250</v>
      </c>
      <c r="K587" s="7563">
        <f>F591-J587</f>
        <v>0</v>
      </c>
      <c r="L587" s="5079" t="s">
        <v>5864</v>
      </c>
    </row>
    <row r="588" spans="1:12" ht="30" customHeight="1" x14ac:dyDescent="0.2">
      <c r="A588" s="7879"/>
      <c r="B588" s="7665"/>
      <c r="C588" s="7747"/>
      <c r="D588" s="4952">
        <v>3341000</v>
      </c>
      <c r="E588" s="4962">
        <v>0.05</v>
      </c>
      <c r="F588" s="4952">
        <f>D588*E588</f>
        <v>167050</v>
      </c>
      <c r="G588" s="7586"/>
      <c r="H588" s="7586"/>
      <c r="I588" s="7586"/>
      <c r="J588" s="7586"/>
      <c r="K588" s="7586"/>
      <c r="L588" s="5079" t="s">
        <v>5867</v>
      </c>
    </row>
    <row r="589" spans="1:12" ht="30" customHeight="1" x14ac:dyDescent="0.2">
      <c r="A589" s="7879"/>
      <c r="B589" s="7665"/>
      <c r="C589" s="7747"/>
      <c r="D589" s="5057">
        <f>SUM(D586:D588)</f>
        <v>83155000</v>
      </c>
      <c r="E589" s="5059">
        <v>0.05</v>
      </c>
      <c r="F589" s="5057">
        <f>SUM(F586:F588)</f>
        <v>4157750</v>
      </c>
      <c r="G589" s="7586"/>
      <c r="H589" s="7586"/>
      <c r="I589" s="7586"/>
      <c r="J589" s="7586"/>
      <c r="K589" s="7586"/>
      <c r="L589" s="5079" t="s">
        <v>5865</v>
      </c>
    </row>
    <row r="590" spans="1:12" ht="30" customHeight="1" x14ac:dyDescent="0.2">
      <c r="A590" s="7879"/>
      <c r="B590" s="7665"/>
      <c r="C590" s="7747"/>
      <c r="D590" s="5222">
        <v>2730000</v>
      </c>
      <c r="E590" s="300">
        <v>0.05</v>
      </c>
      <c r="F590" s="5222">
        <f>D590*E590</f>
        <v>136500</v>
      </c>
      <c r="G590" s="7586"/>
      <c r="H590" s="7586"/>
      <c r="I590" s="7586"/>
      <c r="J590" s="7586"/>
      <c r="K590" s="7586"/>
      <c r="L590" s="5229" t="s">
        <v>6862</v>
      </c>
    </row>
    <row r="591" spans="1:12" ht="30" customHeight="1" x14ac:dyDescent="0.2">
      <c r="A591" s="7879"/>
      <c r="B591" s="7653"/>
      <c r="C591" s="7724"/>
      <c r="D591" s="5226">
        <f>D589+D590</f>
        <v>85885000</v>
      </c>
      <c r="E591" s="5227">
        <v>0.05</v>
      </c>
      <c r="F591" s="5226">
        <f>D591*E591</f>
        <v>4294250</v>
      </c>
      <c r="G591" s="7564"/>
      <c r="H591" s="7564"/>
      <c r="I591" s="7564"/>
      <c r="J591" s="7564"/>
      <c r="K591" s="7564"/>
      <c r="L591" s="5229" t="s">
        <v>6249</v>
      </c>
    </row>
    <row r="592" spans="1:12" ht="30" customHeight="1" x14ac:dyDescent="0.2">
      <c r="A592" s="4958"/>
      <c r="B592" s="4968" t="s">
        <v>4246</v>
      </c>
      <c r="C592" s="4989" t="s">
        <v>889</v>
      </c>
      <c r="D592" s="4952">
        <v>67000000</v>
      </c>
      <c r="E592" s="4962">
        <v>0.05</v>
      </c>
      <c r="F592" s="4952">
        <f>D592*E592</f>
        <v>3350000</v>
      </c>
      <c r="G592" s="4944">
        <v>3350000</v>
      </c>
      <c r="H592" s="4944" t="s">
        <v>6828</v>
      </c>
      <c r="I592" s="4944" t="s">
        <v>4865</v>
      </c>
      <c r="J592" s="4944">
        <f t="shared" si="52"/>
        <v>3350000</v>
      </c>
      <c r="K592" s="4950">
        <f t="shared" si="53"/>
        <v>0</v>
      </c>
      <c r="L592" s="5079" t="s">
        <v>4247</v>
      </c>
    </row>
    <row r="593" spans="1:13" ht="30" customHeight="1" x14ac:dyDescent="0.2">
      <c r="A593" s="7654"/>
      <c r="B593" s="7652" t="s">
        <v>1158</v>
      </c>
      <c r="C593" s="7723" t="s">
        <v>371</v>
      </c>
      <c r="D593" s="3608">
        <v>100000000</v>
      </c>
      <c r="E593" s="3609">
        <v>4.4999999999999998E-2</v>
      </c>
      <c r="F593" s="3608">
        <f t="shared" si="51"/>
        <v>4500000</v>
      </c>
      <c r="G593" s="4944"/>
      <c r="H593" s="4944"/>
      <c r="I593" s="4944" t="s">
        <v>2219</v>
      </c>
      <c r="J593" s="4944">
        <f>G593</f>
        <v>0</v>
      </c>
      <c r="K593" s="227"/>
      <c r="L593" s="5079" t="s">
        <v>5342</v>
      </c>
      <c r="M593" t="s">
        <v>5056</v>
      </c>
    </row>
    <row r="594" spans="1:13" ht="30" customHeight="1" x14ac:dyDescent="0.2">
      <c r="A594" s="7656"/>
      <c r="B594" s="7665"/>
      <c r="C594" s="7747"/>
      <c r="D594" s="5034">
        <v>75000000</v>
      </c>
      <c r="E594" s="1929">
        <v>0.05</v>
      </c>
      <c r="F594" s="1542">
        <f t="shared" si="51"/>
        <v>3750000</v>
      </c>
      <c r="G594" s="7482">
        <v>10250000</v>
      </c>
      <c r="H594" s="7482" t="s">
        <v>7020</v>
      </c>
      <c r="I594" s="7482" t="s">
        <v>2219</v>
      </c>
      <c r="J594" s="7482">
        <f>G594</f>
        <v>10250000</v>
      </c>
      <c r="K594" s="7482">
        <f>F598-J594</f>
        <v>0</v>
      </c>
      <c r="L594" s="5079" t="s">
        <v>5343</v>
      </c>
    </row>
    <row r="595" spans="1:13" ht="30" customHeight="1" x14ac:dyDescent="0.2">
      <c r="A595" s="7656"/>
      <c r="B595" s="7665"/>
      <c r="C595" s="7747"/>
      <c r="D595" s="5034">
        <v>60000000</v>
      </c>
      <c r="E595" s="1929">
        <v>0.05</v>
      </c>
      <c r="F595" s="1542">
        <f t="shared" si="51"/>
        <v>3000000</v>
      </c>
      <c r="G595" s="7482"/>
      <c r="H595" s="7482"/>
      <c r="I595" s="7482"/>
      <c r="J595" s="7482"/>
      <c r="K595" s="7482"/>
      <c r="L595" s="8304" t="s">
        <v>5058</v>
      </c>
    </row>
    <row r="596" spans="1:13" ht="30" customHeight="1" x14ac:dyDescent="0.2">
      <c r="A596" s="7656"/>
      <c r="B596" s="7665"/>
      <c r="C596" s="7747"/>
      <c r="D596" s="5034">
        <v>30000000</v>
      </c>
      <c r="E596" s="1929">
        <v>0.05</v>
      </c>
      <c r="F596" s="1542">
        <f t="shared" si="51"/>
        <v>1500000</v>
      </c>
      <c r="G596" s="7482"/>
      <c r="H596" s="7482"/>
      <c r="I596" s="7482"/>
      <c r="J596" s="7482"/>
      <c r="K596" s="7482"/>
      <c r="L596" s="8305"/>
    </row>
    <row r="597" spans="1:13" ht="30" customHeight="1" x14ac:dyDescent="0.2">
      <c r="A597" s="7656"/>
      <c r="B597" s="7665"/>
      <c r="C597" s="7747"/>
      <c r="D597" s="5034">
        <v>40000000</v>
      </c>
      <c r="E597" s="1929">
        <v>0.05</v>
      </c>
      <c r="F597" s="1542">
        <f t="shared" si="51"/>
        <v>2000000</v>
      </c>
      <c r="G597" s="7482"/>
      <c r="H597" s="7482"/>
      <c r="I597" s="7482"/>
      <c r="J597" s="7482"/>
      <c r="K597" s="7482"/>
      <c r="L597" s="8305"/>
    </row>
    <row r="598" spans="1:13" ht="30" customHeight="1" x14ac:dyDescent="0.2">
      <c r="A598" s="7656"/>
      <c r="B598" s="7665"/>
      <c r="C598" s="7747"/>
      <c r="D598" s="5034">
        <f>SUM(D594:D597)</f>
        <v>205000000</v>
      </c>
      <c r="E598" s="1929">
        <v>0.05</v>
      </c>
      <c r="F598" s="1542">
        <f>D598*E598</f>
        <v>10250000</v>
      </c>
      <c r="G598" s="7482"/>
      <c r="H598" s="7482"/>
      <c r="I598" s="7482"/>
      <c r="J598" s="7482"/>
      <c r="K598" s="7482"/>
      <c r="L598" s="8306"/>
    </row>
    <row r="599" spans="1:13" ht="30" customHeight="1" x14ac:dyDescent="0.2">
      <c r="A599" s="7656"/>
      <c r="B599" s="7665"/>
      <c r="C599" s="7747"/>
      <c r="D599" s="8235" t="s">
        <v>6941</v>
      </c>
      <c r="E599" s="8236"/>
      <c r="F599" s="8237"/>
      <c r="G599" s="5302"/>
      <c r="H599" s="5302"/>
      <c r="I599" s="5302"/>
      <c r="J599" s="5302"/>
      <c r="K599" s="5302"/>
      <c r="L599" s="5316" t="s">
        <v>6942</v>
      </c>
    </row>
    <row r="600" spans="1:13" ht="30" customHeight="1" x14ac:dyDescent="0.2">
      <c r="A600" s="7655"/>
      <c r="B600" s="7653"/>
      <c r="C600" s="7724"/>
      <c r="D600" s="5344">
        <v>195000000</v>
      </c>
      <c r="E600" s="5345">
        <v>0.05</v>
      </c>
      <c r="F600" s="5344">
        <f>D600*E600</f>
        <v>9750000</v>
      </c>
      <c r="G600" s="5302"/>
      <c r="H600" s="5302"/>
      <c r="I600" s="5302"/>
      <c r="J600" s="5302"/>
      <c r="K600" s="5302"/>
      <c r="L600" s="5316"/>
    </row>
    <row r="601" spans="1:13" ht="30" customHeight="1" x14ac:dyDescent="0.2">
      <c r="A601" s="4957">
        <v>286</v>
      </c>
      <c r="B601" s="5017" t="s">
        <v>1622</v>
      </c>
      <c r="C601" s="5016"/>
      <c r="D601" s="4944">
        <v>35000000</v>
      </c>
      <c r="E601" s="1027">
        <v>0.05</v>
      </c>
      <c r="F601" s="4944">
        <v>1700000</v>
      </c>
      <c r="G601" s="4944">
        <v>1700000</v>
      </c>
      <c r="H601" s="4944" t="s">
        <v>6828</v>
      </c>
      <c r="I601" s="18" t="s">
        <v>307</v>
      </c>
      <c r="J601" s="4944">
        <f>G601</f>
        <v>1700000</v>
      </c>
      <c r="K601" s="4944">
        <f>F601-J601</f>
        <v>0</v>
      </c>
      <c r="L601" s="5003"/>
    </row>
    <row r="602" spans="1:13" ht="30" customHeight="1" x14ac:dyDescent="0.2">
      <c r="A602" s="7654">
        <v>287</v>
      </c>
      <c r="B602" s="7652" t="s">
        <v>137</v>
      </c>
      <c r="C602" s="7723" t="s">
        <v>1294</v>
      </c>
      <c r="D602" s="4952">
        <v>15000000</v>
      </c>
      <c r="E602" s="4962">
        <v>0.05</v>
      </c>
      <c r="F602" s="4952">
        <f t="shared" si="51"/>
        <v>750000</v>
      </c>
      <c r="G602" s="7563"/>
      <c r="H602" s="7563"/>
      <c r="I602" s="7561" t="s">
        <v>5121</v>
      </c>
      <c r="J602" s="7563">
        <f>G602+G603</f>
        <v>0</v>
      </c>
      <c r="K602" s="7563">
        <f>(F602+F603)-J602</f>
        <v>3000000</v>
      </c>
      <c r="L602" s="7657"/>
    </row>
    <row r="603" spans="1:13" ht="30" customHeight="1" x14ac:dyDescent="0.2">
      <c r="A603" s="7655"/>
      <c r="B603" s="7653"/>
      <c r="C603" s="7724"/>
      <c r="D603" s="4952">
        <v>45000000</v>
      </c>
      <c r="E603" s="4962">
        <v>0.05</v>
      </c>
      <c r="F603" s="4952">
        <f t="shared" si="51"/>
        <v>2250000</v>
      </c>
      <c r="G603" s="7564"/>
      <c r="H603" s="7564"/>
      <c r="I603" s="7562"/>
      <c r="J603" s="7564"/>
      <c r="K603" s="7564"/>
      <c r="L603" s="7658"/>
    </row>
    <row r="604" spans="1:13" ht="30" customHeight="1" x14ac:dyDescent="0.2">
      <c r="A604" s="5014">
        <v>289</v>
      </c>
      <c r="B604" s="4968" t="s">
        <v>637</v>
      </c>
      <c r="C604" s="4990" t="s">
        <v>1299</v>
      </c>
      <c r="D604" s="4952">
        <v>25000000</v>
      </c>
      <c r="E604" s="5011">
        <v>0.06</v>
      </c>
      <c r="F604" s="4952">
        <f t="shared" si="51"/>
        <v>1500000</v>
      </c>
      <c r="G604" s="4952">
        <v>1500000</v>
      </c>
      <c r="H604" s="4952" t="s">
        <v>7095</v>
      </c>
      <c r="I604" s="18" t="s">
        <v>4554</v>
      </c>
      <c r="J604" s="4952">
        <f t="shared" ref="J604:J615" si="55">G604</f>
        <v>1500000</v>
      </c>
      <c r="K604" s="4952">
        <f t="shared" ref="K604:K615" si="56">F604-J604</f>
        <v>0</v>
      </c>
      <c r="L604" s="4968"/>
    </row>
    <row r="605" spans="1:13" ht="30" customHeight="1" x14ac:dyDescent="0.2">
      <c r="A605" s="4957">
        <v>290</v>
      </c>
      <c r="B605" s="5017" t="s">
        <v>3848</v>
      </c>
      <c r="C605" s="4990" t="s">
        <v>1288</v>
      </c>
      <c r="D605" s="4952">
        <v>1150000000</v>
      </c>
      <c r="E605" s="5011">
        <v>7.0000000000000007E-2</v>
      </c>
      <c r="F605" s="4952">
        <f>D605*E605</f>
        <v>80500000.000000015</v>
      </c>
      <c r="G605" s="4944"/>
      <c r="H605" s="4944"/>
      <c r="I605" s="4944" t="s">
        <v>4095</v>
      </c>
      <c r="J605" s="4944">
        <f>G605</f>
        <v>0</v>
      </c>
      <c r="K605" s="4952">
        <f t="shared" si="56"/>
        <v>80500000.000000015</v>
      </c>
      <c r="L605" s="5021" t="s">
        <v>3859</v>
      </c>
    </row>
    <row r="606" spans="1:13" ht="30" customHeight="1" x14ac:dyDescent="0.2">
      <c r="A606" s="7654">
        <v>292</v>
      </c>
      <c r="B606" s="7652" t="s">
        <v>140</v>
      </c>
      <c r="C606" s="7723" t="s">
        <v>371</v>
      </c>
      <c r="D606" s="4952">
        <v>100000000</v>
      </c>
      <c r="E606" s="5011">
        <v>0.05</v>
      </c>
      <c r="F606" s="4952">
        <f t="shared" si="51"/>
        <v>5000000</v>
      </c>
      <c r="G606" s="7563">
        <v>28000000</v>
      </c>
      <c r="H606" s="7563" t="s">
        <v>3075</v>
      </c>
      <c r="I606" s="7772" t="s">
        <v>4552</v>
      </c>
      <c r="J606" s="7563">
        <f>G606</f>
        <v>28000000</v>
      </c>
      <c r="K606" s="7563">
        <f>F609-J606</f>
        <v>0</v>
      </c>
      <c r="L606" s="4968"/>
    </row>
    <row r="607" spans="1:13" ht="30" customHeight="1" x14ac:dyDescent="0.2">
      <c r="A607" s="7656"/>
      <c r="B607" s="7665"/>
      <c r="C607" s="7747"/>
      <c r="D607" s="4952">
        <v>5000000</v>
      </c>
      <c r="E607" s="5011">
        <v>0.05</v>
      </c>
      <c r="F607" s="4952">
        <f t="shared" si="51"/>
        <v>250000</v>
      </c>
      <c r="G607" s="7586"/>
      <c r="H607" s="7586"/>
      <c r="I607" s="8185"/>
      <c r="J607" s="7586"/>
      <c r="K607" s="7586"/>
      <c r="L607" s="4968"/>
    </row>
    <row r="608" spans="1:13" ht="30" customHeight="1" x14ac:dyDescent="0.2">
      <c r="A608" s="7656"/>
      <c r="B608" s="7665"/>
      <c r="C608" s="7747"/>
      <c r="D608" s="4952">
        <v>295000000</v>
      </c>
      <c r="E608" s="5011">
        <v>0.05</v>
      </c>
      <c r="F608" s="4952">
        <f t="shared" si="51"/>
        <v>14750000</v>
      </c>
      <c r="G608" s="7586"/>
      <c r="H608" s="7586"/>
      <c r="I608" s="8185"/>
      <c r="J608" s="7586"/>
      <c r="K608" s="7586"/>
      <c r="L608" s="5021" t="s">
        <v>5629</v>
      </c>
    </row>
    <row r="609" spans="1:12" ht="30" customHeight="1" x14ac:dyDescent="0.2">
      <c r="A609" s="7655"/>
      <c r="B609" s="7653"/>
      <c r="C609" s="7724"/>
      <c r="D609" s="5057">
        <f>SUM(D606:D608)</f>
        <v>400000000</v>
      </c>
      <c r="E609" s="896">
        <v>7.0000000000000007E-2</v>
      </c>
      <c r="F609" s="5057">
        <f>D609*E609</f>
        <v>28000000.000000004</v>
      </c>
      <c r="G609" s="7564"/>
      <c r="H609" s="7564"/>
      <c r="I609" s="7773"/>
      <c r="J609" s="7564"/>
      <c r="K609" s="7564"/>
      <c r="L609" s="5021" t="s">
        <v>5533</v>
      </c>
    </row>
    <row r="610" spans="1:12" ht="30" customHeight="1" x14ac:dyDescent="0.2">
      <c r="A610" s="7654">
        <v>293</v>
      </c>
      <c r="B610" s="7652" t="s">
        <v>141</v>
      </c>
      <c r="C610" s="7723" t="s">
        <v>1299</v>
      </c>
      <c r="D610" s="4952">
        <v>75000000</v>
      </c>
      <c r="E610" s="5011">
        <v>0.05</v>
      </c>
      <c r="F610" s="4952">
        <f>D610*E610</f>
        <v>3750000</v>
      </c>
      <c r="G610" s="7563">
        <v>5000000</v>
      </c>
      <c r="H610" s="7563" t="s">
        <v>7198</v>
      </c>
      <c r="I610" s="7772" t="s">
        <v>2181</v>
      </c>
      <c r="J610" s="7563">
        <f t="shared" si="55"/>
        <v>5000000</v>
      </c>
      <c r="K610" s="7563">
        <f>F614-J610</f>
        <v>0</v>
      </c>
      <c r="L610" s="5021" t="s">
        <v>6118</v>
      </c>
    </row>
    <row r="611" spans="1:12" ht="30" customHeight="1" x14ac:dyDescent="0.2">
      <c r="A611" s="7656"/>
      <c r="B611" s="7665"/>
      <c r="C611" s="7747"/>
      <c r="D611" s="7563">
        <v>25000000</v>
      </c>
      <c r="E611" s="7659">
        <v>0.05</v>
      </c>
      <c r="F611" s="7563">
        <f>D611*E611</f>
        <v>1250000</v>
      </c>
      <c r="G611" s="7586"/>
      <c r="H611" s="7586"/>
      <c r="I611" s="8185"/>
      <c r="J611" s="7586"/>
      <c r="K611" s="7586"/>
      <c r="L611" s="345" t="s">
        <v>6098</v>
      </c>
    </row>
    <row r="612" spans="1:12" ht="30" customHeight="1" x14ac:dyDescent="0.2">
      <c r="A612" s="7656"/>
      <c r="B612" s="7665"/>
      <c r="C612" s="7747"/>
      <c r="D612" s="7586"/>
      <c r="E612" s="7676"/>
      <c r="F612" s="7586"/>
      <c r="G612" s="7586"/>
      <c r="H612" s="7586"/>
      <c r="I612" s="8185"/>
      <c r="J612" s="7586"/>
      <c r="K612" s="7586"/>
      <c r="L612" s="735" t="s">
        <v>6099</v>
      </c>
    </row>
    <row r="613" spans="1:12" ht="30" customHeight="1" x14ac:dyDescent="0.2">
      <c r="A613" s="7656"/>
      <c r="B613" s="7665"/>
      <c r="C613" s="7747"/>
      <c r="D613" s="7564"/>
      <c r="E613" s="7660"/>
      <c r="F613" s="7564"/>
      <c r="G613" s="7586"/>
      <c r="H613" s="7586"/>
      <c r="I613" s="8185"/>
      <c r="J613" s="7586"/>
      <c r="K613" s="7586"/>
      <c r="L613" s="710" t="s">
        <v>6100</v>
      </c>
    </row>
    <row r="614" spans="1:12" ht="30" customHeight="1" x14ac:dyDescent="0.2">
      <c r="A614" s="7655"/>
      <c r="B614" s="7653"/>
      <c r="C614" s="7724"/>
      <c r="D614" s="5057">
        <v>100000000</v>
      </c>
      <c r="E614" s="896">
        <v>0.05</v>
      </c>
      <c r="F614" s="5057">
        <f>D614*E614</f>
        <v>5000000</v>
      </c>
      <c r="G614" s="7564"/>
      <c r="H614" s="7564"/>
      <c r="I614" s="7773"/>
      <c r="J614" s="7564"/>
      <c r="K614" s="7564"/>
      <c r="L614" s="5021" t="s">
        <v>5973</v>
      </c>
    </row>
    <row r="615" spans="1:12" ht="30" customHeight="1" x14ac:dyDescent="0.2">
      <c r="A615" s="4970">
        <v>295</v>
      </c>
      <c r="B615" s="5017" t="s">
        <v>142</v>
      </c>
      <c r="C615" s="4989" t="s">
        <v>1299</v>
      </c>
      <c r="D615" s="4952">
        <v>100000000</v>
      </c>
      <c r="E615" s="5011">
        <v>0.05</v>
      </c>
      <c r="F615" s="4952">
        <f t="shared" si="51"/>
        <v>5000000</v>
      </c>
      <c r="G615" s="4944"/>
      <c r="H615" s="4944"/>
      <c r="I615" s="4944" t="s">
        <v>5203</v>
      </c>
      <c r="J615" s="4944">
        <f t="shared" si="55"/>
        <v>0</v>
      </c>
      <c r="K615" s="4944">
        <f t="shared" si="56"/>
        <v>5000000</v>
      </c>
      <c r="L615" s="5021" t="s">
        <v>5748</v>
      </c>
    </row>
    <row r="616" spans="1:12" ht="30" customHeight="1" x14ac:dyDescent="0.2">
      <c r="A616" s="7654"/>
      <c r="B616" s="7652" t="s">
        <v>4556</v>
      </c>
      <c r="C616" s="7723" t="s">
        <v>1299</v>
      </c>
      <c r="D616" s="4952">
        <v>10000000</v>
      </c>
      <c r="E616" s="5011">
        <v>0.05</v>
      </c>
      <c r="F616" s="4952">
        <f t="shared" si="51"/>
        <v>500000</v>
      </c>
      <c r="G616" s="7563">
        <v>2700000</v>
      </c>
      <c r="H616" s="7563" t="s">
        <v>7168</v>
      </c>
      <c r="I616" s="7563" t="s">
        <v>4558</v>
      </c>
      <c r="J616" s="7563">
        <f>G616</f>
        <v>2700000</v>
      </c>
      <c r="K616" s="7563">
        <f>F621-J616</f>
        <v>0</v>
      </c>
      <c r="L616" s="5021" t="s">
        <v>5747</v>
      </c>
    </row>
    <row r="617" spans="1:12" ht="30" customHeight="1" x14ac:dyDescent="0.2">
      <c r="A617" s="7656"/>
      <c r="B617" s="7665"/>
      <c r="C617" s="7747"/>
      <c r="D617" s="4999">
        <v>10000000</v>
      </c>
      <c r="E617" s="4962">
        <v>0.06</v>
      </c>
      <c r="F617" s="5000">
        <f t="shared" si="51"/>
        <v>600000</v>
      </c>
      <c r="G617" s="7586"/>
      <c r="H617" s="7586"/>
      <c r="I617" s="7586"/>
      <c r="J617" s="7586"/>
      <c r="K617" s="7586"/>
      <c r="L617" s="5459" t="s">
        <v>4557</v>
      </c>
    </row>
    <row r="618" spans="1:12" ht="30" customHeight="1" x14ac:dyDescent="0.2">
      <c r="A618" s="7656"/>
      <c r="B618" s="7665"/>
      <c r="C618" s="7747"/>
      <c r="D618" s="4999">
        <v>10000000</v>
      </c>
      <c r="E618" s="4962">
        <v>0.06</v>
      </c>
      <c r="F618" s="5000">
        <f t="shared" si="51"/>
        <v>600000</v>
      </c>
      <c r="G618" s="7586"/>
      <c r="H618" s="7586"/>
      <c r="I618" s="7586"/>
      <c r="J618" s="7586"/>
      <c r="K618" s="7586"/>
      <c r="L618" s="5028" t="s">
        <v>4760</v>
      </c>
    </row>
    <row r="619" spans="1:12" ht="30" customHeight="1" x14ac:dyDescent="0.2">
      <c r="A619" s="7656"/>
      <c r="B619" s="7665"/>
      <c r="C619" s="7747"/>
      <c r="D619" s="4999">
        <v>7000000</v>
      </c>
      <c r="E619" s="4962">
        <v>0.06</v>
      </c>
      <c r="F619" s="5000">
        <f t="shared" si="51"/>
        <v>420000</v>
      </c>
      <c r="G619" s="7586"/>
      <c r="H619" s="7586"/>
      <c r="I619" s="7586"/>
      <c r="J619" s="7586"/>
      <c r="K619" s="7586"/>
      <c r="L619" s="5460" t="s">
        <v>7123</v>
      </c>
    </row>
    <row r="620" spans="1:12" ht="30" customHeight="1" x14ac:dyDescent="0.2">
      <c r="A620" s="7656"/>
      <c r="B620" s="7665"/>
      <c r="C620" s="7747"/>
      <c r="D620" s="4999">
        <v>8000000</v>
      </c>
      <c r="E620" s="4962">
        <v>0.06</v>
      </c>
      <c r="F620" s="5000">
        <f t="shared" si="51"/>
        <v>480000</v>
      </c>
      <c r="G620" s="7586"/>
      <c r="H620" s="7586"/>
      <c r="I620" s="7586"/>
      <c r="J620" s="7586"/>
      <c r="K620" s="7586"/>
      <c r="L620" s="5460" t="s">
        <v>7124</v>
      </c>
    </row>
    <row r="621" spans="1:12" ht="30" customHeight="1" x14ac:dyDescent="0.2">
      <c r="A621" s="7655"/>
      <c r="B621" s="7653"/>
      <c r="C621" s="7724"/>
      <c r="D621" s="4010">
        <f>SUM(D616:D620)</f>
        <v>45000000</v>
      </c>
      <c r="E621" s="5059">
        <v>0.06</v>
      </c>
      <c r="F621" s="3820">
        <f t="shared" si="51"/>
        <v>2700000</v>
      </c>
      <c r="G621" s="7564"/>
      <c r="H621" s="7564"/>
      <c r="I621" s="7564"/>
      <c r="J621" s="7564"/>
      <c r="K621" s="7564"/>
      <c r="L621" s="5028" t="s">
        <v>7125</v>
      </c>
    </row>
    <row r="622" spans="1:12" ht="30" customHeight="1" x14ac:dyDescent="0.2">
      <c r="A622" s="5014">
        <v>296</v>
      </c>
      <c r="B622" s="4968" t="s">
        <v>143</v>
      </c>
      <c r="C622" s="5016" t="s">
        <v>1306</v>
      </c>
      <c r="D622" s="4952">
        <v>60000000</v>
      </c>
      <c r="E622" s="5011">
        <v>0.05</v>
      </c>
      <c r="F622" s="4952">
        <f t="shared" si="51"/>
        <v>3000000</v>
      </c>
      <c r="G622" s="4950"/>
      <c r="H622" s="4950"/>
      <c r="I622" s="4966" t="s">
        <v>1720</v>
      </c>
      <c r="J622" s="4950">
        <f>G622</f>
        <v>0</v>
      </c>
      <c r="K622" s="4950"/>
      <c r="L622" s="4968"/>
    </row>
    <row r="623" spans="1:12" ht="30" customHeight="1" x14ac:dyDescent="0.2">
      <c r="A623" s="4970">
        <v>298</v>
      </c>
      <c r="B623" s="5017" t="s">
        <v>145</v>
      </c>
      <c r="C623" s="4989" t="s">
        <v>1134</v>
      </c>
      <c r="D623" s="4952">
        <v>40000000</v>
      </c>
      <c r="E623" s="5011">
        <v>0.05</v>
      </c>
      <c r="F623" s="4952">
        <f t="shared" si="51"/>
        <v>2000000</v>
      </c>
      <c r="G623" s="4944"/>
      <c r="H623" s="4944"/>
      <c r="I623" s="5020" t="s">
        <v>4150</v>
      </c>
      <c r="J623" s="4944">
        <f>G623</f>
        <v>0</v>
      </c>
      <c r="K623" s="4944">
        <f>F623-J623</f>
        <v>2000000</v>
      </c>
      <c r="L623" s="4968"/>
    </row>
    <row r="624" spans="1:12" ht="30" customHeight="1" x14ac:dyDescent="0.2">
      <c r="A624" s="4970">
        <v>300</v>
      </c>
      <c r="B624" s="5017" t="s">
        <v>147</v>
      </c>
      <c r="C624" s="378" t="s">
        <v>890</v>
      </c>
      <c r="D624" s="4944">
        <v>178000000</v>
      </c>
      <c r="E624" s="5011">
        <v>5.8999999999999997E-2</v>
      </c>
      <c r="F624" s="4944">
        <v>10500000</v>
      </c>
      <c r="G624" s="4944"/>
      <c r="H624" s="4944"/>
      <c r="I624" s="5020" t="s">
        <v>3469</v>
      </c>
      <c r="J624" s="4944">
        <f>G624</f>
        <v>0</v>
      </c>
      <c r="K624" s="4944">
        <f>F624-J624</f>
        <v>10500000</v>
      </c>
      <c r="L624" s="4968"/>
    </row>
    <row r="625" spans="1:12" ht="30" customHeight="1" x14ac:dyDescent="0.2">
      <c r="A625" s="5014">
        <v>301</v>
      </c>
      <c r="B625" s="4968" t="s">
        <v>2347</v>
      </c>
      <c r="C625" s="4990"/>
      <c r="D625" s="4952">
        <v>10000000</v>
      </c>
      <c r="E625" s="4962">
        <v>0.04</v>
      </c>
      <c r="F625" s="4952">
        <f>D625*E625</f>
        <v>400000</v>
      </c>
      <c r="G625" s="4952"/>
      <c r="H625" s="4952"/>
      <c r="I625" s="4996" t="s">
        <v>723</v>
      </c>
      <c r="J625" s="4952">
        <f>G625</f>
        <v>0</v>
      </c>
      <c r="K625" s="4952">
        <f>F625-J625</f>
        <v>400000</v>
      </c>
      <c r="L625" s="5048"/>
    </row>
    <row r="626" spans="1:12" ht="30" customHeight="1" x14ac:dyDescent="0.2">
      <c r="A626" s="5014">
        <v>302</v>
      </c>
      <c r="B626" s="4968" t="s">
        <v>149</v>
      </c>
      <c r="C626" s="5016" t="s">
        <v>1296</v>
      </c>
      <c r="D626" s="4952">
        <v>100000000</v>
      </c>
      <c r="E626" s="5011">
        <v>0.05</v>
      </c>
      <c r="F626" s="4952">
        <f>D626*E626</f>
        <v>5000000</v>
      </c>
      <c r="G626" s="4944"/>
      <c r="H626" s="5020"/>
      <c r="I626" s="5020" t="s">
        <v>3179</v>
      </c>
      <c r="J626" s="4944">
        <f>G626</f>
        <v>0</v>
      </c>
      <c r="K626" s="4944">
        <f>F626-J626</f>
        <v>5000000</v>
      </c>
      <c r="L626" s="5028" t="s">
        <v>4593</v>
      </c>
    </row>
    <row r="627" spans="1:12" ht="30" customHeight="1" x14ac:dyDescent="0.2">
      <c r="A627" s="7654"/>
      <c r="B627" s="7652" t="s">
        <v>6119</v>
      </c>
      <c r="C627" s="7723" t="s">
        <v>1796</v>
      </c>
      <c r="D627" s="4944">
        <v>2162000000</v>
      </c>
      <c r="E627" s="5011">
        <v>8.4000000000000005E-2</v>
      </c>
      <c r="F627" s="4944">
        <v>181608000</v>
      </c>
      <c r="G627" s="4946"/>
      <c r="H627" s="4947"/>
      <c r="I627" s="4947"/>
      <c r="J627" s="4998"/>
      <c r="K627" s="178"/>
      <c r="L627" s="5023"/>
    </row>
    <row r="628" spans="1:12" ht="30" customHeight="1" x14ac:dyDescent="0.2">
      <c r="A628" s="7656"/>
      <c r="B628" s="7665"/>
      <c r="C628" s="7747"/>
      <c r="D628" s="4951">
        <v>10000000</v>
      </c>
      <c r="E628" s="4961"/>
      <c r="F628" s="4951"/>
      <c r="G628" s="7991" t="s">
        <v>6120</v>
      </c>
      <c r="H628" s="7992"/>
      <c r="I628" s="7992"/>
      <c r="J628" s="7993"/>
      <c r="K628" s="178"/>
      <c r="L628" s="5028" t="s">
        <v>6047</v>
      </c>
    </row>
    <row r="629" spans="1:12" ht="30" customHeight="1" x14ac:dyDescent="0.2">
      <c r="A629" s="7656"/>
      <c r="B629" s="7665"/>
      <c r="C629" s="7747"/>
      <c r="D629" s="7563">
        <v>40000000</v>
      </c>
      <c r="E629" s="7659"/>
      <c r="F629" s="7563"/>
      <c r="G629" s="7732" t="s">
        <v>6286</v>
      </c>
      <c r="H629" s="7733"/>
      <c r="I629" s="7733"/>
      <c r="J629" s="7734"/>
      <c r="K629" s="233"/>
      <c r="L629" s="5028" t="s">
        <v>6285</v>
      </c>
    </row>
    <row r="630" spans="1:12" ht="30" customHeight="1" x14ac:dyDescent="0.2">
      <c r="A630" s="7656"/>
      <c r="B630" s="7665"/>
      <c r="C630" s="7747"/>
      <c r="D630" s="7586"/>
      <c r="E630" s="7676"/>
      <c r="F630" s="7586"/>
      <c r="G630" s="7732" t="s">
        <v>6287</v>
      </c>
      <c r="H630" s="7733"/>
      <c r="I630" s="7733"/>
      <c r="J630" s="7734"/>
      <c r="K630" s="233"/>
      <c r="L630" s="5038"/>
    </row>
    <row r="631" spans="1:12" ht="30" customHeight="1" x14ac:dyDescent="0.2">
      <c r="A631" s="7656"/>
      <c r="B631" s="7665"/>
      <c r="C631" s="7747"/>
      <c r="D631" s="7586"/>
      <c r="E631" s="7676"/>
      <c r="F631" s="7586"/>
      <c r="G631" s="7732" t="s">
        <v>6288</v>
      </c>
      <c r="H631" s="7733"/>
      <c r="I631" s="7733"/>
      <c r="J631" s="7734"/>
      <c r="K631" s="233"/>
      <c r="L631" s="5038"/>
    </row>
    <row r="632" spans="1:12" ht="30" customHeight="1" x14ac:dyDescent="0.2">
      <c r="A632" s="7656"/>
      <c r="B632" s="7665"/>
      <c r="C632" s="7747"/>
      <c r="D632" s="7586"/>
      <c r="E632" s="7676"/>
      <c r="F632" s="7586"/>
      <c r="G632" s="7732" t="s">
        <v>6289</v>
      </c>
      <c r="H632" s="7733"/>
      <c r="I632" s="7733"/>
      <c r="J632" s="7734"/>
      <c r="K632" s="233"/>
      <c r="L632" s="5038"/>
    </row>
    <row r="633" spans="1:12" ht="30" customHeight="1" x14ac:dyDescent="0.2">
      <c r="A633" s="7656"/>
      <c r="B633" s="7665"/>
      <c r="C633" s="7747"/>
      <c r="D633" s="7564"/>
      <c r="E633" s="7660"/>
      <c r="F633" s="7564"/>
      <c r="G633" s="7732" t="s">
        <v>6290</v>
      </c>
      <c r="H633" s="7733"/>
      <c r="I633" s="7733"/>
      <c r="J633" s="7734"/>
      <c r="K633" s="233"/>
      <c r="L633" s="5038"/>
    </row>
    <row r="634" spans="1:12" ht="30" customHeight="1" x14ac:dyDescent="0.2">
      <c r="A634" s="7656"/>
      <c r="B634" s="7665"/>
      <c r="C634" s="7747"/>
      <c r="D634" s="4987">
        <f>SUM(D627:D633)</f>
        <v>2212000000</v>
      </c>
      <c r="E634" s="4960"/>
      <c r="F634" s="4987">
        <v>186290000</v>
      </c>
      <c r="G634" s="7732" t="s">
        <v>6051</v>
      </c>
      <c r="H634" s="7733"/>
      <c r="I634" s="7733"/>
      <c r="J634" s="7734"/>
      <c r="K634" s="233"/>
      <c r="L634" s="5038"/>
    </row>
    <row r="635" spans="1:12" ht="30" customHeight="1" x14ac:dyDescent="0.2">
      <c r="A635" s="7656"/>
      <c r="B635" s="7665"/>
      <c r="C635" s="7747"/>
      <c r="D635" s="4944">
        <v>100000000</v>
      </c>
      <c r="E635" s="5011"/>
      <c r="F635" s="4944"/>
      <c r="G635" s="7732" t="s">
        <v>6291</v>
      </c>
      <c r="H635" s="7733"/>
      <c r="I635" s="7733"/>
      <c r="J635" s="7734"/>
      <c r="K635" s="233"/>
      <c r="L635" s="5038" t="s">
        <v>6338</v>
      </c>
    </row>
    <row r="636" spans="1:12" ht="30" customHeight="1" x14ac:dyDescent="0.2">
      <c r="A636" s="7656"/>
      <c r="B636" s="7665"/>
      <c r="C636" s="7747"/>
      <c r="D636" s="4944">
        <v>80000000</v>
      </c>
      <c r="E636" s="5011"/>
      <c r="F636" s="4944"/>
      <c r="G636" s="7732" t="s">
        <v>6292</v>
      </c>
      <c r="H636" s="7733"/>
      <c r="I636" s="7733"/>
      <c r="J636" s="7734"/>
      <c r="K636" s="233"/>
      <c r="L636" s="5038" t="s">
        <v>6337</v>
      </c>
    </row>
    <row r="637" spans="1:12" ht="30" customHeight="1" x14ac:dyDescent="0.2">
      <c r="A637" s="7656"/>
      <c r="B637" s="7665"/>
      <c r="C637" s="7747"/>
      <c r="D637" s="4950">
        <v>40000000</v>
      </c>
      <c r="E637" s="4960"/>
      <c r="F637" s="4950"/>
      <c r="G637" s="7732" t="s">
        <v>6382</v>
      </c>
      <c r="H637" s="7733"/>
      <c r="I637" s="7733"/>
      <c r="J637" s="7734"/>
      <c r="K637" s="233"/>
      <c r="L637" s="5038" t="s">
        <v>6339</v>
      </c>
    </row>
    <row r="638" spans="1:12" ht="30" customHeight="1" x14ac:dyDescent="0.2">
      <c r="A638" s="7656"/>
      <c r="B638" s="7665"/>
      <c r="C638" s="7747"/>
      <c r="D638" s="4987">
        <f>SUM(D634:D637)</f>
        <v>2432000000</v>
      </c>
      <c r="E638" s="4960"/>
      <c r="F638" s="4987">
        <v>198830000</v>
      </c>
      <c r="G638" s="7732" t="s">
        <v>6051</v>
      </c>
      <c r="H638" s="7733"/>
      <c r="I638" s="7733"/>
      <c r="J638" s="7734"/>
      <c r="K638" s="233"/>
      <c r="L638" s="5038" t="s">
        <v>6293</v>
      </c>
    </row>
    <row r="639" spans="1:12" ht="30" customHeight="1" x14ac:dyDescent="0.2">
      <c r="A639" s="7656"/>
      <c r="B639" s="7665"/>
      <c r="C639" s="7747"/>
      <c r="D639" s="4987">
        <f>2432000000-245000000</f>
        <v>2187000000</v>
      </c>
      <c r="E639" s="4960"/>
      <c r="F639" s="4987">
        <v>188940000</v>
      </c>
      <c r="G639" s="7732" t="s">
        <v>6294</v>
      </c>
      <c r="H639" s="7733"/>
      <c r="I639" s="7733"/>
      <c r="J639" s="7734"/>
      <c r="K639" s="233"/>
      <c r="L639" s="5038"/>
    </row>
    <row r="640" spans="1:12" ht="30" customHeight="1" x14ac:dyDescent="0.2">
      <c r="A640" s="7656"/>
      <c r="B640" s="7665"/>
      <c r="C640" s="7747"/>
      <c r="D640" s="7470" t="s">
        <v>6459</v>
      </c>
      <c r="E640" s="7493"/>
      <c r="F640" s="7510"/>
      <c r="G640" s="7732" t="s">
        <v>6755</v>
      </c>
      <c r="H640" s="7733"/>
      <c r="I640" s="7733"/>
      <c r="J640" s="7734"/>
      <c r="K640" s="233"/>
      <c r="L640" s="5038"/>
    </row>
    <row r="641" spans="1:12" ht="30" customHeight="1" x14ac:dyDescent="0.2">
      <c r="A641" s="7656"/>
      <c r="B641" s="7665"/>
      <c r="C641" s="7747"/>
      <c r="D641" s="4949">
        <v>2432000000</v>
      </c>
      <c r="E641" s="4949"/>
      <c r="F641" s="4949">
        <v>198830000</v>
      </c>
      <c r="G641" s="7732" t="s">
        <v>6740</v>
      </c>
      <c r="H641" s="7733"/>
      <c r="I641" s="7733"/>
      <c r="J641" s="7734"/>
      <c r="K641" s="233"/>
      <c r="L641" s="5038"/>
    </row>
    <row r="642" spans="1:12" ht="30" customHeight="1" x14ac:dyDescent="0.2">
      <c r="A642" s="7656"/>
      <c r="B642" s="7665"/>
      <c r="C642" s="7747"/>
      <c r="D642" s="4949">
        <f>2432000000-245000000</f>
        <v>2187000000</v>
      </c>
      <c r="E642" s="4949"/>
      <c r="F642" s="4949">
        <v>188940000</v>
      </c>
      <c r="G642" s="8520" t="s">
        <v>6294</v>
      </c>
      <c r="H642" s="8521"/>
      <c r="I642" s="8521"/>
      <c r="J642" s="8522"/>
      <c r="K642" s="233"/>
      <c r="L642" s="5038"/>
    </row>
    <row r="643" spans="1:12" ht="30" customHeight="1" x14ac:dyDescent="0.2">
      <c r="A643" s="7656"/>
      <c r="B643" s="7665"/>
      <c r="C643" s="7747"/>
      <c r="D643" s="5268">
        <v>120000000</v>
      </c>
      <c r="E643" s="5268"/>
      <c r="F643" s="5268"/>
      <c r="G643" s="7732" t="s">
        <v>7133</v>
      </c>
      <c r="H643" s="7733"/>
      <c r="I643" s="7733"/>
      <c r="J643" s="7734"/>
      <c r="K643" s="233"/>
      <c r="L643" s="5291" t="s">
        <v>6925</v>
      </c>
    </row>
    <row r="644" spans="1:12" ht="30" customHeight="1" x14ac:dyDescent="0.2">
      <c r="A644" s="7656"/>
      <c r="B644" s="7665"/>
      <c r="C644" s="7747"/>
      <c r="D644" s="5268">
        <v>50000000</v>
      </c>
      <c r="E644" s="5268"/>
      <c r="F644" s="5268"/>
      <c r="G644" s="7732" t="s">
        <v>7132</v>
      </c>
      <c r="H644" s="7733"/>
      <c r="I644" s="7733"/>
      <c r="J644" s="7734"/>
      <c r="K644" s="233"/>
      <c r="L644" s="5291" t="s">
        <v>6926</v>
      </c>
    </row>
    <row r="645" spans="1:12" ht="30" customHeight="1" x14ac:dyDescent="0.2">
      <c r="A645" s="7655"/>
      <c r="B645" s="7653"/>
      <c r="C645" s="7724"/>
      <c r="D645" s="5269">
        <f>D642+D643+D644</f>
        <v>2357000000</v>
      </c>
      <c r="E645" s="5269"/>
      <c r="F645" s="5269">
        <v>202540000</v>
      </c>
      <c r="G645" s="7732" t="s">
        <v>6294</v>
      </c>
      <c r="H645" s="7733"/>
      <c r="I645" s="7733"/>
      <c r="J645" s="7734"/>
      <c r="K645" s="233"/>
      <c r="L645" s="5291"/>
    </row>
    <row r="646" spans="1:12" ht="30" customHeight="1" x14ac:dyDescent="0.2">
      <c r="A646" s="7654">
        <v>305</v>
      </c>
      <c r="B646" s="7652" t="s">
        <v>152</v>
      </c>
      <c r="C646" s="7723" t="s">
        <v>1796</v>
      </c>
      <c r="D646" s="7482">
        <v>900000000</v>
      </c>
      <c r="E646" s="7870">
        <v>7.0000000000000007E-2</v>
      </c>
      <c r="F646" s="7482">
        <f>D646*E646</f>
        <v>63000000.000000007</v>
      </c>
      <c r="G646" s="6124"/>
      <c r="H646" s="6124"/>
      <c r="I646" s="6124"/>
      <c r="J646" s="6124"/>
      <c r="K646" s="4944"/>
      <c r="L646" s="345"/>
    </row>
    <row r="647" spans="1:12" ht="30" customHeight="1" x14ac:dyDescent="0.2">
      <c r="A647" s="7656"/>
      <c r="B647" s="7665"/>
      <c r="C647" s="7747"/>
      <c r="D647" s="7482"/>
      <c r="E647" s="7870"/>
      <c r="F647" s="7482"/>
      <c r="G647" s="6124"/>
      <c r="H647" s="6124"/>
      <c r="I647" s="6124"/>
      <c r="J647" s="6124"/>
      <c r="K647" s="4944"/>
      <c r="L647" s="345"/>
    </row>
    <row r="648" spans="1:12" ht="30" customHeight="1" x14ac:dyDescent="0.2">
      <c r="A648" s="7656"/>
      <c r="B648" s="7665"/>
      <c r="C648" s="7747"/>
      <c r="D648" s="4944">
        <v>100000000</v>
      </c>
      <c r="E648" s="5011">
        <v>7.0000000000000007E-2</v>
      </c>
      <c r="F648" s="4944">
        <f>D648*E648</f>
        <v>7000000.0000000009</v>
      </c>
      <c r="G648" s="6124"/>
      <c r="H648" s="6124"/>
      <c r="I648" s="6124"/>
      <c r="J648" s="6124"/>
      <c r="K648" s="4944"/>
      <c r="L648" s="5048" t="s">
        <v>5897</v>
      </c>
    </row>
    <row r="649" spans="1:12" ht="30" customHeight="1" x14ac:dyDescent="0.2">
      <c r="A649" s="7656"/>
      <c r="B649" s="7665"/>
      <c r="C649" s="7747"/>
      <c r="D649" s="4944">
        <v>50000000</v>
      </c>
      <c r="E649" s="5011">
        <v>7.0000000000000007E-2</v>
      </c>
      <c r="F649" s="4944">
        <f>D649*E649</f>
        <v>3500000.0000000005</v>
      </c>
      <c r="G649" s="6124"/>
      <c r="H649" s="6124"/>
      <c r="I649" s="6124"/>
      <c r="J649" s="6124"/>
      <c r="K649" s="4944"/>
      <c r="L649" s="5048" t="s">
        <v>6519</v>
      </c>
    </row>
    <row r="650" spans="1:12" ht="30" customHeight="1" x14ac:dyDescent="0.2">
      <c r="A650" s="7656"/>
      <c r="B650" s="7665"/>
      <c r="C650" s="7747"/>
      <c r="D650" s="4952">
        <v>50000000</v>
      </c>
      <c r="E650" s="5011"/>
      <c r="F650" s="4952"/>
      <c r="G650" s="6124"/>
      <c r="H650" s="6124"/>
      <c r="I650" s="6124"/>
      <c r="J650" s="6124"/>
      <c r="K650" s="4950"/>
      <c r="L650" s="7713" t="s">
        <v>7019</v>
      </c>
    </row>
    <row r="651" spans="1:12" ht="30" customHeight="1" x14ac:dyDescent="0.2">
      <c r="A651" s="7656"/>
      <c r="B651" s="7665"/>
      <c r="C651" s="7747"/>
      <c r="D651" s="4952">
        <v>100000000</v>
      </c>
      <c r="E651" s="5011"/>
      <c r="F651" s="4952"/>
      <c r="G651" s="6124"/>
      <c r="H651" s="6124"/>
      <c r="I651" s="6124"/>
      <c r="J651" s="6124"/>
      <c r="K651" s="4950"/>
      <c r="L651" s="7714"/>
    </row>
    <row r="652" spans="1:12" ht="30" customHeight="1" x14ac:dyDescent="0.2">
      <c r="A652" s="7655"/>
      <c r="B652" s="7653"/>
      <c r="C652" s="7724"/>
      <c r="D652" s="5057">
        <f>SUM(D646:D651)</f>
        <v>1200000000</v>
      </c>
      <c r="E652" s="896">
        <v>7.0000000000000007E-2</v>
      </c>
      <c r="F652" s="5057">
        <f>D652*E652</f>
        <v>84000000.000000015</v>
      </c>
      <c r="G652" s="6124"/>
      <c r="H652" s="6124"/>
      <c r="I652" s="6124"/>
      <c r="J652" s="6124"/>
      <c r="K652" s="4950"/>
      <c r="L652" s="5048"/>
    </row>
    <row r="653" spans="1:12" ht="30" customHeight="1" x14ac:dyDescent="0.2">
      <c r="A653" s="5014">
        <v>307</v>
      </c>
      <c r="B653" s="4968" t="s">
        <v>154</v>
      </c>
      <c r="C653" s="5016" t="s">
        <v>1306</v>
      </c>
      <c r="D653" s="4952">
        <v>300000000</v>
      </c>
      <c r="E653" s="5011">
        <v>0.05</v>
      </c>
      <c r="F653" s="4952">
        <f t="shared" si="51"/>
        <v>15000000</v>
      </c>
      <c r="G653" s="4950">
        <v>15000000</v>
      </c>
      <c r="H653" s="4950" t="s">
        <v>3116</v>
      </c>
      <c r="I653" s="4966" t="s">
        <v>2409</v>
      </c>
      <c r="J653" s="4950">
        <f>G653</f>
        <v>15000000</v>
      </c>
      <c r="K653" s="4950">
        <f>F653-J653</f>
        <v>0</v>
      </c>
      <c r="L653" s="5048" t="s">
        <v>6601</v>
      </c>
    </row>
    <row r="654" spans="1:12" ht="30" customHeight="1" x14ac:dyDescent="0.2">
      <c r="A654" s="7654">
        <v>308</v>
      </c>
      <c r="B654" s="7652" t="s">
        <v>155</v>
      </c>
      <c r="C654" s="7723" t="s">
        <v>1294</v>
      </c>
      <c r="D654" s="7563">
        <v>702000000</v>
      </c>
      <c r="E654" s="7659">
        <v>0.06</v>
      </c>
      <c r="F654" s="7563">
        <f t="shared" si="51"/>
        <v>42120000</v>
      </c>
      <c r="G654" s="4944">
        <v>15000000</v>
      </c>
      <c r="H654" s="4944" t="s">
        <v>7168</v>
      </c>
      <c r="I654" s="18" t="s">
        <v>1873</v>
      </c>
      <c r="J654" s="7563">
        <f>G654+G655</f>
        <v>40440000</v>
      </c>
      <c r="K654" s="7563"/>
      <c r="L654" s="7818" t="s">
        <v>6531</v>
      </c>
    </row>
    <row r="655" spans="1:12" ht="30" customHeight="1" x14ac:dyDescent="0.2">
      <c r="A655" s="7655"/>
      <c r="B655" s="7653"/>
      <c r="C655" s="7724"/>
      <c r="D655" s="7564"/>
      <c r="E655" s="7660"/>
      <c r="F655" s="7564"/>
      <c r="G655" s="5561">
        <v>25440000</v>
      </c>
      <c r="H655" s="5561" t="s">
        <v>2474</v>
      </c>
      <c r="I655" s="18" t="s">
        <v>1873</v>
      </c>
      <c r="J655" s="7564"/>
      <c r="K655" s="7564"/>
      <c r="L655" s="7855"/>
    </row>
    <row r="656" spans="1:12" ht="30" customHeight="1" x14ac:dyDescent="0.2">
      <c r="A656" s="4957">
        <v>309</v>
      </c>
      <c r="B656" s="4954" t="s">
        <v>1874</v>
      </c>
      <c r="C656" s="5016" t="s">
        <v>372</v>
      </c>
      <c r="D656" s="4952">
        <v>200000000</v>
      </c>
      <c r="E656" s="4962">
        <v>0.06</v>
      </c>
      <c r="F656" s="4952">
        <f>D656*E656</f>
        <v>12000000</v>
      </c>
      <c r="G656" s="4944">
        <v>12000000</v>
      </c>
      <c r="H656" s="4944" t="s">
        <v>4612</v>
      </c>
      <c r="I656" s="18" t="s">
        <v>1873</v>
      </c>
      <c r="J656" s="4944">
        <f>G656</f>
        <v>12000000</v>
      </c>
      <c r="K656" s="4944">
        <f>F656-J656</f>
        <v>0</v>
      </c>
      <c r="L656" s="7819"/>
    </row>
    <row r="657" spans="1:12" ht="30" customHeight="1" x14ac:dyDescent="0.2">
      <c r="A657" s="4957">
        <v>310</v>
      </c>
      <c r="B657" s="4968" t="s">
        <v>157</v>
      </c>
      <c r="C657" s="4990" t="s">
        <v>392</v>
      </c>
      <c r="D657" s="4952">
        <v>100000000</v>
      </c>
      <c r="E657" s="4962">
        <v>0.05</v>
      </c>
      <c r="F657" s="4952">
        <f t="shared" ref="F657:F681" si="57">D657*E657</f>
        <v>5000000</v>
      </c>
      <c r="G657" s="4952">
        <v>5000000</v>
      </c>
      <c r="H657" s="4952" t="s">
        <v>6789</v>
      </c>
      <c r="I657" s="5071" t="s">
        <v>4884</v>
      </c>
      <c r="J657" s="4952">
        <f>G657</f>
        <v>5000000</v>
      </c>
      <c r="K657" s="4952">
        <f t="shared" ref="K657:K665" si="58">F657-J657</f>
        <v>0</v>
      </c>
      <c r="L657" s="5048" t="s">
        <v>6199</v>
      </c>
    </row>
    <row r="658" spans="1:12" ht="30" customHeight="1" x14ac:dyDescent="0.2">
      <c r="A658" s="7654">
        <v>311</v>
      </c>
      <c r="B658" s="7652" t="s">
        <v>158</v>
      </c>
      <c r="C658" s="7723" t="s">
        <v>889</v>
      </c>
      <c r="D658" s="4952">
        <v>85000000</v>
      </c>
      <c r="E658" s="5011">
        <v>0.05</v>
      </c>
      <c r="F658" s="4952">
        <f t="shared" si="57"/>
        <v>4250000</v>
      </c>
      <c r="G658" s="7563">
        <v>9250000</v>
      </c>
      <c r="H658" s="7563" t="s">
        <v>6785</v>
      </c>
      <c r="I658" s="7762" t="s">
        <v>3970</v>
      </c>
      <c r="J658" s="7563">
        <f>G658</f>
        <v>9250000</v>
      </c>
      <c r="K658" s="7563">
        <f>(F658+F659)-J658</f>
        <v>0</v>
      </c>
      <c r="L658" s="4981"/>
    </row>
    <row r="659" spans="1:12" ht="30" customHeight="1" x14ac:dyDescent="0.2">
      <c r="A659" s="7655"/>
      <c r="B659" s="7653"/>
      <c r="C659" s="7724"/>
      <c r="D659" s="4952">
        <v>100000000</v>
      </c>
      <c r="E659" s="5011">
        <v>0.05</v>
      </c>
      <c r="F659" s="4952">
        <f t="shared" si="57"/>
        <v>5000000</v>
      </c>
      <c r="G659" s="7564"/>
      <c r="H659" s="7564"/>
      <c r="I659" s="7763"/>
      <c r="J659" s="7564"/>
      <c r="K659" s="7564"/>
      <c r="L659" s="4982"/>
    </row>
    <row r="660" spans="1:12" ht="30" customHeight="1" x14ac:dyDescent="0.2">
      <c r="A660" s="4957">
        <v>312</v>
      </c>
      <c r="B660" s="4968" t="s">
        <v>159</v>
      </c>
      <c r="C660" s="4990"/>
      <c r="D660" s="4965"/>
      <c r="E660" s="2519"/>
      <c r="F660" s="4965">
        <f t="shared" si="57"/>
        <v>0</v>
      </c>
      <c r="G660" s="4952"/>
      <c r="H660" s="4952"/>
      <c r="I660" s="5071" t="s">
        <v>5916</v>
      </c>
      <c r="J660" s="4952">
        <f>G660</f>
        <v>0</v>
      </c>
      <c r="K660" s="4965">
        <f t="shared" si="58"/>
        <v>0</v>
      </c>
      <c r="L660" s="4968"/>
    </row>
    <row r="661" spans="1:12" ht="30" customHeight="1" x14ac:dyDescent="0.2">
      <c r="A661" s="3316">
        <v>313</v>
      </c>
      <c r="B661" s="5189" t="s">
        <v>161</v>
      </c>
      <c r="C661" s="5191" t="s">
        <v>1652</v>
      </c>
      <c r="D661" s="4944">
        <v>152000000</v>
      </c>
      <c r="E661" s="5011">
        <v>0.05</v>
      </c>
      <c r="F661" s="4944">
        <f>D661*E661</f>
        <v>7600000</v>
      </c>
      <c r="G661" s="4944">
        <v>7600000</v>
      </c>
      <c r="H661" s="4944" t="s">
        <v>6828</v>
      </c>
      <c r="I661" s="5020" t="s">
        <v>3468</v>
      </c>
      <c r="J661" s="4944">
        <f>G661</f>
        <v>7600000</v>
      </c>
      <c r="K661" s="4944">
        <f t="shared" si="58"/>
        <v>0</v>
      </c>
      <c r="L661" s="5033"/>
    </row>
    <row r="662" spans="1:12" ht="30" customHeight="1" x14ac:dyDescent="0.2">
      <c r="A662" s="7654">
        <v>315</v>
      </c>
      <c r="B662" s="7652" t="s">
        <v>163</v>
      </c>
      <c r="C662" s="7723" t="s">
        <v>1176</v>
      </c>
      <c r="D662" s="4944">
        <v>400000000</v>
      </c>
      <c r="E662" s="5011">
        <v>6.3E-2</v>
      </c>
      <c r="F662" s="4944">
        <v>25000000</v>
      </c>
      <c r="G662" s="7563">
        <v>30000000</v>
      </c>
      <c r="H662" s="7563" t="s">
        <v>6895</v>
      </c>
      <c r="I662" s="7563">
        <v>30000000</v>
      </c>
      <c r="J662" s="7563">
        <f>G662</f>
        <v>30000000</v>
      </c>
      <c r="K662" s="7563">
        <f>(F662+F663)-J662</f>
        <v>0</v>
      </c>
      <c r="L662" s="5005"/>
    </row>
    <row r="663" spans="1:12" ht="30" customHeight="1" x14ac:dyDescent="0.2">
      <c r="A663" s="7655"/>
      <c r="B663" s="7653"/>
      <c r="C663" s="7724"/>
      <c r="D663" s="4952">
        <v>100000000</v>
      </c>
      <c r="E663" s="4962">
        <v>0.05</v>
      </c>
      <c r="F663" s="4952">
        <f>D663*E663</f>
        <v>5000000</v>
      </c>
      <c r="G663" s="7564"/>
      <c r="H663" s="7564"/>
      <c r="I663" s="7564"/>
      <c r="J663" s="7564"/>
      <c r="K663" s="7564"/>
      <c r="L663" s="5048" t="s">
        <v>5001</v>
      </c>
    </row>
    <row r="664" spans="1:12" ht="30" customHeight="1" x14ac:dyDescent="0.2">
      <c r="A664" s="5014">
        <v>316</v>
      </c>
      <c r="B664" s="4956" t="s">
        <v>164</v>
      </c>
      <c r="C664" s="4990"/>
      <c r="D664" s="4952">
        <v>35000000</v>
      </c>
      <c r="E664" s="4962">
        <v>0.04</v>
      </c>
      <c r="F664" s="4952">
        <f>D664*E664</f>
        <v>1400000</v>
      </c>
      <c r="G664" s="4952">
        <v>1400000</v>
      </c>
      <c r="H664" s="4952" t="s">
        <v>4612</v>
      </c>
      <c r="I664" s="4995" t="s">
        <v>7008</v>
      </c>
      <c r="J664" s="4952">
        <f t="shared" ref="J664:J689" si="59">G664</f>
        <v>1400000</v>
      </c>
      <c r="K664" s="4952">
        <f t="shared" si="58"/>
        <v>0</v>
      </c>
      <c r="L664" s="4968"/>
    </row>
    <row r="665" spans="1:12" ht="30" customHeight="1" x14ac:dyDescent="0.2">
      <c r="A665" s="5014">
        <v>317</v>
      </c>
      <c r="B665" s="4968" t="s">
        <v>4529</v>
      </c>
      <c r="C665" s="5016" t="s">
        <v>359</v>
      </c>
      <c r="D665" s="4952">
        <v>300000000</v>
      </c>
      <c r="E665" s="5011">
        <v>0.05</v>
      </c>
      <c r="F665" s="4952">
        <f>D665*E665</f>
        <v>15000000</v>
      </c>
      <c r="G665" s="4944">
        <v>15000000</v>
      </c>
      <c r="H665" s="4944" t="s">
        <v>7013</v>
      </c>
      <c r="I665" s="5019" t="s">
        <v>2026</v>
      </c>
      <c r="J665" s="4944">
        <f>G665</f>
        <v>15000000</v>
      </c>
      <c r="K665" s="4952">
        <f t="shared" si="58"/>
        <v>0</v>
      </c>
      <c r="L665" s="5048"/>
    </row>
    <row r="666" spans="1:12" ht="30" customHeight="1" x14ac:dyDescent="0.2">
      <c r="A666" s="7654"/>
      <c r="B666" s="7652" t="s">
        <v>165</v>
      </c>
      <c r="C666" s="7723" t="s">
        <v>1287</v>
      </c>
      <c r="D666" s="4952">
        <v>210000000</v>
      </c>
      <c r="E666" s="5011">
        <v>0.06</v>
      </c>
      <c r="F666" s="4952">
        <f>D666*E666</f>
        <v>12600000</v>
      </c>
      <c r="G666" s="7563">
        <v>43000000</v>
      </c>
      <c r="H666" s="7561" t="s">
        <v>7088</v>
      </c>
      <c r="I666" s="7561" t="s">
        <v>2996</v>
      </c>
      <c r="J666" s="8180">
        <f>G666</f>
        <v>43000000</v>
      </c>
      <c r="K666" s="7563">
        <f>(F666+F667+F668)-J666-100000</f>
        <v>0</v>
      </c>
      <c r="L666" s="5048" t="s">
        <v>2709</v>
      </c>
    </row>
    <row r="667" spans="1:12" ht="30" customHeight="1" x14ac:dyDescent="0.2">
      <c r="A667" s="7656"/>
      <c r="B667" s="7665"/>
      <c r="C667" s="7747"/>
      <c r="D667" s="4952">
        <v>200000000</v>
      </c>
      <c r="E667" s="5011">
        <v>0.06</v>
      </c>
      <c r="F667" s="4952">
        <f>D667*E667</f>
        <v>12000000</v>
      </c>
      <c r="G667" s="7586"/>
      <c r="H667" s="7672"/>
      <c r="I667" s="7672"/>
      <c r="J667" s="7672"/>
      <c r="K667" s="7586"/>
      <c r="L667" s="5048" t="s">
        <v>5090</v>
      </c>
    </row>
    <row r="668" spans="1:12" ht="30" customHeight="1" x14ac:dyDescent="0.2">
      <c r="A668" s="7655"/>
      <c r="B668" s="7653"/>
      <c r="C668" s="7724"/>
      <c r="D668" s="7470" t="s">
        <v>5163</v>
      </c>
      <c r="E668" s="7510"/>
      <c r="F668" s="4952">
        <v>18500000</v>
      </c>
      <c r="G668" s="7564"/>
      <c r="H668" s="7562"/>
      <c r="I668" s="7562"/>
      <c r="J668" s="7562"/>
      <c r="K668" s="7564"/>
      <c r="L668" s="1661" t="s">
        <v>6394</v>
      </c>
    </row>
    <row r="669" spans="1:12" ht="30" customHeight="1" x14ac:dyDescent="0.2">
      <c r="A669" s="7654">
        <v>318</v>
      </c>
      <c r="B669" s="7652" t="s">
        <v>167</v>
      </c>
      <c r="C669" s="7723"/>
      <c r="D669" s="4952">
        <v>80000000</v>
      </c>
      <c r="E669" s="5011">
        <v>0.05</v>
      </c>
      <c r="F669" s="4952">
        <f t="shared" si="57"/>
        <v>4000000</v>
      </c>
      <c r="G669" s="7563">
        <v>12500000</v>
      </c>
      <c r="H669" s="7563" t="s">
        <v>6828</v>
      </c>
      <c r="I669" s="7772" t="s">
        <v>4452</v>
      </c>
      <c r="J669" s="7563">
        <f t="shared" si="59"/>
        <v>12500000</v>
      </c>
      <c r="K669" s="7563">
        <f>(F669+F670)-J669</f>
        <v>0</v>
      </c>
      <c r="L669" s="5342" t="s">
        <v>7002</v>
      </c>
    </row>
    <row r="670" spans="1:12" ht="30" customHeight="1" x14ac:dyDescent="0.2">
      <c r="A670" s="7656"/>
      <c r="B670" s="7665"/>
      <c r="C670" s="7747"/>
      <c r="D670" s="4952">
        <v>170000000</v>
      </c>
      <c r="E670" s="5011">
        <v>0.05</v>
      </c>
      <c r="F670" s="4952">
        <f t="shared" si="57"/>
        <v>8500000</v>
      </c>
      <c r="G670" s="7564"/>
      <c r="H670" s="7564"/>
      <c r="I670" s="7773"/>
      <c r="J670" s="7564"/>
      <c r="K670" s="7564"/>
      <c r="L670" s="5048" t="s">
        <v>5207</v>
      </c>
    </row>
    <row r="671" spans="1:12" ht="30" customHeight="1" x14ac:dyDescent="0.2">
      <c r="A671" s="7655"/>
      <c r="B671" s="7653"/>
      <c r="C671" s="7724"/>
      <c r="D671" s="5304">
        <v>30000000</v>
      </c>
      <c r="E671" s="5309">
        <v>0.06</v>
      </c>
      <c r="F671" s="5304">
        <f t="shared" si="57"/>
        <v>1800000</v>
      </c>
      <c r="G671" s="7732" t="s">
        <v>6953</v>
      </c>
      <c r="H671" s="7733"/>
      <c r="I671" s="7733"/>
      <c r="J671" s="7734"/>
      <c r="K671" s="5303"/>
      <c r="L671" s="5315" t="s">
        <v>6954</v>
      </c>
    </row>
    <row r="672" spans="1:12" ht="30" customHeight="1" x14ac:dyDescent="0.2">
      <c r="A672" s="7654">
        <v>320</v>
      </c>
      <c r="B672" s="7652" t="s">
        <v>169</v>
      </c>
      <c r="C672" s="7723" t="s">
        <v>1300</v>
      </c>
      <c r="D672" s="5910">
        <v>135000000</v>
      </c>
      <c r="E672" s="5917">
        <v>0.06</v>
      </c>
      <c r="F672" s="5910">
        <v>8000000</v>
      </c>
      <c r="G672" s="7563">
        <v>9750000</v>
      </c>
      <c r="H672" s="7563" t="s">
        <v>7065</v>
      </c>
      <c r="I672" s="7561" t="s">
        <v>2078</v>
      </c>
      <c r="J672" s="7563">
        <f t="shared" si="59"/>
        <v>9750000</v>
      </c>
      <c r="K672" s="7563">
        <f>(F672+F673)-J672</f>
        <v>0</v>
      </c>
      <c r="L672" s="5048"/>
    </row>
    <row r="673" spans="1:12" ht="30" customHeight="1" x14ac:dyDescent="0.2">
      <c r="A673" s="7656"/>
      <c r="B673" s="7665"/>
      <c r="C673" s="7747"/>
      <c r="D673" s="5910">
        <v>35000000</v>
      </c>
      <c r="E673" s="5917">
        <v>0.05</v>
      </c>
      <c r="F673" s="5910">
        <f>D673*E673</f>
        <v>1750000</v>
      </c>
      <c r="G673" s="7564"/>
      <c r="H673" s="7564"/>
      <c r="I673" s="7562"/>
      <c r="J673" s="7564"/>
      <c r="K673" s="7564"/>
      <c r="L673" s="5912" t="s">
        <v>3458</v>
      </c>
    </row>
    <row r="674" spans="1:12" ht="30" customHeight="1" x14ac:dyDescent="0.2">
      <c r="A674" s="7656"/>
      <c r="B674" s="7665"/>
      <c r="C674" s="7747"/>
      <c r="D674" s="5887">
        <v>50000000</v>
      </c>
      <c r="E674" s="5903">
        <v>0.05</v>
      </c>
      <c r="F674" s="5887">
        <f>D674*E674</f>
        <v>2500000</v>
      </c>
      <c r="G674" s="7732" t="s">
        <v>7402</v>
      </c>
      <c r="H674" s="7733"/>
      <c r="I674" s="7733"/>
      <c r="J674" s="7734"/>
      <c r="K674" s="5887"/>
      <c r="L674" s="5912" t="s">
        <v>7403</v>
      </c>
    </row>
    <row r="675" spans="1:12" ht="30" customHeight="1" x14ac:dyDescent="0.2">
      <c r="A675" s="7656"/>
      <c r="B675" s="7665"/>
      <c r="C675" s="7747"/>
      <c r="D675" s="5887">
        <v>35000000</v>
      </c>
      <c r="E675" s="5903">
        <v>0.05</v>
      </c>
      <c r="F675" s="5887">
        <f>D675*E675</f>
        <v>1750000</v>
      </c>
      <c r="G675" s="7732" t="s">
        <v>7404</v>
      </c>
      <c r="H675" s="7733"/>
      <c r="I675" s="7733"/>
      <c r="J675" s="7734"/>
      <c r="K675" s="5887"/>
      <c r="L675" s="5912" t="s">
        <v>7405</v>
      </c>
    </row>
    <row r="676" spans="1:12" ht="30" customHeight="1" x14ac:dyDescent="0.2">
      <c r="A676" s="7655"/>
      <c r="B676" s="7653"/>
      <c r="C676" s="7724"/>
      <c r="D676" s="5910">
        <v>85000000</v>
      </c>
      <c r="E676" s="5917">
        <v>0.05</v>
      </c>
      <c r="F676" s="5910">
        <f>D676*E676</f>
        <v>4250000</v>
      </c>
      <c r="G676" s="5349"/>
      <c r="H676" s="5349"/>
      <c r="I676" s="5353"/>
      <c r="J676" s="5349"/>
      <c r="K676" s="5349"/>
      <c r="L676" s="5362" t="s">
        <v>7024</v>
      </c>
    </row>
    <row r="677" spans="1:12" ht="30" customHeight="1" x14ac:dyDescent="0.2">
      <c r="A677" s="4957">
        <v>321</v>
      </c>
      <c r="B677" s="19" t="s">
        <v>171</v>
      </c>
      <c r="C677" s="5016" t="s">
        <v>3007</v>
      </c>
      <c r="D677" s="4944">
        <v>5000000</v>
      </c>
      <c r="E677" s="5011">
        <v>0.04</v>
      </c>
      <c r="F677" s="4944">
        <f t="shared" si="57"/>
        <v>200000</v>
      </c>
      <c r="G677" s="4944">
        <v>200000</v>
      </c>
      <c r="H677" s="4944" t="s">
        <v>7252</v>
      </c>
      <c r="I677" s="5020" t="s">
        <v>1097</v>
      </c>
      <c r="J677" s="4944">
        <f t="shared" si="59"/>
        <v>200000</v>
      </c>
      <c r="K677" s="4944">
        <f t="shared" ref="K677:K695" si="60">F677-J677</f>
        <v>0</v>
      </c>
      <c r="L677" s="5048"/>
    </row>
    <row r="678" spans="1:12" ht="30" customHeight="1" x14ac:dyDescent="0.2">
      <c r="A678" s="7654">
        <v>322</v>
      </c>
      <c r="B678" s="7652" t="s">
        <v>1378</v>
      </c>
      <c r="C678" s="7723" t="s">
        <v>1081</v>
      </c>
      <c r="D678" s="4944">
        <v>10000000</v>
      </c>
      <c r="E678" s="5011">
        <v>0.05</v>
      </c>
      <c r="F678" s="4944">
        <f t="shared" si="57"/>
        <v>500000</v>
      </c>
      <c r="G678" s="4944">
        <v>500000</v>
      </c>
      <c r="H678" s="4944" t="s">
        <v>3788</v>
      </c>
      <c r="I678" s="5019" t="s">
        <v>1376</v>
      </c>
      <c r="J678" s="4944">
        <f t="shared" si="59"/>
        <v>500000</v>
      </c>
      <c r="K678" s="4944">
        <f t="shared" si="60"/>
        <v>0</v>
      </c>
      <c r="L678" s="5048" t="s">
        <v>5482</v>
      </c>
    </row>
    <row r="679" spans="1:12" ht="30" customHeight="1" x14ac:dyDescent="0.2">
      <c r="A679" s="7656"/>
      <c r="B679" s="7665"/>
      <c r="C679" s="7747"/>
      <c r="D679" s="5499">
        <v>18000000</v>
      </c>
      <c r="E679" s="5504"/>
      <c r="F679" s="5499"/>
      <c r="G679" s="5499"/>
      <c r="H679" s="5499"/>
      <c r="I679" s="5518"/>
      <c r="J679" s="5499"/>
      <c r="K679" s="5499"/>
      <c r="L679" s="5524"/>
    </row>
    <row r="680" spans="1:12" ht="30" customHeight="1" x14ac:dyDescent="0.2">
      <c r="A680" s="7655"/>
      <c r="B680" s="7653"/>
      <c r="C680" s="7724"/>
      <c r="D680" s="5522">
        <v>28000000</v>
      </c>
      <c r="E680" s="5523">
        <v>5.2999999999999999E-2</v>
      </c>
      <c r="F680" s="5522">
        <v>1500000</v>
      </c>
      <c r="G680" s="5499"/>
      <c r="H680" s="5499"/>
      <c r="I680" s="5518"/>
      <c r="J680" s="5499"/>
      <c r="K680" s="5499"/>
      <c r="L680" s="5524" t="s">
        <v>7178</v>
      </c>
    </row>
    <row r="681" spans="1:12" ht="30" customHeight="1" x14ac:dyDescent="0.2">
      <c r="A681" s="5014">
        <v>323</v>
      </c>
      <c r="B681" s="4956" t="s">
        <v>172</v>
      </c>
      <c r="C681" s="4990"/>
      <c r="D681" s="4952">
        <v>60000000</v>
      </c>
      <c r="E681" s="4962">
        <v>4.4999999999999998E-2</v>
      </c>
      <c r="F681" s="4952">
        <f t="shared" si="57"/>
        <v>2700000</v>
      </c>
      <c r="G681" s="4952"/>
      <c r="H681" s="4952"/>
      <c r="I681" s="4996"/>
      <c r="J681" s="4952">
        <f t="shared" si="59"/>
        <v>0</v>
      </c>
      <c r="K681" s="4952">
        <f t="shared" si="60"/>
        <v>2700000</v>
      </c>
      <c r="L681" s="4968"/>
    </row>
    <row r="682" spans="1:12" ht="30" customHeight="1" x14ac:dyDescent="0.2">
      <c r="A682" s="5014">
        <v>324</v>
      </c>
      <c r="B682" s="4968" t="s">
        <v>173</v>
      </c>
      <c r="C682" s="4990" t="s">
        <v>889</v>
      </c>
      <c r="D682" s="4952">
        <v>20000000</v>
      </c>
      <c r="E682" s="5011">
        <v>0.05</v>
      </c>
      <c r="F682" s="4952">
        <f>D682*E682</f>
        <v>1000000</v>
      </c>
      <c r="G682" s="4944">
        <v>1000000</v>
      </c>
      <c r="H682" s="4944" t="s">
        <v>6773</v>
      </c>
      <c r="I682" s="5020" t="s">
        <v>1740</v>
      </c>
      <c r="J682" s="4944">
        <f t="shared" si="59"/>
        <v>1000000</v>
      </c>
      <c r="K682" s="4944">
        <f t="shared" si="60"/>
        <v>0</v>
      </c>
      <c r="L682" s="5023"/>
    </row>
    <row r="683" spans="1:12" ht="30" customHeight="1" x14ac:dyDescent="0.2">
      <c r="A683" s="7654">
        <v>325</v>
      </c>
      <c r="B683" s="7652" t="s">
        <v>270</v>
      </c>
      <c r="C683" s="7723" t="s">
        <v>262</v>
      </c>
      <c r="D683" s="7563">
        <v>1000000000</v>
      </c>
      <c r="E683" s="7659">
        <v>6.0999999999999999E-2</v>
      </c>
      <c r="F683" s="7563">
        <v>61400000</v>
      </c>
      <c r="G683" s="4944">
        <v>40000000</v>
      </c>
      <c r="H683" s="4944" t="s">
        <v>7013</v>
      </c>
      <c r="I683" s="5020" t="s">
        <v>2927</v>
      </c>
      <c r="J683" s="7563">
        <f>G683+G684</f>
        <v>61400000</v>
      </c>
      <c r="K683" s="7563">
        <f t="shared" si="60"/>
        <v>0</v>
      </c>
      <c r="L683" s="4989"/>
    </row>
    <row r="684" spans="1:12" ht="30" customHeight="1" x14ac:dyDescent="0.2">
      <c r="A684" s="7655"/>
      <c r="B684" s="7653"/>
      <c r="C684" s="7724"/>
      <c r="D684" s="7564"/>
      <c r="E684" s="7660"/>
      <c r="F684" s="7564"/>
      <c r="G684" s="5346">
        <v>21400000</v>
      </c>
      <c r="H684" s="5346" t="s">
        <v>7020</v>
      </c>
      <c r="I684" s="5357" t="s">
        <v>2927</v>
      </c>
      <c r="J684" s="7564"/>
      <c r="K684" s="7564"/>
      <c r="L684" s="5354"/>
    </row>
    <row r="685" spans="1:12" ht="30" customHeight="1" x14ac:dyDescent="0.2">
      <c r="A685" s="7654">
        <v>326</v>
      </c>
      <c r="B685" s="7652" t="s">
        <v>176</v>
      </c>
      <c r="C685" s="7723" t="s">
        <v>1300</v>
      </c>
      <c r="D685" s="7563">
        <v>500000000</v>
      </c>
      <c r="E685" s="7659">
        <v>0.05</v>
      </c>
      <c r="F685" s="7563">
        <f>D685*E685</f>
        <v>25000000</v>
      </c>
      <c r="G685" s="4944">
        <v>4000000</v>
      </c>
      <c r="H685" s="4944" t="s">
        <v>7059</v>
      </c>
      <c r="I685" s="5020" t="s">
        <v>2950</v>
      </c>
      <c r="J685" s="4944">
        <f t="shared" si="59"/>
        <v>4000000</v>
      </c>
      <c r="K685" s="4944">
        <f t="shared" si="60"/>
        <v>21000000</v>
      </c>
      <c r="L685" s="5002"/>
    </row>
    <row r="686" spans="1:12" ht="30" customHeight="1" x14ac:dyDescent="0.2">
      <c r="A686" s="7656"/>
      <c r="B686" s="7665"/>
      <c r="C686" s="7747"/>
      <c r="D686" s="7564"/>
      <c r="E686" s="7660"/>
      <c r="F686" s="7564"/>
      <c r="G686" s="5429"/>
      <c r="H686" s="5429"/>
      <c r="I686" s="5446"/>
      <c r="J686" s="5429"/>
      <c r="K686" s="5429"/>
      <c r="L686" s="5434"/>
    </row>
    <row r="687" spans="1:12" ht="30" customHeight="1" x14ac:dyDescent="0.2">
      <c r="A687" s="7656"/>
      <c r="B687" s="7665"/>
      <c r="C687" s="7747"/>
      <c r="D687" s="7494" t="s">
        <v>7099</v>
      </c>
      <c r="E687" s="7495"/>
      <c r="F687" s="7768"/>
      <c r="G687" s="5429">
        <v>100000000</v>
      </c>
      <c r="H687" s="5429" t="s">
        <v>7096</v>
      </c>
      <c r="I687" s="5446" t="s">
        <v>736</v>
      </c>
      <c r="J687" s="7563">
        <f>G687+G688</f>
        <v>160000000</v>
      </c>
      <c r="K687" s="7563">
        <f>350000000-J687</f>
        <v>190000000</v>
      </c>
      <c r="L687" s="5434"/>
    </row>
    <row r="688" spans="1:12" ht="30" customHeight="1" x14ac:dyDescent="0.2">
      <c r="A688" s="7655"/>
      <c r="B688" s="7653"/>
      <c r="C688" s="7724"/>
      <c r="D688" s="7769"/>
      <c r="E688" s="7805"/>
      <c r="F688" s="7770"/>
      <c r="G688" s="5429">
        <v>60000000</v>
      </c>
      <c r="H688" s="5429" t="s">
        <v>7168</v>
      </c>
      <c r="I688" s="5446" t="s">
        <v>7171</v>
      </c>
      <c r="J688" s="7564"/>
      <c r="K688" s="7564"/>
      <c r="L688" s="5434" t="s">
        <v>7172</v>
      </c>
    </row>
    <row r="689" spans="1:12" ht="30" customHeight="1" x14ac:dyDescent="0.2">
      <c r="A689" s="5014">
        <v>327</v>
      </c>
      <c r="B689" s="4956" t="s">
        <v>1232</v>
      </c>
      <c r="C689" s="4990"/>
      <c r="D689" s="4952">
        <v>60000000</v>
      </c>
      <c r="E689" s="4962">
        <v>0.05</v>
      </c>
      <c r="F689" s="4952">
        <f t="shared" ref="F689:F698" si="61">D689*E689</f>
        <v>3000000</v>
      </c>
      <c r="G689" s="4952"/>
      <c r="H689" s="4952"/>
      <c r="I689" s="5071" t="s">
        <v>1231</v>
      </c>
      <c r="J689" s="4952">
        <f t="shared" si="59"/>
        <v>0</v>
      </c>
      <c r="K689" s="4952">
        <f t="shared" si="60"/>
        <v>3000000</v>
      </c>
      <c r="L689" s="5048"/>
    </row>
    <row r="690" spans="1:12" ht="30" customHeight="1" x14ac:dyDescent="0.2">
      <c r="A690" s="7654">
        <v>328</v>
      </c>
      <c r="B690" s="7652" t="s">
        <v>2675</v>
      </c>
      <c r="C690" s="7723" t="s">
        <v>942</v>
      </c>
      <c r="D690" s="5884">
        <v>900000000</v>
      </c>
      <c r="E690" s="5903">
        <v>0.06</v>
      </c>
      <c r="F690" s="5884">
        <f>D690*E690</f>
        <v>54000000</v>
      </c>
      <c r="G690" s="5089">
        <v>40000000</v>
      </c>
      <c r="H690" s="5089" t="s">
        <v>6773</v>
      </c>
      <c r="I690" s="5099" t="s">
        <v>4147</v>
      </c>
      <c r="J690" s="5089">
        <f>G690</f>
        <v>40000000</v>
      </c>
      <c r="K690" s="5089">
        <f>54000000-14000000-J690</f>
        <v>0</v>
      </c>
      <c r="L690" s="5103" t="s">
        <v>5482</v>
      </c>
    </row>
    <row r="691" spans="1:12" ht="30" customHeight="1" x14ac:dyDescent="0.2">
      <c r="A691" s="7656"/>
      <c r="B691" s="7665"/>
      <c r="C691" s="7747"/>
      <c r="D691" s="5884">
        <v>900000000</v>
      </c>
      <c r="E691" s="5903">
        <v>0.06</v>
      </c>
      <c r="F691" s="5884">
        <f>D691*E691</f>
        <v>54000000</v>
      </c>
      <c r="G691" s="7991" t="s">
        <v>6812</v>
      </c>
      <c r="H691" s="7992"/>
      <c r="I691" s="7992"/>
      <c r="J691" s="7993"/>
      <c r="K691" s="5089"/>
      <c r="L691" s="5104"/>
    </row>
    <row r="692" spans="1:12" ht="30" customHeight="1" x14ac:dyDescent="0.2">
      <c r="A692" s="7656"/>
      <c r="B692" s="7665"/>
      <c r="C692" s="7747"/>
      <c r="D692" s="5887">
        <v>54000000</v>
      </c>
      <c r="E692" s="5889">
        <v>0.06</v>
      </c>
      <c r="F692" s="5884">
        <f t="shared" ref="F692:F693" si="62">D692*E692</f>
        <v>3240000</v>
      </c>
      <c r="G692" s="7997"/>
      <c r="H692" s="7998"/>
      <c r="I692" s="7998"/>
      <c r="J692" s="7999"/>
      <c r="K692" s="5884"/>
      <c r="L692" s="5892"/>
    </row>
    <row r="693" spans="1:12" ht="30" customHeight="1" x14ac:dyDescent="0.2">
      <c r="A693" s="7655"/>
      <c r="B693" s="7653"/>
      <c r="C693" s="7724"/>
      <c r="D693" s="5891">
        <v>954000000</v>
      </c>
      <c r="E693" s="5890">
        <v>0.06</v>
      </c>
      <c r="F693" s="5886">
        <f t="shared" si="62"/>
        <v>57240000</v>
      </c>
      <c r="G693" s="5893"/>
      <c r="H693" s="5894"/>
      <c r="I693" s="5894"/>
      <c r="J693" s="5895"/>
      <c r="K693" s="5884"/>
      <c r="L693" s="5892"/>
    </row>
    <row r="694" spans="1:12" ht="30" customHeight="1" x14ac:dyDescent="0.2">
      <c r="A694" s="4957">
        <v>329</v>
      </c>
      <c r="B694" s="5017" t="s">
        <v>181</v>
      </c>
      <c r="C694" s="378"/>
      <c r="D694" s="4953"/>
      <c r="E694" s="2519"/>
      <c r="F694" s="4953">
        <f t="shared" si="61"/>
        <v>0</v>
      </c>
      <c r="G694" s="4944"/>
      <c r="H694" s="4944"/>
      <c r="I694" s="5020"/>
      <c r="J694" s="4944"/>
      <c r="K694" s="4953">
        <f t="shared" si="60"/>
        <v>0</v>
      </c>
      <c r="L694" s="5005"/>
    </row>
    <row r="695" spans="1:12" ht="30" customHeight="1" x14ac:dyDescent="0.2">
      <c r="A695" s="4970">
        <v>331</v>
      </c>
      <c r="B695" s="4968" t="s">
        <v>339</v>
      </c>
      <c r="C695" s="5016" t="s">
        <v>371</v>
      </c>
      <c r="D695" s="4944">
        <v>290000000</v>
      </c>
      <c r="E695" s="5011">
        <v>0.06</v>
      </c>
      <c r="F695" s="4944">
        <f t="shared" si="61"/>
        <v>17400000</v>
      </c>
      <c r="G695" s="4944">
        <v>17400000</v>
      </c>
      <c r="H695" s="4944" t="s">
        <v>7013</v>
      </c>
      <c r="I695" s="4944" t="s">
        <v>1840</v>
      </c>
      <c r="J695" s="4944">
        <f>G695</f>
        <v>17400000</v>
      </c>
      <c r="K695" s="4944">
        <f t="shared" si="60"/>
        <v>0</v>
      </c>
      <c r="L695" s="5048"/>
    </row>
    <row r="696" spans="1:12" ht="30" customHeight="1" x14ac:dyDescent="0.2">
      <c r="A696" s="7654">
        <v>333</v>
      </c>
      <c r="B696" s="7652" t="s">
        <v>888</v>
      </c>
      <c r="C696" s="7723" t="s">
        <v>889</v>
      </c>
      <c r="D696" s="4952">
        <v>320000000</v>
      </c>
      <c r="E696" s="5011">
        <v>0.05</v>
      </c>
      <c r="F696" s="4952">
        <f t="shared" si="61"/>
        <v>16000000</v>
      </c>
      <c r="G696" s="7563">
        <v>21000000</v>
      </c>
      <c r="H696" s="7563" t="s">
        <v>6785</v>
      </c>
      <c r="I696" s="7561" t="s">
        <v>2864</v>
      </c>
      <c r="J696" s="7482">
        <f>G696</f>
        <v>21000000</v>
      </c>
      <c r="K696" s="7482">
        <f>(F696+F697)-J696</f>
        <v>0</v>
      </c>
      <c r="L696" s="7818"/>
    </row>
    <row r="697" spans="1:12" ht="30" customHeight="1" x14ac:dyDescent="0.2">
      <c r="A697" s="7655"/>
      <c r="B697" s="7653"/>
      <c r="C697" s="7724"/>
      <c r="D697" s="4952">
        <v>100000000</v>
      </c>
      <c r="E697" s="5011">
        <v>0.05</v>
      </c>
      <c r="F697" s="4952">
        <f t="shared" si="61"/>
        <v>5000000</v>
      </c>
      <c r="G697" s="7564"/>
      <c r="H697" s="7564"/>
      <c r="I697" s="7562"/>
      <c r="J697" s="7482"/>
      <c r="K697" s="7482"/>
      <c r="L697" s="7819"/>
    </row>
    <row r="698" spans="1:12" ht="30" customHeight="1" x14ac:dyDescent="0.2">
      <c r="A698" s="4957">
        <v>335</v>
      </c>
      <c r="B698" s="19" t="s">
        <v>1276</v>
      </c>
      <c r="C698" s="5016" t="s">
        <v>889</v>
      </c>
      <c r="D698" s="4952">
        <v>15000000</v>
      </c>
      <c r="E698" s="5011">
        <v>0.05</v>
      </c>
      <c r="F698" s="4952">
        <f t="shared" si="61"/>
        <v>750000</v>
      </c>
      <c r="G698" s="4952">
        <v>750000</v>
      </c>
      <c r="H698" s="4952" t="s">
        <v>6785</v>
      </c>
      <c r="I698" s="5071" t="s">
        <v>6195</v>
      </c>
      <c r="J698" s="4952">
        <f>G698</f>
        <v>750000</v>
      </c>
      <c r="K698" s="4952">
        <f>F698-J698</f>
        <v>0</v>
      </c>
      <c r="L698" s="5048"/>
    </row>
    <row r="699" spans="1:12" ht="30" customHeight="1" x14ac:dyDescent="0.2">
      <c r="A699" s="7654">
        <v>336</v>
      </c>
      <c r="B699" s="7652" t="s">
        <v>2576</v>
      </c>
      <c r="C699" s="7723" t="s">
        <v>889</v>
      </c>
      <c r="D699" s="5465">
        <v>210000000</v>
      </c>
      <c r="E699" s="896">
        <v>0.05</v>
      </c>
      <c r="F699" s="5465">
        <f>D699*E699</f>
        <v>10500000</v>
      </c>
      <c r="G699" s="8105" t="s">
        <v>6812</v>
      </c>
      <c r="H699" s="8106"/>
      <c r="I699" s="8106"/>
      <c r="J699" s="8107"/>
      <c r="K699" s="4952">
        <f>F699-J699</f>
        <v>10500000</v>
      </c>
      <c r="L699" s="5452" t="s">
        <v>7015</v>
      </c>
    </row>
    <row r="700" spans="1:12" ht="30" customHeight="1" x14ac:dyDescent="0.2">
      <c r="A700" s="7656"/>
      <c r="B700" s="7665"/>
      <c r="C700" s="7747"/>
      <c r="D700" s="5349">
        <v>10000000</v>
      </c>
      <c r="E700" s="5356"/>
      <c r="F700" s="5349"/>
      <c r="G700" s="8111"/>
      <c r="H700" s="8112"/>
      <c r="I700" s="8112"/>
      <c r="J700" s="8113"/>
      <c r="K700" s="5349"/>
      <c r="L700" s="5350"/>
    </row>
    <row r="701" spans="1:12" ht="30" customHeight="1" x14ac:dyDescent="0.2">
      <c r="A701" s="7656"/>
      <c r="B701" s="7665"/>
      <c r="C701" s="7747"/>
      <c r="D701" s="4952">
        <v>10000000</v>
      </c>
      <c r="E701" s="5011"/>
      <c r="F701" s="4952"/>
      <c r="G701" s="5919"/>
      <c r="H701" s="5919"/>
      <c r="I701" s="5919"/>
      <c r="J701" s="5919"/>
      <c r="K701" s="4952"/>
      <c r="L701" s="5096" t="s">
        <v>6380</v>
      </c>
    </row>
    <row r="702" spans="1:12" ht="30" customHeight="1" x14ac:dyDescent="0.2">
      <c r="A702" s="7656"/>
      <c r="B702" s="7665"/>
      <c r="C702" s="7747"/>
      <c r="D702" s="4952">
        <v>10000000</v>
      </c>
      <c r="E702" s="5011"/>
      <c r="F702" s="4952"/>
      <c r="G702" s="233"/>
      <c r="H702" s="233"/>
      <c r="I702" s="233"/>
      <c r="J702" s="233"/>
      <c r="K702" s="4952"/>
      <c r="L702" s="5096" t="s">
        <v>6381</v>
      </c>
    </row>
    <row r="703" spans="1:12" ht="30" customHeight="1" x14ac:dyDescent="0.2">
      <c r="A703" s="7656"/>
      <c r="B703" s="7665"/>
      <c r="C703" s="7747"/>
      <c r="D703" s="5349">
        <v>10000000</v>
      </c>
      <c r="E703" s="5356"/>
      <c r="F703" s="5349"/>
      <c r="G703" s="7"/>
      <c r="H703" s="7"/>
      <c r="I703" s="1965"/>
      <c r="J703" s="7"/>
      <c r="K703" s="5349"/>
      <c r="L703" s="5458" t="s">
        <v>7126</v>
      </c>
    </row>
    <row r="704" spans="1:12" ht="30" customHeight="1" x14ac:dyDescent="0.2">
      <c r="A704" s="7656"/>
      <c r="B704" s="7665"/>
      <c r="C704" s="7747"/>
      <c r="D704" s="5349">
        <v>10000000</v>
      </c>
      <c r="E704" s="5356"/>
      <c r="F704" s="5349"/>
      <c r="G704" s="7"/>
      <c r="H704" s="7"/>
      <c r="I704" s="1965"/>
      <c r="J704" s="7"/>
      <c r="K704" s="5349"/>
      <c r="L704" s="5458" t="s">
        <v>7127</v>
      </c>
    </row>
    <row r="705" spans="1:12" ht="30" customHeight="1" x14ac:dyDescent="0.2">
      <c r="A705" s="7656"/>
      <c r="B705" s="7665"/>
      <c r="C705" s="7747"/>
      <c r="D705" s="5349">
        <v>10000000</v>
      </c>
      <c r="E705" s="5356"/>
      <c r="F705" s="5349"/>
      <c r="G705" s="7"/>
      <c r="H705" s="7"/>
      <c r="I705" s="1965"/>
      <c r="J705" s="7"/>
      <c r="K705" s="5349"/>
      <c r="L705" s="5458" t="s">
        <v>7128</v>
      </c>
    </row>
    <row r="706" spans="1:12" ht="30" customHeight="1" x14ac:dyDescent="0.2">
      <c r="A706" s="7656"/>
      <c r="B706" s="7665"/>
      <c r="C706" s="7747"/>
      <c r="D706" s="8026">
        <f>SUM(D700:D705)</f>
        <v>60000000</v>
      </c>
      <c r="E706" s="8028"/>
      <c r="F706" s="8026"/>
      <c r="G706" s="7563">
        <v>4000000</v>
      </c>
      <c r="H706" s="7563" t="s">
        <v>7210</v>
      </c>
      <c r="I706" s="7563" t="s">
        <v>7227</v>
      </c>
      <c r="J706" s="7563">
        <f t="shared" ref="J706" si="63">G706</f>
        <v>4000000</v>
      </c>
      <c r="K706" s="7563"/>
      <c r="L706" s="5358" t="s">
        <v>7016</v>
      </c>
    </row>
    <row r="707" spans="1:12" ht="30" customHeight="1" x14ac:dyDescent="0.2">
      <c r="A707" s="7655"/>
      <c r="B707" s="7653"/>
      <c r="C707" s="7724"/>
      <c r="D707" s="8027"/>
      <c r="E707" s="8029"/>
      <c r="F707" s="8027"/>
      <c r="G707" s="7564"/>
      <c r="H707" s="7564"/>
      <c r="I707" s="7564"/>
      <c r="J707" s="7564"/>
      <c r="K707" s="7564"/>
      <c r="L707" s="5929" t="s">
        <v>7436</v>
      </c>
    </row>
    <row r="708" spans="1:12" ht="30" customHeight="1" x14ac:dyDescent="0.2">
      <c r="A708" s="7654">
        <v>337</v>
      </c>
      <c r="B708" s="7652" t="s">
        <v>1304</v>
      </c>
      <c r="C708" s="7723" t="s">
        <v>889</v>
      </c>
      <c r="D708" s="4952">
        <v>380000000</v>
      </c>
      <c r="E708" s="5011">
        <v>7.0000000000000007E-2</v>
      </c>
      <c r="F708" s="4952">
        <f>D708*E708</f>
        <v>26600000.000000004</v>
      </c>
      <c r="G708" s="7563">
        <v>25000000</v>
      </c>
      <c r="H708" s="7563" t="s">
        <v>6789</v>
      </c>
      <c r="I708" s="7561" t="s">
        <v>4382</v>
      </c>
      <c r="J708" s="7563">
        <f>G708</f>
        <v>25000000</v>
      </c>
      <c r="K708" s="7563">
        <f>F710-J708</f>
        <v>0</v>
      </c>
      <c r="L708" s="5025" t="s">
        <v>5337</v>
      </c>
    </row>
    <row r="709" spans="1:12" ht="30" customHeight="1" x14ac:dyDescent="0.2">
      <c r="A709" s="7656"/>
      <c r="B709" s="7665"/>
      <c r="C709" s="7747"/>
      <c r="D709" s="7470" t="s">
        <v>1236</v>
      </c>
      <c r="E709" s="7493"/>
      <c r="F709" s="7510"/>
      <c r="G709" s="7586"/>
      <c r="H709" s="7586"/>
      <c r="I709" s="7672"/>
      <c r="J709" s="7586"/>
      <c r="K709" s="7586"/>
      <c r="L709" s="5025"/>
    </row>
    <row r="710" spans="1:12" ht="30" customHeight="1" x14ac:dyDescent="0.2">
      <c r="A710" s="7655"/>
      <c r="B710" s="7653"/>
      <c r="C710" s="7724"/>
      <c r="D710" s="5057">
        <v>355000000</v>
      </c>
      <c r="E710" s="896">
        <v>7.0000000000000007E-2</v>
      </c>
      <c r="F710" s="5057">
        <v>25000000</v>
      </c>
      <c r="G710" s="7564"/>
      <c r="H710" s="7564"/>
      <c r="I710" s="7562"/>
      <c r="J710" s="7564"/>
      <c r="K710" s="7564"/>
      <c r="L710" s="5025" t="s">
        <v>6683</v>
      </c>
    </row>
    <row r="711" spans="1:12" ht="30" customHeight="1" x14ac:dyDescent="0.2">
      <c r="A711" s="7654"/>
      <c r="B711" s="7703" t="s">
        <v>1677</v>
      </c>
      <c r="C711" s="7723" t="s">
        <v>889</v>
      </c>
      <c r="D711" s="3251">
        <v>235500000</v>
      </c>
      <c r="E711" s="5011">
        <v>7.0000000000000007E-2</v>
      </c>
      <c r="F711" s="4952">
        <f t="shared" ref="F711:F748" si="64">D711*E711</f>
        <v>16485000.000000002</v>
      </c>
      <c r="G711" s="4943"/>
      <c r="H711" s="4945"/>
      <c r="I711" s="4945"/>
      <c r="J711" s="4945"/>
      <c r="K711" s="1604"/>
      <c r="L711" s="5025" t="s">
        <v>5300</v>
      </c>
    </row>
    <row r="712" spans="1:12" ht="30" customHeight="1" x14ac:dyDescent="0.2">
      <c r="A712" s="7656"/>
      <c r="B712" s="7704"/>
      <c r="C712" s="7747"/>
      <c r="D712" s="3247">
        <v>300000000</v>
      </c>
      <c r="E712" s="3249">
        <v>7.0000000000000007E-2</v>
      </c>
      <c r="F712" s="3247">
        <f t="shared" si="64"/>
        <v>21000000.000000004</v>
      </c>
      <c r="G712" s="7732" t="s">
        <v>5290</v>
      </c>
      <c r="H712" s="7733"/>
      <c r="I712" s="7733"/>
      <c r="J712" s="7733"/>
      <c r="K712" s="7734"/>
      <c r="L712" s="5025"/>
    </row>
    <row r="713" spans="1:12" ht="30" customHeight="1" x14ac:dyDescent="0.2">
      <c r="A713" s="7656"/>
      <c r="B713" s="7704"/>
      <c r="C713" s="7747"/>
      <c r="D713" s="3247">
        <v>30000000</v>
      </c>
      <c r="E713" s="3249">
        <v>7.0000000000000007E-2</v>
      </c>
      <c r="F713" s="3247">
        <f t="shared" si="64"/>
        <v>2100000</v>
      </c>
      <c r="G713" s="7732" t="s">
        <v>5299</v>
      </c>
      <c r="H713" s="7733"/>
      <c r="I713" s="7733"/>
      <c r="J713" s="7733"/>
      <c r="K713" s="7734"/>
      <c r="L713" s="5025"/>
    </row>
    <row r="714" spans="1:12" ht="30" customHeight="1" x14ac:dyDescent="0.2">
      <c r="A714" s="7656"/>
      <c r="B714" s="7704"/>
      <c r="C714" s="7747"/>
      <c r="D714" s="3248">
        <v>20000000</v>
      </c>
      <c r="E714" s="3250">
        <v>7.0000000000000007E-2</v>
      </c>
      <c r="F714" s="3248">
        <f>D714*E714</f>
        <v>1400000.0000000002</v>
      </c>
      <c r="G714" s="7732" t="s">
        <v>5296</v>
      </c>
      <c r="H714" s="7733"/>
      <c r="I714" s="7733"/>
      <c r="J714" s="7733"/>
      <c r="K714" s="7734"/>
      <c r="L714" s="5025"/>
    </row>
    <row r="715" spans="1:12" ht="30" customHeight="1" x14ac:dyDescent="0.2">
      <c r="A715" s="7656"/>
      <c r="B715" s="7704"/>
      <c r="C715" s="7747"/>
      <c r="D715" s="3248">
        <v>12000000</v>
      </c>
      <c r="E715" s="3250">
        <v>7.0000000000000007E-2</v>
      </c>
      <c r="F715" s="3248">
        <f>D715*E715</f>
        <v>840000.00000000012</v>
      </c>
      <c r="G715" s="7732" t="s">
        <v>5291</v>
      </c>
      <c r="H715" s="7733"/>
      <c r="I715" s="7733"/>
      <c r="J715" s="7733"/>
      <c r="K715" s="7734"/>
      <c r="L715" s="5025"/>
    </row>
    <row r="716" spans="1:12" ht="30" customHeight="1" x14ac:dyDescent="0.2">
      <c r="A716" s="7656"/>
      <c r="B716" s="7704"/>
      <c r="C716" s="7747"/>
      <c r="D716" s="4949">
        <f>SUM(D712:D715)</f>
        <v>362000000</v>
      </c>
      <c r="E716" s="4985">
        <v>7.0000000000000007E-2</v>
      </c>
      <c r="F716" s="4949">
        <f>D716*E716</f>
        <v>25340000.000000004</v>
      </c>
      <c r="G716" s="7732" t="s">
        <v>5544</v>
      </c>
      <c r="H716" s="7733"/>
      <c r="I716" s="7733"/>
      <c r="J716" s="7733"/>
      <c r="K716" s="7734"/>
      <c r="L716" s="5025"/>
    </row>
    <row r="717" spans="1:12" ht="30" customHeight="1" x14ac:dyDescent="0.2">
      <c r="A717" s="7656"/>
      <c r="B717" s="7704"/>
      <c r="C717" s="7747"/>
      <c r="D717" s="8015">
        <f>D711+D716</f>
        <v>597500000</v>
      </c>
      <c r="E717" s="8016"/>
      <c r="F717" s="3248">
        <f>F711+F716</f>
        <v>41825000.000000007</v>
      </c>
      <c r="G717" s="4943"/>
      <c r="H717" s="4945"/>
      <c r="I717" s="4945"/>
      <c r="J717" s="4945"/>
      <c r="K717" s="1604"/>
      <c r="L717" s="5025"/>
    </row>
    <row r="718" spans="1:12" ht="30" customHeight="1" x14ac:dyDescent="0.2">
      <c r="A718" s="7656"/>
      <c r="B718" s="7704"/>
      <c r="C718" s="7747"/>
      <c r="D718" s="5061">
        <v>45000000</v>
      </c>
      <c r="E718" s="5026">
        <v>7.0000000000000007E-2</v>
      </c>
      <c r="F718" s="5061">
        <f>D718*E718</f>
        <v>3150000.0000000005</v>
      </c>
      <c r="G718" s="7732" t="s">
        <v>5292</v>
      </c>
      <c r="H718" s="7733"/>
      <c r="I718" s="7733"/>
      <c r="J718" s="7733"/>
      <c r="K718" s="7734"/>
      <c r="L718" s="5025"/>
    </row>
    <row r="719" spans="1:12" ht="30" customHeight="1" x14ac:dyDescent="0.2">
      <c r="A719" s="7656"/>
      <c r="B719" s="7704"/>
      <c r="C719" s="7747"/>
      <c r="D719" s="5061">
        <v>100000000</v>
      </c>
      <c r="E719" s="5026">
        <v>7.0000000000000007E-2</v>
      </c>
      <c r="F719" s="5061">
        <f>D719*E719</f>
        <v>7000000.0000000009</v>
      </c>
      <c r="G719" s="7732" t="s">
        <v>5293</v>
      </c>
      <c r="H719" s="7733"/>
      <c r="I719" s="7733"/>
      <c r="J719" s="7733"/>
      <c r="K719" s="7734"/>
      <c r="L719" s="5025"/>
    </row>
    <row r="720" spans="1:12" ht="30" customHeight="1" x14ac:dyDescent="0.2">
      <c r="A720" s="7656"/>
      <c r="B720" s="7704"/>
      <c r="C720" s="7747"/>
      <c r="D720" s="5061">
        <v>80000000</v>
      </c>
      <c r="E720" s="5026">
        <v>7.0000000000000007E-2</v>
      </c>
      <c r="F720" s="5061">
        <f t="shared" ref="F720:F721" si="65">D720*E720</f>
        <v>5600000.0000000009</v>
      </c>
      <c r="G720" s="7732" t="s">
        <v>5294</v>
      </c>
      <c r="H720" s="7733"/>
      <c r="I720" s="7733"/>
      <c r="J720" s="7733"/>
      <c r="K720" s="7734"/>
      <c r="L720" s="5025"/>
    </row>
    <row r="721" spans="1:12" ht="30" customHeight="1" x14ac:dyDescent="0.2">
      <c r="A721" s="7656"/>
      <c r="B721" s="7704"/>
      <c r="C721" s="7747"/>
      <c r="D721" s="5061">
        <v>55000000</v>
      </c>
      <c r="E721" s="5026">
        <v>7.0000000000000007E-2</v>
      </c>
      <c r="F721" s="5061">
        <f t="shared" si="65"/>
        <v>3850000.0000000005</v>
      </c>
      <c r="G721" s="7732" t="s">
        <v>5295</v>
      </c>
      <c r="H721" s="7733"/>
      <c r="I721" s="7733"/>
      <c r="J721" s="7733"/>
      <c r="K721" s="7734"/>
      <c r="L721" s="5025"/>
    </row>
    <row r="722" spans="1:12" ht="30" customHeight="1" x14ac:dyDescent="0.2">
      <c r="A722" s="7656"/>
      <c r="B722" s="7704"/>
      <c r="C722" s="7747"/>
      <c r="D722" s="7858">
        <f>D717+D718+D719+D720+D721</f>
        <v>877500000</v>
      </c>
      <c r="E722" s="7860"/>
      <c r="F722" s="5061">
        <f>F717+F718+F719+F720+F721</f>
        <v>61425000.000000007</v>
      </c>
      <c r="G722" s="7806" t="s">
        <v>3673</v>
      </c>
      <c r="H722" s="7807"/>
      <c r="I722" s="7807"/>
      <c r="J722" s="7807"/>
      <c r="K722" s="7808"/>
      <c r="L722" s="5025"/>
    </row>
    <row r="723" spans="1:12" ht="30" customHeight="1" x14ac:dyDescent="0.2">
      <c r="A723" s="7656"/>
      <c r="B723" s="7704"/>
      <c r="C723" s="7747"/>
      <c r="D723" s="5067">
        <v>150000000</v>
      </c>
      <c r="E723" s="5044">
        <v>7.0000000000000007E-2</v>
      </c>
      <c r="F723" s="5067">
        <f>D723*E723</f>
        <v>10500000.000000002</v>
      </c>
      <c r="G723" s="7732" t="s">
        <v>5298</v>
      </c>
      <c r="H723" s="7733"/>
      <c r="I723" s="7733"/>
      <c r="J723" s="7733"/>
      <c r="K723" s="7734"/>
      <c r="L723" s="5025"/>
    </row>
    <row r="724" spans="1:12" ht="30" customHeight="1" x14ac:dyDescent="0.2">
      <c r="A724" s="7656"/>
      <c r="B724" s="7704"/>
      <c r="C724" s="7747"/>
      <c r="D724" s="5067">
        <v>100000000</v>
      </c>
      <c r="E724" s="5044">
        <v>7.0000000000000007E-2</v>
      </c>
      <c r="F724" s="5067">
        <f>D724*E724</f>
        <v>7000000.0000000009</v>
      </c>
      <c r="G724" s="7732" t="s">
        <v>5297</v>
      </c>
      <c r="H724" s="7733"/>
      <c r="I724" s="7733"/>
      <c r="J724" s="7733"/>
      <c r="K724" s="7734"/>
      <c r="L724" s="5025"/>
    </row>
    <row r="725" spans="1:12" ht="30" customHeight="1" x14ac:dyDescent="0.2">
      <c r="A725" s="7656"/>
      <c r="B725" s="7704"/>
      <c r="C725" s="7747"/>
      <c r="D725" s="8004">
        <f>D722+D723+D724</f>
        <v>1127500000</v>
      </c>
      <c r="E725" s="8005"/>
      <c r="F725" s="5067">
        <f>F722+F723+F724</f>
        <v>78925000.000000015</v>
      </c>
      <c r="G725" s="8085" t="s">
        <v>3882</v>
      </c>
      <c r="H725" s="8086"/>
      <c r="I725" s="8086"/>
      <c r="J725" s="8086"/>
      <c r="K725" s="8087"/>
      <c r="L725" s="5025"/>
    </row>
    <row r="726" spans="1:12" ht="30" customHeight="1" x14ac:dyDescent="0.2">
      <c r="A726" s="7656"/>
      <c r="B726" s="7704"/>
      <c r="C726" s="7747"/>
      <c r="D726" s="5037">
        <v>70000000</v>
      </c>
      <c r="E726" s="3245">
        <v>7.0000000000000007E-2</v>
      </c>
      <c r="F726" s="5037">
        <f>D726*E726</f>
        <v>4900000.0000000009</v>
      </c>
      <c r="G726" s="7732" t="s">
        <v>5543</v>
      </c>
      <c r="H726" s="7733"/>
      <c r="I726" s="7733"/>
      <c r="J726" s="7733"/>
      <c r="K726" s="7734"/>
      <c r="L726" s="5025"/>
    </row>
    <row r="727" spans="1:12" ht="30" customHeight="1" x14ac:dyDescent="0.2">
      <c r="A727" s="7656"/>
      <c r="B727" s="7704"/>
      <c r="C727" s="7747"/>
      <c r="D727" s="7883">
        <f>D725+D726</f>
        <v>1197500000</v>
      </c>
      <c r="E727" s="7884"/>
      <c r="F727" s="5037">
        <f>F725+F726</f>
        <v>83825000.000000015</v>
      </c>
      <c r="G727" s="8255" t="s">
        <v>4366</v>
      </c>
      <c r="H727" s="8256"/>
      <c r="I727" s="8256"/>
      <c r="J727" s="8256"/>
      <c r="K727" s="8257"/>
      <c r="L727" s="5025"/>
    </row>
    <row r="728" spans="1:12" ht="30" customHeight="1" x14ac:dyDescent="0.2">
      <c r="A728" s="7656"/>
      <c r="B728" s="7704"/>
      <c r="C728" s="7747"/>
      <c r="D728" s="3239">
        <v>79115000</v>
      </c>
      <c r="E728" s="3246">
        <v>7.0000000000000007E-2</v>
      </c>
      <c r="F728" s="3239">
        <f>D728*E728</f>
        <v>5538050.0000000009</v>
      </c>
      <c r="G728" s="7732" t="s">
        <v>4974</v>
      </c>
      <c r="H728" s="7733"/>
      <c r="I728" s="7733"/>
      <c r="J728" s="7733"/>
      <c r="K728" s="7734"/>
      <c r="L728" s="5025"/>
    </row>
    <row r="729" spans="1:12" ht="30" customHeight="1" x14ac:dyDescent="0.2">
      <c r="A729" s="7656"/>
      <c r="B729" s="7704"/>
      <c r="C729" s="7747"/>
      <c r="D729" s="3239">
        <v>100000000</v>
      </c>
      <c r="E729" s="3246">
        <v>7.0000000000000007E-2</v>
      </c>
      <c r="F729" s="3239">
        <f>D729*E729</f>
        <v>7000000.0000000009</v>
      </c>
      <c r="G729" s="7732" t="s">
        <v>4973</v>
      </c>
      <c r="H729" s="7733"/>
      <c r="I729" s="7733"/>
      <c r="J729" s="7733"/>
      <c r="K729" s="7734"/>
      <c r="L729" s="5025"/>
    </row>
    <row r="730" spans="1:12" ht="30" customHeight="1" x14ac:dyDescent="0.2">
      <c r="A730" s="7656"/>
      <c r="B730" s="7704"/>
      <c r="C730" s="7747"/>
      <c r="D730" s="3239">
        <f>71051000-166000</f>
        <v>70885000</v>
      </c>
      <c r="E730" s="3246">
        <v>7.0000000000000007E-2</v>
      </c>
      <c r="F730" s="3239">
        <f>D730*E730</f>
        <v>4961950.0000000009</v>
      </c>
      <c r="G730" s="8099" t="s">
        <v>5165</v>
      </c>
      <c r="H730" s="8100"/>
      <c r="I730" s="8100"/>
      <c r="J730" s="8100"/>
      <c r="K730" s="8101"/>
      <c r="L730" s="5025"/>
    </row>
    <row r="731" spans="1:12" ht="30" customHeight="1" x14ac:dyDescent="0.2">
      <c r="A731" s="7656"/>
      <c r="B731" s="7704"/>
      <c r="C731" s="7747"/>
      <c r="D731" s="3239">
        <v>100000000</v>
      </c>
      <c r="E731" s="3240">
        <v>7.0000000000000007E-2</v>
      </c>
      <c r="F731" s="3239">
        <f>D731*E731</f>
        <v>7000000.0000000009</v>
      </c>
      <c r="G731" s="7732" t="s">
        <v>5018</v>
      </c>
      <c r="H731" s="7733"/>
      <c r="I731" s="7733"/>
      <c r="J731" s="7733"/>
      <c r="K731" s="7734"/>
      <c r="L731" s="5025"/>
    </row>
    <row r="732" spans="1:12" ht="30" customHeight="1" x14ac:dyDescent="0.2">
      <c r="A732" s="7656"/>
      <c r="B732" s="7704"/>
      <c r="C732" s="7747"/>
      <c r="D732" s="8350">
        <f>D727+D728+D729+D730+D731</f>
        <v>1547500000</v>
      </c>
      <c r="E732" s="8351"/>
      <c r="F732" s="8326">
        <f>F727+F728+F729+F730+F731</f>
        <v>108325000.00000001</v>
      </c>
      <c r="G732" s="8258" t="s">
        <v>4975</v>
      </c>
      <c r="H732" s="8259"/>
      <c r="I732" s="8259"/>
      <c r="J732" s="8259"/>
      <c r="K732" s="8260"/>
      <c r="L732" s="1540" t="s">
        <v>4976</v>
      </c>
    </row>
    <row r="733" spans="1:12" ht="30" customHeight="1" x14ac:dyDescent="0.2">
      <c r="A733" s="7656"/>
      <c r="B733" s="7704"/>
      <c r="C733" s="7747"/>
      <c r="D733" s="8352"/>
      <c r="E733" s="8353"/>
      <c r="F733" s="8327"/>
      <c r="G733" s="4943"/>
      <c r="H733" s="7482"/>
      <c r="I733" s="7494" t="s">
        <v>1720</v>
      </c>
      <c r="J733" s="7482">
        <f>G733+G734</f>
        <v>0</v>
      </c>
      <c r="K733" s="7563">
        <f>F732-G733</f>
        <v>108325000.00000001</v>
      </c>
      <c r="L733" s="3824" t="s">
        <v>4906</v>
      </c>
    </row>
    <row r="734" spans="1:12" ht="30" customHeight="1" x14ac:dyDescent="0.2">
      <c r="A734" s="7656"/>
      <c r="B734" s="7704"/>
      <c r="C734" s="7747"/>
      <c r="D734" s="8354"/>
      <c r="E734" s="8355"/>
      <c r="F734" s="8328"/>
      <c r="G734" s="4943"/>
      <c r="H734" s="7482"/>
      <c r="I734" s="7769"/>
      <c r="J734" s="7482"/>
      <c r="K734" s="7564"/>
      <c r="L734" s="3824"/>
    </row>
    <row r="735" spans="1:12" ht="30" customHeight="1" x14ac:dyDescent="0.2">
      <c r="A735" s="7656"/>
      <c r="B735" s="7704"/>
      <c r="C735" s="7747"/>
      <c r="D735" s="3826">
        <v>70000000</v>
      </c>
      <c r="E735" s="5074">
        <v>7.0000000000000007E-2</v>
      </c>
      <c r="F735" s="3826">
        <f t="shared" ref="F735:F742" si="66">D735*E735</f>
        <v>4900000.0000000009</v>
      </c>
      <c r="G735" s="7732" t="s">
        <v>5542</v>
      </c>
      <c r="H735" s="7733"/>
      <c r="I735" s="7733"/>
      <c r="J735" s="7733"/>
      <c r="K735" s="7734"/>
      <c r="L735" s="3824"/>
    </row>
    <row r="736" spans="1:12" ht="30" customHeight="1" x14ac:dyDescent="0.2">
      <c r="A736" s="7656"/>
      <c r="B736" s="7704"/>
      <c r="C736" s="7747"/>
      <c r="D736" s="3826">
        <v>34000000</v>
      </c>
      <c r="E736" s="3948">
        <v>7.0000000000000007E-2</v>
      </c>
      <c r="F736" s="3826">
        <f t="shared" si="66"/>
        <v>2380000</v>
      </c>
      <c r="G736" s="7732" t="s">
        <v>5669</v>
      </c>
      <c r="H736" s="7733"/>
      <c r="I736" s="7733"/>
      <c r="J736" s="7733"/>
      <c r="K736" s="7734"/>
      <c r="L736" s="3824"/>
    </row>
    <row r="737" spans="1:17" ht="30" customHeight="1" x14ac:dyDescent="0.2">
      <c r="A737" s="7656"/>
      <c r="B737" s="7704"/>
      <c r="C737" s="7747"/>
      <c r="D737" s="3826">
        <v>100000000</v>
      </c>
      <c r="E737" s="295">
        <v>7.0000000000000007E-2</v>
      </c>
      <c r="F737" s="3826">
        <f t="shared" si="66"/>
        <v>7000000.0000000009</v>
      </c>
      <c r="G737" s="7732" t="s">
        <v>5670</v>
      </c>
      <c r="H737" s="7733"/>
      <c r="I737" s="7733"/>
      <c r="J737" s="7733"/>
      <c r="K737" s="7734"/>
      <c r="L737" s="3824"/>
    </row>
    <row r="738" spans="1:17" ht="30" customHeight="1" x14ac:dyDescent="0.2">
      <c r="A738" s="7656"/>
      <c r="B738" s="7704"/>
      <c r="C738" s="7747"/>
      <c r="D738" s="3826">
        <v>66000000</v>
      </c>
      <c r="E738" s="295">
        <v>7.0000000000000007E-2</v>
      </c>
      <c r="F738" s="3826">
        <f t="shared" si="66"/>
        <v>4620000</v>
      </c>
      <c r="G738" s="7732" t="s">
        <v>5672</v>
      </c>
      <c r="H738" s="7733"/>
      <c r="I738" s="7733"/>
      <c r="J738" s="7733"/>
      <c r="K738" s="7734"/>
      <c r="L738" s="3824"/>
    </row>
    <row r="739" spans="1:17" ht="30" customHeight="1" x14ac:dyDescent="0.2">
      <c r="A739" s="7656"/>
      <c r="B739" s="7704"/>
      <c r="C739" s="7747"/>
      <c r="D739" s="3826">
        <v>100000000</v>
      </c>
      <c r="E739" s="295">
        <v>7.0000000000000007E-2</v>
      </c>
      <c r="F739" s="3826">
        <f t="shared" si="66"/>
        <v>7000000.0000000009</v>
      </c>
      <c r="G739" s="7732" t="s">
        <v>5671</v>
      </c>
      <c r="H739" s="7733"/>
      <c r="I739" s="7733"/>
      <c r="J739" s="7733"/>
      <c r="K739" s="7734"/>
      <c r="L739" s="3824"/>
    </row>
    <row r="740" spans="1:17" ht="30" customHeight="1" x14ac:dyDescent="0.2">
      <c r="A740" s="7656"/>
      <c r="B740" s="7704"/>
      <c r="C740" s="7747"/>
      <c r="D740" s="3826">
        <v>100000000</v>
      </c>
      <c r="E740" s="295">
        <v>7.0000000000000007E-2</v>
      </c>
      <c r="F740" s="3826">
        <f t="shared" si="66"/>
        <v>7000000.0000000009</v>
      </c>
      <c r="G740" s="7732" t="s">
        <v>5673</v>
      </c>
      <c r="H740" s="7733"/>
      <c r="I740" s="7733"/>
      <c r="J740" s="7733"/>
      <c r="K740" s="7734"/>
      <c r="L740" s="3824"/>
    </row>
    <row r="741" spans="1:17" ht="30" customHeight="1" x14ac:dyDescent="0.2">
      <c r="A741" s="7656"/>
      <c r="B741" s="7704"/>
      <c r="C741" s="7747"/>
      <c r="D741" s="3826">
        <v>100000000</v>
      </c>
      <c r="E741" s="295">
        <v>7.0000000000000007E-2</v>
      </c>
      <c r="F741" s="3826">
        <f t="shared" si="66"/>
        <v>7000000.0000000009</v>
      </c>
      <c r="G741" s="7732" t="s">
        <v>5673</v>
      </c>
      <c r="H741" s="7733"/>
      <c r="I741" s="7733"/>
      <c r="J741" s="7733"/>
      <c r="K741" s="7734"/>
      <c r="L741" s="3824"/>
    </row>
    <row r="742" spans="1:17" ht="30" customHeight="1" x14ac:dyDescent="0.2">
      <c r="A742" s="7656"/>
      <c r="B742" s="7704"/>
      <c r="C742" s="7747"/>
      <c r="D742" s="3826">
        <v>100000000</v>
      </c>
      <c r="E742" s="3949">
        <v>7.0000000000000007E-2</v>
      </c>
      <c r="F742" s="3826">
        <f t="shared" si="66"/>
        <v>7000000.0000000009</v>
      </c>
      <c r="G742" s="7732" t="s">
        <v>5674</v>
      </c>
      <c r="H742" s="7733"/>
      <c r="I742" s="7733"/>
      <c r="J742" s="7733"/>
      <c r="K742" s="7734"/>
      <c r="L742" s="3824"/>
    </row>
    <row r="743" spans="1:17" ht="30" customHeight="1" x14ac:dyDescent="0.2">
      <c r="A743" s="7656"/>
      <c r="B743" s="7704"/>
      <c r="C743" s="7747"/>
      <c r="D743" s="8248">
        <f>D732+D735+D736+D737+D738+D739+D740+D741+D742</f>
        <v>2217500000</v>
      </c>
      <c r="E743" s="8249"/>
      <c r="F743" s="3826">
        <f>F732+F735+F736+F737+F738+F739+F740+F741+F742</f>
        <v>155225000.00000003</v>
      </c>
      <c r="G743" s="4944"/>
      <c r="H743" s="4944"/>
      <c r="I743" s="4944" t="s">
        <v>1720</v>
      </c>
      <c r="J743" s="4944">
        <f>G743</f>
        <v>0</v>
      </c>
      <c r="K743" s="4944">
        <f>F743-J743</f>
        <v>155225000.00000003</v>
      </c>
      <c r="L743" s="3825"/>
    </row>
    <row r="744" spans="1:17" ht="30" customHeight="1" x14ac:dyDescent="0.2">
      <c r="A744" s="7656"/>
      <c r="B744" s="7704"/>
      <c r="C744" s="7747"/>
      <c r="D744" s="4944">
        <v>105500000</v>
      </c>
      <c r="E744" s="5011">
        <v>7.0000000000000007E-2</v>
      </c>
      <c r="F744" s="4944">
        <f>D744*E744</f>
        <v>7385000.0000000009</v>
      </c>
      <c r="G744" s="7732" t="s">
        <v>6309</v>
      </c>
      <c r="H744" s="7733"/>
      <c r="I744" s="7733"/>
      <c r="J744" s="7734"/>
      <c r="K744" s="4944"/>
      <c r="L744" s="3825"/>
    </row>
    <row r="745" spans="1:17" ht="30" customHeight="1" x14ac:dyDescent="0.2">
      <c r="A745" s="7656"/>
      <c r="B745" s="7704"/>
      <c r="C745" s="7747"/>
      <c r="D745" s="4944">
        <v>130000000</v>
      </c>
      <c r="E745" s="5011">
        <v>7.0000000000000007E-2</v>
      </c>
      <c r="F745" s="4944">
        <f>D745*E745</f>
        <v>9100000</v>
      </c>
      <c r="G745" s="7732" t="s">
        <v>6310</v>
      </c>
      <c r="H745" s="7733"/>
      <c r="I745" s="7733"/>
      <c r="J745" s="7733"/>
      <c r="K745" s="7734"/>
      <c r="L745" s="3825"/>
    </row>
    <row r="746" spans="1:17" ht="30" customHeight="1" x14ac:dyDescent="0.2">
      <c r="A746" s="7656"/>
      <c r="B746" s="7704"/>
      <c r="C746" s="7747"/>
      <c r="D746" s="8545">
        <f>D743+D744+D745</f>
        <v>2453000000</v>
      </c>
      <c r="E746" s="8546"/>
      <c r="F746" s="8026">
        <f>D746*0.07</f>
        <v>171710000.00000003</v>
      </c>
      <c r="G746" s="5138">
        <v>71710000</v>
      </c>
      <c r="H746" s="5138" t="s">
        <v>6792</v>
      </c>
      <c r="I746" s="5138" t="s">
        <v>1720</v>
      </c>
      <c r="J746" s="7563">
        <f>G746+G747</f>
        <v>171710000</v>
      </c>
      <c r="K746" s="7563">
        <f>F746-J746</f>
        <v>0</v>
      </c>
      <c r="L746" s="3825"/>
    </row>
    <row r="747" spans="1:17" ht="30" customHeight="1" x14ac:dyDescent="0.2">
      <c r="A747" s="7655"/>
      <c r="B747" s="7705"/>
      <c r="C747" s="7724"/>
      <c r="D747" s="8547"/>
      <c r="E747" s="8548"/>
      <c r="F747" s="8027"/>
      <c r="G747" s="5148">
        <v>100000000</v>
      </c>
      <c r="H747" s="5148" t="s">
        <v>6800</v>
      </c>
      <c r="I747" s="5148" t="s">
        <v>1720</v>
      </c>
      <c r="J747" s="7564"/>
      <c r="K747" s="7564"/>
      <c r="L747" s="3825"/>
    </row>
    <row r="748" spans="1:17" ht="30" customHeight="1" x14ac:dyDescent="0.2">
      <c r="A748" s="4971">
        <v>339</v>
      </c>
      <c r="B748" s="5018" t="s">
        <v>170</v>
      </c>
      <c r="C748" s="4990" t="s">
        <v>1306</v>
      </c>
      <c r="D748" s="4944">
        <v>200000000</v>
      </c>
      <c r="E748" s="5011">
        <v>7.0000000000000007E-2</v>
      </c>
      <c r="F748" s="4944">
        <f t="shared" si="64"/>
        <v>14000000.000000002</v>
      </c>
      <c r="G748" s="233"/>
      <c r="H748" s="233"/>
      <c r="I748" s="1388"/>
      <c r="J748" s="233"/>
      <c r="K748" s="387"/>
      <c r="L748" s="5039"/>
      <c r="M748" s="386"/>
      <c r="N748" s="386"/>
      <c r="O748" s="386"/>
      <c r="P748" s="386"/>
      <c r="Q748" s="386"/>
    </row>
    <row r="749" spans="1:17" ht="30" customHeight="1" x14ac:dyDescent="0.2">
      <c r="A749" s="1028"/>
      <c r="B749" s="19" t="s">
        <v>67</v>
      </c>
      <c r="C749" s="5016" t="s">
        <v>1138</v>
      </c>
      <c r="D749" s="4952">
        <v>111000000</v>
      </c>
      <c r="E749" s="5011">
        <v>0.05</v>
      </c>
      <c r="F749" s="4952">
        <v>6000000</v>
      </c>
      <c r="G749" s="4944"/>
      <c r="H749" s="4944"/>
      <c r="I749" s="4944" t="s">
        <v>1720</v>
      </c>
      <c r="J749" s="4944">
        <f>G749</f>
        <v>0</v>
      </c>
      <c r="K749" s="5008">
        <f>F749-J749</f>
        <v>6000000</v>
      </c>
      <c r="L749" s="5039"/>
      <c r="M749" s="5039"/>
      <c r="N749" s="5039"/>
      <c r="O749" s="5039"/>
      <c r="P749" s="386"/>
      <c r="Q749" s="386"/>
    </row>
    <row r="750" spans="1:17" ht="30" customHeight="1" x14ac:dyDescent="0.2">
      <c r="A750" s="5014">
        <v>341</v>
      </c>
      <c r="B750" s="4968" t="s">
        <v>1357</v>
      </c>
      <c r="C750" s="5016" t="s">
        <v>889</v>
      </c>
      <c r="D750" s="4944">
        <v>150000000</v>
      </c>
      <c r="E750" s="5011">
        <f>F750/D750</f>
        <v>4.6666666666666669E-2</v>
      </c>
      <c r="F750" s="4944">
        <v>7000000</v>
      </c>
      <c r="G750" s="4952">
        <v>7000000</v>
      </c>
      <c r="H750" s="4952" t="s">
        <v>3788</v>
      </c>
      <c r="I750" s="4999" t="s">
        <v>4842</v>
      </c>
      <c r="J750" s="4944">
        <f>G750</f>
        <v>7000000</v>
      </c>
      <c r="K750" s="4948">
        <f>F750-J750</f>
        <v>0</v>
      </c>
      <c r="L750" s="5039"/>
      <c r="M750" s="386"/>
      <c r="N750" s="386"/>
      <c r="O750" s="386"/>
      <c r="P750" s="386"/>
      <c r="Q750" s="386"/>
    </row>
    <row r="751" spans="1:17" ht="30" customHeight="1" x14ac:dyDescent="0.2">
      <c r="A751" s="4957">
        <v>342</v>
      </c>
      <c r="B751" s="5017" t="s">
        <v>71</v>
      </c>
      <c r="C751" s="4989" t="s">
        <v>2363</v>
      </c>
      <c r="D751" s="4952">
        <v>70000000</v>
      </c>
      <c r="E751" s="5011">
        <v>0.05</v>
      </c>
      <c r="F751" s="4952">
        <f>D751*E751</f>
        <v>3500000</v>
      </c>
      <c r="G751" s="4952">
        <v>3500000</v>
      </c>
      <c r="H751" s="4952" t="s">
        <v>3788</v>
      </c>
      <c r="I751" s="4999" t="s">
        <v>6769</v>
      </c>
      <c r="J751" s="4952">
        <f t="shared" ref="J751:J774" si="67">G751</f>
        <v>3500000</v>
      </c>
      <c r="K751" s="5008">
        <f>F751-J751</f>
        <v>0</v>
      </c>
      <c r="L751" s="5039"/>
      <c r="M751" s="386"/>
      <c r="N751" s="386"/>
      <c r="O751" s="386"/>
      <c r="P751" s="386"/>
      <c r="Q751" s="386"/>
    </row>
    <row r="752" spans="1:17" ht="30" customHeight="1" x14ac:dyDescent="0.2">
      <c r="A752" s="1028">
        <v>343</v>
      </c>
      <c r="B752" s="19" t="s">
        <v>1365</v>
      </c>
      <c r="C752" s="5016" t="s">
        <v>1796</v>
      </c>
      <c r="D752" s="4944">
        <v>8000000</v>
      </c>
      <c r="E752" s="5011">
        <v>0.04</v>
      </c>
      <c r="F752" s="4944">
        <f>D752*E752</f>
        <v>320000</v>
      </c>
      <c r="G752" s="4944"/>
      <c r="H752" s="4944"/>
      <c r="I752" s="4944" t="s">
        <v>1366</v>
      </c>
      <c r="J752" s="4944">
        <f t="shared" si="67"/>
        <v>0</v>
      </c>
      <c r="K752" s="4948">
        <f>F752-J752</f>
        <v>320000</v>
      </c>
      <c r="L752" s="5027"/>
      <c r="M752" s="386"/>
      <c r="N752" s="386"/>
      <c r="O752" s="386"/>
      <c r="P752" s="386"/>
      <c r="Q752" s="386"/>
    </row>
    <row r="753" spans="1:17" ht="30" customHeight="1" x14ac:dyDescent="0.2">
      <c r="A753" s="7654"/>
      <c r="B753" s="7652" t="s">
        <v>6727</v>
      </c>
      <c r="C753" s="7723"/>
      <c r="D753" s="7563">
        <v>20000000</v>
      </c>
      <c r="E753" s="7659">
        <v>0.05</v>
      </c>
      <c r="F753" s="7563">
        <f>D753*E753</f>
        <v>1000000</v>
      </c>
      <c r="G753" s="7732" t="s">
        <v>6726</v>
      </c>
      <c r="H753" s="7733"/>
      <c r="I753" s="7733"/>
      <c r="J753" s="7734"/>
      <c r="K753" s="5008"/>
      <c r="L753" s="5027" t="s">
        <v>6731</v>
      </c>
      <c r="M753" s="386"/>
      <c r="N753" s="386"/>
      <c r="O753" s="386"/>
      <c r="P753" s="386"/>
      <c r="Q753" s="386"/>
    </row>
    <row r="754" spans="1:17" ht="30" customHeight="1" x14ac:dyDescent="0.2">
      <c r="A754" s="7656"/>
      <c r="B754" s="7665"/>
      <c r="C754" s="7747"/>
      <c r="D754" s="7586"/>
      <c r="E754" s="7676"/>
      <c r="F754" s="7586"/>
      <c r="G754" s="7732" t="s">
        <v>7055</v>
      </c>
      <c r="H754" s="7733"/>
      <c r="I754" s="7733"/>
      <c r="J754" s="7734"/>
      <c r="K754" s="5390"/>
      <c r="L754" s="5388"/>
      <c r="M754" s="386"/>
      <c r="N754" s="386"/>
      <c r="O754" s="386"/>
      <c r="P754" s="386"/>
      <c r="Q754" s="386"/>
    </row>
    <row r="755" spans="1:17" ht="30" customHeight="1" x14ac:dyDescent="0.2">
      <c r="A755" s="7655"/>
      <c r="B755" s="7653"/>
      <c r="C755" s="7724"/>
      <c r="D755" s="7564"/>
      <c r="E755" s="7660"/>
      <c r="F755" s="7564"/>
      <c r="G755" s="5427">
        <v>1000000</v>
      </c>
      <c r="H755" s="5427" t="s">
        <v>7088</v>
      </c>
      <c r="I755" s="5427" t="s">
        <v>7092</v>
      </c>
      <c r="J755" s="5427">
        <f>G755</f>
        <v>1000000</v>
      </c>
      <c r="K755" s="5438">
        <f>F753-J755</f>
        <v>0</v>
      </c>
      <c r="L755" s="5437"/>
      <c r="M755" s="386"/>
      <c r="N755" s="386"/>
      <c r="O755" s="386"/>
      <c r="P755" s="386"/>
      <c r="Q755" s="386"/>
    </row>
    <row r="756" spans="1:17" ht="30" customHeight="1" x14ac:dyDescent="0.2">
      <c r="A756" s="4959">
        <v>344</v>
      </c>
      <c r="B756" s="4956" t="s">
        <v>1373</v>
      </c>
      <c r="C756" s="4990"/>
      <c r="D756" s="5271">
        <v>50000000</v>
      </c>
      <c r="E756" s="5276"/>
      <c r="F756" s="5271"/>
      <c r="G756" s="4952"/>
      <c r="H756" s="4952"/>
      <c r="I756" s="4999" t="s">
        <v>5436</v>
      </c>
      <c r="J756" s="4952">
        <f t="shared" si="67"/>
        <v>0</v>
      </c>
      <c r="K756" s="5009">
        <f>F756-J756</f>
        <v>0</v>
      </c>
      <c r="L756" s="5039" t="s">
        <v>6913</v>
      </c>
      <c r="M756" s="386"/>
      <c r="N756" s="386"/>
      <c r="O756" s="386"/>
      <c r="P756" s="386"/>
      <c r="Q756" s="386"/>
    </row>
    <row r="757" spans="1:17" ht="30" customHeight="1" x14ac:dyDescent="0.2">
      <c r="A757" s="4959">
        <v>345</v>
      </c>
      <c r="B757" s="4956" t="s">
        <v>2080</v>
      </c>
      <c r="C757" s="4990" t="s">
        <v>1299</v>
      </c>
      <c r="D757" s="4952">
        <v>60000000</v>
      </c>
      <c r="E757" s="5011">
        <v>7.0000000000000007E-2</v>
      </c>
      <c r="F757" s="4952">
        <f>D757*E757</f>
        <v>4200000</v>
      </c>
      <c r="G757" s="4952"/>
      <c r="H757" s="4952"/>
      <c r="I757" s="4999" t="s">
        <v>4126</v>
      </c>
      <c r="J757" s="4952">
        <f t="shared" si="67"/>
        <v>0</v>
      </c>
      <c r="K757" s="5008">
        <f>G757-J757</f>
        <v>0</v>
      </c>
      <c r="L757" s="5039"/>
      <c r="M757" s="386"/>
      <c r="N757" s="386"/>
      <c r="O757" s="386"/>
      <c r="P757" s="386"/>
      <c r="Q757" s="386"/>
    </row>
    <row r="758" spans="1:17" ht="30" customHeight="1" x14ac:dyDescent="0.2">
      <c r="A758" s="4959">
        <v>346</v>
      </c>
      <c r="B758" s="4956" t="s">
        <v>1380</v>
      </c>
      <c r="C758" s="4990" t="s">
        <v>1172</v>
      </c>
      <c r="D758" s="4952">
        <v>5000000</v>
      </c>
      <c r="E758" s="5011">
        <v>0.05</v>
      </c>
      <c r="F758" s="4952">
        <f>D758*E758</f>
        <v>250000</v>
      </c>
      <c r="G758" s="4952">
        <v>250000</v>
      </c>
      <c r="H758" s="4952" t="s">
        <v>7010</v>
      </c>
      <c r="I758" s="4999" t="s">
        <v>1381</v>
      </c>
      <c r="J758" s="4952">
        <f t="shared" si="67"/>
        <v>250000</v>
      </c>
      <c r="K758" s="5008">
        <f t="shared" ref="K758:K769" si="68">F758-J758</f>
        <v>0</v>
      </c>
      <c r="L758" s="5039"/>
      <c r="M758" s="386"/>
      <c r="N758" s="386"/>
      <c r="O758" s="386"/>
      <c r="P758" s="386"/>
      <c r="Q758" s="386"/>
    </row>
    <row r="759" spans="1:17" ht="30" customHeight="1" x14ac:dyDescent="0.2">
      <c r="A759" s="5014">
        <v>347</v>
      </c>
      <c r="B759" s="4968" t="s">
        <v>178</v>
      </c>
      <c r="C759" s="5016" t="s">
        <v>1796</v>
      </c>
      <c r="D759" s="4944">
        <v>130000000</v>
      </c>
      <c r="E759" s="5011">
        <v>0.05</v>
      </c>
      <c r="F759" s="4944">
        <f>D759*E759</f>
        <v>6500000</v>
      </c>
      <c r="G759" s="4952"/>
      <c r="H759" s="4952"/>
      <c r="I759" s="4999" t="s">
        <v>3951</v>
      </c>
      <c r="J759" s="4952">
        <f t="shared" si="67"/>
        <v>0</v>
      </c>
      <c r="K759" s="5008">
        <f t="shared" si="68"/>
        <v>6500000</v>
      </c>
      <c r="L759" s="5039"/>
      <c r="M759" s="386"/>
      <c r="N759" s="386"/>
      <c r="O759" s="386"/>
      <c r="P759" s="386"/>
      <c r="Q759" s="386"/>
    </row>
    <row r="760" spans="1:17" ht="30" customHeight="1" x14ac:dyDescent="0.2">
      <c r="A760" s="5014">
        <v>348</v>
      </c>
      <c r="B760" s="19" t="s">
        <v>1408</v>
      </c>
      <c r="C760" s="5016" t="s">
        <v>1306</v>
      </c>
      <c r="D760" s="4944">
        <v>50000000</v>
      </c>
      <c r="E760" s="5011">
        <v>0.04</v>
      </c>
      <c r="F760" s="4944">
        <f>D760*E760</f>
        <v>2000000</v>
      </c>
      <c r="G760" s="4944"/>
      <c r="H760" s="4944"/>
      <c r="I760" s="4999" t="s">
        <v>5992</v>
      </c>
      <c r="J760" s="4952">
        <f t="shared" si="67"/>
        <v>0</v>
      </c>
      <c r="K760" s="5008">
        <f t="shared" si="68"/>
        <v>2000000</v>
      </c>
      <c r="L760" s="5039"/>
      <c r="M760" s="386"/>
      <c r="N760" s="386"/>
      <c r="O760" s="386"/>
      <c r="P760" s="386"/>
      <c r="Q760" s="386"/>
    </row>
    <row r="761" spans="1:17" ht="30" customHeight="1" x14ac:dyDescent="0.2">
      <c r="A761" s="4959">
        <v>350</v>
      </c>
      <c r="B761" s="4956" t="s">
        <v>1554</v>
      </c>
      <c r="C761" s="4990"/>
      <c r="D761" s="4952">
        <v>110000000</v>
      </c>
      <c r="E761" s="7898" t="s">
        <v>1556</v>
      </c>
      <c r="F761" s="7899"/>
      <c r="G761" s="4952"/>
      <c r="H761" s="4952"/>
      <c r="I761" s="4999" t="s">
        <v>3469</v>
      </c>
      <c r="J761" s="4952">
        <f t="shared" si="67"/>
        <v>0</v>
      </c>
      <c r="K761" s="5009">
        <f t="shared" si="68"/>
        <v>0</v>
      </c>
      <c r="L761" s="5039"/>
      <c r="M761" s="386"/>
      <c r="N761" s="386"/>
      <c r="O761" s="386"/>
      <c r="P761" s="386"/>
      <c r="Q761" s="386"/>
    </row>
    <row r="762" spans="1:17" ht="30" customHeight="1" x14ac:dyDescent="0.2">
      <c r="A762" s="7654"/>
      <c r="B762" s="7652" t="s">
        <v>1558</v>
      </c>
      <c r="C762" s="7723" t="s">
        <v>1172</v>
      </c>
      <c r="D762" s="4944">
        <v>680000000</v>
      </c>
      <c r="E762" s="5011">
        <v>7.0000000000000007E-2</v>
      </c>
      <c r="F762" s="4944">
        <f t="shared" ref="F762:F775" si="69">D762*E762</f>
        <v>47600000.000000007</v>
      </c>
      <c r="G762" s="4944">
        <v>47600000</v>
      </c>
      <c r="H762" s="4944" t="s">
        <v>6828</v>
      </c>
      <c r="I762" s="4944" t="s">
        <v>2460</v>
      </c>
      <c r="J762" s="4944">
        <f t="shared" si="67"/>
        <v>47600000</v>
      </c>
      <c r="K762" s="5008">
        <f t="shared" si="68"/>
        <v>0</v>
      </c>
      <c r="L762" s="5028" t="s">
        <v>7224</v>
      </c>
      <c r="M762" s="386"/>
      <c r="N762" s="386"/>
      <c r="O762" s="386"/>
      <c r="P762" s="386"/>
      <c r="Q762" s="386"/>
    </row>
    <row r="763" spans="1:17" ht="30" customHeight="1" x14ac:dyDescent="0.2">
      <c r="A763" s="7655"/>
      <c r="B763" s="7653"/>
      <c r="C763" s="7724"/>
      <c r="D763" s="5498">
        <v>30000000</v>
      </c>
      <c r="E763" s="5503">
        <v>7.0000000000000007E-2</v>
      </c>
      <c r="F763" s="5498">
        <f t="shared" si="69"/>
        <v>2100000</v>
      </c>
      <c r="G763" s="7494" t="s">
        <v>7187</v>
      </c>
      <c r="H763" s="7495"/>
      <c r="I763" s="7495"/>
      <c r="J763" s="7768"/>
      <c r="K763" s="5519"/>
      <c r="L763" s="5515" t="s">
        <v>7223</v>
      </c>
      <c r="M763" s="386"/>
      <c r="N763" s="386"/>
      <c r="O763" s="386"/>
      <c r="P763" s="386"/>
      <c r="Q763" s="386"/>
    </row>
    <row r="764" spans="1:17" ht="30" customHeight="1" x14ac:dyDescent="0.2">
      <c r="A764" s="7654"/>
      <c r="B764" s="7652" t="s">
        <v>7184</v>
      </c>
      <c r="C764" s="7723" t="s">
        <v>1172</v>
      </c>
      <c r="D764" s="7563">
        <v>200000000</v>
      </c>
      <c r="E764" s="7659">
        <v>7.0000000000000007E-2</v>
      </c>
      <c r="F764" s="7563">
        <f>D764*E764</f>
        <v>14000000.000000002</v>
      </c>
      <c r="G764" s="7877"/>
      <c r="H764" s="7524"/>
      <c r="I764" s="7524"/>
      <c r="J764" s="7878"/>
      <c r="K764" s="7816"/>
      <c r="L764" s="1660" t="s">
        <v>7186</v>
      </c>
      <c r="M764" s="386"/>
      <c r="N764" s="386"/>
      <c r="O764" s="386"/>
      <c r="P764" s="386"/>
      <c r="Q764" s="386"/>
    </row>
    <row r="765" spans="1:17" ht="30" customHeight="1" x14ac:dyDescent="0.2">
      <c r="A765" s="7655"/>
      <c r="B765" s="7653"/>
      <c r="C765" s="7724"/>
      <c r="D765" s="7564"/>
      <c r="E765" s="7660"/>
      <c r="F765" s="7564"/>
      <c r="G765" s="7769"/>
      <c r="H765" s="7805"/>
      <c r="I765" s="7805"/>
      <c r="J765" s="7770"/>
      <c r="K765" s="7817"/>
      <c r="L765" s="5515" t="s">
        <v>7185</v>
      </c>
      <c r="M765" s="386"/>
      <c r="N765" s="386"/>
      <c r="O765" s="386"/>
      <c r="P765" s="386"/>
      <c r="Q765" s="386"/>
    </row>
    <row r="766" spans="1:17" ht="30" customHeight="1" x14ac:dyDescent="0.2">
      <c r="A766" s="5541"/>
      <c r="B766" s="5540" t="s">
        <v>1558</v>
      </c>
      <c r="C766" s="5547" t="s">
        <v>1172</v>
      </c>
      <c r="D766" s="5539">
        <v>860000000</v>
      </c>
      <c r="E766" s="5543">
        <v>7.0000000000000007E-2</v>
      </c>
      <c r="F766" s="5539">
        <f>D766*E766</f>
        <v>60200000.000000007</v>
      </c>
      <c r="G766" s="7732" t="s">
        <v>7225</v>
      </c>
      <c r="H766" s="7733"/>
      <c r="I766" s="7733"/>
      <c r="J766" s="7734"/>
      <c r="K766" s="5549"/>
      <c r="L766" s="5552" t="s">
        <v>7226</v>
      </c>
      <c r="M766" s="386"/>
      <c r="N766" s="386"/>
      <c r="O766" s="386"/>
      <c r="P766" s="386"/>
      <c r="Q766" s="386"/>
    </row>
    <row r="767" spans="1:17" ht="30" customHeight="1" x14ac:dyDescent="0.2">
      <c r="A767" s="1028">
        <v>352</v>
      </c>
      <c r="B767" s="4968" t="s">
        <v>1561</v>
      </c>
      <c r="C767" s="5118" t="s">
        <v>1081</v>
      </c>
      <c r="D767" s="5108">
        <v>50000000</v>
      </c>
      <c r="E767" s="5116">
        <v>7.0000000000000007E-2</v>
      </c>
      <c r="F767" s="5108">
        <f t="shared" si="69"/>
        <v>3500000.0000000005</v>
      </c>
      <c r="G767" s="5111">
        <v>3500000</v>
      </c>
      <c r="H767" s="5111" t="s">
        <v>6785</v>
      </c>
      <c r="I767" s="5125" t="s">
        <v>3517</v>
      </c>
      <c r="J767" s="5111">
        <f t="shared" si="67"/>
        <v>3500000</v>
      </c>
      <c r="K767" s="5115">
        <f t="shared" si="68"/>
        <v>0</v>
      </c>
      <c r="L767" s="5039" t="s">
        <v>5482</v>
      </c>
      <c r="M767" s="386"/>
      <c r="N767" s="386"/>
      <c r="O767" s="386"/>
      <c r="P767" s="386"/>
      <c r="Q767" s="386"/>
    </row>
    <row r="768" spans="1:17" ht="30" customHeight="1" x14ac:dyDescent="0.2">
      <c r="A768" s="7879">
        <v>353</v>
      </c>
      <c r="B768" s="7717" t="s">
        <v>1565</v>
      </c>
      <c r="C768" s="5016" t="s">
        <v>1172</v>
      </c>
      <c r="D768" s="4952">
        <v>50000000</v>
      </c>
      <c r="E768" s="5011">
        <v>0.05</v>
      </c>
      <c r="F768" s="4952">
        <f t="shared" si="69"/>
        <v>2500000</v>
      </c>
      <c r="G768" s="4952">
        <v>2500000</v>
      </c>
      <c r="H768" s="4952" t="s">
        <v>6895</v>
      </c>
      <c r="I768" s="4999" t="s">
        <v>3718</v>
      </c>
      <c r="J768" s="4952">
        <f t="shared" si="67"/>
        <v>2500000</v>
      </c>
      <c r="K768" s="5008">
        <f t="shared" si="68"/>
        <v>0</v>
      </c>
      <c r="L768" s="5039"/>
      <c r="M768" s="386"/>
      <c r="N768" s="386"/>
      <c r="O768" s="386"/>
      <c r="P768" s="386"/>
      <c r="Q768" s="386"/>
    </row>
    <row r="769" spans="1:17" ht="30" customHeight="1" x14ac:dyDescent="0.2">
      <c r="A769" s="7879"/>
      <c r="B769" s="7717"/>
      <c r="C769" s="5016" t="s">
        <v>1299</v>
      </c>
      <c r="D769" s="4952">
        <v>20000000</v>
      </c>
      <c r="E769" s="5011">
        <v>0.05</v>
      </c>
      <c r="F769" s="4952">
        <f t="shared" si="69"/>
        <v>1000000</v>
      </c>
      <c r="G769" s="1455"/>
      <c r="H769" s="1455"/>
      <c r="I769" s="1455" t="s">
        <v>6547</v>
      </c>
      <c r="J769" s="1455">
        <f t="shared" si="67"/>
        <v>0</v>
      </c>
      <c r="K769" s="5008">
        <f t="shared" si="68"/>
        <v>1000000</v>
      </c>
      <c r="L769" s="5039"/>
      <c r="M769" s="386"/>
      <c r="N769" s="386"/>
      <c r="O769" s="386"/>
      <c r="P769" s="386"/>
      <c r="Q769" s="386"/>
    </row>
    <row r="770" spans="1:17" ht="30" customHeight="1" x14ac:dyDescent="0.2">
      <c r="A770" s="7654">
        <v>355</v>
      </c>
      <c r="B770" s="7652" t="s">
        <v>1582</v>
      </c>
      <c r="C770" s="7723" t="s">
        <v>2644</v>
      </c>
      <c r="D770" s="4944">
        <v>265000000</v>
      </c>
      <c r="E770" s="5011">
        <v>0.05</v>
      </c>
      <c r="F770" s="4944">
        <f t="shared" si="69"/>
        <v>13250000</v>
      </c>
      <c r="G770" s="4944">
        <v>13250000</v>
      </c>
      <c r="H770" s="4944" t="s">
        <v>6773</v>
      </c>
      <c r="I770" s="5075" t="s">
        <v>3411</v>
      </c>
      <c r="J770" s="4944">
        <f t="shared" si="67"/>
        <v>13250000</v>
      </c>
      <c r="K770" s="4948">
        <f>F770-J770</f>
        <v>0</v>
      </c>
      <c r="L770" s="5039"/>
      <c r="M770" s="386"/>
      <c r="N770" s="386"/>
      <c r="O770" s="386"/>
      <c r="P770" s="386"/>
      <c r="Q770" s="386"/>
    </row>
    <row r="771" spans="1:17" ht="30" customHeight="1" x14ac:dyDescent="0.2">
      <c r="A771" s="7655"/>
      <c r="B771" s="7653"/>
      <c r="C771" s="7724"/>
      <c r="D771" s="5851">
        <v>60000000</v>
      </c>
      <c r="E771" s="5867">
        <v>0.05</v>
      </c>
      <c r="F771" s="5851">
        <f t="shared" si="69"/>
        <v>3000000</v>
      </c>
      <c r="G771" s="7732" t="s">
        <v>7356</v>
      </c>
      <c r="H771" s="7733"/>
      <c r="I771" s="7733"/>
      <c r="J771" s="7734"/>
      <c r="K771" s="5865"/>
      <c r="L771" s="5869"/>
      <c r="M771" s="386"/>
      <c r="N771" s="386"/>
      <c r="O771" s="386"/>
      <c r="P771" s="386"/>
      <c r="Q771" s="386"/>
    </row>
    <row r="772" spans="1:17" ht="30" customHeight="1" x14ac:dyDescent="0.2">
      <c r="A772" s="7654"/>
      <c r="B772" s="7652" t="s">
        <v>6208</v>
      </c>
      <c r="C772" s="7723"/>
      <c r="D772" s="4952">
        <v>10000000</v>
      </c>
      <c r="E772" s="5011">
        <v>0.04</v>
      </c>
      <c r="F772" s="4952">
        <f t="shared" si="69"/>
        <v>400000</v>
      </c>
      <c r="G772" s="7563">
        <v>800000</v>
      </c>
      <c r="H772" s="7563" t="s">
        <v>6895</v>
      </c>
      <c r="I772" s="7889" t="s">
        <v>6909</v>
      </c>
      <c r="J772" s="7563">
        <f>G772</f>
        <v>800000</v>
      </c>
      <c r="K772" s="7816">
        <f>(F772+F773)-J772</f>
        <v>0</v>
      </c>
      <c r="L772" s="5027" t="s">
        <v>6209</v>
      </c>
      <c r="M772" s="386"/>
      <c r="N772" s="386"/>
      <c r="O772" s="386"/>
      <c r="P772" s="386"/>
      <c r="Q772" s="386"/>
    </row>
    <row r="773" spans="1:17" ht="30" customHeight="1" x14ac:dyDescent="0.2">
      <c r="A773" s="7655"/>
      <c r="B773" s="7653"/>
      <c r="C773" s="7724"/>
      <c r="D773" s="5271">
        <v>10000000</v>
      </c>
      <c r="E773" s="5290">
        <v>0.04</v>
      </c>
      <c r="F773" s="5271">
        <f t="shared" si="69"/>
        <v>400000</v>
      </c>
      <c r="G773" s="7564"/>
      <c r="H773" s="7564"/>
      <c r="I773" s="7890"/>
      <c r="J773" s="7564"/>
      <c r="K773" s="7817"/>
      <c r="L773" s="5284" t="s">
        <v>6910</v>
      </c>
      <c r="M773" s="386"/>
      <c r="N773" s="386"/>
      <c r="O773" s="386"/>
      <c r="P773" s="386"/>
      <c r="Q773" s="386"/>
    </row>
    <row r="774" spans="1:17" ht="30" customHeight="1" x14ac:dyDescent="0.2">
      <c r="A774" s="7654">
        <v>356</v>
      </c>
      <c r="B774" s="8132" t="s">
        <v>1590</v>
      </c>
      <c r="C774" s="7723"/>
      <c r="D774" s="4952">
        <v>60000000</v>
      </c>
      <c r="E774" s="5011">
        <v>0.04</v>
      </c>
      <c r="F774" s="4952">
        <f t="shared" si="69"/>
        <v>2400000</v>
      </c>
      <c r="G774" s="7563"/>
      <c r="H774" s="7563"/>
      <c r="I774" s="7889" t="s">
        <v>3924</v>
      </c>
      <c r="J774" s="7563">
        <f t="shared" si="67"/>
        <v>0</v>
      </c>
      <c r="K774" s="7816">
        <f>(F774+F775)-J774</f>
        <v>2800000</v>
      </c>
      <c r="L774" s="7811" t="s">
        <v>6210</v>
      </c>
      <c r="M774" s="386"/>
      <c r="N774" s="386"/>
      <c r="O774" s="386"/>
      <c r="P774" s="386"/>
      <c r="Q774" s="386"/>
    </row>
    <row r="775" spans="1:17" ht="30" customHeight="1" x14ac:dyDescent="0.2">
      <c r="A775" s="7656"/>
      <c r="B775" s="8281"/>
      <c r="C775" s="7747"/>
      <c r="D775" s="4952">
        <v>10000000</v>
      </c>
      <c r="E775" s="5011">
        <v>0.04</v>
      </c>
      <c r="F775" s="4952">
        <f t="shared" si="69"/>
        <v>400000</v>
      </c>
      <c r="G775" s="7564"/>
      <c r="H775" s="7564"/>
      <c r="I775" s="7890"/>
      <c r="J775" s="7564"/>
      <c r="K775" s="7817"/>
      <c r="L775" s="7812"/>
      <c r="M775" s="386"/>
      <c r="N775" s="386"/>
      <c r="O775" s="386"/>
      <c r="P775" s="386"/>
      <c r="Q775" s="386"/>
    </row>
    <row r="776" spans="1:17" ht="30" customHeight="1" x14ac:dyDescent="0.2">
      <c r="A776" s="7656"/>
      <c r="B776" s="8281"/>
      <c r="C776" s="7747"/>
      <c r="D776" s="8157" t="s">
        <v>6521</v>
      </c>
      <c r="E776" s="8158"/>
      <c r="F776" s="8159"/>
      <c r="G776" s="4952"/>
      <c r="H776" s="4952"/>
      <c r="I776" s="472" t="s">
        <v>6522</v>
      </c>
      <c r="J776" s="7563">
        <f>G776+G777</f>
        <v>0</v>
      </c>
      <c r="K776" s="7816"/>
      <c r="L776" s="5028"/>
      <c r="M776" s="386"/>
      <c r="N776" s="386"/>
      <c r="O776" s="386"/>
      <c r="P776" s="386"/>
      <c r="Q776" s="386"/>
    </row>
    <row r="777" spans="1:17" ht="30" customHeight="1" x14ac:dyDescent="0.2">
      <c r="A777" s="7655"/>
      <c r="B777" s="8133"/>
      <c r="C777" s="7724"/>
      <c r="D777" s="8163"/>
      <c r="E777" s="8164"/>
      <c r="F777" s="8165"/>
      <c r="G777" s="4952"/>
      <c r="H777" s="4952"/>
      <c r="I777" s="472" t="s">
        <v>6522</v>
      </c>
      <c r="J777" s="7564"/>
      <c r="K777" s="7817"/>
      <c r="L777" s="5028"/>
      <c r="M777" s="386"/>
      <c r="N777" s="386"/>
      <c r="O777" s="386"/>
      <c r="P777" s="386"/>
      <c r="Q777" s="386"/>
    </row>
    <row r="778" spans="1:17" ht="30" customHeight="1" x14ac:dyDescent="0.2">
      <c r="A778" s="4959">
        <v>357</v>
      </c>
      <c r="B778" s="4956" t="s">
        <v>1592</v>
      </c>
      <c r="C778" s="4990"/>
      <c r="D778" s="4952">
        <v>70000000</v>
      </c>
      <c r="E778" s="2519"/>
      <c r="F778" s="4965"/>
      <c r="G778" s="4952"/>
      <c r="H778" s="4952"/>
      <c r="I778" s="472"/>
      <c r="J778" s="4952"/>
      <c r="K778" s="5009"/>
      <c r="L778" s="5039"/>
      <c r="M778" s="386"/>
      <c r="N778" s="386"/>
      <c r="O778" s="386"/>
      <c r="P778" s="386"/>
      <c r="Q778" s="386"/>
    </row>
    <row r="779" spans="1:17" ht="30" customHeight="1" x14ac:dyDescent="0.2">
      <c r="A779" s="1028">
        <v>358</v>
      </c>
      <c r="B779" s="4968" t="s">
        <v>1597</v>
      </c>
      <c r="C779" s="5016"/>
      <c r="D779" s="4953"/>
      <c r="E779" s="2519"/>
      <c r="F779" s="4953"/>
      <c r="G779" s="4944"/>
      <c r="H779" s="4944"/>
      <c r="I779" s="5075" t="s">
        <v>1598</v>
      </c>
      <c r="J779" s="4944">
        <f>G779</f>
        <v>0</v>
      </c>
      <c r="K779" s="1030">
        <f>F779-J779</f>
        <v>0</v>
      </c>
      <c r="L779" s="5039" t="s">
        <v>4130</v>
      </c>
      <c r="M779" s="386"/>
      <c r="N779" s="386"/>
      <c r="O779" s="386"/>
      <c r="P779" s="386"/>
      <c r="Q779" s="386"/>
    </row>
    <row r="780" spans="1:17" ht="30" customHeight="1" x14ac:dyDescent="0.2">
      <c r="A780" s="4957">
        <v>359</v>
      </c>
      <c r="B780" s="4968" t="s">
        <v>1599</v>
      </c>
      <c r="C780" s="5016"/>
      <c r="D780" s="4953"/>
      <c r="E780" s="2519"/>
      <c r="F780" s="4953"/>
      <c r="G780" s="4952"/>
      <c r="H780" s="4952"/>
      <c r="I780" s="472" t="s">
        <v>1600</v>
      </c>
      <c r="J780" s="4944">
        <f>G780</f>
        <v>0</v>
      </c>
      <c r="K780" s="1030">
        <f>F780-J780</f>
        <v>0</v>
      </c>
      <c r="L780" s="5007"/>
      <c r="M780" s="386"/>
      <c r="N780" s="386"/>
      <c r="O780" s="386"/>
      <c r="P780" s="386"/>
      <c r="Q780" s="386"/>
    </row>
    <row r="781" spans="1:17" ht="30" customHeight="1" x14ac:dyDescent="0.2">
      <c r="A781" s="7879">
        <v>360</v>
      </c>
      <c r="B781" s="7717" t="s">
        <v>1614</v>
      </c>
      <c r="C781" s="7873" t="s">
        <v>889</v>
      </c>
      <c r="D781" s="4944">
        <v>290000000</v>
      </c>
      <c r="E781" s="5011">
        <v>0.05</v>
      </c>
      <c r="F781" s="4944">
        <f>D781*E781</f>
        <v>14500000</v>
      </c>
      <c r="G781" s="7563">
        <v>36100000</v>
      </c>
      <c r="H781" s="7563" t="s">
        <v>6789</v>
      </c>
      <c r="I781" s="7889" t="s">
        <v>1611</v>
      </c>
      <c r="J781" s="7563">
        <f>G781+G782</f>
        <v>36100000</v>
      </c>
      <c r="K781" s="7816">
        <f>(F781+F782+F783)-J781</f>
        <v>0</v>
      </c>
      <c r="L781" s="7888"/>
      <c r="M781" s="386"/>
      <c r="N781" s="386"/>
      <c r="O781" s="386"/>
      <c r="P781" s="386"/>
      <c r="Q781" s="386"/>
    </row>
    <row r="782" spans="1:17" ht="30" customHeight="1" x14ac:dyDescent="0.2">
      <c r="A782" s="7879"/>
      <c r="B782" s="7717"/>
      <c r="C782" s="7873"/>
      <c r="D782" s="4944">
        <v>210000000</v>
      </c>
      <c r="E782" s="5011">
        <v>0.06</v>
      </c>
      <c r="F782" s="4944">
        <f>D782*E782</f>
        <v>12600000</v>
      </c>
      <c r="G782" s="7586"/>
      <c r="H782" s="7586"/>
      <c r="I782" s="8036"/>
      <c r="J782" s="7586"/>
      <c r="K782" s="7882"/>
      <c r="L782" s="7811"/>
      <c r="M782" s="386"/>
      <c r="N782" s="386"/>
      <c r="O782" s="386"/>
      <c r="P782" s="386"/>
      <c r="Q782" s="386"/>
    </row>
    <row r="783" spans="1:17" ht="30" customHeight="1" x14ac:dyDescent="0.2">
      <c r="A783" s="7879"/>
      <c r="B783" s="7717"/>
      <c r="C783" s="7873"/>
      <c r="D783" s="4944">
        <v>150000000</v>
      </c>
      <c r="E783" s="5011">
        <v>0.06</v>
      </c>
      <c r="F783" s="4944">
        <f>D783*E783</f>
        <v>9000000</v>
      </c>
      <c r="G783" s="7564"/>
      <c r="H783" s="7564"/>
      <c r="I783" s="7890"/>
      <c r="J783" s="7564"/>
      <c r="K783" s="7817"/>
      <c r="L783" s="5028" t="s">
        <v>7009</v>
      </c>
      <c r="M783" s="386"/>
      <c r="N783" s="386"/>
      <c r="O783" s="386"/>
      <c r="P783" s="386"/>
      <c r="Q783" s="386"/>
    </row>
    <row r="784" spans="1:17" ht="30" customHeight="1" x14ac:dyDescent="0.2">
      <c r="A784" s="7879">
        <v>361</v>
      </c>
      <c r="B784" s="7652" t="s">
        <v>1612</v>
      </c>
      <c r="C784" s="7723" t="s">
        <v>371</v>
      </c>
      <c r="D784" s="7563">
        <v>2815000000</v>
      </c>
      <c r="E784" s="7659"/>
      <c r="F784" s="7563">
        <v>106650000</v>
      </c>
      <c r="G784" s="4952">
        <v>18000000</v>
      </c>
      <c r="H784" s="7470" t="s">
        <v>5156</v>
      </c>
      <c r="I784" s="7510"/>
      <c r="J784" s="7482">
        <f>G784+G785+G786+10000000</f>
        <v>48000000</v>
      </c>
      <c r="K784" s="7499">
        <f>F784-J784</f>
        <v>58650000</v>
      </c>
      <c r="L784" s="5038" t="s">
        <v>4625</v>
      </c>
      <c r="M784" s="386"/>
      <c r="N784" s="386"/>
      <c r="O784" s="386"/>
      <c r="P784" s="386"/>
      <c r="Q784" s="386"/>
    </row>
    <row r="785" spans="1:17" ht="30" customHeight="1" x14ac:dyDescent="0.2">
      <c r="A785" s="7879"/>
      <c r="B785" s="7665"/>
      <c r="C785" s="7747"/>
      <c r="D785" s="7586"/>
      <c r="E785" s="7676"/>
      <c r="F785" s="7586"/>
      <c r="G785" s="4944">
        <v>10000000</v>
      </c>
      <c r="H785" s="4944" t="s">
        <v>7168</v>
      </c>
      <c r="I785" s="5075" t="s">
        <v>1613</v>
      </c>
      <c r="J785" s="7482"/>
      <c r="K785" s="7499"/>
      <c r="L785" s="5038" t="s">
        <v>4626</v>
      </c>
      <c r="M785" s="386"/>
      <c r="N785" s="386"/>
      <c r="O785" s="386"/>
      <c r="P785" s="386"/>
      <c r="Q785" s="386"/>
    </row>
    <row r="786" spans="1:17" ht="30" customHeight="1" x14ac:dyDescent="0.2">
      <c r="A786" s="7879"/>
      <c r="B786" s="7665"/>
      <c r="C786" s="7747"/>
      <c r="D786" s="7586"/>
      <c r="E786" s="7676"/>
      <c r="F786" s="7586"/>
      <c r="G786" s="4944">
        <v>10000000</v>
      </c>
      <c r="H786" s="4944" t="s">
        <v>7252</v>
      </c>
      <c r="I786" s="4944" t="s">
        <v>7267</v>
      </c>
      <c r="J786" s="7482"/>
      <c r="K786" s="7499"/>
      <c r="L786" s="5038" t="s">
        <v>7268</v>
      </c>
      <c r="M786" s="386"/>
      <c r="N786" s="386"/>
      <c r="O786" s="386"/>
      <c r="P786" s="386"/>
      <c r="Q786" s="386"/>
    </row>
    <row r="787" spans="1:17" ht="30" customHeight="1" x14ac:dyDescent="0.2">
      <c r="A787" s="7879"/>
      <c r="B787" s="7665"/>
      <c r="C787" s="7747"/>
      <c r="D787" s="7586"/>
      <c r="E787" s="7676"/>
      <c r="F787" s="7586"/>
      <c r="G787" s="7732" t="s">
        <v>7816</v>
      </c>
      <c r="H787" s="7733"/>
      <c r="I787" s="7734"/>
      <c r="J787" s="7482"/>
      <c r="K787" s="7499"/>
      <c r="L787" s="5038"/>
      <c r="M787" s="386"/>
      <c r="N787" s="386"/>
      <c r="O787" s="386"/>
      <c r="P787" s="386"/>
      <c r="Q787" s="386"/>
    </row>
    <row r="788" spans="1:17" ht="30" customHeight="1" x14ac:dyDescent="0.2">
      <c r="A788" s="7879"/>
      <c r="B788" s="7665"/>
      <c r="C788" s="7747"/>
      <c r="D788" s="7586"/>
      <c r="E788" s="7676"/>
      <c r="F788" s="7586"/>
      <c r="G788" s="4944"/>
      <c r="H788" s="4944"/>
      <c r="I788" s="4944"/>
      <c r="J788" s="7482"/>
      <c r="K788" s="7499"/>
      <c r="L788" s="5038"/>
      <c r="M788" s="386"/>
      <c r="N788" s="386"/>
      <c r="O788" s="386"/>
      <c r="P788" s="386"/>
      <c r="Q788" s="386"/>
    </row>
    <row r="789" spans="1:17" ht="30" customHeight="1" x14ac:dyDescent="0.2">
      <c r="A789" s="7879"/>
      <c r="B789" s="7665"/>
      <c r="C789" s="7747"/>
      <c r="D789" s="7564"/>
      <c r="E789" s="7660"/>
      <c r="F789" s="7564"/>
      <c r="G789" s="4944"/>
      <c r="H789" s="4944"/>
      <c r="I789" s="4944"/>
      <c r="J789" s="7482"/>
      <c r="K789" s="7499"/>
      <c r="L789" s="5038"/>
      <c r="M789" s="386"/>
      <c r="N789" s="386"/>
      <c r="O789" s="386"/>
      <c r="P789" s="386"/>
      <c r="Q789" s="386"/>
    </row>
    <row r="790" spans="1:17" ht="30" customHeight="1" x14ac:dyDescent="0.2">
      <c r="A790" s="4957"/>
      <c r="B790" s="4968" t="s">
        <v>4179</v>
      </c>
      <c r="C790" s="5016" t="s">
        <v>2278</v>
      </c>
      <c r="D790" s="4944">
        <v>30000000</v>
      </c>
      <c r="E790" s="5011">
        <v>6.5000000000000002E-2</v>
      </c>
      <c r="F790" s="4944">
        <f>D790*E790</f>
        <v>1950000</v>
      </c>
      <c r="G790" s="4944">
        <v>1950000</v>
      </c>
      <c r="H790" s="4944" t="s">
        <v>3116</v>
      </c>
      <c r="I790" s="4944" t="s">
        <v>2369</v>
      </c>
      <c r="J790" s="4944">
        <f>G790</f>
        <v>1950000</v>
      </c>
      <c r="K790" s="4948">
        <f>F790-J790</f>
        <v>0</v>
      </c>
      <c r="L790" s="5039"/>
      <c r="M790" s="5039"/>
      <c r="N790" s="5039"/>
      <c r="O790" s="5039"/>
      <c r="P790" s="386"/>
      <c r="Q790" s="386"/>
    </row>
    <row r="791" spans="1:17" ht="30" customHeight="1" x14ac:dyDescent="0.2">
      <c r="A791" s="5014">
        <v>362</v>
      </c>
      <c r="B791" s="19" t="s">
        <v>1619</v>
      </c>
      <c r="C791" s="5016" t="s">
        <v>1652</v>
      </c>
      <c r="D791" s="4952">
        <v>360000000</v>
      </c>
      <c r="E791" s="5011">
        <v>4.4999999999999998E-2</v>
      </c>
      <c r="F791" s="4952">
        <v>16500000</v>
      </c>
      <c r="G791" s="4952">
        <v>16500000</v>
      </c>
      <c r="H791" s="4952" t="s">
        <v>6828</v>
      </c>
      <c r="I791" s="472" t="s">
        <v>4776</v>
      </c>
      <c r="J791" s="4952">
        <f t="shared" ref="J791:J799" si="70">G791</f>
        <v>16500000</v>
      </c>
      <c r="K791" s="5008">
        <f t="shared" ref="K791:K799" si="71">F791-J791</f>
        <v>0</v>
      </c>
      <c r="L791" s="5039"/>
      <c r="M791" s="5039"/>
      <c r="N791" s="5039"/>
      <c r="O791" s="5039"/>
      <c r="P791" s="386"/>
      <c r="Q791" s="386"/>
    </row>
    <row r="792" spans="1:17" ht="30" customHeight="1" x14ac:dyDescent="0.2">
      <c r="A792" s="7654">
        <v>363</v>
      </c>
      <c r="B792" s="7652" t="s">
        <v>1641</v>
      </c>
      <c r="C792" s="7723" t="s">
        <v>1172</v>
      </c>
      <c r="D792" s="4952">
        <v>33000000</v>
      </c>
      <c r="E792" s="5011">
        <v>0.05</v>
      </c>
      <c r="F792" s="4952">
        <f>D792*E792</f>
        <v>1650000</v>
      </c>
      <c r="G792" s="7563">
        <v>1916000</v>
      </c>
      <c r="H792" s="7563" t="s">
        <v>6828</v>
      </c>
      <c r="I792" s="7889" t="s">
        <v>1621</v>
      </c>
      <c r="J792" s="7563">
        <f t="shared" si="70"/>
        <v>1916000</v>
      </c>
      <c r="K792" s="7816"/>
      <c r="L792" s="5039" t="s">
        <v>6254</v>
      </c>
      <c r="M792" s="386"/>
      <c r="N792" s="386"/>
      <c r="O792" s="386"/>
      <c r="P792" s="386"/>
      <c r="Q792" s="386"/>
    </row>
    <row r="793" spans="1:17" ht="30" customHeight="1" x14ac:dyDescent="0.2">
      <c r="A793" s="7655"/>
      <c r="B793" s="7653"/>
      <c r="C793" s="7724"/>
      <c r="D793" s="5185">
        <v>10000000</v>
      </c>
      <c r="E793" s="5188">
        <v>0.05</v>
      </c>
      <c r="F793" s="5186">
        <f>D793*E793</f>
        <v>500000</v>
      </c>
      <c r="G793" s="7564"/>
      <c r="H793" s="7564"/>
      <c r="I793" s="7890"/>
      <c r="J793" s="7564"/>
      <c r="K793" s="7817"/>
      <c r="L793" s="5194" t="s">
        <v>6831</v>
      </c>
      <c r="M793" s="386"/>
      <c r="N793" s="386"/>
      <c r="O793" s="386"/>
      <c r="P793" s="386"/>
      <c r="Q793" s="386"/>
    </row>
    <row r="794" spans="1:17" ht="30" customHeight="1" x14ac:dyDescent="0.2">
      <c r="A794" s="7654">
        <v>364</v>
      </c>
      <c r="B794" s="7652" t="s">
        <v>6247</v>
      </c>
      <c r="C794" s="7723" t="s">
        <v>1172</v>
      </c>
      <c r="D794" s="5184">
        <v>150000000</v>
      </c>
      <c r="E794" s="5190">
        <v>0.06</v>
      </c>
      <c r="F794" s="4952">
        <f>D794*E794</f>
        <v>9000000</v>
      </c>
      <c r="G794" s="4952">
        <v>9000000</v>
      </c>
      <c r="H794" s="4952" t="s">
        <v>6828</v>
      </c>
      <c r="I794" s="472" t="s">
        <v>2776</v>
      </c>
      <c r="J794" s="4952">
        <f t="shared" si="70"/>
        <v>9000000</v>
      </c>
      <c r="K794" s="5008">
        <f t="shared" si="71"/>
        <v>0</v>
      </c>
      <c r="L794" s="5039"/>
      <c r="M794" s="386"/>
      <c r="N794" s="386"/>
      <c r="O794" s="386"/>
      <c r="P794" s="386"/>
      <c r="Q794" s="386"/>
    </row>
    <row r="795" spans="1:17" ht="30" customHeight="1" x14ac:dyDescent="0.2">
      <c r="A795" s="7655"/>
      <c r="B795" s="7653"/>
      <c r="C795" s="7724"/>
      <c r="D795" s="5187"/>
      <c r="E795" s="2519"/>
      <c r="F795" s="4952">
        <v>6000000</v>
      </c>
      <c r="G795" s="4952"/>
      <c r="H795" s="4952"/>
      <c r="I795" s="472" t="s">
        <v>5499</v>
      </c>
      <c r="J795" s="4952">
        <f>G795</f>
        <v>0</v>
      </c>
      <c r="K795" s="5008">
        <f t="shared" si="71"/>
        <v>6000000</v>
      </c>
      <c r="L795" s="5028" t="s">
        <v>6248</v>
      </c>
      <c r="M795" s="386"/>
      <c r="N795" s="386"/>
      <c r="O795" s="386"/>
      <c r="P795" s="386"/>
      <c r="Q795" s="386"/>
    </row>
    <row r="796" spans="1:17" ht="30" customHeight="1" x14ac:dyDescent="0.2">
      <c r="A796" s="5014">
        <v>365</v>
      </c>
      <c r="B796" s="4968" t="s">
        <v>1639</v>
      </c>
      <c r="C796" s="5016" t="s">
        <v>1718</v>
      </c>
      <c r="D796" s="4952">
        <v>250000000</v>
      </c>
      <c r="E796" s="5011">
        <v>0.05</v>
      </c>
      <c r="F796" s="4952">
        <f>D796*E796</f>
        <v>12500000</v>
      </c>
      <c r="G796" s="4944">
        <v>12500000</v>
      </c>
      <c r="H796" s="4944" t="s">
        <v>6895</v>
      </c>
      <c r="I796" s="4944" t="s">
        <v>2808</v>
      </c>
      <c r="J796" s="4944">
        <f t="shared" si="70"/>
        <v>12500000</v>
      </c>
      <c r="K796" s="5008">
        <f t="shared" si="71"/>
        <v>0</v>
      </c>
      <c r="L796" s="5028"/>
      <c r="M796" s="386"/>
      <c r="N796" s="386"/>
      <c r="O796" s="386"/>
      <c r="P796" s="386"/>
      <c r="Q796" s="386"/>
    </row>
    <row r="797" spans="1:17" ht="30" customHeight="1" x14ac:dyDescent="0.2">
      <c r="A797" s="7654">
        <v>366</v>
      </c>
      <c r="B797" s="7652" t="s">
        <v>4684</v>
      </c>
      <c r="C797" s="7723" t="s">
        <v>1107</v>
      </c>
      <c r="D797" s="4944">
        <v>70000000</v>
      </c>
      <c r="E797" s="5011">
        <v>6.3E-2</v>
      </c>
      <c r="F797" s="4944">
        <v>4400000</v>
      </c>
      <c r="G797" s="7563">
        <v>11150000</v>
      </c>
      <c r="H797" s="7563" t="s">
        <v>7168</v>
      </c>
      <c r="I797" s="7889" t="s">
        <v>4781</v>
      </c>
      <c r="J797" s="7563">
        <f>G797</f>
        <v>11150000</v>
      </c>
      <c r="K797" s="7816">
        <f>(F797+F798)-J797</f>
        <v>0</v>
      </c>
      <c r="L797" s="5039"/>
      <c r="M797" s="386"/>
      <c r="N797" s="386"/>
      <c r="O797" s="386"/>
      <c r="P797" s="386"/>
      <c r="Q797" s="386"/>
    </row>
    <row r="798" spans="1:17" ht="30" customHeight="1" x14ac:dyDescent="0.2">
      <c r="A798" s="7655"/>
      <c r="B798" s="7653"/>
      <c r="C798" s="7724"/>
      <c r="D798" s="4952">
        <v>135000000</v>
      </c>
      <c r="E798" s="4962">
        <v>0.05</v>
      </c>
      <c r="F798" s="4952">
        <f>D798*E798</f>
        <v>6750000</v>
      </c>
      <c r="G798" s="7564"/>
      <c r="H798" s="7564"/>
      <c r="I798" s="7890"/>
      <c r="J798" s="7564"/>
      <c r="K798" s="7817"/>
      <c r="L798" s="5039"/>
      <c r="M798" s="386"/>
      <c r="N798" s="386"/>
      <c r="O798" s="386"/>
      <c r="P798" s="386"/>
      <c r="Q798" s="386"/>
    </row>
    <row r="799" spans="1:17" ht="30" customHeight="1" x14ac:dyDescent="0.2">
      <c r="A799" s="4959">
        <v>367</v>
      </c>
      <c r="B799" s="4956" t="s">
        <v>1666</v>
      </c>
      <c r="C799" s="4990" t="s">
        <v>1172</v>
      </c>
      <c r="D799" s="4952">
        <v>25000000</v>
      </c>
      <c r="E799" s="5011">
        <v>0.05</v>
      </c>
      <c r="F799" s="4952">
        <f>D799*E799</f>
        <v>1250000</v>
      </c>
      <c r="G799" s="4952">
        <v>1000000</v>
      </c>
      <c r="H799" s="4952" t="s">
        <v>6828</v>
      </c>
      <c r="I799" s="472" t="s">
        <v>6259</v>
      </c>
      <c r="J799" s="4952">
        <f t="shared" si="70"/>
        <v>1000000</v>
      </c>
      <c r="K799" s="5008">
        <f t="shared" si="71"/>
        <v>250000</v>
      </c>
      <c r="L799" s="5039" t="s">
        <v>6260</v>
      </c>
      <c r="M799" s="386"/>
      <c r="N799" s="386"/>
      <c r="O799" s="386"/>
      <c r="P799" s="386"/>
      <c r="Q799" s="386"/>
    </row>
    <row r="800" spans="1:17" ht="30" customHeight="1" x14ac:dyDescent="0.2">
      <c r="A800" s="5014">
        <v>368</v>
      </c>
      <c r="B800" s="19" t="s">
        <v>1793</v>
      </c>
      <c r="C800" s="5016" t="s">
        <v>392</v>
      </c>
      <c r="D800" s="4952">
        <v>818000000</v>
      </c>
      <c r="E800" s="4962">
        <v>7.0000000000000007E-2</v>
      </c>
      <c r="F800" s="4952">
        <f>D800*E800</f>
        <v>57260000.000000007</v>
      </c>
      <c r="G800" s="4952">
        <v>57260000</v>
      </c>
      <c r="H800" s="4952" t="s">
        <v>6785</v>
      </c>
      <c r="I800" s="472" t="s">
        <v>5483</v>
      </c>
      <c r="J800" s="4952">
        <f>G800</f>
        <v>57260000</v>
      </c>
      <c r="K800" s="4948">
        <f>F800-J800</f>
        <v>0</v>
      </c>
      <c r="L800" s="5027" t="s">
        <v>5511</v>
      </c>
      <c r="M800" s="386"/>
      <c r="N800" s="386"/>
      <c r="O800" s="386"/>
      <c r="P800" s="386"/>
      <c r="Q800" s="386"/>
    </row>
    <row r="801" spans="1:17" ht="30" customHeight="1" x14ac:dyDescent="0.2">
      <c r="A801" s="7654"/>
      <c r="B801" s="7652" t="s">
        <v>5590</v>
      </c>
      <c r="C801" s="7723" t="s">
        <v>371</v>
      </c>
      <c r="D801" s="7563">
        <v>286000000</v>
      </c>
      <c r="E801" s="7659">
        <v>7.0000000000000007E-2</v>
      </c>
      <c r="F801" s="7563">
        <f>D801*E801</f>
        <v>20020000.000000004</v>
      </c>
      <c r="G801" s="7563">
        <v>20200000</v>
      </c>
      <c r="H801" s="7563" t="s">
        <v>7020</v>
      </c>
      <c r="I801" s="7889" t="s">
        <v>6397</v>
      </c>
      <c r="J801" s="7563">
        <f>G801</f>
        <v>20200000</v>
      </c>
      <c r="K801" s="7816">
        <f>F801-J801</f>
        <v>-179999.99999999627</v>
      </c>
      <c r="L801" s="5027" t="s">
        <v>5556</v>
      </c>
      <c r="M801" s="386"/>
      <c r="N801" s="386"/>
      <c r="O801" s="386"/>
      <c r="P801" s="386"/>
      <c r="Q801" s="386"/>
    </row>
    <row r="802" spans="1:17" ht="30" customHeight="1" x14ac:dyDescent="0.2">
      <c r="A802" s="7656"/>
      <c r="B802" s="7665"/>
      <c r="C802" s="7747"/>
      <c r="D802" s="7586"/>
      <c r="E802" s="7676"/>
      <c r="F802" s="7586"/>
      <c r="G802" s="7586"/>
      <c r="H802" s="7586"/>
      <c r="I802" s="8036"/>
      <c r="J802" s="7586"/>
      <c r="K802" s="7882"/>
      <c r="L802" s="5027" t="s">
        <v>5591</v>
      </c>
      <c r="M802" s="386"/>
      <c r="N802" s="386"/>
      <c r="O802" s="386"/>
      <c r="P802" s="386"/>
      <c r="Q802" s="386"/>
    </row>
    <row r="803" spans="1:17" ht="30" customHeight="1" x14ac:dyDescent="0.2">
      <c r="A803" s="7655"/>
      <c r="B803" s="7653"/>
      <c r="C803" s="7724"/>
      <c r="D803" s="7564"/>
      <c r="E803" s="7660"/>
      <c r="F803" s="7564"/>
      <c r="G803" s="7564"/>
      <c r="H803" s="7564"/>
      <c r="I803" s="7890"/>
      <c r="J803" s="7564"/>
      <c r="K803" s="7817"/>
      <c r="L803" s="5027" t="s">
        <v>7023</v>
      </c>
      <c r="M803" s="386"/>
      <c r="N803" s="386"/>
      <c r="O803" s="386"/>
      <c r="P803" s="386"/>
      <c r="Q803" s="386"/>
    </row>
    <row r="804" spans="1:17" ht="30" customHeight="1" x14ac:dyDescent="0.2">
      <c r="A804" s="7879">
        <v>369</v>
      </c>
      <c r="B804" s="7717" t="s">
        <v>1676</v>
      </c>
      <c r="C804" s="7873" t="s">
        <v>1652</v>
      </c>
      <c r="D804" s="4952">
        <v>250000000</v>
      </c>
      <c r="E804" s="4962">
        <v>0.05</v>
      </c>
      <c r="F804" s="4952">
        <f t="shared" ref="F804:F816" si="72">D804*E804</f>
        <v>12500000</v>
      </c>
      <c r="G804" s="7563">
        <v>27800000</v>
      </c>
      <c r="H804" s="7563" t="s">
        <v>6792</v>
      </c>
      <c r="I804" s="7563" t="s">
        <v>4896</v>
      </c>
      <c r="J804" s="7563">
        <f>G804</f>
        <v>27800000</v>
      </c>
      <c r="K804" s="7563">
        <f>(F804+F805+F806+F807)-J804</f>
        <v>0</v>
      </c>
      <c r="L804" s="5027"/>
      <c r="M804" s="386"/>
      <c r="N804" s="386"/>
      <c r="O804" s="386"/>
      <c r="P804" s="386"/>
      <c r="Q804" s="386"/>
    </row>
    <row r="805" spans="1:17" ht="30" customHeight="1" x14ac:dyDescent="0.2">
      <c r="A805" s="7879"/>
      <c r="B805" s="7717"/>
      <c r="C805" s="7873"/>
      <c r="D805" s="4952">
        <v>150000000</v>
      </c>
      <c r="E805" s="4962">
        <v>0.06</v>
      </c>
      <c r="F805" s="4952">
        <f t="shared" si="72"/>
        <v>9000000</v>
      </c>
      <c r="G805" s="7586"/>
      <c r="H805" s="7586"/>
      <c r="I805" s="7586"/>
      <c r="J805" s="7586"/>
      <c r="K805" s="7586"/>
      <c r="L805" s="5038"/>
      <c r="M805" s="386"/>
      <c r="N805" s="386"/>
      <c r="O805" s="386"/>
      <c r="P805" s="386"/>
      <c r="Q805" s="386"/>
    </row>
    <row r="806" spans="1:17" ht="30" customHeight="1" x14ac:dyDescent="0.2">
      <c r="A806" s="7879"/>
      <c r="B806" s="7717"/>
      <c r="C806" s="7873"/>
      <c r="D806" s="4952">
        <v>50000000</v>
      </c>
      <c r="E806" s="4962">
        <v>0.06</v>
      </c>
      <c r="F806" s="4952">
        <f t="shared" si="72"/>
        <v>3000000</v>
      </c>
      <c r="G806" s="7586"/>
      <c r="H806" s="7586"/>
      <c r="I806" s="7586"/>
      <c r="J806" s="7586"/>
      <c r="K806" s="7586"/>
      <c r="L806" s="5038"/>
      <c r="M806" s="386"/>
      <c r="N806" s="386"/>
      <c r="O806" s="386"/>
      <c r="P806" s="386"/>
      <c r="Q806" s="386"/>
    </row>
    <row r="807" spans="1:17" ht="30" customHeight="1" x14ac:dyDescent="0.2">
      <c r="A807" s="7879"/>
      <c r="B807" s="7717"/>
      <c r="C807" s="7873"/>
      <c r="D807" s="4952">
        <v>55000000</v>
      </c>
      <c r="E807" s="4962">
        <v>0.06</v>
      </c>
      <c r="F807" s="4952">
        <f t="shared" si="72"/>
        <v>3300000</v>
      </c>
      <c r="G807" s="7564"/>
      <c r="H807" s="7564"/>
      <c r="I807" s="7564"/>
      <c r="J807" s="7564"/>
      <c r="K807" s="7564"/>
      <c r="L807" s="5028"/>
      <c r="M807" s="386"/>
      <c r="N807" s="386"/>
      <c r="O807" s="386"/>
      <c r="P807" s="386"/>
      <c r="Q807" s="386"/>
    </row>
    <row r="808" spans="1:17" ht="30" customHeight="1" x14ac:dyDescent="0.2">
      <c r="A808" s="5014"/>
      <c r="B808" s="4968" t="s">
        <v>5179</v>
      </c>
      <c r="C808" s="5016" t="s">
        <v>3390</v>
      </c>
      <c r="D808" s="4952">
        <v>400000000</v>
      </c>
      <c r="E808" s="4962">
        <v>7.0000000000000007E-2</v>
      </c>
      <c r="F808" s="4952">
        <f t="shared" si="72"/>
        <v>28000000.000000004</v>
      </c>
      <c r="G808" s="4944">
        <v>28000000</v>
      </c>
      <c r="H808" s="4991" t="s">
        <v>7168</v>
      </c>
      <c r="I808" s="4944" t="s">
        <v>6569</v>
      </c>
      <c r="J808" s="4944">
        <f>G808</f>
        <v>28000000</v>
      </c>
      <c r="K808" s="4944">
        <f>F808-J808</f>
        <v>0</v>
      </c>
      <c r="L808" s="5028"/>
      <c r="M808" s="386"/>
      <c r="N808" s="386"/>
      <c r="O808" s="386"/>
      <c r="P808" s="386"/>
      <c r="Q808" s="386"/>
    </row>
    <row r="809" spans="1:17" ht="30" customHeight="1" x14ac:dyDescent="0.2">
      <c r="A809" s="5014"/>
      <c r="B809" s="4955" t="s">
        <v>5182</v>
      </c>
      <c r="C809" s="4990" t="s">
        <v>3390</v>
      </c>
      <c r="D809" s="4952">
        <v>150000000</v>
      </c>
      <c r="E809" s="4962">
        <v>0.05</v>
      </c>
      <c r="F809" s="4952">
        <f t="shared" si="72"/>
        <v>7500000</v>
      </c>
      <c r="G809" s="4952">
        <v>7500000</v>
      </c>
      <c r="H809" s="4952" t="s">
        <v>7096</v>
      </c>
      <c r="I809" s="4999" t="s">
        <v>7097</v>
      </c>
      <c r="J809" s="4952">
        <f>G809</f>
        <v>7500000</v>
      </c>
      <c r="K809" s="4952">
        <f>F809-J809</f>
        <v>0</v>
      </c>
      <c r="L809" s="5028"/>
      <c r="M809" s="386"/>
      <c r="N809" s="386"/>
      <c r="O809" s="386"/>
      <c r="P809" s="386"/>
      <c r="Q809" s="386"/>
    </row>
    <row r="810" spans="1:17" ht="30" customHeight="1" x14ac:dyDescent="0.2">
      <c r="A810" s="7654">
        <v>370</v>
      </c>
      <c r="B810" s="7652" t="s">
        <v>1696</v>
      </c>
      <c r="C810" s="7723" t="s">
        <v>3323</v>
      </c>
      <c r="D810" s="4944">
        <v>200000000</v>
      </c>
      <c r="E810" s="5011">
        <v>0.05</v>
      </c>
      <c r="F810" s="4944">
        <f t="shared" si="72"/>
        <v>10000000</v>
      </c>
      <c r="G810" s="4952">
        <v>10000000</v>
      </c>
      <c r="H810" s="4952" t="s">
        <v>3788</v>
      </c>
      <c r="I810" s="472" t="s">
        <v>3400</v>
      </c>
      <c r="J810" s="4952">
        <f t="shared" ref="J810:J838" si="73">G810</f>
        <v>10000000</v>
      </c>
      <c r="K810" s="5008">
        <f>F810-J810</f>
        <v>0</v>
      </c>
      <c r="L810" s="5039" t="s">
        <v>5482</v>
      </c>
      <c r="M810" s="386"/>
      <c r="N810" s="386"/>
      <c r="O810" s="386"/>
      <c r="P810" s="386"/>
      <c r="Q810" s="386"/>
    </row>
    <row r="811" spans="1:17" ht="30" customHeight="1" x14ac:dyDescent="0.2">
      <c r="A811" s="7656"/>
      <c r="B811" s="7665"/>
      <c r="C811" s="7747"/>
      <c r="D811" s="5888">
        <v>50000000</v>
      </c>
      <c r="E811" s="2519">
        <v>0.05</v>
      </c>
      <c r="F811" s="5888">
        <f t="shared" si="72"/>
        <v>2500000</v>
      </c>
      <c r="G811" s="7850" t="s">
        <v>7162</v>
      </c>
      <c r="H811" s="7851"/>
      <c r="I811" s="7851"/>
      <c r="J811" s="7852"/>
      <c r="K811" s="5902"/>
      <c r="L811" s="1114" t="s">
        <v>7158</v>
      </c>
      <c r="M811" s="386"/>
      <c r="N811" s="386"/>
      <c r="O811" s="386"/>
      <c r="P811" s="386"/>
      <c r="Q811" s="386"/>
    </row>
    <row r="812" spans="1:17" ht="30" customHeight="1" x14ac:dyDescent="0.2">
      <c r="A812" s="7656"/>
      <c r="B812" s="7665"/>
      <c r="C812" s="7747"/>
      <c r="D812" s="5884">
        <v>80000000</v>
      </c>
      <c r="E812" s="5903"/>
      <c r="F812" s="5884"/>
      <c r="G812" s="7732" t="s">
        <v>7391</v>
      </c>
      <c r="H812" s="7733"/>
      <c r="I812" s="7733"/>
      <c r="J812" s="7734"/>
      <c r="K812" s="5900"/>
      <c r="L812" s="5899" t="s">
        <v>7392</v>
      </c>
      <c r="M812" s="386"/>
      <c r="N812" s="386"/>
      <c r="O812" s="386"/>
      <c r="P812" s="386"/>
      <c r="Q812" s="386"/>
    </row>
    <row r="813" spans="1:17" ht="30" customHeight="1" x14ac:dyDescent="0.2">
      <c r="A813" s="7656"/>
      <c r="B813" s="7665"/>
      <c r="C813" s="7747"/>
      <c r="D813" s="5884">
        <v>70000000</v>
      </c>
      <c r="E813" s="5903"/>
      <c r="F813" s="5884"/>
      <c r="G813" s="7732" t="s">
        <v>7393</v>
      </c>
      <c r="H813" s="7733"/>
      <c r="I813" s="7733"/>
      <c r="J813" s="7734"/>
      <c r="K813" s="5900"/>
      <c r="L813" s="5899" t="s">
        <v>7392</v>
      </c>
      <c r="M813" s="386"/>
      <c r="N813" s="386"/>
      <c r="O813" s="386"/>
      <c r="P813" s="386"/>
      <c r="Q813" s="386"/>
    </row>
    <row r="814" spans="1:17" ht="30" customHeight="1" x14ac:dyDescent="0.2">
      <c r="A814" s="7656"/>
      <c r="B814" s="7665"/>
      <c r="C814" s="7747"/>
      <c r="D814" s="5884">
        <v>30000000</v>
      </c>
      <c r="E814" s="5903"/>
      <c r="F814" s="5884"/>
      <c r="G814" s="7732" t="s">
        <v>7394</v>
      </c>
      <c r="H814" s="7733"/>
      <c r="I814" s="7733"/>
      <c r="J814" s="7734"/>
      <c r="K814" s="5900"/>
      <c r="L814" s="5899" t="s">
        <v>7392</v>
      </c>
      <c r="M814" s="386"/>
      <c r="N814" s="386"/>
      <c r="O814" s="386"/>
      <c r="P814" s="386"/>
      <c r="Q814" s="386"/>
    </row>
    <row r="815" spans="1:17" ht="30" customHeight="1" x14ac:dyDescent="0.2">
      <c r="A815" s="7655"/>
      <c r="B815" s="7653"/>
      <c r="C815" s="7724"/>
      <c r="D815" s="5913"/>
      <c r="E815" s="5917"/>
      <c r="F815" s="5913"/>
      <c r="G815" s="5893"/>
      <c r="H815" s="5905"/>
      <c r="I815" s="5905"/>
      <c r="J815" s="5895"/>
      <c r="K815" s="5900"/>
      <c r="L815" s="5899"/>
      <c r="M815" s="386"/>
      <c r="N815" s="386"/>
      <c r="O815" s="386"/>
      <c r="P815" s="386"/>
      <c r="Q815" s="386"/>
    </row>
    <row r="816" spans="1:17" ht="30" customHeight="1" x14ac:dyDescent="0.2">
      <c r="A816" s="8143">
        <v>371</v>
      </c>
      <c r="B816" s="8132" t="s">
        <v>1698</v>
      </c>
      <c r="C816" s="8134" t="s">
        <v>942</v>
      </c>
      <c r="D816" s="2548">
        <v>50000000</v>
      </c>
      <c r="E816" s="2549">
        <v>0.04</v>
      </c>
      <c r="F816" s="2548">
        <f t="shared" si="72"/>
        <v>2000000</v>
      </c>
      <c r="G816" s="2548">
        <v>2000000</v>
      </c>
      <c r="H816" s="8145" t="s">
        <v>6800</v>
      </c>
      <c r="I816" s="8543" t="s">
        <v>1720</v>
      </c>
      <c r="J816" s="2548">
        <f t="shared" si="73"/>
        <v>2000000</v>
      </c>
      <c r="K816" s="5183">
        <f>F816-J816</f>
        <v>0</v>
      </c>
      <c r="L816" s="8532" t="s">
        <v>6802</v>
      </c>
      <c r="M816" s="386"/>
      <c r="N816" s="386"/>
      <c r="O816" s="386"/>
      <c r="P816" s="386"/>
      <c r="Q816" s="386"/>
    </row>
    <row r="817" spans="1:17" ht="30" customHeight="1" x14ac:dyDescent="0.2">
      <c r="A817" s="8144"/>
      <c r="B817" s="8133"/>
      <c r="C817" s="8135"/>
      <c r="D817" s="8139" t="s">
        <v>6801</v>
      </c>
      <c r="E817" s="8140"/>
      <c r="F817" s="8141"/>
      <c r="G817" s="5155">
        <v>50000000</v>
      </c>
      <c r="H817" s="8147"/>
      <c r="I817" s="8544"/>
      <c r="J817" s="5155">
        <f>G817</f>
        <v>50000000</v>
      </c>
      <c r="K817" s="5156">
        <v>0</v>
      </c>
      <c r="L817" s="8533"/>
      <c r="M817" s="386"/>
      <c r="N817" s="386"/>
      <c r="O817" s="386"/>
      <c r="P817" s="386"/>
      <c r="Q817" s="386"/>
    </row>
    <row r="818" spans="1:17" ht="30" customHeight="1" x14ac:dyDescent="0.2">
      <c r="A818" s="4959">
        <v>372</v>
      </c>
      <c r="B818" s="4956" t="s">
        <v>1706</v>
      </c>
      <c r="C818" s="4990"/>
      <c r="D818" s="4965"/>
      <c r="E818" s="2519"/>
      <c r="F818" s="4965"/>
      <c r="G818" s="4952"/>
      <c r="H818" s="4952"/>
      <c r="I818" s="472"/>
      <c r="J818" s="4952">
        <f t="shared" si="73"/>
        <v>0</v>
      </c>
      <c r="K818" s="5009"/>
      <c r="L818" s="5039"/>
      <c r="M818" s="386"/>
      <c r="N818" s="386"/>
      <c r="O818" s="386"/>
      <c r="P818" s="386"/>
      <c r="Q818" s="386"/>
    </row>
    <row r="819" spans="1:17" ht="30" customHeight="1" x14ac:dyDescent="0.2">
      <c r="A819" s="7654"/>
      <c r="B819" s="7652" t="s">
        <v>1725</v>
      </c>
      <c r="C819" s="7723" t="s">
        <v>1718</v>
      </c>
      <c r="D819" s="4944">
        <v>20000000</v>
      </c>
      <c r="E819" s="5011">
        <v>0.05</v>
      </c>
      <c r="F819" s="4944">
        <f>D819*E819</f>
        <v>1000000</v>
      </c>
      <c r="G819" s="7563">
        <v>1500000</v>
      </c>
      <c r="H819" s="7563" t="s">
        <v>6895</v>
      </c>
      <c r="I819" s="7563" t="s">
        <v>3486</v>
      </c>
      <c r="J819" s="7563">
        <f t="shared" si="73"/>
        <v>1500000</v>
      </c>
      <c r="K819" s="7816">
        <f>(F819+F820)-J819</f>
        <v>0</v>
      </c>
      <c r="L819" s="5039"/>
      <c r="M819" s="386"/>
      <c r="N819" s="386"/>
      <c r="O819" s="386"/>
      <c r="P819" s="386"/>
      <c r="Q819" s="386"/>
    </row>
    <row r="820" spans="1:17" ht="30" customHeight="1" x14ac:dyDescent="0.2">
      <c r="A820" s="7656"/>
      <c r="B820" s="7665"/>
      <c r="C820" s="7747"/>
      <c r="D820" s="4952">
        <v>10000000</v>
      </c>
      <c r="E820" s="5011">
        <v>0.05</v>
      </c>
      <c r="F820" s="4944">
        <f>D820*E820</f>
        <v>500000</v>
      </c>
      <c r="G820" s="7564"/>
      <c r="H820" s="7564"/>
      <c r="I820" s="7564"/>
      <c r="J820" s="7564"/>
      <c r="K820" s="7817"/>
      <c r="L820" s="5039"/>
      <c r="M820" s="386"/>
      <c r="N820" s="386"/>
      <c r="O820" s="386"/>
      <c r="P820" s="386"/>
      <c r="Q820" s="386"/>
    </row>
    <row r="821" spans="1:17" ht="30" customHeight="1" x14ac:dyDescent="0.2">
      <c r="A821" s="7656"/>
      <c r="B821" s="7665"/>
      <c r="C821" s="7747"/>
      <c r="D821" s="7563">
        <v>30000000</v>
      </c>
      <c r="E821" s="7659"/>
      <c r="F821" s="7563"/>
      <c r="G821" s="7732" t="s">
        <v>7005</v>
      </c>
      <c r="H821" s="7733"/>
      <c r="I821" s="7733"/>
      <c r="J821" s="7734"/>
      <c r="K821" s="5333"/>
      <c r="L821" s="7811" t="s">
        <v>7004</v>
      </c>
      <c r="M821" s="386"/>
      <c r="N821" s="386"/>
      <c r="O821" s="386"/>
      <c r="P821" s="386"/>
      <c r="Q821" s="386"/>
    </row>
    <row r="822" spans="1:17" ht="30" customHeight="1" x14ac:dyDescent="0.2">
      <c r="A822" s="7656"/>
      <c r="B822" s="7665"/>
      <c r="C822" s="7747"/>
      <c r="D822" s="7586"/>
      <c r="E822" s="7676"/>
      <c r="F822" s="7586"/>
      <c r="G822" s="7732" t="s">
        <v>7006</v>
      </c>
      <c r="H822" s="7733"/>
      <c r="I822" s="7733"/>
      <c r="J822" s="7734"/>
      <c r="K822" s="5333"/>
      <c r="L822" s="7897"/>
      <c r="M822" s="386"/>
      <c r="N822" s="386"/>
      <c r="O822" s="386"/>
      <c r="P822" s="386"/>
      <c r="Q822" s="386"/>
    </row>
    <row r="823" spans="1:17" ht="30" customHeight="1" x14ac:dyDescent="0.2">
      <c r="A823" s="7655"/>
      <c r="B823" s="7653"/>
      <c r="C823" s="7724"/>
      <c r="D823" s="7564"/>
      <c r="E823" s="7660"/>
      <c r="F823" s="7564"/>
      <c r="G823" s="7732" t="s">
        <v>7007</v>
      </c>
      <c r="H823" s="7733"/>
      <c r="I823" s="7733"/>
      <c r="J823" s="7734"/>
      <c r="K823" s="5333"/>
      <c r="L823" s="7812"/>
      <c r="M823" s="386"/>
      <c r="N823" s="386"/>
      <c r="O823" s="386"/>
      <c r="P823" s="386"/>
      <c r="Q823" s="386"/>
    </row>
    <row r="824" spans="1:17" ht="30" customHeight="1" x14ac:dyDescent="0.2">
      <c r="A824" s="4959">
        <v>374</v>
      </c>
      <c r="B824" s="4956" t="s">
        <v>1727</v>
      </c>
      <c r="C824" s="4990"/>
      <c r="D824" s="4965"/>
      <c r="E824" s="4975"/>
      <c r="F824" s="4965"/>
      <c r="G824" s="4952"/>
      <c r="H824" s="4952"/>
      <c r="I824" s="472"/>
      <c r="J824" s="4952">
        <f t="shared" si="73"/>
        <v>0</v>
      </c>
      <c r="K824" s="5009">
        <f t="shared" ref="K824:K839" si="74">F824-J824</f>
        <v>0</v>
      </c>
      <c r="L824" s="5039"/>
      <c r="M824" s="386"/>
      <c r="N824" s="386"/>
      <c r="O824" s="386"/>
      <c r="P824" s="386"/>
      <c r="Q824" s="386"/>
    </row>
    <row r="825" spans="1:17" ht="30" customHeight="1" x14ac:dyDescent="0.2">
      <c r="A825" s="7654">
        <v>375</v>
      </c>
      <c r="B825" s="7652" t="s">
        <v>6040</v>
      </c>
      <c r="C825" s="7723" t="s">
        <v>889</v>
      </c>
      <c r="D825" s="4944">
        <v>1000000000</v>
      </c>
      <c r="E825" s="5011">
        <v>7.0000000000000007E-2</v>
      </c>
      <c r="F825" s="4944">
        <f>D825*E825</f>
        <v>70000000</v>
      </c>
      <c r="G825" s="4944"/>
      <c r="H825" s="4944"/>
      <c r="I825" s="4944" t="s">
        <v>4403</v>
      </c>
      <c r="J825" s="4944">
        <f>G825</f>
        <v>0</v>
      </c>
      <c r="K825" s="4948">
        <f>F825-J825</f>
        <v>70000000</v>
      </c>
      <c r="L825" s="5051"/>
      <c r="M825" s="386"/>
      <c r="N825" s="386"/>
      <c r="O825" s="386"/>
      <c r="P825" s="386"/>
      <c r="Q825" s="386"/>
    </row>
    <row r="826" spans="1:17" ht="30" customHeight="1" x14ac:dyDescent="0.2">
      <c r="A826" s="7656"/>
      <c r="B826" s="7665"/>
      <c r="C826" s="7747"/>
      <c r="D826" s="5217">
        <v>500000000</v>
      </c>
      <c r="E826" s="1298">
        <v>7.0000000000000007E-2</v>
      </c>
      <c r="F826" s="5217">
        <f>D826*E826</f>
        <v>35000000</v>
      </c>
      <c r="G826" s="7806" t="s">
        <v>6042</v>
      </c>
      <c r="H826" s="7807"/>
      <c r="I826" s="7807"/>
      <c r="J826" s="7808"/>
      <c r="K826" s="5008"/>
      <c r="L826" s="5051" t="s">
        <v>6044</v>
      </c>
      <c r="M826" s="386"/>
      <c r="N826" s="386"/>
      <c r="O826" s="386"/>
      <c r="P826" s="386"/>
      <c r="Q826" s="386"/>
    </row>
    <row r="827" spans="1:17" ht="30" customHeight="1" x14ac:dyDescent="0.2">
      <c r="A827" s="7656"/>
      <c r="B827" s="7665"/>
      <c r="C827" s="7747"/>
      <c r="D827" s="5217">
        <v>500000000</v>
      </c>
      <c r="E827" s="1298">
        <v>7.0000000000000007E-2</v>
      </c>
      <c r="F827" s="5217">
        <f>D827*E833</f>
        <v>35000000</v>
      </c>
      <c r="G827" s="7806" t="s">
        <v>6041</v>
      </c>
      <c r="H827" s="7807"/>
      <c r="I827" s="7807"/>
      <c r="J827" s="7808"/>
      <c r="K827" s="5008"/>
      <c r="L827" s="5051" t="s">
        <v>6043</v>
      </c>
      <c r="M827" s="386"/>
      <c r="N827" s="386"/>
      <c r="O827" s="386"/>
      <c r="P827" s="386"/>
      <c r="Q827" s="386"/>
    </row>
    <row r="828" spans="1:17" ht="30" customHeight="1" x14ac:dyDescent="0.2">
      <c r="A828" s="7656"/>
      <c r="B828" s="7665"/>
      <c r="C828" s="7747"/>
      <c r="D828" s="7494" t="s">
        <v>6850</v>
      </c>
      <c r="E828" s="7495"/>
      <c r="F828" s="7768"/>
      <c r="G828" s="7732" t="s">
        <v>6851</v>
      </c>
      <c r="H828" s="7733"/>
      <c r="I828" s="7733"/>
      <c r="J828" s="7734"/>
      <c r="K828" s="5221"/>
      <c r="L828" s="5225"/>
      <c r="M828" s="386"/>
      <c r="N828" s="386"/>
      <c r="O828" s="386"/>
      <c r="P828" s="386"/>
      <c r="Q828" s="386"/>
    </row>
    <row r="829" spans="1:17" ht="30" customHeight="1" x14ac:dyDescent="0.2">
      <c r="A829" s="7656"/>
      <c r="B829" s="7665"/>
      <c r="C829" s="7747"/>
      <c r="D829" s="7877"/>
      <c r="E829" s="7524"/>
      <c r="F829" s="7878"/>
      <c r="G829" s="7732" t="s">
        <v>6852</v>
      </c>
      <c r="H829" s="7733"/>
      <c r="I829" s="7733"/>
      <c r="J829" s="7734"/>
      <c r="K829" s="5221"/>
      <c r="L829" s="5225"/>
      <c r="M829" s="386"/>
      <c r="N829" s="386"/>
      <c r="O829" s="386"/>
      <c r="P829" s="386"/>
      <c r="Q829" s="386"/>
    </row>
    <row r="830" spans="1:17" ht="30" customHeight="1" x14ac:dyDescent="0.2">
      <c r="A830" s="7656"/>
      <c r="B830" s="7665"/>
      <c r="C830" s="7747"/>
      <c r="D830" s="7877"/>
      <c r="E830" s="7524"/>
      <c r="F830" s="7878"/>
      <c r="G830" s="7732" t="s">
        <v>6853</v>
      </c>
      <c r="H830" s="7733"/>
      <c r="I830" s="7733"/>
      <c r="J830" s="7734"/>
      <c r="K830" s="5221"/>
      <c r="L830" s="5225"/>
      <c r="M830" s="386"/>
      <c r="N830" s="386"/>
      <c r="O830" s="386"/>
      <c r="P830" s="386"/>
      <c r="Q830" s="386"/>
    </row>
    <row r="831" spans="1:17" ht="30" customHeight="1" x14ac:dyDescent="0.2">
      <c r="A831" s="7656"/>
      <c r="B831" s="7665"/>
      <c r="C831" s="7747"/>
      <c r="D831" s="7877"/>
      <c r="E831" s="7524"/>
      <c r="F831" s="7878"/>
      <c r="G831" s="7732" t="s">
        <v>6854</v>
      </c>
      <c r="H831" s="7733"/>
      <c r="I831" s="7733"/>
      <c r="J831" s="7734"/>
      <c r="K831" s="5221"/>
      <c r="L831" s="5225"/>
      <c r="M831" s="386"/>
      <c r="N831" s="386"/>
      <c r="O831" s="386"/>
      <c r="P831" s="386"/>
      <c r="Q831" s="386"/>
    </row>
    <row r="832" spans="1:17" ht="30" customHeight="1" x14ac:dyDescent="0.2">
      <c r="A832" s="7656"/>
      <c r="B832" s="7665"/>
      <c r="C832" s="7747"/>
      <c r="D832" s="7769"/>
      <c r="E832" s="7805"/>
      <c r="F832" s="7770"/>
      <c r="G832" s="7732" t="s">
        <v>6855</v>
      </c>
      <c r="H832" s="7733"/>
      <c r="I832" s="7733"/>
      <c r="J832" s="7734"/>
      <c r="K832" s="5221"/>
      <c r="L832" s="5225"/>
      <c r="M832" s="386"/>
      <c r="N832" s="386"/>
      <c r="O832" s="386"/>
      <c r="P832" s="386"/>
      <c r="Q832" s="386"/>
    </row>
    <row r="833" spans="1:17" ht="30" customHeight="1" x14ac:dyDescent="0.2">
      <c r="A833" s="7656"/>
      <c r="B833" s="7665"/>
      <c r="C833" s="7747"/>
      <c r="D833" s="7559">
        <v>2000000000</v>
      </c>
      <c r="E833" s="7683">
        <v>7.0000000000000007E-2</v>
      </c>
      <c r="F833" s="7559">
        <f>D833*E833</f>
        <v>140000000</v>
      </c>
      <c r="G833" s="4952">
        <v>40000000</v>
      </c>
      <c r="H833" s="4952" t="s">
        <v>6785</v>
      </c>
      <c r="I833" s="4999" t="s">
        <v>4403</v>
      </c>
      <c r="J833" s="7563">
        <f>G833+G835+G834</f>
        <v>140000000</v>
      </c>
      <c r="K833" s="7816">
        <f>F833-J833</f>
        <v>0</v>
      </c>
      <c r="L833" s="5051"/>
      <c r="M833" s="386"/>
      <c r="N833" s="386"/>
      <c r="O833" s="386"/>
      <c r="P833" s="386"/>
      <c r="Q833" s="386"/>
    </row>
    <row r="834" spans="1:17" ht="30" customHeight="1" x14ac:dyDescent="0.2">
      <c r="A834" s="7656"/>
      <c r="B834" s="7665"/>
      <c r="C834" s="7747"/>
      <c r="D834" s="8003"/>
      <c r="E834" s="8184"/>
      <c r="F834" s="8003"/>
      <c r="G834" s="5150">
        <v>50000000</v>
      </c>
      <c r="H834" s="5150" t="s">
        <v>6789</v>
      </c>
      <c r="I834" s="5152" t="s">
        <v>4403</v>
      </c>
      <c r="J834" s="7586"/>
      <c r="K834" s="7882"/>
      <c r="L834" s="5154"/>
      <c r="M834" s="386"/>
      <c r="N834" s="386"/>
      <c r="O834" s="386"/>
      <c r="P834" s="386"/>
      <c r="Q834" s="386"/>
    </row>
    <row r="835" spans="1:17" ht="30" customHeight="1" x14ac:dyDescent="0.2">
      <c r="A835" s="7655"/>
      <c r="B835" s="7653"/>
      <c r="C835" s="7724"/>
      <c r="D835" s="7560"/>
      <c r="E835" s="7684"/>
      <c r="F835" s="7560"/>
      <c r="G835" s="5140">
        <v>50000000</v>
      </c>
      <c r="H835" s="5140" t="s">
        <v>6800</v>
      </c>
      <c r="I835" s="5141" t="s">
        <v>4403</v>
      </c>
      <c r="J835" s="7564"/>
      <c r="K835" s="7817"/>
      <c r="L835" s="5143"/>
      <c r="M835" s="386"/>
      <c r="N835" s="386"/>
      <c r="O835" s="386"/>
      <c r="P835" s="386"/>
      <c r="Q835" s="386"/>
    </row>
    <row r="836" spans="1:17" ht="30" customHeight="1" x14ac:dyDescent="0.2">
      <c r="A836" s="4959">
        <v>376</v>
      </c>
      <c r="B836" s="4956" t="s">
        <v>3580</v>
      </c>
      <c r="C836" s="4990" t="s">
        <v>262</v>
      </c>
      <c r="D836" s="4952">
        <v>50000000</v>
      </c>
      <c r="E836" s="5011">
        <v>0.06</v>
      </c>
      <c r="F836" s="4952">
        <f>D836*E836</f>
        <v>3000000</v>
      </c>
      <c r="G836" s="4952">
        <v>3000000</v>
      </c>
      <c r="H836" s="4952" t="s">
        <v>6932</v>
      </c>
      <c r="I836" s="472" t="s">
        <v>4093</v>
      </c>
      <c r="J836" s="4952">
        <f t="shared" si="73"/>
        <v>3000000</v>
      </c>
      <c r="K836" s="5008">
        <f t="shared" si="74"/>
        <v>0</v>
      </c>
      <c r="L836" s="5039"/>
      <c r="M836" s="386"/>
      <c r="N836" s="386"/>
      <c r="O836" s="386"/>
      <c r="P836" s="386"/>
      <c r="Q836" s="386"/>
    </row>
    <row r="837" spans="1:17" ht="30" customHeight="1" x14ac:dyDescent="0.2">
      <c r="A837" s="4959">
        <v>377</v>
      </c>
      <c r="B837" s="4956" t="s">
        <v>1752</v>
      </c>
      <c r="C837" s="4990" t="s">
        <v>1652</v>
      </c>
      <c r="D837" s="4952">
        <v>153000000</v>
      </c>
      <c r="E837" s="5011">
        <v>7.0000000000000007E-2</v>
      </c>
      <c r="F837" s="4952">
        <f>D837*E837</f>
        <v>10710000.000000002</v>
      </c>
      <c r="G837" s="4952">
        <v>10710000</v>
      </c>
      <c r="H837" s="4952" t="s">
        <v>6828</v>
      </c>
      <c r="I837" s="472" t="s">
        <v>1952</v>
      </c>
      <c r="J837" s="4952">
        <f t="shared" si="73"/>
        <v>10710000</v>
      </c>
      <c r="K837" s="5008">
        <f t="shared" si="74"/>
        <v>0</v>
      </c>
      <c r="L837" s="5039"/>
      <c r="M837" s="386"/>
      <c r="N837" s="386"/>
      <c r="O837" s="386"/>
      <c r="P837" s="386"/>
      <c r="Q837" s="386"/>
    </row>
    <row r="838" spans="1:17" ht="30" customHeight="1" x14ac:dyDescent="0.2">
      <c r="A838" s="4959">
        <v>378</v>
      </c>
      <c r="B838" s="4956" t="s">
        <v>1790</v>
      </c>
      <c r="C838" s="4990" t="s">
        <v>889</v>
      </c>
      <c r="D838" s="4952">
        <v>300000000</v>
      </c>
      <c r="E838" s="5011">
        <v>5.0999999999999997E-2</v>
      </c>
      <c r="F838" s="4952">
        <v>15500000</v>
      </c>
      <c r="G838" s="4952">
        <v>15500000</v>
      </c>
      <c r="H838" s="4952" t="s">
        <v>6789</v>
      </c>
      <c r="I838" s="472" t="s">
        <v>3062</v>
      </c>
      <c r="J838" s="4952">
        <f t="shared" si="73"/>
        <v>15500000</v>
      </c>
      <c r="K838" s="5008">
        <f t="shared" si="74"/>
        <v>0</v>
      </c>
      <c r="L838" s="5039"/>
      <c r="M838" s="386"/>
      <c r="N838" s="386"/>
      <c r="O838" s="386"/>
      <c r="P838" s="386"/>
      <c r="Q838" s="386"/>
    </row>
    <row r="839" spans="1:17" ht="30" customHeight="1" x14ac:dyDescent="0.2">
      <c r="A839" s="4957">
        <v>379</v>
      </c>
      <c r="B839" s="19" t="s">
        <v>1753</v>
      </c>
      <c r="C839" s="5016" t="s">
        <v>372</v>
      </c>
      <c r="D839" s="4944">
        <v>60000000</v>
      </c>
      <c r="E839" s="5011">
        <v>0.05</v>
      </c>
      <c r="F839" s="4944">
        <f>D839*E839</f>
        <v>3000000</v>
      </c>
      <c r="G839" s="4944">
        <v>3000000</v>
      </c>
      <c r="H839" s="4944" t="s">
        <v>7010</v>
      </c>
      <c r="I839" s="5075" t="s">
        <v>6367</v>
      </c>
      <c r="J839" s="4944">
        <f>G839</f>
        <v>3000000</v>
      </c>
      <c r="K839" s="4948">
        <f t="shared" si="74"/>
        <v>0</v>
      </c>
      <c r="L839" s="5007"/>
      <c r="M839" s="386"/>
      <c r="N839" s="386"/>
      <c r="O839" s="386"/>
      <c r="P839" s="386"/>
      <c r="Q839" s="386"/>
    </row>
    <row r="840" spans="1:17" ht="30" customHeight="1" x14ac:dyDescent="0.2">
      <c r="A840" s="4959">
        <v>381</v>
      </c>
      <c r="B840" s="4956" t="s">
        <v>1797</v>
      </c>
      <c r="C840" s="4990" t="s">
        <v>889</v>
      </c>
      <c r="D840" s="4952">
        <v>50000000</v>
      </c>
      <c r="E840" s="5011">
        <v>0.05</v>
      </c>
      <c r="F840" s="4952">
        <f>D840*E840</f>
        <v>2500000</v>
      </c>
      <c r="G840" s="4952">
        <v>2500000</v>
      </c>
      <c r="H840" s="4952" t="s">
        <v>6773</v>
      </c>
      <c r="I840" s="472" t="s">
        <v>3516</v>
      </c>
      <c r="J840" s="4952">
        <f>G840</f>
        <v>2500000</v>
      </c>
      <c r="K840" s="5008">
        <f>F840-J840</f>
        <v>0</v>
      </c>
      <c r="L840" s="5039" t="s">
        <v>5484</v>
      </c>
      <c r="M840" s="386"/>
      <c r="N840" s="386"/>
      <c r="O840" s="386"/>
      <c r="P840" s="386"/>
      <c r="Q840" s="386"/>
    </row>
    <row r="841" spans="1:17" ht="30" customHeight="1" x14ac:dyDescent="0.2">
      <c r="A841" s="4959">
        <v>382</v>
      </c>
      <c r="B841" s="4956" t="s">
        <v>1812</v>
      </c>
      <c r="C841" s="4990" t="s">
        <v>262</v>
      </c>
      <c r="D841" s="4952">
        <v>150000000</v>
      </c>
      <c r="E841" s="5011"/>
      <c r="F841" s="4952"/>
      <c r="G841" s="4952"/>
      <c r="H841" s="4952"/>
      <c r="I841" s="472"/>
      <c r="J841" s="4952"/>
      <c r="K841" s="5008"/>
      <c r="L841" s="5039"/>
      <c r="M841" s="386"/>
      <c r="N841" s="386"/>
      <c r="O841" s="386"/>
      <c r="P841" s="386"/>
      <c r="Q841" s="386"/>
    </row>
    <row r="842" spans="1:17" ht="30" customHeight="1" x14ac:dyDescent="0.2">
      <c r="A842" s="4959">
        <v>383</v>
      </c>
      <c r="B842" s="4956" t="s">
        <v>1823</v>
      </c>
      <c r="C842" s="4990" t="s">
        <v>262</v>
      </c>
      <c r="D842" s="4952">
        <v>10000000</v>
      </c>
      <c r="E842" s="5011">
        <v>7.0000000000000007E-2</v>
      </c>
      <c r="F842" s="4952">
        <f t="shared" ref="F842:F859" si="75">D842*E842</f>
        <v>700000.00000000012</v>
      </c>
      <c r="G842" s="4952">
        <v>700000</v>
      </c>
      <c r="H842" s="4952" t="s">
        <v>7010</v>
      </c>
      <c r="I842" s="472" t="s">
        <v>2928</v>
      </c>
      <c r="J842" s="4952">
        <f>G842</f>
        <v>700000</v>
      </c>
      <c r="K842" s="5008">
        <f>F842-J842</f>
        <v>0</v>
      </c>
      <c r="L842" s="5039"/>
      <c r="M842" s="386"/>
      <c r="N842" s="386"/>
      <c r="O842" s="386"/>
      <c r="P842" s="386"/>
      <c r="Q842" s="386"/>
    </row>
    <row r="843" spans="1:17" ht="30" customHeight="1" x14ac:dyDescent="0.2">
      <c r="A843" s="624">
        <v>384</v>
      </c>
      <c r="B843" s="4956" t="s">
        <v>1861</v>
      </c>
      <c r="C843" s="4990" t="s">
        <v>262</v>
      </c>
      <c r="D843" s="4952">
        <v>150000000</v>
      </c>
      <c r="E843" s="5011">
        <v>7.0000000000000007E-2</v>
      </c>
      <c r="F843" s="4952">
        <f t="shared" si="75"/>
        <v>10500000.000000002</v>
      </c>
      <c r="G843" s="4952">
        <v>10500000</v>
      </c>
      <c r="H843" s="4952" t="s">
        <v>7020</v>
      </c>
      <c r="I843" s="472" t="s">
        <v>1960</v>
      </c>
      <c r="J843" s="4952">
        <f>G843</f>
        <v>10500000</v>
      </c>
      <c r="K843" s="5008">
        <f>F843-J843</f>
        <v>0</v>
      </c>
      <c r="L843" s="5039"/>
      <c r="M843" s="386"/>
      <c r="N843" s="386"/>
      <c r="O843" s="386"/>
      <c r="P843" s="386"/>
      <c r="Q843" s="386"/>
    </row>
    <row r="844" spans="1:17" ht="30" customHeight="1" x14ac:dyDescent="0.2">
      <c r="A844" s="7654">
        <v>385</v>
      </c>
      <c r="B844" s="7652" t="s">
        <v>1877</v>
      </c>
      <c r="C844" s="7723" t="s">
        <v>1652</v>
      </c>
      <c r="D844" s="4952">
        <v>12000000</v>
      </c>
      <c r="E844" s="5011">
        <v>0.05</v>
      </c>
      <c r="F844" s="4944">
        <f>D844*E844</f>
        <v>600000</v>
      </c>
      <c r="G844" s="7563">
        <v>2150000</v>
      </c>
      <c r="H844" s="7563" t="s">
        <v>6828</v>
      </c>
      <c r="I844" s="7563" t="s">
        <v>6266</v>
      </c>
      <c r="J844" s="7563">
        <f>G844</f>
        <v>2150000</v>
      </c>
      <c r="K844" s="7816">
        <f>(F844+F845)-J844</f>
        <v>0</v>
      </c>
      <c r="L844" s="5039" t="s">
        <v>6267</v>
      </c>
      <c r="M844" s="386"/>
      <c r="N844" s="386"/>
      <c r="O844" s="386"/>
      <c r="P844" s="386"/>
      <c r="Q844" s="386"/>
    </row>
    <row r="845" spans="1:17" ht="30" customHeight="1" x14ac:dyDescent="0.2">
      <c r="A845" s="7656"/>
      <c r="B845" s="7665"/>
      <c r="C845" s="7747"/>
      <c r="D845" s="4944">
        <v>31000000</v>
      </c>
      <c r="E845" s="5011">
        <v>0.05</v>
      </c>
      <c r="F845" s="4943">
        <f>D845*E845</f>
        <v>1550000</v>
      </c>
      <c r="G845" s="7586"/>
      <c r="H845" s="7586"/>
      <c r="I845" s="7586"/>
      <c r="J845" s="7586"/>
      <c r="K845" s="7882"/>
      <c r="L845" s="5469" t="s">
        <v>7105</v>
      </c>
      <c r="M845" s="386"/>
      <c r="N845" s="386"/>
      <c r="O845" s="386"/>
      <c r="P845" s="386"/>
      <c r="Q845" s="386"/>
    </row>
    <row r="846" spans="1:17" ht="30" customHeight="1" x14ac:dyDescent="0.2">
      <c r="A846" s="7656"/>
      <c r="B846" s="7665"/>
      <c r="C846" s="7747"/>
      <c r="D846" s="5468">
        <f>SUM(D844:D845)</f>
        <v>43000000</v>
      </c>
      <c r="E846" s="896">
        <v>0.05</v>
      </c>
      <c r="F846" s="5468">
        <f>D846*E846</f>
        <v>2150000</v>
      </c>
      <c r="G846" s="7564"/>
      <c r="H846" s="7564"/>
      <c r="I846" s="7564"/>
      <c r="J846" s="7564"/>
      <c r="K846" s="7817"/>
      <c r="L846" s="5027"/>
      <c r="M846" s="386"/>
      <c r="N846" s="386"/>
      <c r="O846" s="386"/>
      <c r="P846" s="386"/>
      <c r="Q846" s="386"/>
    </row>
    <row r="847" spans="1:17" ht="30" customHeight="1" x14ac:dyDescent="0.2">
      <c r="A847" s="7656"/>
      <c r="B847" s="7665"/>
      <c r="C847" s="7747"/>
      <c r="D847" s="5448">
        <v>7000000</v>
      </c>
      <c r="E847" s="5455"/>
      <c r="F847" s="5448"/>
      <c r="G847" s="8092" t="s">
        <v>7145</v>
      </c>
      <c r="H847" s="8093"/>
      <c r="I847" s="8093"/>
      <c r="J847" s="8094"/>
      <c r="K847" s="5456"/>
      <c r="L847" s="5459"/>
      <c r="M847" s="386"/>
      <c r="N847" s="386"/>
      <c r="O847" s="386"/>
      <c r="P847" s="386"/>
      <c r="Q847" s="386"/>
    </row>
    <row r="848" spans="1:17" ht="30" customHeight="1" x14ac:dyDescent="0.2">
      <c r="A848" s="7656"/>
      <c r="B848" s="7665"/>
      <c r="C848" s="7747"/>
      <c r="D848" s="5448">
        <v>100000000</v>
      </c>
      <c r="E848" s="5455"/>
      <c r="F848" s="5448"/>
      <c r="G848" s="8092" t="s">
        <v>7147</v>
      </c>
      <c r="H848" s="8093"/>
      <c r="I848" s="8093"/>
      <c r="J848" s="8094"/>
      <c r="K848" s="5456"/>
      <c r="L848" s="5459"/>
      <c r="M848" s="386"/>
      <c r="N848" s="386"/>
      <c r="O848" s="386"/>
      <c r="P848" s="386"/>
      <c r="Q848" s="386"/>
    </row>
    <row r="849" spans="1:17" ht="30" customHeight="1" x14ac:dyDescent="0.2">
      <c r="A849" s="7656"/>
      <c r="B849" s="7665"/>
      <c r="C849" s="7747"/>
      <c r="D849" s="5448">
        <v>50000000</v>
      </c>
      <c r="E849" s="5455"/>
      <c r="F849" s="5448"/>
      <c r="G849" s="8092" t="s">
        <v>7146</v>
      </c>
      <c r="H849" s="8093"/>
      <c r="I849" s="8093"/>
      <c r="J849" s="8094"/>
      <c r="K849" s="5456"/>
      <c r="L849" s="5459"/>
      <c r="M849" s="386"/>
      <c r="N849" s="386"/>
      <c r="O849" s="386"/>
      <c r="P849" s="386"/>
      <c r="Q849" s="386"/>
    </row>
    <row r="850" spans="1:17" ht="30" customHeight="1" x14ac:dyDescent="0.2">
      <c r="A850" s="7656"/>
      <c r="B850" s="7665"/>
      <c r="C850" s="7747"/>
      <c r="D850" s="8026">
        <v>200000000</v>
      </c>
      <c r="E850" s="8028">
        <v>0.06</v>
      </c>
      <c r="F850" s="8026">
        <f>D850*E850</f>
        <v>12000000</v>
      </c>
      <c r="G850" s="8092"/>
      <c r="H850" s="8093"/>
      <c r="I850" s="8093"/>
      <c r="J850" s="8094"/>
      <c r="K850" s="5441"/>
      <c r="L850" s="5469" t="s">
        <v>7212</v>
      </c>
      <c r="M850" s="386"/>
      <c r="N850" s="386"/>
      <c r="O850" s="386"/>
      <c r="P850" s="386"/>
      <c r="Q850" s="386"/>
    </row>
    <row r="851" spans="1:17" ht="30" customHeight="1" x14ac:dyDescent="0.2">
      <c r="A851" s="7655"/>
      <c r="B851" s="7653"/>
      <c r="C851" s="7724"/>
      <c r="D851" s="8027"/>
      <c r="E851" s="8029"/>
      <c r="F851" s="8027"/>
      <c r="G851" s="5559"/>
      <c r="H851" s="5554"/>
      <c r="I851" s="5554"/>
      <c r="J851" s="5558"/>
      <c r="K851" s="5550"/>
      <c r="L851" s="5584" t="s">
        <v>7213</v>
      </c>
      <c r="M851" s="386"/>
      <c r="N851" s="386"/>
      <c r="O851" s="386"/>
      <c r="P851" s="386"/>
      <c r="Q851" s="386"/>
    </row>
    <row r="852" spans="1:17" ht="30" customHeight="1" x14ac:dyDescent="0.2">
      <c r="A852" s="7654">
        <v>386</v>
      </c>
      <c r="B852" s="7652" t="s">
        <v>3092</v>
      </c>
      <c r="C852" s="7723" t="s">
        <v>1306</v>
      </c>
      <c r="D852" s="4950">
        <v>100000000</v>
      </c>
      <c r="E852" s="4960">
        <v>7.0000000000000007E-2</v>
      </c>
      <c r="F852" s="4950">
        <f t="shared" si="75"/>
        <v>7000000.0000000009</v>
      </c>
      <c r="G852" s="4952">
        <v>7000000</v>
      </c>
      <c r="H852" s="4944" t="s">
        <v>7168</v>
      </c>
      <c r="I852" s="5075" t="s">
        <v>7169</v>
      </c>
      <c r="J852" s="4950">
        <f t="shared" ref="J852:J859" si="76">G852</f>
        <v>7000000</v>
      </c>
      <c r="K852" s="5007">
        <f>F852-J852</f>
        <v>0</v>
      </c>
      <c r="L852" s="5027" t="s">
        <v>5438</v>
      </c>
      <c r="M852" s="386"/>
      <c r="N852" s="386"/>
      <c r="O852" s="386"/>
      <c r="P852" s="386"/>
      <c r="Q852" s="386"/>
    </row>
    <row r="853" spans="1:17" ht="30" customHeight="1" x14ac:dyDescent="0.2">
      <c r="A853" s="7656"/>
      <c r="B853" s="7665"/>
      <c r="C853" s="7747"/>
      <c r="D853" s="7494" t="s">
        <v>6720</v>
      </c>
      <c r="E853" s="7495"/>
      <c r="F853" s="7768"/>
      <c r="G853" s="4952"/>
      <c r="H853" s="4944"/>
      <c r="I853" s="5075" t="s">
        <v>6721</v>
      </c>
      <c r="J853" s="7563">
        <f>G853+G854+G855+G856+G857</f>
        <v>0</v>
      </c>
      <c r="K853" s="7816"/>
      <c r="L853" s="5027"/>
      <c r="M853" s="386"/>
      <c r="N853" s="386"/>
      <c r="O853" s="386"/>
      <c r="P853" s="386"/>
      <c r="Q853" s="386"/>
    </row>
    <row r="854" spans="1:17" ht="30" customHeight="1" x14ac:dyDescent="0.2">
      <c r="A854" s="7656"/>
      <c r="B854" s="7665"/>
      <c r="C854" s="7747"/>
      <c r="D854" s="7877"/>
      <c r="E854" s="7524"/>
      <c r="F854" s="7878"/>
      <c r="G854" s="4952"/>
      <c r="H854" s="4944"/>
      <c r="I854" s="5075" t="s">
        <v>6721</v>
      </c>
      <c r="J854" s="7586"/>
      <c r="K854" s="7882"/>
      <c r="L854" s="5027"/>
      <c r="M854" s="386"/>
      <c r="N854" s="386"/>
      <c r="O854" s="386"/>
      <c r="P854" s="386"/>
      <c r="Q854" s="386"/>
    </row>
    <row r="855" spans="1:17" ht="30" customHeight="1" x14ac:dyDescent="0.2">
      <c r="A855" s="7656"/>
      <c r="B855" s="7665"/>
      <c r="C855" s="7747"/>
      <c r="D855" s="7877"/>
      <c r="E855" s="7524"/>
      <c r="F855" s="7878"/>
      <c r="G855" s="4952"/>
      <c r="H855" s="4944"/>
      <c r="I855" s="5075" t="s">
        <v>6568</v>
      </c>
      <c r="J855" s="7586"/>
      <c r="K855" s="7882"/>
      <c r="L855" s="5027"/>
      <c r="M855" s="386"/>
      <c r="N855" s="386"/>
      <c r="O855" s="386"/>
      <c r="P855" s="386"/>
      <c r="Q855" s="386"/>
    </row>
    <row r="856" spans="1:17" ht="30" customHeight="1" x14ac:dyDescent="0.2">
      <c r="A856" s="7656"/>
      <c r="B856" s="7665"/>
      <c r="C856" s="7747"/>
      <c r="D856" s="7877"/>
      <c r="E856" s="7524"/>
      <c r="F856" s="7878"/>
      <c r="G856" s="4952"/>
      <c r="H856" s="4944"/>
      <c r="I856" s="5075" t="s">
        <v>4476</v>
      </c>
      <c r="J856" s="7586"/>
      <c r="K856" s="7882"/>
      <c r="L856" s="5027"/>
      <c r="M856" s="386"/>
      <c r="N856" s="386"/>
      <c r="O856" s="386"/>
      <c r="P856" s="386"/>
      <c r="Q856" s="386"/>
    </row>
    <row r="857" spans="1:17" ht="30" customHeight="1" x14ac:dyDescent="0.2">
      <c r="A857" s="7655"/>
      <c r="B857" s="7653"/>
      <c r="C857" s="7724"/>
      <c r="D857" s="7769"/>
      <c r="E857" s="7805"/>
      <c r="F857" s="7770"/>
      <c r="G857" s="4952"/>
      <c r="H857" s="4944"/>
      <c r="I857" s="5075" t="s">
        <v>4476</v>
      </c>
      <c r="J857" s="7564"/>
      <c r="K857" s="7817"/>
      <c r="L857" s="5027"/>
      <c r="M857" s="386"/>
      <c r="N857" s="386"/>
      <c r="O857" s="386"/>
      <c r="P857" s="386"/>
      <c r="Q857" s="386"/>
    </row>
    <row r="858" spans="1:17" ht="30" customHeight="1" x14ac:dyDescent="0.2">
      <c r="A858" s="5014">
        <v>387</v>
      </c>
      <c r="B858" s="4968" t="s">
        <v>1923</v>
      </c>
      <c r="C858" s="5016" t="s">
        <v>1306</v>
      </c>
      <c r="D858" s="4944">
        <v>75000000</v>
      </c>
      <c r="E858" s="5011">
        <v>0.05</v>
      </c>
      <c r="F858" s="4944">
        <f t="shared" si="75"/>
        <v>3750000</v>
      </c>
      <c r="G858" s="4944">
        <v>3750000</v>
      </c>
      <c r="H858" s="5075" t="s">
        <v>7067</v>
      </c>
      <c r="I858" s="5075" t="s">
        <v>7195</v>
      </c>
      <c r="J858" s="4950">
        <f t="shared" si="76"/>
        <v>3750000</v>
      </c>
      <c r="K858" s="4948">
        <f>F858-J858</f>
        <v>0</v>
      </c>
      <c r="L858" s="5039"/>
      <c r="M858" s="386"/>
      <c r="N858" s="386"/>
      <c r="O858" s="386"/>
      <c r="P858" s="386"/>
      <c r="Q858" s="386"/>
    </row>
    <row r="859" spans="1:17" ht="30" customHeight="1" x14ac:dyDescent="0.2">
      <c r="A859" s="5014"/>
      <c r="B859" s="4968" t="s">
        <v>1953</v>
      </c>
      <c r="C859" s="5016" t="s">
        <v>1306</v>
      </c>
      <c r="D859" s="4944">
        <v>150000000</v>
      </c>
      <c r="E859" s="5011">
        <v>0.05</v>
      </c>
      <c r="F859" s="4944">
        <f t="shared" si="75"/>
        <v>7500000</v>
      </c>
      <c r="G859" s="18"/>
      <c r="H859" s="18"/>
      <c r="I859" s="18" t="s">
        <v>4581</v>
      </c>
      <c r="J859" s="18">
        <f t="shared" si="76"/>
        <v>0</v>
      </c>
      <c r="K859" s="4948">
        <f>G859-J859</f>
        <v>0</v>
      </c>
      <c r="L859" s="5051"/>
      <c r="M859" s="386"/>
      <c r="N859" s="386"/>
      <c r="O859" s="386"/>
      <c r="P859" s="386"/>
      <c r="Q859" s="386"/>
    </row>
    <row r="860" spans="1:17" ht="30" customHeight="1" x14ac:dyDescent="0.2">
      <c r="A860" s="7654">
        <v>390</v>
      </c>
      <c r="B860" s="7652" t="s">
        <v>1996</v>
      </c>
      <c r="C860" s="7723" t="s">
        <v>889</v>
      </c>
      <c r="D860" s="4952">
        <v>5000000</v>
      </c>
      <c r="E860" s="4962">
        <v>0.05</v>
      </c>
      <c r="F860" s="4952">
        <f t="shared" ref="F860:F867" si="77">D860*E860</f>
        <v>250000</v>
      </c>
      <c r="G860" s="4952">
        <v>250000</v>
      </c>
      <c r="H860" s="4952" t="s">
        <v>6785</v>
      </c>
      <c r="I860" s="472" t="s">
        <v>2533</v>
      </c>
      <c r="J860" s="4952">
        <f>G860</f>
        <v>250000</v>
      </c>
      <c r="K860" s="5008">
        <f>F860-J860</f>
        <v>0</v>
      </c>
      <c r="L860" s="5039"/>
      <c r="M860" s="386"/>
      <c r="N860" s="386"/>
      <c r="O860" s="386"/>
      <c r="P860" s="386"/>
      <c r="Q860" s="386"/>
    </row>
    <row r="861" spans="1:17" ht="30" customHeight="1" x14ac:dyDescent="0.2">
      <c r="A861" s="7656"/>
      <c r="B861" s="7665"/>
      <c r="C861" s="7747"/>
      <c r="D861" s="5376">
        <v>10000000</v>
      </c>
      <c r="E861" s="5379">
        <v>0.05</v>
      </c>
      <c r="F861" s="5376">
        <f t="shared" si="77"/>
        <v>500000</v>
      </c>
      <c r="G861" s="8092" t="s">
        <v>7034</v>
      </c>
      <c r="H861" s="8093"/>
      <c r="I861" s="8093"/>
      <c r="J861" s="8094"/>
      <c r="K861" s="5390"/>
      <c r="L861" s="7811" t="s">
        <v>7012</v>
      </c>
      <c r="M861" s="386"/>
      <c r="N861" s="386"/>
      <c r="O861" s="386"/>
      <c r="P861" s="386"/>
      <c r="Q861" s="386"/>
    </row>
    <row r="862" spans="1:17" ht="30" customHeight="1" x14ac:dyDescent="0.2">
      <c r="A862" s="7656"/>
      <c r="B862" s="7665"/>
      <c r="C862" s="7747"/>
      <c r="D862" s="5376">
        <v>10000000</v>
      </c>
      <c r="E862" s="5379">
        <v>0.05</v>
      </c>
      <c r="F862" s="5376">
        <f t="shared" si="77"/>
        <v>500000</v>
      </c>
      <c r="G862" s="8092" t="s">
        <v>7035</v>
      </c>
      <c r="H862" s="8093"/>
      <c r="I862" s="8093"/>
      <c r="J862" s="8094"/>
      <c r="K862" s="5390"/>
      <c r="L862" s="7897"/>
      <c r="M862" s="386"/>
      <c r="N862" s="386"/>
      <c r="O862" s="386"/>
      <c r="P862" s="386"/>
      <c r="Q862" s="386"/>
    </row>
    <row r="863" spans="1:17" ht="30" customHeight="1" x14ac:dyDescent="0.2">
      <c r="A863" s="7655"/>
      <c r="B863" s="7653"/>
      <c r="C863" s="7724"/>
      <c r="D863" s="5349">
        <v>10000000</v>
      </c>
      <c r="E863" s="5351">
        <v>0.05</v>
      </c>
      <c r="F863" s="5349">
        <f t="shared" si="77"/>
        <v>500000</v>
      </c>
      <c r="G863" s="8092" t="s">
        <v>7036</v>
      </c>
      <c r="H863" s="8093"/>
      <c r="I863" s="8093"/>
      <c r="J863" s="8094"/>
      <c r="K863" s="5355"/>
      <c r="L863" s="7812"/>
      <c r="M863" s="386"/>
      <c r="N863" s="386"/>
      <c r="O863" s="386"/>
      <c r="P863" s="386"/>
      <c r="Q863" s="386"/>
    </row>
    <row r="864" spans="1:17" ht="30" customHeight="1" x14ac:dyDescent="0.2">
      <c r="A864" s="5014">
        <v>391</v>
      </c>
      <c r="B864" s="4968" t="s">
        <v>2003</v>
      </c>
      <c r="C864" s="5016" t="s">
        <v>3390</v>
      </c>
      <c r="D864" s="4944">
        <v>1000000000</v>
      </c>
      <c r="E864" s="5011">
        <v>0.05</v>
      </c>
      <c r="F864" s="4944">
        <f t="shared" si="77"/>
        <v>50000000</v>
      </c>
      <c r="G864" s="4944">
        <v>50000000</v>
      </c>
      <c r="H864" s="4944" t="s">
        <v>7210</v>
      </c>
      <c r="I864" s="4944" t="s">
        <v>2279</v>
      </c>
      <c r="J864" s="4944">
        <f>G864</f>
        <v>50000000</v>
      </c>
      <c r="K864" s="4948">
        <f>F864-J864</f>
        <v>0</v>
      </c>
      <c r="L864" s="4948"/>
      <c r="M864" s="386"/>
      <c r="N864" s="386"/>
      <c r="O864" s="386"/>
      <c r="P864" s="386"/>
      <c r="Q864" s="386"/>
    </row>
    <row r="865" spans="1:17" ht="30" customHeight="1" x14ac:dyDescent="0.2">
      <c r="A865" s="4959">
        <v>392</v>
      </c>
      <c r="B865" s="4956" t="s">
        <v>2048</v>
      </c>
      <c r="C865" s="4990" t="s">
        <v>1294</v>
      </c>
      <c r="D865" s="4952">
        <v>50000000</v>
      </c>
      <c r="E865" s="5011">
        <v>0.05</v>
      </c>
      <c r="F865" s="4952">
        <f t="shared" si="77"/>
        <v>2500000</v>
      </c>
      <c r="G865" s="4952">
        <v>2500000</v>
      </c>
      <c r="H865" s="4952" t="s">
        <v>3116</v>
      </c>
      <c r="I865" s="472" t="s">
        <v>3047</v>
      </c>
      <c r="J865" s="4952">
        <f>G865</f>
        <v>2500000</v>
      </c>
      <c r="K865" s="5008">
        <f>F865-J865</f>
        <v>0</v>
      </c>
      <c r="L865" s="5039"/>
      <c r="M865" s="386"/>
      <c r="N865" s="386"/>
      <c r="O865" s="386"/>
      <c r="P865" s="386"/>
      <c r="Q865" s="386"/>
    </row>
    <row r="866" spans="1:17" ht="30" customHeight="1" x14ac:dyDescent="0.2">
      <c r="A866" s="5014"/>
      <c r="B866" s="19" t="s">
        <v>2040</v>
      </c>
      <c r="C866" s="5016"/>
      <c r="D866" s="4944">
        <v>70000000</v>
      </c>
      <c r="E866" s="5011">
        <v>0.05</v>
      </c>
      <c r="F866" s="4944">
        <f t="shared" si="77"/>
        <v>3500000</v>
      </c>
      <c r="G866" s="4944">
        <v>3500000</v>
      </c>
      <c r="H866" s="4944" t="s">
        <v>3116</v>
      </c>
      <c r="I866" s="4944" t="s">
        <v>3701</v>
      </c>
      <c r="J866" s="4944">
        <f>G866</f>
        <v>3500000</v>
      </c>
      <c r="K866" s="4948">
        <f>F866-J866</f>
        <v>0</v>
      </c>
      <c r="L866" s="5039"/>
      <c r="M866" s="386"/>
      <c r="N866" s="386"/>
      <c r="O866" s="386"/>
      <c r="P866" s="386"/>
      <c r="Q866" s="386"/>
    </row>
    <row r="867" spans="1:17" ht="30" customHeight="1" x14ac:dyDescent="0.2">
      <c r="A867" s="7656"/>
      <c r="B867" s="5046" t="s">
        <v>2052</v>
      </c>
      <c r="C867" s="8024" t="s">
        <v>1306</v>
      </c>
      <c r="D867" s="5055">
        <v>600000000</v>
      </c>
      <c r="E867" s="5045">
        <v>0.06</v>
      </c>
      <c r="F867" s="5055">
        <f t="shared" si="77"/>
        <v>36000000</v>
      </c>
      <c r="G867" s="7482"/>
      <c r="H867" s="7482"/>
      <c r="I867" s="8300"/>
      <c r="J867" s="7768"/>
      <c r="K867" s="5008"/>
      <c r="L867" s="5039"/>
      <c r="M867" s="386"/>
      <c r="N867" s="386"/>
      <c r="O867" s="386"/>
      <c r="P867" s="386"/>
      <c r="Q867" s="386"/>
    </row>
    <row r="868" spans="1:17" ht="30" customHeight="1" x14ac:dyDescent="0.2">
      <c r="A868" s="7656"/>
      <c r="B868" s="5046" t="s">
        <v>2049</v>
      </c>
      <c r="C868" s="8024"/>
      <c r="D868" s="5055">
        <v>310000000</v>
      </c>
      <c r="E868" s="679">
        <v>0.06</v>
      </c>
      <c r="F868" s="5055">
        <f t="shared" ref="F868:F872" si="78">D868*E868</f>
        <v>18600000</v>
      </c>
      <c r="G868" s="7482"/>
      <c r="H868" s="7482"/>
      <c r="I868" s="8300"/>
      <c r="J868" s="7878"/>
      <c r="K868" s="5008"/>
      <c r="L868" s="5039"/>
      <c r="M868" s="386"/>
      <c r="N868" s="386"/>
      <c r="O868" s="386"/>
      <c r="P868" s="386"/>
      <c r="Q868" s="386"/>
    </row>
    <row r="869" spans="1:17" ht="30" customHeight="1" x14ac:dyDescent="0.2">
      <c r="A869" s="7656"/>
      <c r="B869" s="5046" t="s">
        <v>2053</v>
      </c>
      <c r="C869" s="8024"/>
      <c r="D869" s="5055">
        <v>50000000</v>
      </c>
      <c r="E869" s="679">
        <v>0.06</v>
      </c>
      <c r="F869" s="5055">
        <f t="shared" si="78"/>
        <v>3000000</v>
      </c>
      <c r="G869" s="7482"/>
      <c r="H869" s="7482"/>
      <c r="I869" s="8300"/>
      <c r="J869" s="7878"/>
      <c r="K869" s="5008"/>
      <c r="L869" s="5039"/>
      <c r="M869" s="386"/>
      <c r="N869" s="386"/>
      <c r="O869" s="386"/>
      <c r="P869" s="386"/>
      <c r="Q869" s="386"/>
    </row>
    <row r="870" spans="1:17" ht="30" customHeight="1" x14ac:dyDescent="0.2">
      <c r="A870" s="7656"/>
      <c r="B870" s="5046" t="s">
        <v>2050</v>
      </c>
      <c r="C870" s="8024"/>
      <c r="D870" s="5055">
        <v>110000000</v>
      </c>
      <c r="E870" s="679">
        <v>0.06</v>
      </c>
      <c r="F870" s="5055">
        <f t="shared" si="78"/>
        <v>6600000</v>
      </c>
      <c r="G870" s="7482"/>
      <c r="H870" s="7482"/>
      <c r="I870" s="8300"/>
      <c r="J870" s="7878"/>
      <c r="K870" s="5008"/>
      <c r="L870" s="5039"/>
      <c r="M870" s="386"/>
      <c r="N870" s="386"/>
      <c r="O870" s="386"/>
      <c r="P870" s="386"/>
      <c r="Q870" s="386"/>
    </row>
    <row r="871" spans="1:17" ht="30" customHeight="1" x14ac:dyDescent="0.2">
      <c r="A871" s="7656"/>
      <c r="B871" s="5046" t="s">
        <v>2051</v>
      </c>
      <c r="C871" s="8025"/>
      <c r="D871" s="5055">
        <v>100000000</v>
      </c>
      <c r="E871" s="679">
        <v>0.06</v>
      </c>
      <c r="F871" s="5055">
        <f t="shared" si="78"/>
        <v>6000000</v>
      </c>
      <c r="G871" s="7482"/>
      <c r="H871" s="7482"/>
      <c r="I871" s="8300"/>
      <c r="J871" s="7878"/>
      <c r="K871" s="5008"/>
      <c r="L871" s="5039"/>
      <c r="M871" s="386"/>
      <c r="N871" s="386"/>
      <c r="O871" s="386"/>
      <c r="P871" s="386"/>
      <c r="Q871" s="386"/>
    </row>
    <row r="872" spans="1:17" ht="30" customHeight="1" x14ac:dyDescent="0.2">
      <c r="A872" s="7656"/>
      <c r="B872" s="5066" t="s">
        <v>4588</v>
      </c>
      <c r="C872" s="5053"/>
      <c r="D872" s="5054">
        <v>50000000</v>
      </c>
      <c r="E872" s="5044">
        <v>0.06</v>
      </c>
      <c r="F872" s="5054">
        <f t="shared" si="78"/>
        <v>3000000</v>
      </c>
      <c r="G872" s="7482"/>
      <c r="H872" s="7482"/>
      <c r="I872" s="8300"/>
      <c r="J872" s="7770"/>
      <c r="K872" s="5012"/>
      <c r="L872" s="5027"/>
      <c r="M872" s="386"/>
      <c r="N872" s="386"/>
      <c r="O872" s="386"/>
      <c r="P872" s="386"/>
      <c r="Q872" s="386"/>
    </row>
    <row r="873" spans="1:17" ht="30" customHeight="1" x14ac:dyDescent="0.2">
      <c r="A873" s="7656"/>
      <c r="B873" s="8021" t="s">
        <v>3423</v>
      </c>
      <c r="C873" s="8023" t="s">
        <v>1306</v>
      </c>
      <c r="D873" s="8001">
        <f>SUM(D867:D872)</f>
        <v>1220000000</v>
      </c>
      <c r="E873" s="8083"/>
      <c r="F873" s="8001">
        <f>SUM(F867:F872)</f>
        <v>73200000</v>
      </c>
      <c r="G873" s="7563">
        <v>73200000</v>
      </c>
      <c r="H873" s="7563" t="s">
        <v>3788</v>
      </c>
      <c r="I873" s="7889" t="s">
        <v>6772</v>
      </c>
      <c r="J873" s="7563">
        <f>G873</f>
        <v>73200000</v>
      </c>
      <c r="K873" s="7816">
        <f>F873-J873</f>
        <v>0</v>
      </c>
      <c r="L873" s="7816"/>
      <c r="M873" s="386"/>
      <c r="N873" s="386"/>
      <c r="O873" s="386"/>
      <c r="P873" s="386"/>
      <c r="Q873" s="386"/>
    </row>
    <row r="874" spans="1:17" ht="30" customHeight="1" x14ac:dyDescent="0.2">
      <c r="A874" s="7655"/>
      <c r="B874" s="8022"/>
      <c r="C874" s="8025"/>
      <c r="D874" s="8002"/>
      <c r="E874" s="8084"/>
      <c r="F874" s="8002"/>
      <c r="G874" s="7564"/>
      <c r="H874" s="7564"/>
      <c r="I874" s="7890"/>
      <c r="J874" s="7564"/>
      <c r="K874" s="7817"/>
      <c r="L874" s="7817"/>
      <c r="M874" s="386"/>
      <c r="N874" s="386"/>
      <c r="O874" s="386"/>
      <c r="P874" s="386"/>
      <c r="Q874" s="386"/>
    </row>
    <row r="875" spans="1:17" ht="30" customHeight="1" x14ac:dyDescent="0.2">
      <c r="A875" s="5014"/>
      <c r="B875" s="4968" t="s">
        <v>2069</v>
      </c>
      <c r="C875" s="5016" t="s">
        <v>3323</v>
      </c>
      <c r="D875" s="4944">
        <v>200000000</v>
      </c>
      <c r="E875" s="5011">
        <v>7.0000000000000007E-2</v>
      </c>
      <c r="F875" s="4944">
        <f t="shared" ref="F875:F881" si="79">D875*E875</f>
        <v>14000000.000000002</v>
      </c>
      <c r="G875" s="5326"/>
      <c r="H875" s="5326"/>
      <c r="I875" s="472" t="s">
        <v>1076</v>
      </c>
      <c r="J875" s="5324">
        <f>G875</f>
        <v>0</v>
      </c>
      <c r="K875" s="4948">
        <f>F875-J875</f>
        <v>14000000.000000002</v>
      </c>
      <c r="L875" s="5331" t="s">
        <v>6965</v>
      </c>
      <c r="M875" s="386"/>
      <c r="N875" s="386"/>
      <c r="O875" s="386"/>
      <c r="P875" s="386"/>
      <c r="Q875" s="386"/>
    </row>
    <row r="876" spans="1:17" ht="30" customHeight="1" x14ac:dyDescent="0.2">
      <c r="A876" s="4959"/>
      <c r="B876" s="4956" t="s">
        <v>2089</v>
      </c>
      <c r="C876" s="4990" t="s">
        <v>2278</v>
      </c>
      <c r="D876" s="4952">
        <v>13000000</v>
      </c>
      <c r="E876" s="5011">
        <v>0.05</v>
      </c>
      <c r="F876" s="4952">
        <f t="shared" si="79"/>
        <v>650000</v>
      </c>
      <c r="G876" s="4952">
        <v>650000</v>
      </c>
      <c r="H876" s="4952" t="s">
        <v>3116</v>
      </c>
      <c r="I876" s="472" t="s">
        <v>2984</v>
      </c>
      <c r="J876" s="4952">
        <f>G876</f>
        <v>650000</v>
      </c>
      <c r="K876" s="5008">
        <f>F876-J876</f>
        <v>0</v>
      </c>
      <c r="L876" s="5039"/>
      <c r="M876" s="386"/>
      <c r="N876" s="386"/>
      <c r="O876" s="386"/>
      <c r="P876" s="386"/>
      <c r="Q876" s="386"/>
    </row>
    <row r="877" spans="1:17" ht="30" customHeight="1" x14ac:dyDescent="0.2">
      <c r="A877" s="7654"/>
      <c r="B877" s="7652" t="s">
        <v>2128</v>
      </c>
      <c r="C877" s="7723" t="s">
        <v>1287</v>
      </c>
      <c r="D877" s="4952">
        <v>50000000</v>
      </c>
      <c r="E877" s="5011">
        <v>0.04</v>
      </c>
      <c r="F877" s="4952">
        <f t="shared" si="79"/>
        <v>2000000</v>
      </c>
      <c r="G877" s="5399">
        <v>6340000</v>
      </c>
      <c r="H877" s="5399" t="s">
        <v>7065</v>
      </c>
      <c r="I877" s="5425" t="s">
        <v>2169</v>
      </c>
      <c r="J877" s="7563">
        <f>G877+G878</f>
        <v>7206000</v>
      </c>
      <c r="K877" s="7816">
        <f>(F877+F878)-J877</f>
        <v>-206000</v>
      </c>
      <c r="L877" s="5414" t="s">
        <v>5816</v>
      </c>
      <c r="M877" s="386"/>
      <c r="N877" s="386"/>
      <c r="O877" s="386"/>
      <c r="P877" s="386"/>
      <c r="Q877" s="386"/>
    </row>
    <row r="878" spans="1:17" ht="30" customHeight="1" x14ac:dyDescent="0.2">
      <c r="A878" s="7655"/>
      <c r="B878" s="7653"/>
      <c r="C878" s="7724"/>
      <c r="D878" s="4951">
        <v>100000000</v>
      </c>
      <c r="E878" s="4960">
        <v>0.05</v>
      </c>
      <c r="F878" s="4951">
        <f t="shared" si="79"/>
        <v>5000000</v>
      </c>
      <c r="G878" s="5399">
        <v>866000</v>
      </c>
      <c r="H878" s="5399" t="s">
        <v>7065</v>
      </c>
      <c r="I878" s="5425" t="s">
        <v>2169</v>
      </c>
      <c r="J878" s="7564"/>
      <c r="K878" s="7817"/>
      <c r="L878" s="5027" t="s">
        <v>7086</v>
      </c>
      <c r="M878" s="386"/>
      <c r="N878" s="386"/>
      <c r="O878" s="386"/>
      <c r="P878" s="386"/>
      <c r="Q878" s="386"/>
    </row>
    <row r="879" spans="1:17" ht="30" customHeight="1" x14ac:dyDescent="0.2">
      <c r="A879" s="7654"/>
      <c r="B879" s="7652" t="s">
        <v>2129</v>
      </c>
      <c r="C879" s="7723" t="s">
        <v>372</v>
      </c>
      <c r="D879" s="7563">
        <v>100000000</v>
      </c>
      <c r="E879" s="7659">
        <v>0.05</v>
      </c>
      <c r="F879" s="7563">
        <f t="shared" si="79"/>
        <v>5000000</v>
      </c>
      <c r="G879" s="7563">
        <v>5000000</v>
      </c>
      <c r="H879" s="7563" t="s">
        <v>6932</v>
      </c>
      <c r="I879" s="7889" t="s">
        <v>3581</v>
      </c>
      <c r="J879" s="7563">
        <f>G879+G880</f>
        <v>5000000</v>
      </c>
      <c r="K879" s="7816">
        <f>F879-J879</f>
        <v>0</v>
      </c>
      <c r="L879" s="5007"/>
      <c r="M879" s="386"/>
      <c r="N879" s="386"/>
      <c r="O879" s="386"/>
      <c r="P879" s="386"/>
      <c r="Q879" s="386"/>
    </row>
    <row r="880" spans="1:17" ht="30" customHeight="1" x14ac:dyDescent="0.2">
      <c r="A880" s="7655"/>
      <c r="B880" s="7653"/>
      <c r="C880" s="7724"/>
      <c r="D880" s="7564"/>
      <c r="E880" s="7660"/>
      <c r="F880" s="7564"/>
      <c r="G880" s="7564"/>
      <c r="H880" s="7564"/>
      <c r="I880" s="7890"/>
      <c r="J880" s="7564"/>
      <c r="K880" s="7817"/>
      <c r="L880" s="5007"/>
      <c r="M880" s="386"/>
      <c r="N880" s="386"/>
      <c r="O880" s="386"/>
      <c r="P880" s="386"/>
      <c r="Q880" s="386"/>
    </row>
    <row r="881" spans="1:17" s="1539" customFormat="1" ht="30" customHeight="1" x14ac:dyDescent="0.2">
      <c r="A881" s="5014"/>
      <c r="B881" s="4968" t="s">
        <v>2208</v>
      </c>
      <c r="C881" s="5016" t="s">
        <v>1306</v>
      </c>
      <c r="D881" s="4944">
        <v>30000000</v>
      </c>
      <c r="E881" s="5011">
        <v>0.05</v>
      </c>
      <c r="F881" s="4944">
        <f t="shared" si="79"/>
        <v>1500000</v>
      </c>
      <c r="G881" s="4944">
        <v>1500000</v>
      </c>
      <c r="H881" s="4944" t="s">
        <v>7210</v>
      </c>
      <c r="I881" s="4944" t="s">
        <v>3204</v>
      </c>
      <c r="J881" s="4944">
        <f>G881</f>
        <v>1500000</v>
      </c>
      <c r="K881" s="4944">
        <f>F881-J881</f>
        <v>0</v>
      </c>
      <c r="L881" s="5039"/>
      <c r="M881" s="387"/>
      <c r="N881" s="387"/>
      <c r="O881" s="387"/>
      <c r="P881" s="387"/>
      <c r="Q881" s="387"/>
    </row>
    <row r="882" spans="1:17" ht="30" customHeight="1" x14ac:dyDescent="0.2">
      <c r="A882" s="4959"/>
      <c r="B882" s="4956" t="s">
        <v>2303</v>
      </c>
      <c r="C882" s="4990"/>
      <c r="D882" s="4952">
        <v>100000000</v>
      </c>
      <c r="E882" s="5011">
        <v>4.4999999999999998E-2</v>
      </c>
      <c r="F882" s="4952">
        <f>D882*E882</f>
        <v>4500000</v>
      </c>
      <c r="G882" s="4952"/>
      <c r="H882" s="4952"/>
      <c r="I882" s="472" t="s">
        <v>5949</v>
      </c>
      <c r="J882" s="4952">
        <f t="shared" ref="J882:J889" si="80">G882</f>
        <v>0</v>
      </c>
      <c r="K882" s="5008">
        <f>F882-J882</f>
        <v>4500000</v>
      </c>
      <c r="L882" s="5039" t="s">
        <v>5950</v>
      </c>
      <c r="M882" s="386"/>
      <c r="N882" s="386"/>
      <c r="O882" s="386"/>
      <c r="P882" s="386"/>
      <c r="Q882" s="386"/>
    </row>
    <row r="883" spans="1:17" ht="30" customHeight="1" x14ac:dyDescent="0.2">
      <c r="A883" s="4959"/>
      <c r="B883" s="4956" t="s">
        <v>5996</v>
      </c>
      <c r="C883" s="4990" t="s">
        <v>1306</v>
      </c>
      <c r="D883" s="4952">
        <v>25000000</v>
      </c>
      <c r="E883" s="5011">
        <v>0.04</v>
      </c>
      <c r="F883" s="4952">
        <f>D883*E883</f>
        <v>1000000</v>
      </c>
      <c r="G883" s="4952">
        <v>1000000</v>
      </c>
      <c r="H883" s="4952" t="s">
        <v>3788</v>
      </c>
      <c r="I883" s="472" t="s">
        <v>2346</v>
      </c>
      <c r="J883" s="4952">
        <f t="shared" si="80"/>
        <v>1000000</v>
      </c>
      <c r="K883" s="5008">
        <f>F883-J883</f>
        <v>0</v>
      </c>
      <c r="L883" s="5039"/>
      <c r="M883" s="386"/>
      <c r="N883" s="386"/>
      <c r="O883" s="386"/>
      <c r="P883" s="386"/>
      <c r="Q883" s="386"/>
    </row>
    <row r="884" spans="1:17" ht="30" customHeight="1" x14ac:dyDescent="0.2">
      <c r="A884" s="4959"/>
      <c r="B884" s="4956" t="s">
        <v>2385</v>
      </c>
      <c r="C884" s="4990"/>
      <c r="D884" s="4965"/>
      <c r="E884" s="2519"/>
      <c r="F884" s="4965"/>
      <c r="G884" s="4952"/>
      <c r="H884" s="4952"/>
      <c r="I884" s="472"/>
      <c r="J884" s="4952">
        <f t="shared" si="80"/>
        <v>0</v>
      </c>
      <c r="K884" s="5009">
        <f>F884-J884</f>
        <v>0</v>
      </c>
      <c r="L884" s="5039"/>
      <c r="M884" s="386"/>
      <c r="N884" s="386"/>
      <c r="O884" s="386"/>
      <c r="P884" s="386"/>
      <c r="Q884" s="386"/>
    </row>
    <row r="885" spans="1:17" ht="30" customHeight="1" x14ac:dyDescent="0.2">
      <c r="A885" s="7654"/>
      <c r="B885" s="7652" t="s">
        <v>2388</v>
      </c>
      <c r="C885" s="7723" t="s">
        <v>1172</v>
      </c>
      <c r="D885" s="4944">
        <v>110000000</v>
      </c>
      <c r="E885" s="5011">
        <v>0.05</v>
      </c>
      <c r="F885" s="4944">
        <f>D885*E885</f>
        <v>5500000</v>
      </c>
      <c r="G885" s="8294" t="s">
        <v>6206</v>
      </c>
      <c r="H885" s="8295"/>
      <c r="I885" s="8295"/>
      <c r="J885" s="8296"/>
      <c r="K885" s="5007">
        <v>0</v>
      </c>
      <c r="L885" s="5039"/>
      <c r="M885" s="386"/>
      <c r="N885" s="386"/>
      <c r="O885" s="386"/>
      <c r="P885" s="386"/>
      <c r="Q885" s="386"/>
    </row>
    <row r="886" spans="1:17" ht="30" customHeight="1" x14ac:dyDescent="0.2">
      <c r="A886" s="7656"/>
      <c r="B886" s="7665"/>
      <c r="C886" s="7747"/>
      <c r="D886" s="4952">
        <v>5500000</v>
      </c>
      <c r="E886" s="5011">
        <v>0.05</v>
      </c>
      <c r="F886" s="4952">
        <f>D886*E886</f>
        <v>275000</v>
      </c>
      <c r="G886" s="8297"/>
      <c r="H886" s="8298"/>
      <c r="I886" s="8298"/>
      <c r="J886" s="8299"/>
      <c r="K886" s="5007"/>
      <c r="L886" s="5039"/>
      <c r="M886" s="386"/>
      <c r="N886" s="386"/>
      <c r="O886" s="386"/>
      <c r="P886" s="386"/>
      <c r="Q886" s="386"/>
    </row>
    <row r="887" spans="1:17" ht="30" customHeight="1" x14ac:dyDescent="0.2">
      <c r="A887" s="7656"/>
      <c r="B887" s="7665"/>
      <c r="C887" s="7747"/>
      <c r="D887" s="4952">
        <v>4500000</v>
      </c>
      <c r="E887" s="5011">
        <v>0.05</v>
      </c>
      <c r="F887" s="4952">
        <f>D887*E887</f>
        <v>225000</v>
      </c>
      <c r="G887" s="8092" t="s">
        <v>6315</v>
      </c>
      <c r="H887" s="8093"/>
      <c r="I887" s="8093"/>
      <c r="J887" s="8094"/>
      <c r="K887" s="5007"/>
      <c r="L887" s="5039"/>
      <c r="M887" s="386"/>
      <c r="N887" s="386"/>
      <c r="O887" s="386"/>
      <c r="P887" s="386"/>
      <c r="Q887" s="386"/>
    </row>
    <row r="888" spans="1:17" ht="30" customHeight="1" x14ac:dyDescent="0.2">
      <c r="A888" s="7655"/>
      <c r="B888" s="7653"/>
      <c r="C888" s="7724"/>
      <c r="D888" s="4988">
        <f>SUM(D885:D887)</f>
        <v>120000000</v>
      </c>
      <c r="E888" s="5083">
        <v>0.05</v>
      </c>
      <c r="F888" s="4988">
        <f>D888*E888</f>
        <v>6000000</v>
      </c>
      <c r="G888" s="5399">
        <v>6000000</v>
      </c>
      <c r="H888" s="5399" t="s">
        <v>7059</v>
      </c>
      <c r="I888" s="5399" t="s">
        <v>7064</v>
      </c>
      <c r="J888" s="5399">
        <f>G888</f>
        <v>6000000</v>
      </c>
      <c r="K888" s="5007">
        <f>F888-J888</f>
        <v>0</v>
      </c>
      <c r="L888" s="5420" t="s">
        <v>7217</v>
      </c>
      <c r="M888" s="386"/>
      <c r="N888" s="386"/>
      <c r="O888" s="386"/>
      <c r="P888" s="386"/>
      <c r="Q888" s="386"/>
    </row>
    <row r="889" spans="1:17" ht="30" customHeight="1" x14ac:dyDescent="0.2">
      <c r="A889" s="7654"/>
      <c r="B889" s="7652" t="s">
        <v>2647</v>
      </c>
      <c r="C889" s="5146" t="s">
        <v>1652</v>
      </c>
      <c r="D889" s="4952">
        <v>100000000</v>
      </c>
      <c r="E889" s="5011">
        <v>0.05</v>
      </c>
      <c r="F889" s="4952">
        <f t="shared" ref="F889:F917" si="81">D889*E889</f>
        <v>5000000</v>
      </c>
      <c r="G889" s="4944">
        <v>5000000</v>
      </c>
      <c r="H889" s="4944" t="s">
        <v>6828</v>
      </c>
      <c r="I889" s="4944" t="s">
        <v>5099</v>
      </c>
      <c r="J889" s="4944">
        <f t="shared" si="80"/>
        <v>5000000</v>
      </c>
      <c r="K889" s="4948">
        <f>F889-J889</f>
        <v>0</v>
      </c>
      <c r="L889" s="5194" t="s">
        <v>6829</v>
      </c>
      <c r="M889" s="386"/>
      <c r="N889" s="386"/>
      <c r="O889" s="386"/>
      <c r="P889" s="386"/>
      <c r="Q889" s="386"/>
    </row>
    <row r="890" spans="1:17" ht="30" customHeight="1" x14ac:dyDescent="0.2">
      <c r="A890" s="7656"/>
      <c r="B890" s="7665"/>
      <c r="C890" s="5016" t="s">
        <v>3390</v>
      </c>
      <c r="D890" s="4944">
        <v>1000000000</v>
      </c>
      <c r="E890" s="5011">
        <v>6.5000000000000002E-2</v>
      </c>
      <c r="F890" s="4944">
        <f>D890*E890</f>
        <v>65000000</v>
      </c>
      <c r="G890" s="4944">
        <v>65000000</v>
      </c>
      <c r="H890" s="4944" t="s">
        <v>3116</v>
      </c>
      <c r="I890" s="4944" t="s">
        <v>5099</v>
      </c>
      <c r="J890" s="4944">
        <f>G890</f>
        <v>65000000</v>
      </c>
      <c r="K890" s="4948">
        <f>F890-J890</f>
        <v>0</v>
      </c>
      <c r="L890" s="5442" t="s">
        <v>6829</v>
      </c>
      <c r="M890" s="386"/>
      <c r="N890" s="386"/>
      <c r="O890" s="386"/>
      <c r="P890" s="386"/>
      <c r="Q890" s="386"/>
    </row>
    <row r="891" spans="1:17" ht="30" customHeight="1" x14ac:dyDescent="0.2">
      <c r="A891" s="7654"/>
      <c r="B891" s="7652" t="s">
        <v>5465</v>
      </c>
      <c r="C891" s="7723" t="s">
        <v>1299</v>
      </c>
      <c r="D891" s="4952">
        <v>20000000</v>
      </c>
      <c r="E891" s="5011">
        <v>0.05</v>
      </c>
      <c r="F891" s="4952">
        <f t="shared" si="81"/>
        <v>1000000</v>
      </c>
      <c r="G891" s="7563">
        <v>2200000</v>
      </c>
      <c r="H891" s="7563" t="s">
        <v>7198</v>
      </c>
      <c r="I891" s="7889" t="s">
        <v>4124</v>
      </c>
      <c r="J891" s="7563">
        <f>G891</f>
        <v>2200000</v>
      </c>
      <c r="K891" s="7816">
        <f>(F891+F892)-J891</f>
        <v>0</v>
      </c>
      <c r="L891" s="5039"/>
      <c r="M891" s="386"/>
      <c r="N891" s="386"/>
      <c r="O891" s="386"/>
      <c r="P891" s="386"/>
      <c r="Q891" s="386"/>
    </row>
    <row r="892" spans="1:17" ht="30" customHeight="1" x14ac:dyDescent="0.2">
      <c r="A892" s="7655"/>
      <c r="B892" s="7653"/>
      <c r="C892" s="7724"/>
      <c r="D892" s="4952">
        <v>20000000</v>
      </c>
      <c r="E892" s="5011">
        <v>0.06</v>
      </c>
      <c r="F892" s="4952">
        <f t="shared" si="81"/>
        <v>1200000</v>
      </c>
      <c r="G892" s="7564"/>
      <c r="H892" s="7564"/>
      <c r="I892" s="7890"/>
      <c r="J892" s="7564"/>
      <c r="K892" s="7817"/>
      <c r="L892" s="3424" t="s">
        <v>5256</v>
      </c>
      <c r="M892" s="386"/>
      <c r="N892" s="386"/>
      <c r="O892" s="386"/>
      <c r="P892" s="386"/>
      <c r="Q892" s="386"/>
    </row>
    <row r="893" spans="1:17" ht="30" customHeight="1" x14ac:dyDescent="0.2">
      <c r="A893" s="7654"/>
      <c r="B893" s="7652" t="s">
        <v>5464</v>
      </c>
      <c r="C893" s="7723" t="s">
        <v>402</v>
      </c>
      <c r="D893" s="4952">
        <v>30000000</v>
      </c>
      <c r="E893" s="5011">
        <v>0.06</v>
      </c>
      <c r="F893" s="4952">
        <f t="shared" si="81"/>
        <v>1800000</v>
      </c>
      <c r="G893" s="7482">
        <v>3000000</v>
      </c>
      <c r="H893" s="7482" t="s">
        <v>6895</v>
      </c>
      <c r="I893" s="8300" t="s">
        <v>6905</v>
      </c>
      <c r="J893" s="7482">
        <f>G893</f>
        <v>3000000</v>
      </c>
      <c r="K893" s="7499">
        <f>(F893+F894)-J893</f>
        <v>0</v>
      </c>
      <c r="L893" s="3424" t="s">
        <v>5257</v>
      </c>
      <c r="M893" s="386"/>
      <c r="N893" s="386"/>
      <c r="O893" s="386"/>
      <c r="P893" s="386"/>
      <c r="Q893" s="386"/>
    </row>
    <row r="894" spans="1:17" ht="30" customHeight="1" x14ac:dyDescent="0.2">
      <c r="A894" s="7655"/>
      <c r="B894" s="7653"/>
      <c r="C894" s="7724"/>
      <c r="D894" s="4952">
        <v>20000000</v>
      </c>
      <c r="E894" s="5011">
        <v>0.06</v>
      </c>
      <c r="F894" s="4952">
        <f t="shared" si="81"/>
        <v>1200000</v>
      </c>
      <c r="G894" s="7482"/>
      <c r="H894" s="7482"/>
      <c r="I894" s="8300"/>
      <c r="J894" s="7482"/>
      <c r="K894" s="7499"/>
      <c r="L894" s="5028" t="s">
        <v>5323</v>
      </c>
      <c r="M894" s="386"/>
      <c r="N894" s="386"/>
      <c r="O894" s="386"/>
      <c r="P894" s="386"/>
      <c r="Q894" s="386"/>
    </row>
    <row r="895" spans="1:17" ht="30" customHeight="1" x14ac:dyDescent="0.2">
      <c r="A895" s="7654"/>
      <c r="B895" s="7652" t="s">
        <v>234</v>
      </c>
      <c r="C895" s="7723" t="s">
        <v>1172</v>
      </c>
      <c r="D895" s="4952">
        <v>60000000</v>
      </c>
      <c r="E895" s="5011">
        <v>0.05</v>
      </c>
      <c r="F895" s="4952">
        <f t="shared" si="81"/>
        <v>3000000</v>
      </c>
      <c r="G895" s="7563">
        <v>4800000</v>
      </c>
      <c r="H895" s="7563" t="s">
        <v>6828</v>
      </c>
      <c r="I895" s="7563" t="s">
        <v>6257</v>
      </c>
      <c r="J895" s="7563">
        <f>G895</f>
        <v>4800000</v>
      </c>
      <c r="K895" s="7816">
        <f>(F895+F896)-J895</f>
        <v>0</v>
      </c>
      <c r="L895" s="5028" t="s">
        <v>4269</v>
      </c>
      <c r="M895" s="386"/>
      <c r="N895" s="386"/>
      <c r="O895" s="386"/>
      <c r="P895" s="386"/>
      <c r="Q895" s="386"/>
    </row>
    <row r="896" spans="1:17" ht="30" customHeight="1" x14ac:dyDescent="0.2">
      <c r="A896" s="7655"/>
      <c r="B896" s="7653"/>
      <c r="C896" s="7724"/>
      <c r="D896" s="4952">
        <v>30000000</v>
      </c>
      <c r="E896" s="5011">
        <v>0.06</v>
      </c>
      <c r="F896" s="4952">
        <f t="shared" si="81"/>
        <v>1800000</v>
      </c>
      <c r="G896" s="7564"/>
      <c r="H896" s="7564"/>
      <c r="I896" s="7564"/>
      <c r="J896" s="7564"/>
      <c r="K896" s="7817"/>
      <c r="L896" s="5028" t="s">
        <v>5324</v>
      </c>
      <c r="M896" s="386"/>
      <c r="N896" s="386"/>
      <c r="O896" s="386"/>
      <c r="P896" s="386"/>
      <c r="Q896" s="386"/>
    </row>
    <row r="897" spans="1:17" ht="30" customHeight="1" x14ac:dyDescent="0.2">
      <c r="A897" s="7654"/>
      <c r="B897" s="7652" t="s">
        <v>4946</v>
      </c>
      <c r="C897" s="7723" t="s">
        <v>1299</v>
      </c>
      <c r="D897" s="4952">
        <v>30000000</v>
      </c>
      <c r="E897" s="5011">
        <v>0.05</v>
      </c>
      <c r="F897" s="4952">
        <f t="shared" si="81"/>
        <v>1500000</v>
      </c>
      <c r="G897" s="7482">
        <v>2200000</v>
      </c>
      <c r="H897" s="7563" t="s">
        <v>7198</v>
      </c>
      <c r="I897" s="7563" t="s">
        <v>5204</v>
      </c>
      <c r="J897" s="7563">
        <f>G897+G902</f>
        <v>3200000</v>
      </c>
      <c r="K897" s="7563">
        <f>(F901+F902)-J897</f>
        <v>0</v>
      </c>
      <c r="L897" s="5028" t="s">
        <v>5149</v>
      </c>
      <c r="M897" s="386"/>
      <c r="N897" s="386"/>
      <c r="O897" s="386"/>
      <c r="P897" s="386"/>
      <c r="Q897" s="386"/>
    </row>
    <row r="898" spans="1:17" ht="30" customHeight="1" x14ac:dyDescent="0.2">
      <c r="A898" s="7656"/>
      <c r="B898" s="7665"/>
      <c r="C898" s="7747"/>
      <c r="D898" s="4952">
        <v>10000000</v>
      </c>
      <c r="E898" s="5011">
        <v>7.0000000000000007E-2</v>
      </c>
      <c r="F898" s="4952">
        <f t="shared" si="81"/>
        <v>700000.00000000012</v>
      </c>
      <c r="G898" s="7482"/>
      <c r="H898" s="7586"/>
      <c r="I898" s="7586"/>
      <c r="J898" s="7586"/>
      <c r="K898" s="7586"/>
      <c r="L898" s="5028" t="s">
        <v>5150</v>
      </c>
      <c r="M898" s="386"/>
      <c r="N898" s="386"/>
      <c r="O898" s="386"/>
      <c r="P898" s="386"/>
      <c r="Q898" s="386"/>
    </row>
    <row r="899" spans="1:17" ht="30" customHeight="1" x14ac:dyDescent="0.2">
      <c r="A899" s="7656"/>
      <c r="B899" s="7665"/>
      <c r="C899" s="7747"/>
      <c r="D899" s="4952">
        <v>10000000</v>
      </c>
      <c r="E899" s="5011"/>
      <c r="F899" s="4952"/>
      <c r="G899" s="7482"/>
      <c r="H899" s="7586"/>
      <c r="I899" s="7586"/>
      <c r="J899" s="7586"/>
      <c r="K899" s="7586"/>
      <c r="L899" s="5027" t="s">
        <v>6669</v>
      </c>
      <c r="M899" s="386"/>
      <c r="N899" s="386"/>
      <c r="O899" s="386"/>
      <c r="P899" s="386"/>
      <c r="Q899" s="386"/>
    </row>
    <row r="900" spans="1:17" ht="30" customHeight="1" x14ac:dyDescent="0.2">
      <c r="A900" s="7656"/>
      <c r="B900" s="7665"/>
      <c r="C900" s="7747"/>
      <c r="D900" s="4952">
        <v>10000000</v>
      </c>
      <c r="E900" s="5011"/>
      <c r="F900" s="4952"/>
      <c r="G900" s="7482"/>
      <c r="H900" s="7586"/>
      <c r="I900" s="7586"/>
      <c r="J900" s="7586"/>
      <c r="K900" s="7586"/>
      <c r="L900" s="5027" t="s">
        <v>6670</v>
      </c>
      <c r="M900" s="386"/>
      <c r="N900" s="386"/>
      <c r="O900" s="386"/>
      <c r="P900" s="386"/>
      <c r="Q900" s="386"/>
    </row>
    <row r="901" spans="1:17" ht="30" customHeight="1" x14ac:dyDescent="0.2">
      <c r="A901" s="7656"/>
      <c r="B901" s="7665"/>
      <c r="C901" s="7747"/>
      <c r="D901" s="5057">
        <v>10000000</v>
      </c>
      <c r="E901" s="896">
        <v>7.0000000000000007E-2</v>
      </c>
      <c r="F901" s="5057">
        <f>D901*E901</f>
        <v>700000.00000000012</v>
      </c>
      <c r="G901" s="7482"/>
      <c r="H901" s="7564"/>
      <c r="I901" s="7564"/>
      <c r="J901" s="7586"/>
      <c r="K901" s="7586"/>
      <c r="L901" s="7888" t="s">
        <v>6677</v>
      </c>
      <c r="M901" s="386"/>
      <c r="N901" s="386"/>
      <c r="O901" s="386"/>
      <c r="P901" s="386"/>
      <c r="Q901" s="386"/>
    </row>
    <row r="902" spans="1:17" ht="30" customHeight="1" x14ac:dyDescent="0.2">
      <c r="A902" s="7655"/>
      <c r="B902" s="7653"/>
      <c r="C902" s="7724"/>
      <c r="D902" s="5057">
        <v>50000000</v>
      </c>
      <c r="E902" s="896">
        <v>0.05</v>
      </c>
      <c r="F902" s="5057">
        <f>D902*E902</f>
        <v>2500000</v>
      </c>
      <c r="G902" s="5499">
        <v>1000000</v>
      </c>
      <c r="H902" s="5498" t="s">
        <v>7210</v>
      </c>
      <c r="I902" s="5498" t="s">
        <v>3204</v>
      </c>
      <c r="J902" s="7564"/>
      <c r="K902" s="7564"/>
      <c r="L902" s="7888"/>
      <c r="M902" s="386"/>
      <c r="N902" s="386"/>
      <c r="O902" s="386"/>
      <c r="P902" s="386"/>
      <c r="Q902" s="386"/>
    </row>
    <row r="903" spans="1:17" ht="30" customHeight="1" x14ac:dyDescent="0.2">
      <c r="A903" s="7654"/>
      <c r="B903" s="7652" t="s">
        <v>2471</v>
      </c>
      <c r="C903" s="7723" t="s">
        <v>889</v>
      </c>
      <c r="D903" s="4952">
        <v>110120000</v>
      </c>
      <c r="E903" s="5011">
        <v>0.06</v>
      </c>
      <c r="F903" s="4952">
        <f t="shared" si="81"/>
        <v>6607200</v>
      </c>
      <c r="G903" s="7563">
        <v>9400000</v>
      </c>
      <c r="H903" s="7563" t="s">
        <v>6828</v>
      </c>
      <c r="I903" s="7563" t="s">
        <v>6252</v>
      </c>
      <c r="J903" s="7563">
        <f>G903</f>
        <v>9400000</v>
      </c>
      <c r="K903" s="7563">
        <f>(F903+F904)-J903</f>
        <v>-392800</v>
      </c>
      <c r="L903" s="5039"/>
      <c r="M903" s="386"/>
      <c r="N903" s="386"/>
      <c r="O903" s="386"/>
      <c r="P903" s="386"/>
      <c r="Q903" s="386"/>
    </row>
    <row r="904" spans="1:17" ht="30" customHeight="1" x14ac:dyDescent="0.2">
      <c r="A904" s="7655"/>
      <c r="B904" s="7653"/>
      <c r="C904" s="7724"/>
      <c r="D904" s="4952">
        <v>40000000</v>
      </c>
      <c r="E904" s="5011">
        <v>0.06</v>
      </c>
      <c r="F904" s="4952">
        <f t="shared" si="81"/>
        <v>2400000</v>
      </c>
      <c r="G904" s="7564"/>
      <c r="H904" s="7564"/>
      <c r="I904" s="7564"/>
      <c r="J904" s="7564"/>
      <c r="K904" s="7564"/>
      <c r="L904" s="5027" t="s">
        <v>5884</v>
      </c>
      <c r="M904" s="386"/>
      <c r="N904" s="386"/>
      <c r="O904" s="386"/>
      <c r="P904" s="386"/>
      <c r="Q904" s="386"/>
    </row>
    <row r="905" spans="1:17" ht="30" customHeight="1" x14ac:dyDescent="0.2">
      <c r="A905" s="7654"/>
      <c r="B905" s="7652" t="s">
        <v>2517</v>
      </c>
      <c r="C905" s="7723" t="s">
        <v>1080</v>
      </c>
      <c r="D905" s="4952">
        <v>262500000</v>
      </c>
      <c r="E905" s="5011">
        <v>0.05</v>
      </c>
      <c r="F905" s="4952">
        <f t="shared" si="81"/>
        <v>13125000</v>
      </c>
      <c r="G905" s="4944">
        <v>125000</v>
      </c>
      <c r="H905" s="4944" t="s">
        <v>6785</v>
      </c>
      <c r="I905" s="4944" t="s">
        <v>5423</v>
      </c>
      <c r="J905" s="4944">
        <f>G905</f>
        <v>125000</v>
      </c>
      <c r="K905" s="4944">
        <f>F905-J905</f>
        <v>13000000</v>
      </c>
      <c r="L905" s="5027"/>
      <c r="M905" s="386"/>
      <c r="N905" s="386"/>
      <c r="O905" s="386"/>
      <c r="P905" s="386"/>
      <c r="Q905" s="386"/>
    </row>
    <row r="906" spans="1:17" ht="30" customHeight="1" x14ac:dyDescent="0.2">
      <c r="A906" s="7656"/>
      <c r="B906" s="7665"/>
      <c r="C906" s="7747"/>
      <c r="D906" s="5130">
        <v>13000000</v>
      </c>
      <c r="E906" s="5136">
        <v>0.05</v>
      </c>
      <c r="F906" s="5130">
        <f t="shared" si="81"/>
        <v>650000</v>
      </c>
      <c r="G906" s="7732" t="s">
        <v>6235</v>
      </c>
      <c r="H906" s="7733"/>
      <c r="I906" s="7733"/>
      <c r="J906" s="7734"/>
      <c r="K906" s="5129"/>
      <c r="L906" s="5134" t="s">
        <v>6788</v>
      </c>
      <c r="M906" s="386"/>
      <c r="N906" s="386"/>
      <c r="O906" s="386"/>
      <c r="P906" s="386"/>
      <c r="Q906" s="386"/>
    </row>
    <row r="907" spans="1:17" ht="30" customHeight="1" x14ac:dyDescent="0.2">
      <c r="A907" s="7656"/>
      <c r="B907" s="7665"/>
      <c r="C907" s="7747"/>
      <c r="D907" s="5860">
        <f>D905+D906</f>
        <v>275500000</v>
      </c>
      <c r="E907" s="5878">
        <v>0.06</v>
      </c>
      <c r="F907" s="5860">
        <f>D907*E907</f>
        <v>16530000</v>
      </c>
      <c r="G907" s="7732" t="s">
        <v>7373</v>
      </c>
      <c r="H907" s="7733"/>
      <c r="I907" s="7733"/>
      <c r="J907" s="7734"/>
      <c r="K907" s="5129"/>
      <c r="L907" s="5134"/>
      <c r="M907" s="386"/>
      <c r="N907" s="386"/>
      <c r="O907" s="386"/>
      <c r="P907" s="386"/>
      <c r="Q907" s="386"/>
    </row>
    <row r="908" spans="1:17" ht="30" customHeight="1" x14ac:dyDescent="0.2">
      <c r="A908" s="7656"/>
      <c r="B908" s="7665"/>
      <c r="C908" s="7747"/>
      <c r="D908" s="5392">
        <v>5000000</v>
      </c>
      <c r="E908" s="1929">
        <v>0.06</v>
      </c>
      <c r="F908" s="5392">
        <f>D908*E908</f>
        <v>300000</v>
      </c>
      <c r="G908" s="8092" t="s">
        <v>7041</v>
      </c>
      <c r="H908" s="8093"/>
      <c r="I908" s="8093"/>
      <c r="J908" s="8094"/>
      <c r="K908" s="5374"/>
      <c r="L908" s="5388"/>
      <c r="M908" s="386"/>
      <c r="N908" s="386"/>
      <c r="O908" s="386"/>
      <c r="P908" s="386"/>
      <c r="Q908" s="386"/>
    </row>
    <row r="909" spans="1:17" ht="30" customHeight="1" x14ac:dyDescent="0.2">
      <c r="A909" s="7656"/>
      <c r="B909" s="7665"/>
      <c r="C909" s="7747"/>
      <c r="D909" s="5392">
        <v>10000000</v>
      </c>
      <c r="E909" s="1929">
        <v>0.06</v>
      </c>
      <c r="F909" s="5807">
        <f t="shared" ref="F909:F911" si="82">D909*E909</f>
        <v>600000</v>
      </c>
      <c r="G909" s="8092" t="s">
        <v>7042</v>
      </c>
      <c r="H909" s="8093"/>
      <c r="I909" s="8093"/>
      <c r="J909" s="8094"/>
      <c r="K909" s="5374"/>
      <c r="L909" s="5388"/>
      <c r="M909" s="386"/>
      <c r="N909" s="386"/>
      <c r="O909" s="386"/>
      <c r="P909" s="386"/>
      <c r="Q909" s="386"/>
    </row>
    <row r="910" spans="1:17" ht="30" customHeight="1" x14ac:dyDescent="0.2">
      <c r="A910" s="7656"/>
      <c r="B910" s="7665"/>
      <c r="C910" s="7747"/>
      <c r="D910" s="5392">
        <v>15000000</v>
      </c>
      <c r="E910" s="1929">
        <v>0.06</v>
      </c>
      <c r="F910" s="5807">
        <f t="shared" si="82"/>
        <v>900000</v>
      </c>
      <c r="G910" s="8092" t="s">
        <v>7043</v>
      </c>
      <c r="H910" s="8093"/>
      <c r="I910" s="8093"/>
      <c r="J910" s="8094"/>
      <c r="K910" s="5374"/>
      <c r="L910" s="5388"/>
      <c r="M910" s="386"/>
      <c r="N910" s="386"/>
      <c r="O910" s="386"/>
      <c r="P910" s="386"/>
      <c r="Q910" s="386"/>
    </row>
    <row r="911" spans="1:17" ht="30" customHeight="1" x14ac:dyDescent="0.2">
      <c r="A911" s="7656"/>
      <c r="B911" s="7665"/>
      <c r="C911" s="7747"/>
      <c r="D911" s="5392">
        <v>40000000</v>
      </c>
      <c r="E911" s="1929">
        <v>0.06</v>
      </c>
      <c r="F911" s="5807">
        <f t="shared" si="82"/>
        <v>2400000</v>
      </c>
      <c r="G911" s="8092" t="s">
        <v>7044</v>
      </c>
      <c r="H911" s="8093"/>
      <c r="I911" s="8093"/>
      <c r="J911" s="8094"/>
      <c r="K911" s="5374"/>
      <c r="L911" s="5388"/>
      <c r="M911" s="386"/>
      <c r="N911" s="386"/>
      <c r="O911" s="386"/>
      <c r="P911" s="386"/>
      <c r="Q911" s="386"/>
    </row>
    <row r="912" spans="1:17" ht="30" customHeight="1" x14ac:dyDescent="0.2">
      <c r="A912" s="7656"/>
      <c r="B912" s="7665"/>
      <c r="C912" s="7747"/>
      <c r="D912" s="8549">
        <f>D907+D908+D909+D910+D911</f>
        <v>345500000</v>
      </c>
      <c r="E912" s="8551">
        <v>0.06</v>
      </c>
      <c r="F912" s="8549">
        <f>D912*E912</f>
        <v>20730000</v>
      </c>
      <c r="G912" s="7732" t="s">
        <v>7399</v>
      </c>
      <c r="H912" s="7733"/>
      <c r="I912" s="7733"/>
      <c r="J912" s="7734"/>
      <c r="K912" s="5847"/>
      <c r="L912" s="5869"/>
      <c r="M912" s="386"/>
      <c r="N912" s="386"/>
      <c r="O912" s="386"/>
      <c r="P912" s="386"/>
      <c r="Q912" s="386"/>
    </row>
    <row r="913" spans="1:17" ht="30" customHeight="1" x14ac:dyDescent="0.2">
      <c r="A913" s="7655"/>
      <c r="B913" s="7653"/>
      <c r="C913" s="7724"/>
      <c r="D913" s="8550"/>
      <c r="E913" s="8552"/>
      <c r="F913" s="8550"/>
      <c r="G913" s="7732" t="s">
        <v>7374</v>
      </c>
      <c r="H913" s="7733"/>
      <c r="I913" s="7733"/>
      <c r="J913" s="7734"/>
      <c r="K913" s="5374"/>
      <c r="L913" s="5388"/>
      <c r="M913" s="386"/>
      <c r="N913" s="386"/>
      <c r="O913" s="386"/>
      <c r="P913" s="386"/>
      <c r="Q913" s="386"/>
    </row>
    <row r="914" spans="1:17" ht="30" customHeight="1" x14ac:dyDescent="0.2">
      <c r="A914" s="5854"/>
      <c r="B914" s="5852"/>
      <c r="C914" s="5862"/>
      <c r="D914" s="5851">
        <v>19270000</v>
      </c>
      <c r="E914" s="5867"/>
      <c r="F914" s="5851"/>
      <c r="G914" s="7732" t="s">
        <v>7375</v>
      </c>
      <c r="H914" s="7733"/>
      <c r="I914" s="7733"/>
      <c r="J914" s="7734"/>
      <c r="K914" s="5847"/>
      <c r="L914" s="5869"/>
      <c r="M914" s="386"/>
      <c r="N914" s="386"/>
      <c r="O914" s="386"/>
      <c r="P914" s="386"/>
      <c r="Q914" s="386"/>
    </row>
    <row r="915" spans="1:17" ht="30" customHeight="1" x14ac:dyDescent="0.2">
      <c r="A915" s="5854"/>
      <c r="B915" s="5852"/>
      <c r="C915" s="5862"/>
      <c r="D915" s="5860">
        <f>D912+D914</f>
        <v>364770000</v>
      </c>
      <c r="E915" s="5878">
        <v>0.06</v>
      </c>
      <c r="F915" s="5860">
        <f>D915*E915</f>
        <v>21886200</v>
      </c>
      <c r="G915" s="7732" t="s">
        <v>7376</v>
      </c>
      <c r="H915" s="7733"/>
      <c r="I915" s="7733"/>
      <c r="J915" s="7734"/>
      <c r="K915" s="5847"/>
      <c r="L915" s="5869"/>
      <c r="M915" s="386"/>
      <c r="N915" s="386"/>
      <c r="O915" s="386"/>
      <c r="P915" s="386"/>
      <c r="Q915" s="386"/>
    </row>
    <row r="916" spans="1:17" ht="30" customHeight="1" x14ac:dyDescent="0.2">
      <c r="A916" s="4970"/>
      <c r="B916" s="5017" t="s">
        <v>2633</v>
      </c>
      <c r="C916" s="4989" t="s">
        <v>1172</v>
      </c>
      <c r="D916" s="4944">
        <v>60000000</v>
      </c>
      <c r="E916" s="5011">
        <v>0.05</v>
      </c>
      <c r="F916" s="4944">
        <f t="shared" si="81"/>
        <v>3000000</v>
      </c>
      <c r="G916" s="4944">
        <v>3000000</v>
      </c>
      <c r="H916" s="4944" t="s">
        <v>6828</v>
      </c>
      <c r="I916" s="4944" t="s">
        <v>5516</v>
      </c>
      <c r="J916" s="4944">
        <f>G916</f>
        <v>3000000</v>
      </c>
      <c r="K916" s="4944">
        <f>F916-J916</f>
        <v>0</v>
      </c>
      <c r="L916" s="5039"/>
      <c r="M916" s="386"/>
      <c r="N916" s="386"/>
      <c r="O916" s="386"/>
      <c r="P916" s="386"/>
      <c r="Q916" s="386"/>
    </row>
    <row r="917" spans="1:17" ht="30" customHeight="1" x14ac:dyDescent="0.2">
      <c r="A917" s="1028"/>
      <c r="B917" s="19" t="s">
        <v>4903</v>
      </c>
      <c r="C917" s="5016" t="s">
        <v>3390</v>
      </c>
      <c r="D917" s="4944">
        <v>30000000</v>
      </c>
      <c r="E917" s="5011">
        <v>0.05</v>
      </c>
      <c r="F917" s="4944">
        <f t="shared" si="81"/>
        <v>1500000</v>
      </c>
      <c r="G917" s="4944"/>
      <c r="H917" s="4944"/>
      <c r="I917" s="4944" t="s">
        <v>5516</v>
      </c>
      <c r="J917" s="4944">
        <f>G917</f>
        <v>0</v>
      </c>
      <c r="K917" s="4944">
        <f>F917-J917</f>
        <v>1500000</v>
      </c>
      <c r="L917" s="5039"/>
      <c r="M917" s="386"/>
      <c r="N917" s="386"/>
      <c r="O917" s="386"/>
      <c r="P917" s="386"/>
      <c r="Q917" s="386"/>
    </row>
    <row r="918" spans="1:17" ht="30" customHeight="1" x14ac:dyDescent="0.2">
      <c r="A918" s="7654"/>
      <c r="B918" s="7652" t="s">
        <v>2551</v>
      </c>
      <c r="C918" s="7723"/>
      <c r="D918" s="4952">
        <v>10000000</v>
      </c>
      <c r="E918" s="5011"/>
      <c r="F918" s="4952"/>
      <c r="G918" s="4952"/>
      <c r="H918" s="4952"/>
      <c r="I918" s="472"/>
      <c r="J918" s="4952"/>
      <c r="K918" s="5008"/>
      <c r="L918" s="5039"/>
      <c r="M918" s="386"/>
      <c r="N918" s="386"/>
      <c r="O918" s="386"/>
      <c r="P918" s="386"/>
      <c r="Q918" s="386"/>
    </row>
    <row r="919" spans="1:17" ht="30" customHeight="1" x14ac:dyDescent="0.2">
      <c r="A919" s="7655"/>
      <c r="B919" s="7653"/>
      <c r="C919" s="7724"/>
      <c r="D919" s="4952">
        <v>5000000</v>
      </c>
      <c r="E919" s="5011"/>
      <c r="F919" s="4952"/>
      <c r="G919" s="4952"/>
      <c r="H919" s="4952"/>
      <c r="I919" s="472"/>
      <c r="J919" s="4952"/>
      <c r="K919" s="5008"/>
      <c r="L919" s="5027"/>
      <c r="M919" s="386"/>
      <c r="N919" s="386"/>
      <c r="O919" s="386"/>
      <c r="P919" s="386"/>
      <c r="Q919" s="386"/>
    </row>
    <row r="920" spans="1:17" ht="30" customHeight="1" x14ac:dyDescent="0.2">
      <c r="A920" s="5014"/>
      <c r="B920" s="4968" t="s">
        <v>2573</v>
      </c>
      <c r="C920" s="5016" t="s">
        <v>1172</v>
      </c>
      <c r="D920" s="4944">
        <v>60000000</v>
      </c>
      <c r="E920" s="5011">
        <v>5.5E-2</v>
      </c>
      <c r="F920" s="4944">
        <f t="shared" ref="F920" si="83">D920*E920</f>
        <v>3300000</v>
      </c>
      <c r="G920" s="4944">
        <v>3300000</v>
      </c>
      <c r="H920" s="7563" t="s">
        <v>7010</v>
      </c>
      <c r="I920" s="7889" t="s">
        <v>3103</v>
      </c>
      <c r="J920" s="7563">
        <f>G920+G921+G922</f>
        <v>19750000</v>
      </c>
      <c r="K920" s="7816">
        <v>0</v>
      </c>
      <c r="L920" s="5027" t="s">
        <v>3522</v>
      </c>
      <c r="M920" s="386"/>
      <c r="N920" s="386"/>
      <c r="O920" s="386"/>
      <c r="P920" s="386"/>
      <c r="Q920" s="386"/>
    </row>
    <row r="921" spans="1:17" ht="30" customHeight="1" x14ac:dyDescent="0.2">
      <c r="A921" s="7654"/>
      <c r="B921" s="7652" t="s">
        <v>2714</v>
      </c>
      <c r="C921" s="7723" t="s">
        <v>262</v>
      </c>
      <c r="D921" s="7563">
        <v>230000000</v>
      </c>
      <c r="E921" s="7659">
        <v>5.5E-2</v>
      </c>
      <c r="F921" s="7563">
        <f>D921*E921</f>
        <v>12650000</v>
      </c>
      <c r="G921" s="7563">
        <v>16450000</v>
      </c>
      <c r="H921" s="7586"/>
      <c r="I921" s="8036"/>
      <c r="J921" s="7586"/>
      <c r="K921" s="7882"/>
      <c r="L921" s="5038" t="s">
        <v>5518</v>
      </c>
      <c r="M921" s="386"/>
      <c r="N921" s="386"/>
      <c r="O921" s="386"/>
      <c r="P921" s="386"/>
      <c r="Q921" s="386"/>
    </row>
    <row r="922" spans="1:17" ht="30" customHeight="1" x14ac:dyDescent="0.2">
      <c r="A922" s="7656"/>
      <c r="B922" s="7665"/>
      <c r="C922" s="7747"/>
      <c r="D922" s="7564"/>
      <c r="E922" s="7660"/>
      <c r="F922" s="7564"/>
      <c r="G922" s="7586"/>
      <c r="H922" s="7586"/>
      <c r="I922" s="8036"/>
      <c r="J922" s="7586"/>
      <c r="K922" s="7882"/>
      <c r="L922" s="5038"/>
      <c r="M922" s="386"/>
      <c r="N922" s="386"/>
      <c r="O922" s="386"/>
      <c r="P922" s="386"/>
      <c r="Q922" s="386"/>
    </row>
    <row r="923" spans="1:17" ht="30" customHeight="1" x14ac:dyDescent="0.2">
      <c r="A923" s="7655"/>
      <c r="B923" s="7653"/>
      <c r="C923" s="7724"/>
      <c r="D923" s="4952">
        <v>60000000</v>
      </c>
      <c r="E923" s="4962">
        <v>5.5E-2</v>
      </c>
      <c r="F923" s="4952">
        <f>D923*E923</f>
        <v>3300000</v>
      </c>
      <c r="G923" s="7564"/>
      <c r="H923" s="7564"/>
      <c r="I923" s="7890"/>
      <c r="J923" s="7564"/>
      <c r="K923" s="7817"/>
      <c r="L923" s="5027" t="s">
        <v>6393</v>
      </c>
      <c r="M923" s="386"/>
      <c r="N923" s="386"/>
      <c r="O923" s="386"/>
      <c r="P923" s="386"/>
      <c r="Q923" s="386"/>
    </row>
    <row r="924" spans="1:17" ht="30" customHeight="1" x14ac:dyDescent="0.2">
      <c r="A924" s="4959"/>
      <c r="B924" s="4956" t="s">
        <v>2609</v>
      </c>
      <c r="C924" s="4990"/>
      <c r="D924" s="4965"/>
      <c r="E924" s="4975"/>
      <c r="F924" s="4965"/>
      <c r="G924" s="4952">
        <v>1500000</v>
      </c>
      <c r="H924" s="4952" t="s">
        <v>6828</v>
      </c>
      <c r="I924" s="472" t="s">
        <v>4460</v>
      </c>
      <c r="J924" s="4952">
        <f>G924</f>
        <v>1500000</v>
      </c>
      <c r="K924" s="5009">
        <f>F924-J924</f>
        <v>-1500000</v>
      </c>
      <c r="L924" s="5039"/>
      <c r="M924" s="386"/>
      <c r="N924" s="386"/>
      <c r="O924" s="386"/>
      <c r="P924" s="386"/>
      <c r="Q924" s="386"/>
    </row>
    <row r="925" spans="1:17" ht="30" customHeight="1" x14ac:dyDescent="0.2">
      <c r="A925" s="7654"/>
      <c r="B925" s="7652" t="s">
        <v>3818</v>
      </c>
      <c r="C925" s="7723" t="s">
        <v>5649</v>
      </c>
      <c r="D925" s="5037">
        <v>4215000000</v>
      </c>
      <c r="E925" s="3242">
        <v>0.05</v>
      </c>
      <c r="F925" s="5037">
        <f>D925*E925</f>
        <v>210750000</v>
      </c>
      <c r="G925" s="7991" t="s">
        <v>5146</v>
      </c>
      <c r="H925" s="7992"/>
      <c r="I925" s="7992"/>
      <c r="J925" s="7993"/>
      <c r="K925" s="8238">
        <f>SUM(F925:F927)</f>
        <v>577850000</v>
      </c>
      <c r="L925" s="5027"/>
      <c r="M925" s="386"/>
      <c r="N925" s="386"/>
      <c r="O925" s="386"/>
      <c r="P925" s="386"/>
      <c r="Q925" s="386"/>
    </row>
    <row r="926" spans="1:17" ht="30" customHeight="1" x14ac:dyDescent="0.2">
      <c r="A926" s="7656"/>
      <c r="B926" s="7665"/>
      <c r="C926" s="7747"/>
      <c r="D926" s="5037">
        <v>2000000000</v>
      </c>
      <c r="E926" s="3242">
        <v>7.0000000000000007E-2</v>
      </c>
      <c r="F926" s="5037">
        <f t="shared" ref="F926:F930" si="84">D926*E926</f>
        <v>140000000</v>
      </c>
      <c r="G926" s="7994"/>
      <c r="H926" s="7995"/>
      <c r="I926" s="7995"/>
      <c r="J926" s="7996"/>
      <c r="K926" s="8239"/>
      <c r="L926" s="898"/>
      <c r="M926" s="386"/>
      <c r="N926" s="386"/>
      <c r="O926" s="386"/>
      <c r="P926" s="386"/>
      <c r="Q926" s="386"/>
    </row>
    <row r="927" spans="1:17" ht="30" customHeight="1" x14ac:dyDescent="0.2">
      <c r="A927" s="7656"/>
      <c r="B927" s="7665"/>
      <c r="C927" s="7747"/>
      <c r="D927" s="5037">
        <v>3785000000</v>
      </c>
      <c r="E927" s="3242">
        <v>0.06</v>
      </c>
      <c r="F927" s="5037">
        <f t="shared" si="84"/>
        <v>227100000</v>
      </c>
      <c r="G927" s="7997"/>
      <c r="H927" s="7998"/>
      <c r="I927" s="7998"/>
      <c r="J927" s="7999"/>
      <c r="K927" s="8240"/>
      <c r="L927" s="5028"/>
      <c r="M927" s="386"/>
      <c r="N927" s="386"/>
      <c r="O927" s="386"/>
      <c r="P927" s="386"/>
      <c r="Q927" s="386"/>
    </row>
    <row r="928" spans="1:17" ht="30" customHeight="1" x14ac:dyDescent="0.2">
      <c r="A928" s="7656"/>
      <c r="B928" s="7665"/>
      <c r="C928" s="7747"/>
      <c r="D928" s="3237">
        <v>2915000000</v>
      </c>
      <c r="E928" s="3243">
        <v>0.08</v>
      </c>
      <c r="F928" s="3237">
        <f t="shared" si="84"/>
        <v>233200000</v>
      </c>
      <c r="G928" s="7991" t="s">
        <v>5147</v>
      </c>
      <c r="H928" s="7992"/>
      <c r="I928" s="7992"/>
      <c r="J928" s="7993"/>
      <c r="K928" s="8261">
        <f>F928+F929+F930</f>
        <v>362400000</v>
      </c>
      <c r="L928" s="5028"/>
      <c r="M928" s="386"/>
      <c r="N928" s="386"/>
      <c r="O928" s="386"/>
      <c r="P928" s="386"/>
      <c r="Q928" s="386"/>
    </row>
    <row r="929" spans="1:17" ht="30" customHeight="1" x14ac:dyDescent="0.2">
      <c r="A929" s="7656"/>
      <c r="B929" s="7665"/>
      <c r="C929" s="7747"/>
      <c r="D929" s="3237">
        <v>690000000</v>
      </c>
      <c r="E929" s="3243">
        <v>0.08</v>
      </c>
      <c r="F929" s="3237">
        <f t="shared" si="84"/>
        <v>55200000</v>
      </c>
      <c r="G929" s="7994"/>
      <c r="H929" s="7995"/>
      <c r="I929" s="7995"/>
      <c r="J929" s="7996"/>
      <c r="K929" s="8262"/>
      <c r="L929" s="5028"/>
      <c r="M929" s="386"/>
      <c r="N929" s="386"/>
      <c r="O929" s="386"/>
      <c r="P929" s="386"/>
      <c r="Q929" s="386"/>
    </row>
    <row r="930" spans="1:17" ht="30" customHeight="1" x14ac:dyDescent="0.2">
      <c r="A930" s="7656"/>
      <c r="B930" s="7665"/>
      <c r="C930" s="7747"/>
      <c r="D930" s="3238">
        <v>925000000</v>
      </c>
      <c r="E930" s="3243">
        <v>0.08</v>
      </c>
      <c r="F930" s="3238">
        <f t="shared" si="84"/>
        <v>74000000</v>
      </c>
      <c r="G930" s="7997"/>
      <c r="H930" s="7998"/>
      <c r="I930" s="7998"/>
      <c r="J930" s="7999"/>
      <c r="K930" s="8263"/>
      <c r="L930" s="5008"/>
      <c r="M930" s="386"/>
      <c r="N930" s="386"/>
      <c r="O930" s="386"/>
      <c r="P930" s="386"/>
      <c r="Q930" s="386"/>
    </row>
    <row r="931" spans="1:17" ht="30" customHeight="1" x14ac:dyDescent="0.2">
      <c r="A931" s="7656"/>
      <c r="B931" s="7665"/>
      <c r="C931" s="7747"/>
      <c r="D931" s="8004">
        <f>SUM(D925:D930)</f>
        <v>14530000000</v>
      </c>
      <c r="E931" s="8005"/>
      <c r="F931" s="5055">
        <f>SUM(F925:F930)</f>
        <v>940250000</v>
      </c>
      <c r="G931" s="7991" t="s">
        <v>5140</v>
      </c>
      <c r="H931" s="7992"/>
      <c r="I931" s="7992"/>
      <c r="J931" s="7993"/>
      <c r="K931" s="7816"/>
      <c r="L931" s="5008"/>
      <c r="M931" s="386"/>
      <c r="N931" s="386"/>
      <c r="O931" s="386"/>
      <c r="P931" s="386"/>
      <c r="Q931" s="386"/>
    </row>
    <row r="932" spans="1:17" ht="30" customHeight="1" x14ac:dyDescent="0.2">
      <c r="A932" s="7656"/>
      <c r="B932" s="7665"/>
      <c r="C932" s="7747"/>
      <c r="D932" s="8004" t="s">
        <v>5141</v>
      </c>
      <c r="E932" s="8005"/>
      <c r="F932" s="3307">
        <v>1600000</v>
      </c>
      <c r="G932" s="7994"/>
      <c r="H932" s="7995"/>
      <c r="I932" s="7995"/>
      <c r="J932" s="7996"/>
      <c r="K932" s="7882"/>
      <c r="L932" s="5008"/>
      <c r="M932" s="386"/>
      <c r="N932" s="386"/>
      <c r="O932" s="386"/>
      <c r="P932" s="386"/>
      <c r="Q932" s="386"/>
    </row>
    <row r="933" spans="1:17" ht="30" customHeight="1" x14ac:dyDescent="0.2">
      <c r="A933" s="7656"/>
      <c r="B933" s="7665"/>
      <c r="C933" s="7747"/>
      <c r="D933" s="8004" t="s">
        <v>5142</v>
      </c>
      <c r="E933" s="8005"/>
      <c r="F933" s="3307">
        <v>1300000</v>
      </c>
      <c r="G933" s="7994"/>
      <c r="H933" s="7995"/>
      <c r="I933" s="7995"/>
      <c r="J933" s="7996"/>
      <c r="K933" s="7882"/>
      <c r="L933" s="5008"/>
      <c r="M933" s="386"/>
      <c r="N933" s="386"/>
      <c r="O933" s="386"/>
      <c r="P933" s="386"/>
      <c r="Q933" s="386"/>
    </row>
    <row r="934" spans="1:17" ht="30" customHeight="1" x14ac:dyDescent="0.2">
      <c r="A934" s="7656"/>
      <c r="B934" s="7665"/>
      <c r="C934" s="7747"/>
      <c r="D934" s="8004" t="s">
        <v>5143</v>
      </c>
      <c r="E934" s="8005"/>
      <c r="F934" s="5055">
        <f>SUM(F931:F933)</f>
        <v>943150000</v>
      </c>
      <c r="G934" s="7994"/>
      <c r="H934" s="7995"/>
      <c r="I934" s="7995"/>
      <c r="J934" s="7996"/>
      <c r="K934" s="7882"/>
      <c r="L934" s="5008"/>
      <c r="M934" s="386"/>
      <c r="N934" s="386"/>
      <c r="O934" s="386"/>
      <c r="P934" s="386"/>
      <c r="Q934" s="386"/>
    </row>
    <row r="935" spans="1:17" ht="30" customHeight="1" x14ac:dyDescent="0.2">
      <c r="A935" s="7656"/>
      <c r="B935" s="7665"/>
      <c r="C935" s="7747"/>
      <c r="D935" s="8004" t="s">
        <v>5167</v>
      </c>
      <c r="E935" s="8005"/>
      <c r="F935" s="5055">
        <v>6850000</v>
      </c>
      <c r="G935" s="7994"/>
      <c r="H935" s="7995"/>
      <c r="I935" s="7995"/>
      <c r="J935" s="7996"/>
      <c r="K935" s="7882"/>
      <c r="L935" s="5028" t="s">
        <v>5169</v>
      </c>
      <c r="M935" s="386"/>
      <c r="N935" s="386"/>
      <c r="O935" s="386"/>
      <c r="P935" s="386"/>
      <c r="Q935" s="386"/>
    </row>
    <row r="936" spans="1:17" ht="30" customHeight="1" x14ac:dyDescent="0.2">
      <c r="A936" s="7656"/>
      <c r="B936" s="7665"/>
      <c r="C936" s="7747"/>
      <c r="D936" s="8004" t="s">
        <v>5168</v>
      </c>
      <c r="E936" s="8005"/>
      <c r="F936" s="5055">
        <f>F934+F935</f>
        <v>950000000</v>
      </c>
      <c r="G936" s="7997"/>
      <c r="H936" s="7998"/>
      <c r="I936" s="7998"/>
      <c r="J936" s="7999"/>
      <c r="K936" s="7817"/>
      <c r="L936" s="5008"/>
      <c r="M936" s="386"/>
      <c r="N936" s="386"/>
      <c r="O936" s="386"/>
      <c r="P936" s="386"/>
      <c r="Q936" s="386"/>
    </row>
    <row r="937" spans="1:17" ht="30" customHeight="1" x14ac:dyDescent="0.2">
      <c r="A937" s="7656"/>
      <c r="B937" s="7665"/>
      <c r="C937" s="7747"/>
      <c r="D937" s="744">
        <v>850000000</v>
      </c>
      <c r="E937" s="3241">
        <v>0.08</v>
      </c>
      <c r="F937" s="744">
        <f>D937*E937</f>
        <v>68000000</v>
      </c>
      <c r="G937" s="7470" t="s">
        <v>5172</v>
      </c>
      <c r="H937" s="7493"/>
      <c r="I937" s="7493"/>
      <c r="J937" s="7510"/>
      <c r="K937" s="5008"/>
      <c r="L937" s="5028" t="s">
        <v>5145</v>
      </c>
      <c r="M937" s="386"/>
      <c r="N937" s="386"/>
      <c r="O937" s="386"/>
      <c r="P937" s="386"/>
      <c r="Q937" s="386"/>
    </row>
    <row r="938" spans="1:17" ht="30" customHeight="1" x14ac:dyDescent="0.2">
      <c r="A938" s="7656"/>
      <c r="B938" s="7665"/>
      <c r="C938" s="7747"/>
      <c r="D938" s="8212">
        <f>D931+D937</f>
        <v>15380000000</v>
      </c>
      <c r="E938" s="8213"/>
      <c r="F938" s="3244">
        <f>F931+F937</f>
        <v>1008250000</v>
      </c>
      <c r="G938" s="4953"/>
      <c r="H938" s="4953"/>
      <c r="I938" s="4953" t="s">
        <v>2686</v>
      </c>
      <c r="J938" s="4953">
        <f>G938</f>
        <v>0</v>
      </c>
      <c r="K938" s="7816">
        <f>1010250000-140000000-100000000</f>
        <v>770250000</v>
      </c>
      <c r="L938" s="7811" t="s">
        <v>5650</v>
      </c>
      <c r="M938" s="386"/>
      <c r="N938" s="386"/>
      <c r="O938" s="386"/>
      <c r="P938" s="386"/>
      <c r="Q938" s="386"/>
    </row>
    <row r="939" spans="1:17" ht="30" customHeight="1" x14ac:dyDescent="0.2">
      <c r="A939" s="7656"/>
      <c r="B939" s="7665"/>
      <c r="C939" s="7747"/>
      <c r="D939" s="3244">
        <v>50000000</v>
      </c>
      <c r="E939" s="3241">
        <v>0.08</v>
      </c>
      <c r="F939" s="3244">
        <f>D939*E939</f>
        <v>4000000</v>
      </c>
      <c r="G939" s="4944"/>
      <c r="H939" s="4944"/>
      <c r="I939" s="4944" t="s">
        <v>2686</v>
      </c>
      <c r="J939" s="4944">
        <f>G939</f>
        <v>0</v>
      </c>
      <c r="K939" s="7817"/>
      <c r="L939" s="7812"/>
      <c r="M939" s="386"/>
      <c r="N939" s="386"/>
      <c r="O939" s="386"/>
      <c r="P939" s="386"/>
      <c r="Q939" s="386"/>
    </row>
    <row r="940" spans="1:17" ht="30" customHeight="1" x14ac:dyDescent="0.2">
      <c r="A940" s="7656"/>
      <c r="B940" s="7665"/>
      <c r="C940" s="7747"/>
      <c r="D940" s="8212">
        <f>D938+D939</f>
        <v>15430000000</v>
      </c>
      <c r="E940" s="8213"/>
      <c r="F940" s="3244">
        <f>F938+F939</f>
        <v>1012250000</v>
      </c>
      <c r="G940" s="7494" t="s">
        <v>5648</v>
      </c>
      <c r="H940" s="7495"/>
      <c r="I940" s="7495"/>
      <c r="J940" s="7768"/>
      <c r="K940" s="5008"/>
      <c r="L940" s="5008"/>
      <c r="M940" s="386"/>
      <c r="N940" s="386"/>
      <c r="O940" s="386"/>
      <c r="P940" s="386"/>
      <c r="Q940" s="386"/>
    </row>
    <row r="941" spans="1:17" ht="30" customHeight="1" x14ac:dyDescent="0.2">
      <c r="A941" s="7656"/>
      <c r="B941" s="7665"/>
      <c r="C941" s="7747"/>
      <c r="D941" s="3914">
        <v>820000000</v>
      </c>
      <c r="E941" s="3913">
        <v>0.08</v>
      </c>
      <c r="F941" s="3914">
        <f>D941*E941</f>
        <v>65600000</v>
      </c>
      <c r="G941" s="7732" t="s">
        <v>5646</v>
      </c>
      <c r="H941" s="7733"/>
      <c r="I941" s="7733"/>
      <c r="J941" s="7734"/>
      <c r="K941" s="7816">
        <f>F942-500000000-G943</f>
        <v>77850000</v>
      </c>
      <c r="L941" s="387" t="s">
        <v>5645</v>
      </c>
      <c r="M941" s="386"/>
      <c r="N941" s="386"/>
      <c r="O941" s="386"/>
      <c r="P941" s="386"/>
      <c r="Q941" s="386"/>
    </row>
    <row r="942" spans="1:17" ht="30" customHeight="1" x14ac:dyDescent="0.2">
      <c r="A942" s="7656"/>
      <c r="B942" s="7665"/>
      <c r="C942" s="7747"/>
      <c r="D942" s="8335">
        <f>D940+D941</f>
        <v>16250000000</v>
      </c>
      <c r="E942" s="8336"/>
      <c r="F942" s="8339">
        <f>F940+F941</f>
        <v>1077850000</v>
      </c>
      <c r="G942" s="7732" t="s">
        <v>6238</v>
      </c>
      <c r="H942" s="7733"/>
      <c r="I942" s="7733"/>
      <c r="J942" s="7734"/>
      <c r="K942" s="7882"/>
      <c r="L942" s="5039" t="s">
        <v>6237</v>
      </c>
      <c r="M942" s="386"/>
      <c r="N942" s="386"/>
      <c r="O942" s="386"/>
      <c r="P942" s="386"/>
      <c r="Q942" s="386"/>
    </row>
    <row r="943" spans="1:17" ht="30" customHeight="1" x14ac:dyDescent="0.2">
      <c r="A943" s="7656"/>
      <c r="B943" s="7665"/>
      <c r="C943" s="7747"/>
      <c r="D943" s="8413"/>
      <c r="E943" s="8414"/>
      <c r="F943" s="8415"/>
      <c r="G943" s="5399">
        <v>500000000</v>
      </c>
      <c r="H943" s="5399" t="s">
        <v>6152</v>
      </c>
      <c r="I943" s="5399" t="s">
        <v>6239</v>
      </c>
      <c r="J943" s="5399">
        <f>G943</f>
        <v>500000000</v>
      </c>
      <c r="K943" s="7882"/>
      <c r="L943" s="5039" t="s">
        <v>4906</v>
      </c>
      <c r="M943" s="386"/>
      <c r="N943" s="386"/>
      <c r="O943" s="386"/>
      <c r="P943" s="386"/>
      <c r="Q943" s="386"/>
    </row>
    <row r="944" spans="1:17" ht="30" customHeight="1" x14ac:dyDescent="0.2">
      <c r="A944" s="7656"/>
      <c r="B944" s="7665"/>
      <c r="C944" s="7747"/>
      <c r="D944" s="8337"/>
      <c r="E944" s="8338"/>
      <c r="F944" s="8340"/>
      <c r="G944" s="7991" t="s">
        <v>6316</v>
      </c>
      <c r="H944" s="7992"/>
      <c r="I944" s="7992"/>
      <c r="J944" s="7993"/>
      <c r="K944" s="7817"/>
      <c r="L944" s="387"/>
      <c r="M944" s="386"/>
      <c r="N944" s="386"/>
      <c r="O944" s="386"/>
      <c r="P944" s="386"/>
      <c r="Q944" s="386"/>
    </row>
    <row r="945" spans="1:17" ht="30" customHeight="1" x14ac:dyDescent="0.2">
      <c r="A945" s="7656"/>
      <c r="B945" s="7665"/>
      <c r="C945" s="7747"/>
      <c r="D945" s="5061">
        <v>100000000</v>
      </c>
      <c r="E945" s="1298">
        <v>0.08</v>
      </c>
      <c r="F945" s="5004">
        <f>D945*E945</f>
        <v>8000000</v>
      </c>
      <c r="G945" s="7991" t="s">
        <v>6317</v>
      </c>
      <c r="H945" s="7992"/>
      <c r="I945" s="7992"/>
      <c r="J945" s="7993"/>
      <c r="K945" s="5008"/>
      <c r="L945" s="5028"/>
      <c r="M945" s="386"/>
      <c r="N945" s="386"/>
      <c r="O945" s="386"/>
      <c r="P945" s="386"/>
      <c r="Q945" s="386"/>
    </row>
    <row r="946" spans="1:17" ht="30" customHeight="1" x14ac:dyDescent="0.2">
      <c r="A946" s="7656"/>
      <c r="B946" s="7665"/>
      <c r="C946" s="7747"/>
      <c r="D946" s="7858">
        <f>D942+D945</f>
        <v>16350000000</v>
      </c>
      <c r="E946" s="7860"/>
      <c r="F946" s="5004">
        <f>F942+F945</f>
        <v>1085850000</v>
      </c>
      <c r="G946" s="7732" t="s">
        <v>7069</v>
      </c>
      <c r="H946" s="7733"/>
      <c r="I946" s="7733"/>
      <c r="J946" s="7734"/>
      <c r="K946" s="5008"/>
      <c r="L946" s="5028" t="s">
        <v>6752</v>
      </c>
      <c r="M946" s="386"/>
      <c r="N946" s="386"/>
      <c r="O946" s="386"/>
      <c r="P946" s="386"/>
      <c r="Q946" s="386"/>
    </row>
    <row r="947" spans="1:17" ht="30" customHeight="1" x14ac:dyDescent="0.2">
      <c r="A947" s="7656"/>
      <c r="B947" s="7665"/>
      <c r="C947" s="7747"/>
      <c r="D947" s="8199" t="s">
        <v>7070</v>
      </c>
      <c r="E947" s="8199"/>
      <c r="F947" s="8199"/>
      <c r="G947" s="7732" t="s">
        <v>6859</v>
      </c>
      <c r="H947" s="7733"/>
      <c r="I947" s="7733"/>
      <c r="J947" s="7734"/>
      <c r="K947" s="7816">
        <f>F946-290000000-J949</f>
        <v>-4150000</v>
      </c>
      <c r="L947" s="5215" t="s">
        <v>6861</v>
      </c>
      <c r="M947" s="386"/>
      <c r="N947" s="386"/>
      <c r="O947" s="386"/>
      <c r="P947" s="386"/>
      <c r="Q947" s="386"/>
    </row>
    <row r="948" spans="1:17" ht="30" customHeight="1" x14ac:dyDescent="0.2">
      <c r="A948" s="7656"/>
      <c r="B948" s="7665"/>
      <c r="C948" s="7747"/>
      <c r="D948" s="8199"/>
      <c r="E948" s="8199"/>
      <c r="F948" s="8199"/>
      <c r="G948" s="7732" t="s">
        <v>6860</v>
      </c>
      <c r="H948" s="7733"/>
      <c r="I948" s="7733"/>
      <c r="J948" s="7734"/>
      <c r="K948" s="7882"/>
      <c r="L948" s="5215" t="s">
        <v>6861</v>
      </c>
      <c r="M948" s="386"/>
      <c r="N948" s="386"/>
      <c r="O948" s="386"/>
      <c r="P948" s="386"/>
      <c r="Q948" s="386"/>
    </row>
    <row r="949" spans="1:17" ht="30" customHeight="1" x14ac:dyDescent="0.2">
      <c r="A949" s="7656"/>
      <c r="B949" s="7665"/>
      <c r="C949" s="7747"/>
      <c r="D949" s="8199"/>
      <c r="E949" s="8199"/>
      <c r="F949" s="8199"/>
      <c r="G949" s="5374">
        <v>500000000</v>
      </c>
      <c r="H949" s="5374" t="s">
        <v>6792</v>
      </c>
      <c r="I949" s="5374" t="s">
        <v>6239</v>
      </c>
      <c r="J949" s="7482">
        <f>G949+G950</f>
        <v>800000000</v>
      </c>
      <c r="K949" s="7882"/>
      <c r="L949" s="5389" t="s">
        <v>7071</v>
      </c>
      <c r="M949" s="386"/>
      <c r="N949" s="386"/>
      <c r="O949" s="386"/>
      <c r="P949" s="386"/>
      <c r="Q949" s="386"/>
    </row>
    <row r="950" spans="1:17" ht="30" customHeight="1" x14ac:dyDescent="0.2">
      <c r="A950" s="7656"/>
      <c r="B950" s="7665"/>
      <c r="C950" s="7747"/>
      <c r="D950" s="8199"/>
      <c r="E950" s="8199"/>
      <c r="F950" s="8199"/>
      <c r="G950" s="233">
        <v>300000000</v>
      </c>
      <c r="H950" s="5399" t="s">
        <v>6800</v>
      </c>
      <c r="I950" s="5374" t="s">
        <v>6239</v>
      </c>
      <c r="J950" s="7482"/>
      <c r="K950" s="7882"/>
      <c r="L950" s="5389"/>
      <c r="M950" s="386"/>
      <c r="N950" s="386"/>
      <c r="O950" s="386"/>
      <c r="P950" s="386"/>
      <c r="Q950" s="386"/>
    </row>
    <row r="951" spans="1:17" ht="30" customHeight="1" x14ac:dyDescent="0.2">
      <c r="A951" s="7656"/>
      <c r="B951" s="7665"/>
      <c r="C951" s="7747"/>
      <c r="D951" s="7470" t="s">
        <v>7072</v>
      </c>
      <c r="E951" s="7493"/>
      <c r="F951" s="7510"/>
      <c r="G951" s="5394">
        <v>170000000</v>
      </c>
      <c r="H951" s="5374" t="s">
        <v>7013</v>
      </c>
      <c r="I951" s="5374" t="s">
        <v>6239</v>
      </c>
      <c r="J951" s="7"/>
      <c r="K951" s="898"/>
      <c r="L951" s="5389"/>
      <c r="M951" s="386"/>
      <c r="N951" s="386"/>
      <c r="O951" s="386"/>
      <c r="P951" s="386"/>
      <c r="Q951" s="386"/>
    </row>
    <row r="952" spans="1:17" ht="30" customHeight="1" x14ac:dyDescent="0.2">
      <c r="A952" s="7656"/>
      <c r="B952" s="7665"/>
      <c r="C952" s="7747"/>
      <c r="D952" s="8525">
        <f>D946-170000000</f>
        <v>16180000000</v>
      </c>
      <c r="E952" s="8526"/>
      <c r="F952" s="5447">
        <f>F946-13600000</f>
        <v>1072250000</v>
      </c>
      <c r="G952" s="7447">
        <v>50000000</v>
      </c>
      <c r="H952" s="7447" t="s">
        <v>2474</v>
      </c>
      <c r="I952" s="7447" t="s">
        <v>3366</v>
      </c>
      <c r="J952" s="8523">
        <f>G952+G953</f>
        <v>100000000</v>
      </c>
      <c r="K952" s="8528">
        <f>F952+F953-4150000</f>
        <v>1073990000</v>
      </c>
      <c r="L952" s="5770"/>
      <c r="M952" s="386"/>
      <c r="N952" s="386"/>
      <c r="O952" s="386"/>
      <c r="P952" s="386"/>
      <c r="Q952" s="386"/>
    </row>
    <row r="953" spans="1:17" ht="30" customHeight="1" x14ac:dyDescent="0.2">
      <c r="A953" s="7656"/>
      <c r="B953" s="7665"/>
      <c r="C953" s="7747"/>
      <c r="D953" s="8527" t="s">
        <v>7073</v>
      </c>
      <c r="E953" s="8527"/>
      <c r="F953" s="5447">
        <v>5890000</v>
      </c>
      <c r="G953" s="7447">
        <v>50000000</v>
      </c>
      <c r="H953" s="7447" t="s">
        <v>7252</v>
      </c>
      <c r="I953" s="7447" t="s">
        <v>7269</v>
      </c>
      <c r="J953" s="8524"/>
      <c r="K953" s="8529"/>
      <c r="L953" s="5670" t="s">
        <v>7270</v>
      </c>
      <c r="M953" s="386"/>
      <c r="N953" s="386"/>
      <c r="O953" s="386"/>
      <c r="P953" s="386"/>
      <c r="Q953" s="386"/>
    </row>
    <row r="954" spans="1:17" ht="30" customHeight="1" x14ac:dyDescent="0.2">
      <c r="A954" s="7655"/>
      <c r="B954" s="7653"/>
      <c r="C954" s="7724"/>
      <c r="D954" s="5398"/>
      <c r="E954" s="5400"/>
      <c r="F954" s="5401"/>
      <c r="G954" s="5422"/>
      <c r="H954" s="5399"/>
      <c r="I954" s="5399"/>
      <c r="J954" s="7"/>
      <c r="K954" s="898">
        <f>F952+F953</f>
        <v>1078140000</v>
      </c>
      <c r="L954" s="5415"/>
      <c r="M954" s="386"/>
      <c r="N954" s="386"/>
      <c r="O954" s="386"/>
      <c r="P954" s="386"/>
      <c r="Q954" s="386"/>
    </row>
    <row r="955" spans="1:17" ht="30" customHeight="1" x14ac:dyDescent="0.2">
      <c r="A955" s="5014"/>
      <c r="B955" s="4968" t="s">
        <v>2622</v>
      </c>
      <c r="C955" s="5016" t="s">
        <v>889</v>
      </c>
      <c r="D955" s="4944">
        <v>160000000</v>
      </c>
      <c r="E955" s="5011">
        <v>0.05</v>
      </c>
      <c r="F955" s="4944">
        <f t="shared" ref="F955:F968" si="85">D955*E955</f>
        <v>8000000</v>
      </c>
      <c r="G955" s="4944">
        <v>8000000</v>
      </c>
      <c r="H955" s="4944" t="s">
        <v>6789</v>
      </c>
      <c r="I955" s="5075" t="s">
        <v>4364</v>
      </c>
      <c r="J955" s="4944">
        <f>G955</f>
        <v>8000000</v>
      </c>
      <c r="K955" s="4948">
        <f>F955-J955</f>
        <v>0</v>
      </c>
      <c r="L955" s="5039"/>
      <c r="M955" s="386"/>
      <c r="N955" s="386"/>
      <c r="O955" s="386"/>
      <c r="P955" s="386"/>
      <c r="Q955" s="386"/>
    </row>
    <row r="956" spans="1:17" ht="30" customHeight="1" x14ac:dyDescent="0.2">
      <c r="A956" s="5014"/>
      <c r="B956" s="4968" t="s">
        <v>2639</v>
      </c>
      <c r="C956" s="4990" t="s">
        <v>1172</v>
      </c>
      <c r="D956" s="4952">
        <v>80000000</v>
      </c>
      <c r="E956" s="5011">
        <v>0.05</v>
      </c>
      <c r="F956" s="4952">
        <f t="shared" si="85"/>
        <v>4000000</v>
      </c>
      <c r="G956" s="4952">
        <v>4000000</v>
      </c>
      <c r="H956" s="4952" t="s">
        <v>6828</v>
      </c>
      <c r="I956" s="472" t="s">
        <v>4020</v>
      </c>
      <c r="J956" s="4952">
        <f t="shared" ref="J956:J968" si="86">G956</f>
        <v>4000000</v>
      </c>
      <c r="K956" s="5008">
        <f t="shared" ref="K956:K968" si="87">F956-J956</f>
        <v>0</v>
      </c>
      <c r="L956" s="5039"/>
      <c r="M956" s="386"/>
      <c r="N956" s="386"/>
      <c r="O956" s="386"/>
      <c r="P956" s="386"/>
      <c r="Q956" s="386"/>
    </row>
    <row r="957" spans="1:17" ht="30" customHeight="1" x14ac:dyDescent="0.2">
      <c r="A957" s="5014"/>
      <c r="B957" s="4968" t="s">
        <v>4021</v>
      </c>
      <c r="C957" s="4990" t="s">
        <v>1172</v>
      </c>
      <c r="D957" s="4952">
        <v>100000000</v>
      </c>
      <c r="E957" s="5011">
        <v>0.05</v>
      </c>
      <c r="F957" s="4952">
        <f t="shared" si="85"/>
        <v>5000000</v>
      </c>
      <c r="G957" s="4952">
        <v>5000000</v>
      </c>
      <c r="H957" s="4952" t="s">
        <v>6828</v>
      </c>
      <c r="I957" s="472" t="s">
        <v>4063</v>
      </c>
      <c r="J957" s="4952">
        <f>G957</f>
        <v>5000000</v>
      </c>
      <c r="K957" s="5008">
        <f>F957-J957</f>
        <v>0</v>
      </c>
      <c r="L957" s="5039"/>
      <c r="M957" s="386"/>
      <c r="N957" s="386"/>
      <c r="O957" s="386"/>
      <c r="P957" s="386"/>
      <c r="Q957" s="386"/>
    </row>
    <row r="958" spans="1:17" ht="30" customHeight="1" x14ac:dyDescent="0.2">
      <c r="A958" s="5014"/>
      <c r="B958" s="4968" t="s">
        <v>3997</v>
      </c>
      <c r="C958" s="5016" t="s">
        <v>1652</v>
      </c>
      <c r="D958" s="4944">
        <v>25000000</v>
      </c>
      <c r="E958" s="5011">
        <v>0.04</v>
      </c>
      <c r="F958" s="4944">
        <f t="shared" si="85"/>
        <v>1000000</v>
      </c>
      <c r="G958" s="4944">
        <v>1000000</v>
      </c>
      <c r="H958" s="4944" t="s">
        <v>6828</v>
      </c>
      <c r="I958" s="5075" t="s">
        <v>6262</v>
      </c>
      <c r="J958" s="4944">
        <f>G958</f>
        <v>1000000</v>
      </c>
      <c r="K958" s="4948">
        <f t="shared" si="87"/>
        <v>0</v>
      </c>
      <c r="L958" s="5039"/>
      <c r="M958" s="386"/>
      <c r="N958" s="386"/>
      <c r="O958" s="386"/>
      <c r="P958" s="386"/>
      <c r="Q958" s="386"/>
    </row>
    <row r="959" spans="1:17" ht="30" customHeight="1" x14ac:dyDescent="0.2">
      <c r="A959" s="5014"/>
      <c r="B959" s="4980" t="s">
        <v>2692</v>
      </c>
      <c r="C959" s="5016" t="s">
        <v>371</v>
      </c>
      <c r="D959" s="4950">
        <v>500000000</v>
      </c>
      <c r="E959" s="4960">
        <v>7.0000000000000007E-2</v>
      </c>
      <c r="F959" s="4950">
        <f t="shared" si="85"/>
        <v>35000000</v>
      </c>
      <c r="G959" s="4944">
        <v>35000000</v>
      </c>
      <c r="H959" s="4944" t="s">
        <v>7010</v>
      </c>
      <c r="I959" s="4944" t="s">
        <v>2693</v>
      </c>
      <c r="J959" s="4944">
        <f>G959</f>
        <v>35000000</v>
      </c>
      <c r="K959" s="5008">
        <f t="shared" si="87"/>
        <v>0</v>
      </c>
      <c r="L959" s="5039"/>
      <c r="M959" s="386"/>
      <c r="N959" s="386"/>
      <c r="O959" s="386"/>
      <c r="P959" s="386"/>
      <c r="Q959" s="386"/>
    </row>
    <row r="960" spans="1:17" ht="30" customHeight="1" x14ac:dyDescent="0.2">
      <c r="A960" s="5014"/>
      <c r="B960" s="4980" t="s">
        <v>5714</v>
      </c>
      <c r="C960" s="5016" t="s">
        <v>371</v>
      </c>
      <c r="D960" s="1455">
        <v>40000000</v>
      </c>
      <c r="E960" s="1929">
        <v>7.0000000000000007E-2</v>
      </c>
      <c r="F960" s="1455">
        <f t="shared" si="85"/>
        <v>2800000.0000000005</v>
      </c>
      <c r="G960" s="4944">
        <v>2800000</v>
      </c>
      <c r="H960" s="4944" t="s">
        <v>7065</v>
      </c>
      <c r="I960" s="4944" t="s">
        <v>6404</v>
      </c>
      <c r="J960" s="4944">
        <f>G960</f>
        <v>2800000</v>
      </c>
      <c r="K960" s="5008">
        <f t="shared" si="87"/>
        <v>0</v>
      </c>
      <c r="L960" s="5027"/>
      <c r="M960" s="386"/>
      <c r="N960" s="386"/>
      <c r="O960" s="386"/>
      <c r="P960" s="386"/>
      <c r="Q960" s="386"/>
    </row>
    <row r="961" spans="1:17" ht="30" customHeight="1" x14ac:dyDescent="0.2">
      <c r="A961" s="4957"/>
      <c r="B961" s="4972" t="s">
        <v>5727</v>
      </c>
      <c r="C961" s="4989" t="s">
        <v>3007</v>
      </c>
      <c r="D961" s="1455">
        <v>130000000</v>
      </c>
      <c r="E961" s="1929">
        <v>0.05</v>
      </c>
      <c r="F961" s="1455">
        <f t="shared" si="85"/>
        <v>6500000</v>
      </c>
      <c r="G961" s="4944">
        <v>6500000</v>
      </c>
      <c r="H961" s="4944" t="s">
        <v>7210</v>
      </c>
      <c r="I961" s="4944" t="s">
        <v>7219</v>
      </c>
      <c r="J961" s="4944">
        <f>G961</f>
        <v>6500000</v>
      </c>
      <c r="K961" s="5008">
        <f t="shared" si="87"/>
        <v>0</v>
      </c>
      <c r="L961" s="5068" t="s">
        <v>5726</v>
      </c>
      <c r="M961" s="386"/>
      <c r="N961" s="386"/>
      <c r="O961" s="386"/>
      <c r="P961" s="386"/>
      <c r="Q961" s="386"/>
    </row>
    <row r="962" spans="1:17" ht="30" customHeight="1" x14ac:dyDescent="0.2">
      <c r="A962" s="7654"/>
      <c r="B962" s="7661" t="s">
        <v>4699</v>
      </c>
      <c r="C962" s="7723" t="s">
        <v>371</v>
      </c>
      <c r="D962" s="7563">
        <v>400000000</v>
      </c>
      <c r="E962" s="7659">
        <v>7.0000000000000007E-2</v>
      </c>
      <c r="F962" s="7563">
        <f t="shared" si="85"/>
        <v>28000000.000000004</v>
      </c>
      <c r="G962" s="5346">
        <v>10000000</v>
      </c>
      <c r="H962" s="5346" t="s">
        <v>7013</v>
      </c>
      <c r="I962" s="638" t="s">
        <v>4403</v>
      </c>
      <c r="J962" s="7563">
        <f>G962+G963</f>
        <v>28000000</v>
      </c>
      <c r="K962" s="7816">
        <f>F962-J962</f>
        <v>0</v>
      </c>
      <c r="L962" s="5027"/>
      <c r="M962" s="386"/>
      <c r="N962" s="386"/>
      <c r="O962" s="386"/>
      <c r="P962" s="386"/>
      <c r="Q962" s="386"/>
    </row>
    <row r="963" spans="1:17" ht="30" customHeight="1" x14ac:dyDescent="0.2">
      <c r="A963" s="7655"/>
      <c r="B963" s="7663"/>
      <c r="C963" s="7724"/>
      <c r="D963" s="7564"/>
      <c r="E963" s="7660"/>
      <c r="F963" s="7564"/>
      <c r="G963" s="5346">
        <v>18000000</v>
      </c>
      <c r="H963" s="5346" t="s">
        <v>7013</v>
      </c>
      <c r="I963" s="638" t="s">
        <v>4403</v>
      </c>
      <c r="J963" s="7564"/>
      <c r="K963" s="7817"/>
      <c r="L963" s="5027"/>
      <c r="M963" s="386"/>
      <c r="N963" s="386"/>
      <c r="O963" s="386"/>
      <c r="P963" s="386"/>
      <c r="Q963" s="386"/>
    </row>
    <row r="964" spans="1:17" ht="30" customHeight="1" x14ac:dyDescent="0.2">
      <c r="A964" s="5014"/>
      <c r="B964" s="4968" t="s">
        <v>2702</v>
      </c>
      <c r="C964" s="4990" t="s">
        <v>262</v>
      </c>
      <c r="D964" s="4952">
        <v>30000000</v>
      </c>
      <c r="E964" s="5011">
        <v>0.05</v>
      </c>
      <c r="F964" s="4952">
        <f t="shared" si="85"/>
        <v>1500000</v>
      </c>
      <c r="G964" s="4944">
        <v>1500000</v>
      </c>
      <c r="H964" s="4944" t="s">
        <v>6932</v>
      </c>
      <c r="I964" s="4944" t="s">
        <v>3536</v>
      </c>
      <c r="J964" s="4944">
        <f t="shared" si="86"/>
        <v>1500000</v>
      </c>
      <c r="K964" s="5008">
        <f t="shared" si="87"/>
        <v>0</v>
      </c>
      <c r="L964" s="5039"/>
      <c r="M964" s="386"/>
      <c r="N964" s="386"/>
      <c r="O964" s="386"/>
      <c r="P964" s="386"/>
      <c r="Q964" s="386"/>
    </row>
    <row r="965" spans="1:17" ht="30" customHeight="1" x14ac:dyDescent="0.2">
      <c r="A965" s="5014"/>
      <c r="B965" s="4968" t="s">
        <v>2727</v>
      </c>
      <c r="C965" s="4990" t="s">
        <v>392</v>
      </c>
      <c r="D965" s="4952">
        <v>140000000</v>
      </c>
      <c r="E965" s="5011">
        <v>7.0000000000000007E-2</v>
      </c>
      <c r="F965" s="4952">
        <f t="shared" si="85"/>
        <v>9800000.0000000019</v>
      </c>
      <c r="G965" s="4944">
        <v>9800000</v>
      </c>
      <c r="H965" s="4944" t="s">
        <v>6785</v>
      </c>
      <c r="I965" s="4944" t="s">
        <v>4380</v>
      </c>
      <c r="J965" s="4944">
        <f t="shared" si="86"/>
        <v>9800000</v>
      </c>
      <c r="K965" s="5008">
        <f t="shared" si="87"/>
        <v>0</v>
      </c>
      <c r="L965" s="5039"/>
      <c r="M965" s="386"/>
      <c r="N965" s="386"/>
      <c r="O965" s="386"/>
      <c r="P965" s="386"/>
      <c r="Q965" s="386"/>
    </row>
    <row r="966" spans="1:17" ht="30" customHeight="1" x14ac:dyDescent="0.2">
      <c r="A966" s="5014"/>
      <c r="B966" s="4968" t="s">
        <v>2735</v>
      </c>
      <c r="C966" s="4990" t="s">
        <v>889</v>
      </c>
      <c r="D966" s="4952">
        <v>85000000</v>
      </c>
      <c r="E966" s="5011">
        <v>0.05</v>
      </c>
      <c r="F966" s="4952">
        <f t="shared" si="85"/>
        <v>4250000</v>
      </c>
      <c r="G966" s="4944">
        <v>4250000</v>
      </c>
      <c r="H966" s="4944" t="s">
        <v>6792</v>
      </c>
      <c r="I966" s="5075" t="s">
        <v>3529</v>
      </c>
      <c r="J966" s="4944">
        <f t="shared" si="86"/>
        <v>4250000</v>
      </c>
      <c r="K966" s="5008">
        <f t="shared" si="87"/>
        <v>0</v>
      </c>
      <c r="L966" s="5039"/>
      <c r="M966" s="386"/>
      <c r="N966" s="386"/>
      <c r="O966" s="386"/>
      <c r="P966" s="386"/>
      <c r="Q966" s="386"/>
    </row>
    <row r="967" spans="1:17" ht="30" customHeight="1" x14ac:dyDescent="0.2">
      <c r="A967" s="5014"/>
      <c r="B967" s="4968" t="s">
        <v>3534</v>
      </c>
      <c r="C967" s="4990" t="s">
        <v>372</v>
      </c>
      <c r="D967" s="4952">
        <v>50000000</v>
      </c>
      <c r="E967" s="5011">
        <v>0.05</v>
      </c>
      <c r="F967" s="4952">
        <f t="shared" si="85"/>
        <v>2500000</v>
      </c>
      <c r="G967" s="4944">
        <v>2500000</v>
      </c>
      <c r="H967" s="4944" t="s">
        <v>6932</v>
      </c>
      <c r="I967" s="4944" t="s">
        <v>4091</v>
      </c>
      <c r="J967" s="4944">
        <f t="shared" si="86"/>
        <v>2500000</v>
      </c>
      <c r="K967" s="5008">
        <f t="shared" si="87"/>
        <v>0</v>
      </c>
      <c r="L967" s="5039"/>
      <c r="M967" s="386"/>
      <c r="N967" s="386"/>
      <c r="O967" s="386"/>
      <c r="P967" s="386"/>
      <c r="Q967" s="386"/>
    </row>
    <row r="968" spans="1:17" ht="30" customHeight="1" x14ac:dyDescent="0.2">
      <c r="A968" s="5014"/>
      <c r="B968" s="4968" t="s">
        <v>2738</v>
      </c>
      <c r="C968" s="4990" t="s">
        <v>372</v>
      </c>
      <c r="D968" s="4952">
        <v>25000000</v>
      </c>
      <c r="E968" s="5011">
        <v>0.05</v>
      </c>
      <c r="F968" s="4952">
        <f t="shared" si="85"/>
        <v>1250000</v>
      </c>
      <c r="G968" s="4944">
        <v>1250000</v>
      </c>
      <c r="H968" s="4944" t="s">
        <v>7010</v>
      </c>
      <c r="I968" s="4944" t="s">
        <v>4017</v>
      </c>
      <c r="J968" s="4944">
        <f t="shared" si="86"/>
        <v>1250000</v>
      </c>
      <c r="K968" s="5008">
        <f t="shared" si="87"/>
        <v>0</v>
      </c>
      <c r="L968" s="5039"/>
      <c r="M968" s="386"/>
      <c r="N968" s="386"/>
      <c r="O968" s="386"/>
      <c r="P968" s="386"/>
      <c r="Q968" s="386"/>
    </row>
    <row r="969" spans="1:17" ht="30" customHeight="1" x14ac:dyDescent="0.2">
      <c r="A969" s="7654"/>
      <c r="B969" s="7652" t="s">
        <v>2767</v>
      </c>
      <c r="C969" s="7723" t="s">
        <v>262</v>
      </c>
      <c r="D969" s="4944">
        <v>650000000</v>
      </c>
      <c r="E969" s="5011">
        <v>0.06</v>
      </c>
      <c r="F969" s="4944">
        <f>D969*E969</f>
        <v>39000000</v>
      </c>
      <c r="G969" s="7563">
        <v>45000000</v>
      </c>
      <c r="H969" s="7563" t="s">
        <v>6932</v>
      </c>
      <c r="I969" s="7563" t="s">
        <v>3477</v>
      </c>
      <c r="J969" s="7563">
        <f>G969</f>
        <v>45000000</v>
      </c>
      <c r="K969" s="7816">
        <f>(F969+F970+F971)-J969</f>
        <v>0</v>
      </c>
      <c r="L969" s="5069" t="s">
        <v>5193</v>
      </c>
      <c r="M969" s="386"/>
      <c r="N969" s="386"/>
      <c r="O969" s="386"/>
      <c r="P969" s="386"/>
      <c r="Q969" s="386"/>
    </row>
    <row r="970" spans="1:17" ht="30" customHeight="1" x14ac:dyDescent="0.2">
      <c r="A970" s="7656"/>
      <c r="B970" s="7665"/>
      <c r="C970" s="7747"/>
      <c r="D970" s="4952">
        <v>50000000</v>
      </c>
      <c r="E970" s="5011">
        <v>0.06</v>
      </c>
      <c r="F970" s="4952">
        <f>D970*E970</f>
        <v>3000000</v>
      </c>
      <c r="G970" s="7586"/>
      <c r="H970" s="7586"/>
      <c r="I970" s="7586"/>
      <c r="J970" s="7586"/>
      <c r="K970" s="7882"/>
      <c r="L970" s="5039" t="s">
        <v>6333</v>
      </c>
      <c r="M970" s="386"/>
      <c r="N970" s="386"/>
      <c r="O970" s="386"/>
      <c r="P970" s="386"/>
      <c r="Q970" s="386"/>
    </row>
    <row r="971" spans="1:17" ht="30" customHeight="1" x14ac:dyDescent="0.2">
      <c r="A971" s="7655"/>
      <c r="B971" s="7653"/>
      <c r="C971" s="7724"/>
      <c r="D971" s="4952">
        <v>50000000</v>
      </c>
      <c r="E971" s="5011">
        <v>0.06</v>
      </c>
      <c r="F971" s="4952">
        <f>D971*E971</f>
        <v>3000000</v>
      </c>
      <c r="G971" s="7564"/>
      <c r="H971" s="7564"/>
      <c r="I971" s="7564"/>
      <c r="J971" s="7564"/>
      <c r="K971" s="7817"/>
      <c r="L971" s="5039" t="s">
        <v>6334</v>
      </c>
      <c r="M971" s="386"/>
      <c r="N971" s="386"/>
      <c r="O971" s="386"/>
      <c r="P971" s="386"/>
      <c r="Q971" s="386"/>
    </row>
    <row r="972" spans="1:17" ht="30" customHeight="1" x14ac:dyDescent="0.2">
      <c r="A972" s="5014"/>
      <c r="B972" s="4968" t="s">
        <v>2799</v>
      </c>
      <c r="C972" s="4990"/>
      <c r="D972" s="4952">
        <v>85000000</v>
      </c>
      <c r="E972" s="5011"/>
      <c r="F972" s="4952"/>
      <c r="G972" s="4944"/>
      <c r="H972" s="4944"/>
      <c r="I972" s="4944"/>
      <c r="J972" s="4944"/>
      <c r="K972" s="5008"/>
      <c r="L972" s="5039" t="s">
        <v>2800</v>
      </c>
      <c r="M972" s="386"/>
      <c r="N972" s="386"/>
      <c r="O972" s="386"/>
      <c r="P972" s="386"/>
      <c r="Q972" s="386"/>
    </row>
    <row r="973" spans="1:17" ht="30" customHeight="1" x14ac:dyDescent="0.2">
      <c r="A973" s="5014"/>
      <c r="B973" s="4968" t="s">
        <v>2802</v>
      </c>
      <c r="C973" s="4990" t="s">
        <v>359</v>
      </c>
      <c r="D973" s="4952">
        <v>20000000</v>
      </c>
      <c r="E973" s="5011">
        <v>0.05</v>
      </c>
      <c r="F973" s="4952">
        <f t="shared" ref="F973:F983" si="88">D973*E973</f>
        <v>1000000</v>
      </c>
      <c r="G973" s="4944">
        <v>1000000</v>
      </c>
      <c r="H973" s="4944" t="s">
        <v>7010</v>
      </c>
      <c r="I973" s="4944" t="s">
        <v>3556</v>
      </c>
      <c r="J973" s="4944">
        <f>G973</f>
        <v>1000000</v>
      </c>
      <c r="K973" s="5008">
        <f>F973-J973</f>
        <v>0</v>
      </c>
      <c r="L973" s="5039"/>
      <c r="M973" s="386"/>
      <c r="N973" s="386"/>
      <c r="O973" s="386"/>
      <c r="P973" s="386"/>
      <c r="Q973" s="386"/>
    </row>
    <row r="974" spans="1:17" ht="30" customHeight="1" x14ac:dyDescent="0.2">
      <c r="A974" s="7654"/>
      <c r="B974" s="7652" t="s">
        <v>2904</v>
      </c>
      <c r="C974" s="7723" t="s">
        <v>1081</v>
      </c>
      <c r="D974" s="7563">
        <v>40000000</v>
      </c>
      <c r="E974" s="7659">
        <v>0.04</v>
      </c>
      <c r="F974" s="7563">
        <f t="shared" si="88"/>
        <v>1600000</v>
      </c>
      <c r="G974" s="4944"/>
      <c r="H974" s="4944"/>
      <c r="I974" s="4944" t="s">
        <v>4314</v>
      </c>
      <c r="J974" s="4944">
        <f>G974</f>
        <v>0</v>
      </c>
      <c r="K974" s="5008">
        <f>F974-J974</f>
        <v>1600000</v>
      </c>
      <c r="L974" s="5039" t="s">
        <v>4906</v>
      </c>
      <c r="M974" s="386"/>
      <c r="N974" s="386"/>
      <c r="O974" s="386"/>
      <c r="P974" s="386"/>
      <c r="Q974" s="386"/>
    </row>
    <row r="975" spans="1:17" ht="30" customHeight="1" x14ac:dyDescent="0.2">
      <c r="A975" s="7655"/>
      <c r="B975" s="7653"/>
      <c r="C975" s="7724"/>
      <c r="D975" s="7564"/>
      <c r="E975" s="7660"/>
      <c r="F975" s="7564"/>
      <c r="G975" s="4950"/>
      <c r="H975" s="4950"/>
      <c r="I975" s="4950" t="s">
        <v>4314</v>
      </c>
      <c r="J975" s="4950">
        <f>G975</f>
        <v>0</v>
      </c>
      <c r="K975" s="5008">
        <f>F974-J975</f>
        <v>1600000</v>
      </c>
      <c r="L975" s="5039" t="s">
        <v>5482</v>
      </c>
      <c r="M975" s="386"/>
      <c r="N975" s="386"/>
      <c r="O975" s="386"/>
      <c r="P975" s="386"/>
      <c r="Q975" s="386"/>
    </row>
    <row r="976" spans="1:17" ht="30" customHeight="1" x14ac:dyDescent="0.2">
      <c r="A976" s="7654"/>
      <c r="B976" s="7652" t="s">
        <v>2834</v>
      </c>
      <c r="C976" s="7723" t="s">
        <v>2849</v>
      </c>
      <c r="D976" s="4952">
        <v>20000000</v>
      </c>
      <c r="E976" s="4962">
        <v>0.05</v>
      </c>
      <c r="F976" s="4952">
        <f t="shared" si="88"/>
        <v>1000000</v>
      </c>
      <c r="G976" s="7563">
        <v>2000000</v>
      </c>
      <c r="H976" s="7563" t="s">
        <v>7065</v>
      </c>
      <c r="I976" s="7563" t="s">
        <v>3681</v>
      </c>
      <c r="J976" s="7563">
        <f>G976</f>
        <v>2000000</v>
      </c>
      <c r="K976" s="7816">
        <f>G976-J976</f>
        <v>0</v>
      </c>
      <c r="L976" s="5039"/>
      <c r="M976" s="386"/>
      <c r="N976" s="386"/>
      <c r="O976" s="386"/>
      <c r="P976" s="386"/>
      <c r="Q976" s="386"/>
    </row>
    <row r="977" spans="1:17" ht="30" customHeight="1" x14ac:dyDescent="0.2">
      <c r="A977" s="7655"/>
      <c r="B977" s="7653"/>
      <c r="C977" s="7724"/>
      <c r="D977" s="4952">
        <v>20000000</v>
      </c>
      <c r="E977" s="4962">
        <v>0.05</v>
      </c>
      <c r="F977" s="4952">
        <f t="shared" si="88"/>
        <v>1000000</v>
      </c>
      <c r="G977" s="7564"/>
      <c r="H977" s="7564"/>
      <c r="I977" s="7564"/>
      <c r="J977" s="7564"/>
      <c r="K977" s="7817"/>
      <c r="L977" s="5039" t="s">
        <v>5068</v>
      </c>
      <c r="M977" s="386"/>
      <c r="N977" s="386"/>
      <c r="O977" s="386"/>
      <c r="P977" s="386"/>
      <c r="Q977" s="386"/>
    </row>
    <row r="978" spans="1:17" ht="30" customHeight="1" x14ac:dyDescent="0.2">
      <c r="A978" s="7654"/>
      <c r="B978" s="7652" t="s">
        <v>2899</v>
      </c>
      <c r="C978" s="5016" t="s">
        <v>1718</v>
      </c>
      <c r="D978" s="4952">
        <v>400000000</v>
      </c>
      <c r="E978" s="5011">
        <v>7.0000000000000007E-2</v>
      </c>
      <c r="F978" s="4952">
        <f t="shared" si="88"/>
        <v>28000000.000000004</v>
      </c>
      <c r="G978" s="4952">
        <v>28000000</v>
      </c>
      <c r="H978" s="4952" t="s">
        <v>6895</v>
      </c>
      <c r="I978" s="4999" t="s">
        <v>2868</v>
      </c>
      <c r="J978" s="4952">
        <f t="shared" ref="J978:J994" si="89">G978</f>
        <v>28000000</v>
      </c>
      <c r="K978" s="5008">
        <f>F978-J978</f>
        <v>0</v>
      </c>
      <c r="L978" s="5038" t="s">
        <v>4694</v>
      </c>
      <c r="M978" s="386"/>
      <c r="N978" s="386"/>
      <c r="O978" s="386"/>
      <c r="P978" s="386"/>
      <c r="Q978" s="386"/>
    </row>
    <row r="979" spans="1:17" ht="30" customHeight="1" x14ac:dyDescent="0.2">
      <c r="A979" s="7656"/>
      <c r="B979" s="7665"/>
      <c r="C979" s="7723" t="s">
        <v>990</v>
      </c>
      <c r="D979" s="7563">
        <v>200000000</v>
      </c>
      <c r="E979" s="7659">
        <v>7.0000000000000007E-2</v>
      </c>
      <c r="F979" s="7563">
        <f t="shared" si="88"/>
        <v>14000000.000000002</v>
      </c>
      <c r="G979" s="7494" t="s">
        <v>6649</v>
      </c>
      <c r="H979" s="7495"/>
      <c r="I979" s="7495"/>
      <c r="J979" s="7768"/>
      <c r="K979" s="7816"/>
      <c r="L979" s="5038" t="s">
        <v>5943</v>
      </c>
      <c r="M979" s="386"/>
      <c r="N979" s="386"/>
      <c r="O979" s="386"/>
      <c r="P979" s="386"/>
      <c r="Q979" s="386"/>
    </row>
    <row r="980" spans="1:17" ht="30" customHeight="1" x14ac:dyDescent="0.2">
      <c r="A980" s="7656"/>
      <c r="B980" s="7665"/>
      <c r="C980" s="7747"/>
      <c r="D980" s="7586"/>
      <c r="E980" s="7676"/>
      <c r="F980" s="7586"/>
      <c r="G980" s="7769"/>
      <c r="H980" s="7805"/>
      <c r="I980" s="7805"/>
      <c r="J980" s="7770"/>
      <c r="K980" s="7817"/>
      <c r="L980" s="5038"/>
      <c r="M980" s="386"/>
      <c r="N980" s="386"/>
      <c r="O980" s="386"/>
      <c r="P980" s="386"/>
      <c r="Q980" s="386"/>
    </row>
    <row r="981" spans="1:17" ht="30" customHeight="1" x14ac:dyDescent="0.2">
      <c r="A981" s="7655"/>
      <c r="B981" s="7653"/>
      <c r="C981" s="7724"/>
      <c r="D981" s="7564"/>
      <c r="E981" s="7660"/>
      <c r="F981" s="7564"/>
      <c r="G981" s="4944"/>
      <c r="H981" s="4944"/>
      <c r="I981" s="4944">
        <f>G981</f>
        <v>0</v>
      </c>
      <c r="J981" s="4944">
        <f>G981</f>
        <v>0</v>
      </c>
      <c r="K981" s="5008"/>
      <c r="L981" s="5038"/>
      <c r="M981" s="386"/>
      <c r="N981" s="386"/>
      <c r="O981" s="386"/>
      <c r="P981" s="386"/>
      <c r="Q981" s="386"/>
    </row>
    <row r="982" spans="1:17" ht="30" customHeight="1" x14ac:dyDescent="0.2">
      <c r="A982" s="4959"/>
      <c r="B982" s="4956" t="s">
        <v>4692</v>
      </c>
      <c r="C982" s="4990" t="s">
        <v>2278</v>
      </c>
      <c r="D982" s="4952">
        <v>100000000</v>
      </c>
      <c r="E982" s="5011">
        <v>7.0000000000000007E-2</v>
      </c>
      <c r="F982" s="4952">
        <f t="shared" si="88"/>
        <v>7000000.0000000009</v>
      </c>
      <c r="G982" s="7732" t="s">
        <v>5945</v>
      </c>
      <c r="H982" s="7733"/>
      <c r="I982" s="7733"/>
      <c r="J982" s="7734"/>
      <c r="K982" s="5008"/>
      <c r="L982" s="5038" t="s">
        <v>4693</v>
      </c>
      <c r="M982" s="386"/>
      <c r="N982" s="386"/>
      <c r="O982" s="386"/>
      <c r="P982" s="386"/>
      <c r="Q982" s="386"/>
    </row>
    <row r="983" spans="1:17" ht="30" customHeight="1" x14ac:dyDescent="0.2">
      <c r="A983" s="5014"/>
      <c r="B983" s="4956" t="s">
        <v>2206</v>
      </c>
      <c r="C983" s="4990" t="s">
        <v>1306</v>
      </c>
      <c r="D983" s="4952">
        <v>150000000</v>
      </c>
      <c r="E983" s="5011">
        <v>0.05</v>
      </c>
      <c r="F983" s="4952">
        <f t="shared" si="88"/>
        <v>7500000</v>
      </c>
      <c r="G983" s="4952"/>
      <c r="H983" s="4952"/>
      <c r="I983" s="4999" t="s">
        <v>4539</v>
      </c>
      <c r="J983" s="4952">
        <f t="shared" si="89"/>
        <v>0</v>
      </c>
      <c r="K983" s="5008">
        <f>F983-J983</f>
        <v>7500000</v>
      </c>
      <c r="L983" s="5028"/>
      <c r="M983" s="386"/>
      <c r="N983" s="386"/>
      <c r="O983" s="386"/>
      <c r="P983" s="386"/>
      <c r="Q983" s="386"/>
    </row>
    <row r="984" spans="1:17" ht="30" customHeight="1" x14ac:dyDescent="0.2">
      <c r="A984" s="5014"/>
      <c r="B984" s="19" t="s">
        <v>180</v>
      </c>
      <c r="C984" s="4990" t="s">
        <v>2849</v>
      </c>
      <c r="D984" s="4952">
        <v>126000000</v>
      </c>
      <c r="E984" s="5011">
        <f>F984/D984</f>
        <v>0.05</v>
      </c>
      <c r="F984" s="4952">
        <v>6300000</v>
      </c>
      <c r="G984" s="4944">
        <v>6300000</v>
      </c>
      <c r="H984" s="4944" t="s">
        <v>6785</v>
      </c>
      <c r="I984" s="4944" t="s">
        <v>4880</v>
      </c>
      <c r="J984" s="4944">
        <f t="shared" si="89"/>
        <v>6300000</v>
      </c>
      <c r="K984" s="5008">
        <f t="shared" ref="K984:K992" si="90">F984-J984</f>
        <v>0</v>
      </c>
      <c r="L984" s="5039"/>
      <c r="M984" s="386"/>
      <c r="N984" s="386"/>
      <c r="O984" s="386"/>
      <c r="P984" s="386"/>
      <c r="Q984" s="386"/>
    </row>
    <row r="985" spans="1:17" ht="30" customHeight="1" x14ac:dyDescent="0.2">
      <c r="A985" s="5014"/>
      <c r="B985" s="19" t="s">
        <v>4695</v>
      </c>
      <c r="C985" s="4990" t="s">
        <v>989</v>
      </c>
      <c r="D985" s="4952">
        <v>50000000</v>
      </c>
      <c r="E985" s="5011">
        <v>0.05</v>
      </c>
      <c r="F985" s="4952">
        <f t="shared" ref="F985:F992" si="91">D985*E985</f>
        <v>2500000</v>
      </c>
      <c r="G985" s="4952"/>
      <c r="H985" s="4952"/>
      <c r="I985" s="4999" t="s">
        <v>4764</v>
      </c>
      <c r="J985" s="4952">
        <f t="shared" si="89"/>
        <v>0</v>
      </c>
      <c r="K985" s="5008">
        <f>F985-J985</f>
        <v>2500000</v>
      </c>
      <c r="L985" s="2700"/>
      <c r="M985" s="386"/>
      <c r="N985" s="386"/>
      <c r="O985" s="386"/>
      <c r="P985" s="386"/>
      <c r="Q985" s="386"/>
    </row>
    <row r="986" spans="1:17" ht="30" customHeight="1" x14ac:dyDescent="0.2">
      <c r="A986" s="7654"/>
      <c r="B986" s="7652" t="s">
        <v>2873</v>
      </c>
      <c r="C986" s="7723" t="s">
        <v>1172</v>
      </c>
      <c r="D986" s="4952">
        <v>40000000</v>
      </c>
      <c r="E986" s="5011">
        <v>0.05</v>
      </c>
      <c r="F986" s="4952">
        <f t="shared" si="91"/>
        <v>2000000</v>
      </c>
      <c r="G986" s="7563">
        <v>5000000</v>
      </c>
      <c r="H986" s="7563" t="s">
        <v>6793</v>
      </c>
      <c r="I986" s="7563" t="s">
        <v>4078</v>
      </c>
      <c r="J986" s="7563">
        <f t="shared" si="89"/>
        <v>5000000</v>
      </c>
      <c r="K986" s="7816">
        <f>(F986+F987)-J986</f>
        <v>0</v>
      </c>
      <c r="L986" s="5039"/>
      <c r="M986" s="386"/>
      <c r="N986" s="386"/>
      <c r="O986" s="386"/>
      <c r="P986" s="386"/>
      <c r="Q986" s="386"/>
    </row>
    <row r="987" spans="1:17" ht="30" customHeight="1" x14ac:dyDescent="0.2">
      <c r="A987" s="7656"/>
      <c r="B987" s="7665"/>
      <c r="C987" s="7747"/>
      <c r="D987" s="4952">
        <v>60000000</v>
      </c>
      <c r="E987" s="5011">
        <v>0.05</v>
      </c>
      <c r="F987" s="4952">
        <f t="shared" si="91"/>
        <v>3000000</v>
      </c>
      <c r="G987" s="7564"/>
      <c r="H987" s="7564"/>
      <c r="I987" s="7564"/>
      <c r="J987" s="7564"/>
      <c r="K987" s="7817"/>
      <c r="L987" s="5039"/>
      <c r="M987" s="386"/>
      <c r="N987" s="386"/>
      <c r="O987" s="386"/>
      <c r="P987" s="386"/>
      <c r="Q987" s="386"/>
    </row>
    <row r="988" spans="1:17" ht="30" customHeight="1" x14ac:dyDescent="0.2">
      <c r="A988" s="7655"/>
      <c r="B988" s="7653"/>
      <c r="C988" s="7724"/>
      <c r="D988" s="7470" t="s">
        <v>7091</v>
      </c>
      <c r="E988" s="7493"/>
      <c r="F988" s="7510"/>
      <c r="G988" s="5429">
        <v>50000000</v>
      </c>
      <c r="H988" s="5429" t="s">
        <v>7088</v>
      </c>
      <c r="I988" s="5435" t="s">
        <v>5761</v>
      </c>
      <c r="J988" s="5429">
        <f>G988</f>
        <v>50000000</v>
      </c>
      <c r="K988" s="5438"/>
      <c r="L988" s="5442"/>
      <c r="M988" s="386"/>
      <c r="N988" s="386"/>
      <c r="O988" s="386"/>
      <c r="P988" s="386"/>
      <c r="Q988" s="386"/>
    </row>
    <row r="989" spans="1:17" ht="30" customHeight="1" x14ac:dyDescent="0.2">
      <c r="A989" s="5014"/>
      <c r="B989" s="4968" t="s">
        <v>2878</v>
      </c>
      <c r="C989" s="4990" t="s">
        <v>1718</v>
      </c>
      <c r="D989" s="4952">
        <v>25000000</v>
      </c>
      <c r="E989" s="5011">
        <v>0.04</v>
      </c>
      <c r="F989" s="4952">
        <f t="shared" si="91"/>
        <v>1000000</v>
      </c>
      <c r="G989" s="4952">
        <v>1000000</v>
      </c>
      <c r="H989" s="4952" t="s">
        <v>6895</v>
      </c>
      <c r="I989" s="4999" t="s">
        <v>4062</v>
      </c>
      <c r="J989" s="4952">
        <f t="shared" si="89"/>
        <v>1000000</v>
      </c>
      <c r="K989" s="5008">
        <f t="shared" si="90"/>
        <v>0</v>
      </c>
      <c r="L989" s="5039"/>
      <c r="M989" s="386"/>
      <c r="N989" s="386"/>
      <c r="O989" s="386"/>
      <c r="P989" s="386"/>
      <c r="Q989" s="386"/>
    </row>
    <row r="990" spans="1:17" ht="30" customHeight="1" x14ac:dyDescent="0.2">
      <c r="A990" s="3428"/>
      <c r="B990" s="2551" t="s">
        <v>2932</v>
      </c>
      <c r="C990" s="5257" t="s">
        <v>1172</v>
      </c>
      <c r="D990" s="5259">
        <v>50000000</v>
      </c>
      <c r="E990" s="2549">
        <v>0.05</v>
      </c>
      <c r="F990" s="5259">
        <f t="shared" si="91"/>
        <v>2500000</v>
      </c>
      <c r="G990" s="5259"/>
      <c r="H990" s="5259"/>
      <c r="I990" s="5260" t="s">
        <v>4092</v>
      </c>
      <c r="J990" s="5259">
        <f t="shared" si="89"/>
        <v>0</v>
      </c>
      <c r="K990" s="5261">
        <f t="shared" si="90"/>
        <v>2500000</v>
      </c>
      <c r="L990" s="3025" t="s">
        <v>6876</v>
      </c>
      <c r="M990" s="386"/>
      <c r="N990" s="386"/>
      <c r="O990" s="386"/>
      <c r="P990" s="386"/>
      <c r="Q990" s="386"/>
    </row>
    <row r="991" spans="1:17" ht="30" customHeight="1" x14ac:dyDescent="0.2">
      <c r="A991" s="4957"/>
      <c r="B991" s="19" t="s">
        <v>2938</v>
      </c>
      <c r="C991" s="5016" t="s">
        <v>1138</v>
      </c>
      <c r="D991" s="4944">
        <v>10000000</v>
      </c>
      <c r="E991" s="5011">
        <v>0.05</v>
      </c>
      <c r="F991" s="4944">
        <f t="shared" si="91"/>
        <v>500000</v>
      </c>
      <c r="G991" s="4944">
        <v>500000</v>
      </c>
      <c r="H991" s="4944" t="s">
        <v>6828</v>
      </c>
      <c r="I991" s="4944" t="s">
        <v>2939</v>
      </c>
      <c r="J991" s="4944">
        <f t="shared" si="89"/>
        <v>500000</v>
      </c>
      <c r="K991" s="5008">
        <f t="shared" si="90"/>
        <v>0</v>
      </c>
      <c r="L991" s="5039" t="s">
        <v>5482</v>
      </c>
      <c r="M991" s="386"/>
      <c r="N991" s="386"/>
      <c r="O991" s="386"/>
      <c r="P991" s="386"/>
      <c r="Q991" s="386"/>
    </row>
    <row r="992" spans="1:17" ht="30" customHeight="1" x14ac:dyDescent="0.2">
      <c r="A992" s="7654"/>
      <c r="B992" s="7652" t="s">
        <v>5360</v>
      </c>
      <c r="C992" s="7723" t="s">
        <v>2278</v>
      </c>
      <c r="D992" s="7563">
        <v>50000000</v>
      </c>
      <c r="E992" s="7659">
        <v>0.05</v>
      </c>
      <c r="F992" s="7563">
        <f t="shared" si="91"/>
        <v>2500000</v>
      </c>
      <c r="G992" s="7563">
        <v>2500000</v>
      </c>
      <c r="H992" s="7563" t="s">
        <v>7080</v>
      </c>
      <c r="I992" s="7563" t="s">
        <v>5846</v>
      </c>
      <c r="J992" s="7563">
        <f t="shared" si="89"/>
        <v>2500000</v>
      </c>
      <c r="K992" s="7816">
        <f t="shared" si="90"/>
        <v>0</v>
      </c>
      <c r="L992" s="5039" t="s">
        <v>6097</v>
      </c>
      <c r="M992" s="386"/>
      <c r="N992" s="386"/>
      <c r="O992" s="386"/>
      <c r="P992" s="386"/>
      <c r="Q992" s="386"/>
    </row>
    <row r="993" spans="1:17" ht="30" customHeight="1" x14ac:dyDescent="0.2">
      <c r="A993" s="7655"/>
      <c r="B993" s="7653"/>
      <c r="C993" s="7724"/>
      <c r="D993" s="7564"/>
      <c r="E993" s="7660"/>
      <c r="F993" s="7564"/>
      <c r="G993" s="7564"/>
      <c r="H993" s="7564"/>
      <c r="I993" s="7564"/>
      <c r="J993" s="7564"/>
      <c r="K993" s="7817"/>
      <c r="L993" s="5039" t="s">
        <v>5683</v>
      </c>
      <c r="M993" s="386"/>
      <c r="N993" s="386"/>
      <c r="O993" s="386"/>
      <c r="P993" s="386"/>
      <c r="Q993" s="386"/>
    </row>
    <row r="994" spans="1:17" ht="30" customHeight="1" x14ac:dyDescent="0.2">
      <c r="A994" s="7654"/>
      <c r="B994" s="8291" t="s">
        <v>3037</v>
      </c>
      <c r="C994" s="8341" t="s">
        <v>1306</v>
      </c>
      <c r="D994" s="4952">
        <v>30000000</v>
      </c>
      <c r="E994" s="5011">
        <v>0.05</v>
      </c>
      <c r="F994" s="4952">
        <f t="shared" ref="F994:F1014" si="92">D994*E994</f>
        <v>1500000</v>
      </c>
      <c r="G994" s="7846"/>
      <c r="H994" s="7563"/>
      <c r="I994" s="7563" t="s">
        <v>3729</v>
      </c>
      <c r="J994" s="7563">
        <f t="shared" si="89"/>
        <v>0</v>
      </c>
      <c r="K994" s="7816"/>
      <c r="L994" s="5039"/>
      <c r="M994" s="386"/>
      <c r="N994" s="386"/>
      <c r="O994" s="386"/>
      <c r="P994" s="386"/>
      <c r="Q994" s="386"/>
    </row>
    <row r="995" spans="1:17" ht="30" customHeight="1" x14ac:dyDescent="0.2">
      <c r="A995" s="7656"/>
      <c r="B995" s="8292"/>
      <c r="C995" s="8342"/>
      <c r="D995" s="4952">
        <v>15000000</v>
      </c>
      <c r="E995" s="5011">
        <v>0.05</v>
      </c>
      <c r="F995" s="4952">
        <f t="shared" si="92"/>
        <v>750000</v>
      </c>
      <c r="G995" s="7847"/>
      <c r="H995" s="7586"/>
      <c r="I995" s="7586"/>
      <c r="J995" s="7586"/>
      <c r="K995" s="7882"/>
      <c r="L995" s="5039"/>
      <c r="M995" s="386"/>
      <c r="N995" s="386"/>
      <c r="O995" s="386"/>
      <c r="P995" s="386"/>
      <c r="Q995" s="386"/>
    </row>
    <row r="996" spans="1:17" ht="30" customHeight="1" x14ac:dyDescent="0.2">
      <c r="A996" s="7656"/>
      <c r="B996" s="8292"/>
      <c r="C996" s="8342"/>
      <c r="D996" s="4952">
        <v>15000000</v>
      </c>
      <c r="E996" s="5011">
        <v>0.05</v>
      </c>
      <c r="F996" s="4952">
        <f t="shared" si="92"/>
        <v>750000</v>
      </c>
      <c r="G996" s="7847"/>
      <c r="H996" s="7586"/>
      <c r="I996" s="7586"/>
      <c r="J996" s="7586"/>
      <c r="K996" s="7882"/>
      <c r="L996" s="5027" t="s">
        <v>5929</v>
      </c>
      <c r="M996" s="386"/>
      <c r="N996" s="386"/>
      <c r="O996" s="386"/>
      <c r="P996" s="386"/>
      <c r="Q996" s="386"/>
    </row>
    <row r="997" spans="1:17" ht="30" customHeight="1" x14ac:dyDescent="0.2">
      <c r="A997" s="7656"/>
      <c r="B997" s="8292"/>
      <c r="C997" s="8342"/>
      <c r="D997" s="7563">
        <v>35000000</v>
      </c>
      <c r="E997" s="7659">
        <v>0.05</v>
      </c>
      <c r="F997" s="7563">
        <f t="shared" si="92"/>
        <v>1750000</v>
      </c>
      <c r="G997" s="7847"/>
      <c r="H997" s="7586"/>
      <c r="I997" s="7586"/>
      <c r="J997" s="7586"/>
      <c r="K997" s="7882"/>
      <c r="L997" s="5027" t="s">
        <v>6089</v>
      </c>
      <c r="M997" s="386"/>
      <c r="N997" s="386"/>
      <c r="O997" s="386"/>
      <c r="P997" s="386"/>
      <c r="Q997" s="386"/>
    </row>
    <row r="998" spans="1:17" ht="30" customHeight="1" x14ac:dyDescent="0.2">
      <c r="A998" s="7656"/>
      <c r="B998" s="8292"/>
      <c r="C998" s="8342"/>
      <c r="D998" s="7586"/>
      <c r="E998" s="7676"/>
      <c r="F998" s="7586"/>
      <c r="G998" s="7847"/>
      <c r="H998" s="7586"/>
      <c r="I998" s="7586"/>
      <c r="J998" s="7586"/>
      <c r="K998" s="7882"/>
      <c r="L998" s="5027" t="s">
        <v>6090</v>
      </c>
      <c r="M998" s="386"/>
      <c r="N998" s="386"/>
      <c r="O998" s="386"/>
      <c r="P998" s="386"/>
      <c r="Q998" s="386"/>
    </row>
    <row r="999" spans="1:17" ht="30" customHeight="1" x14ac:dyDescent="0.2">
      <c r="A999" s="7656"/>
      <c r="B999" s="8292"/>
      <c r="C999" s="8342"/>
      <c r="D999" s="7586"/>
      <c r="E999" s="7676"/>
      <c r="F999" s="7586"/>
      <c r="G999" s="7847"/>
      <c r="H999" s="7586"/>
      <c r="I999" s="7586"/>
      <c r="J999" s="7586"/>
      <c r="K999" s="7882"/>
      <c r="L999" s="5027" t="s">
        <v>6091</v>
      </c>
      <c r="M999" s="386"/>
      <c r="N999" s="386"/>
      <c r="O999" s="386"/>
      <c r="P999" s="386"/>
      <c r="Q999" s="386"/>
    </row>
    <row r="1000" spans="1:17" ht="30" customHeight="1" x14ac:dyDescent="0.2">
      <c r="A1000" s="7655"/>
      <c r="B1000" s="8293"/>
      <c r="C1000" s="8343"/>
      <c r="D1000" s="7564"/>
      <c r="E1000" s="7660"/>
      <c r="F1000" s="7564"/>
      <c r="G1000" s="7848"/>
      <c r="H1000" s="7564"/>
      <c r="I1000" s="7564"/>
      <c r="J1000" s="7564"/>
      <c r="K1000" s="7817"/>
      <c r="L1000" s="5027" t="s">
        <v>6092</v>
      </c>
      <c r="M1000" s="386"/>
      <c r="N1000" s="386"/>
      <c r="O1000" s="386"/>
      <c r="P1000" s="386"/>
      <c r="Q1000" s="386"/>
    </row>
    <row r="1001" spans="1:17" ht="30" customHeight="1" x14ac:dyDescent="0.2">
      <c r="A1001" s="7879"/>
      <c r="B1001" s="8531" t="s">
        <v>6093</v>
      </c>
      <c r="C1001" s="8530" t="s">
        <v>942</v>
      </c>
      <c r="D1001" s="7563">
        <v>60000000</v>
      </c>
      <c r="E1001" s="7659">
        <v>0.05</v>
      </c>
      <c r="F1001" s="7563">
        <f>D1001*E1001</f>
        <v>3000000</v>
      </c>
      <c r="G1001" s="7732" t="s">
        <v>6301</v>
      </c>
      <c r="H1001" s="7733"/>
      <c r="I1001" s="7733"/>
      <c r="J1001" s="7734"/>
      <c r="K1001" s="5008"/>
      <c r="L1001" s="7811" t="s">
        <v>6191</v>
      </c>
      <c r="M1001" s="386"/>
      <c r="N1001" s="386"/>
      <c r="O1001" s="386"/>
      <c r="P1001" s="386"/>
      <c r="Q1001" s="386"/>
    </row>
    <row r="1002" spans="1:17" ht="30" customHeight="1" x14ac:dyDescent="0.2">
      <c r="A1002" s="7879"/>
      <c r="B1002" s="8531"/>
      <c r="C1002" s="8530"/>
      <c r="D1002" s="7586"/>
      <c r="E1002" s="7676"/>
      <c r="F1002" s="7586"/>
      <c r="G1002" s="7732" t="s">
        <v>6301</v>
      </c>
      <c r="H1002" s="7733"/>
      <c r="I1002" s="7733"/>
      <c r="J1002" s="7734"/>
      <c r="K1002" s="5008"/>
      <c r="L1002" s="7897"/>
      <c r="M1002" s="386"/>
      <c r="N1002" s="386"/>
      <c r="O1002" s="386"/>
      <c r="P1002" s="386"/>
      <c r="Q1002" s="386"/>
    </row>
    <row r="1003" spans="1:17" ht="30" customHeight="1" x14ac:dyDescent="0.2">
      <c r="A1003" s="7879"/>
      <c r="B1003" s="8531"/>
      <c r="C1003" s="8530"/>
      <c r="D1003" s="7586"/>
      <c r="E1003" s="7676"/>
      <c r="F1003" s="7586"/>
      <c r="G1003" s="7732" t="s">
        <v>6301</v>
      </c>
      <c r="H1003" s="7733"/>
      <c r="I1003" s="7733"/>
      <c r="J1003" s="7734"/>
      <c r="K1003" s="5008"/>
      <c r="L1003" s="7897"/>
      <c r="M1003" s="386"/>
      <c r="N1003" s="386"/>
      <c r="O1003" s="386"/>
      <c r="P1003" s="386"/>
      <c r="Q1003" s="386"/>
    </row>
    <row r="1004" spans="1:17" ht="30" customHeight="1" x14ac:dyDescent="0.2">
      <c r="A1004" s="7879"/>
      <c r="B1004" s="8531"/>
      <c r="C1004" s="8530"/>
      <c r="D1004" s="7586"/>
      <c r="E1004" s="7676"/>
      <c r="F1004" s="7586"/>
      <c r="G1004" s="7732" t="s">
        <v>6301</v>
      </c>
      <c r="H1004" s="7733"/>
      <c r="I1004" s="7733"/>
      <c r="J1004" s="7734"/>
      <c r="K1004" s="5008"/>
      <c r="L1004" s="7897"/>
      <c r="M1004" s="386"/>
      <c r="N1004" s="386"/>
      <c r="O1004" s="386"/>
      <c r="P1004" s="386"/>
      <c r="Q1004" s="386"/>
    </row>
    <row r="1005" spans="1:17" ht="30" customHeight="1" x14ac:dyDescent="0.2">
      <c r="A1005" s="7879"/>
      <c r="B1005" s="8531"/>
      <c r="C1005" s="8530"/>
      <c r="D1005" s="7586"/>
      <c r="E1005" s="7676"/>
      <c r="F1005" s="7586"/>
      <c r="G1005" s="7732" t="s">
        <v>6094</v>
      </c>
      <c r="H1005" s="7733"/>
      <c r="I1005" s="7733"/>
      <c r="J1005" s="7734"/>
      <c r="K1005" s="5008"/>
      <c r="L1005" s="7897"/>
      <c r="M1005" s="386"/>
      <c r="N1005" s="386"/>
      <c r="O1005" s="386"/>
      <c r="P1005" s="386"/>
      <c r="Q1005" s="386"/>
    </row>
    <row r="1006" spans="1:17" ht="30" customHeight="1" x14ac:dyDescent="0.2">
      <c r="A1006" s="7879"/>
      <c r="B1006" s="8531"/>
      <c r="C1006" s="8530"/>
      <c r="D1006" s="7586"/>
      <c r="E1006" s="7676"/>
      <c r="F1006" s="7586"/>
      <c r="G1006" s="7732" t="s">
        <v>6095</v>
      </c>
      <c r="H1006" s="7733"/>
      <c r="I1006" s="7733"/>
      <c r="J1006" s="7734"/>
      <c r="K1006" s="5008"/>
      <c r="L1006" s="7812"/>
      <c r="M1006" s="386"/>
      <c r="N1006" s="386"/>
      <c r="O1006" s="386"/>
      <c r="P1006" s="386"/>
      <c r="Q1006" s="386"/>
    </row>
    <row r="1007" spans="1:17" ht="30" customHeight="1" x14ac:dyDescent="0.2">
      <c r="A1007" s="7879"/>
      <c r="B1007" s="8531"/>
      <c r="C1007" s="8530"/>
      <c r="D1007" s="7564"/>
      <c r="E1007" s="7660"/>
      <c r="F1007" s="7564"/>
      <c r="G1007" s="5126">
        <v>3000000</v>
      </c>
      <c r="H1007" s="5126" t="s">
        <v>6773</v>
      </c>
      <c r="I1007" s="5126" t="s">
        <v>6784</v>
      </c>
      <c r="J1007" s="5126">
        <f>G1007</f>
        <v>3000000</v>
      </c>
      <c r="K1007" s="5127">
        <f>F1001-J1007</f>
        <v>0</v>
      </c>
      <c r="L1007" s="5128"/>
      <c r="M1007" s="386"/>
      <c r="N1007" s="386"/>
      <c r="O1007" s="386"/>
      <c r="P1007" s="386"/>
      <c r="Q1007" s="386"/>
    </row>
    <row r="1008" spans="1:17" ht="30" customHeight="1" x14ac:dyDescent="0.2">
      <c r="A1008" s="5006"/>
      <c r="B1008" s="5082" t="s">
        <v>6302</v>
      </c>
      <c r="C1008" s="5077" t="s">
        <v>1172</v>
      </c>
      <c r="D1008" s="4952">
        <v>40000000</v>
      </c>
      <c r="E1008" s="4962">
        <v>0.05</v>
      </c>
      <c r="F1008" s="4952">
        <f>D1008*E1008</f>
        <v>2000000</v>
      </c>
      <c r="G1008" s="5145">
        <v>2000000</v>
      </c>
      <c r="H1008" s="5145" t="s">
        <v>6895</v>
      </c>
      <c r="I1008" s="5145" t="s">
        <v>6902</v>
      </c>
      <c r="J1008" s="5145">
        <f>G1008</f>
        <v>2000000</v>
      </c>
      <c r="K1008" s="5008">
        <f>F1008-J1008</f>
        <v>0</v>
      </c>
      <c r="L1008" s="5708" t="s">
        <v>7263</v>
      </c>
      <c r="M1008" s="386"/>
      <c r="N1008" s="386"/>
      <c r="O1008" s="386"/>
      <c r="P1008" s="386"/>
      <c r="Q1008" s="386"/>
    </row>
    <row r="1009" spans="1:17" ht="30" customHeight="1" x14ac:dyDescent="0.2">
      <c r="A1009" s="7654"/>
      <c r="B1009" s="7652" t="s">
        <v>3040</v>
      </c>
      <c r="C1009" s="7723" t="s">
        <v>1172</v>
      </c>
      <c r="D1009" s="7563">
        <v>1050000000</v>
      </c>
      <c r="E1009" s="7659">
        <v>7.0000000000000007E-2</v>
      </c>
      <c r="F1009" s="7563">
        <f>D1009*E1009</f>
        <v>73500000</v>
      </c>
      <c r="G1009" s="7482" t="s">
        <v>7150</v>
      </c>
      <c r="H1009" s="7482"/>
      <c r="I1009" s="7482"/>
      <c r="J1009" s="7482"/>
      <c r="K1009" s="7816"/>
      <c r="L1009" s="5027" t="s">
        <v>6917</v>
      </c>
      <c r="M1009" s="386"/>
      <c r="N1009" s="386"/>
      <c r="O1009" s="386"/>
      <c r="P1009" s="386"/>
      <c r="Q1009" s="386"/>
    </row>
    <row r="1010" spans="1:17" ht="30" customHeight="1" x14ac:dyDescent="0.2">
      <c r="A1010" s="7656"/>
      <c r="B1010" s="7665"/>
      <c r="C1010" s="7747"/>
      <c r="D1010" s="7564"/>
      <c r="E1010" s="7660"/>
      <c r="F1010" s="7564"/>
      <c r="G1010" s="7482"/>
      <c r="H1010" s="7482"/>
      <c r="I1010" s="7482"/>
      <c r="J1010" s="7482"/>
      <c r="K1010" s="7882"/>
      <c r="L1010" s="5027" t="s">
        <v>6918</v>
      </c>
      <c r="M1010" s="386"/>
      <c r="N1010" s="386"/>
      <c r="O1010" s="386"/>
      <c r="P1010" s="386"/>
      <c r="Q1010" s="386"/>
    </row>
    <row r="1011" spans="1:17" ht="30" customHeight="1" x14ac:dyDescent="0.2">
      <c r="A1011" s="7656"/>
      <c r="B1011" s="7665"/>
      <c r="C1011" s="7747"/>
      <c r="D1011" s="4952">
        <v>65000000</v>
      </c>
      <c r="E1011" s="5011">
        <v>7.0000000000000007E-2</v>
      </c>
      <c r="F1011" s="4952">
        <f>D1011*E1011</f>
        <v>4550000</v>
      </c>
      <c r="G1011" s="5472">
        <v>200000000</v>
      </c>
      <c r="H1011" s="5472" t="s">
        <v>3116</v>
      </c>
      <c r="I1011" s="7482" t="s">
        <v>7151</v>
      </c>
      <c r="J1011" s="7482"/>
      <c r="K1011" s="848"/>
      <c r="L1011" s="5097"/>
      <c r="M1011" s="386"/>
      <c r="N1011" s="386"/>
      <c r="O1011" s="386"/>
      <c r="P1011" s="386"/>
      <c r="Q1011" s="386"/>
    </row>
    <row r="1012" spans="1:17" ht="30" customHeight="1" x14ac:dyDescent="0.2">
      <c r="A1012" s="7655"/>
      <c r="B1012" s="7653"/>
      <c r="C1012" s="7724"/>
      <c r="D1012" s="5293">
        <v>1000000000</v>
      </c>
      <c r="E1012" s="896">
        <v>7.0000000000000007E-2</v>
      </c>
      <c r="F1012" s="5293">
        <f>D1012*E1012</f>
        <v>70000000</v>
      </c>
      <c r="G1012" s="5271"/>
      <c r="H1012" s="5271"/>
      <c r="I1012" s="5281"/>
      <c r="J1012" s="7"/>
      <c r="K1012" s="898"/>
      <c r="L1012" s="5284" t="s">
        <v>6919</v>
      </c>
      <c r="M1012" s="386"/>
      <c r="N1012" s="386"/>
      <c r="O1012" s="386"/>
      <c r="P1012" s="386"/>
      <c r="Q1012" s="386"/>
    </row>
    <row r="1013" spans="1:17" ht="30" customHeight="1" x14ac:dyDescent="0.2">
      <c r="A1013" s="5014"/>
      <c r="B1013" s="4968" t="s">
        <v>3071</v>
      </c>
      <c r="C1013" s="4990" t="s">
        <v>889</v>
      </c>
      <c r="D1013" s="4952">
        <v>100000000</v>
      </c>
      <c r="E1013" s="5011">
        <v>0.05</v>
      </c>
      <c r="F1013" s="4952">
        <f t="shared" si="92"/>
        <v>5000000</v>
      </c>
      <c r="G1013" s="4952">
        <v>5000000</v>
      </c>
      <c r="H1013" s="4952" t="s">
        <v>6785</v>
      </c>
      <c r="I1013" s="4999" t="s">
        <v>3966</v>
      </c>
      <c r="J1013" s="4952">
        <f>G1013</f>
        <v>5000000</v>
      </c>
      <c r="K1013" s="5008">
        <f>F1013-J1013</f>
        <v>0</v>
      </c>
      <c r="L1013" s="5039"/>
      <c r="M1013" s="5039"/>
      <c r="N1013" s="5039"/>
      <c r="O1013" s="5039"/>
      <c r="P1013" s="5039"/>
      <c r="Q1013" s="386"/>
    </row>
    <row r="1014" spans="1:17" ht="30" customHeight="1" x14ac:dyDescent="0.2">
      <c r="A1014" s="5014"/>
      <c r="B1014" s="4968" t="s">
        <v>3764</v>
      </c>
      <c r="C1014" s="5016" t="s">
        <v>1107</v>
      </c>
      <c r="D1014" s="4944">
        <v>30000000</v>
      </c>
      <c r="E1014" s="5011">
        <v>7.0000000000000007E-2</v>
      </c>
      <c r="F1014" s="4944">
        <f t="shared" si="92"/>
        <v>2100000</v>
      </c>
      <c r="G1014" s="4944"/>
      <c r="H1014" s="4944"/>
      <c r="I1014" s="4944" t="s">
        <v>4141</v>
      </c>
      <c r="J1014" s="4944">
        <f>G1014</f>
        <v>0</v>
      </c>
      <c r="K1014" s="4948">
        <f>F1014-J1014</f>
        <v>2100000</v>
      </c>
      <c r="L1014" s="5027"/>
      <c r="M1014" s="386"/>
      <c r="N1014" s="386"/>
      <c r="O1014" s="386"/>
      <c r="P1014" s="386"/>
      <c r="Q1014" s="386"/>
    </row>
    <row r="1015" spans="1:17" ht="30" customHeight="1" x14ac:dyDescent="0.2">
      <c r="A1015" s="7879"/>
      <c r="B1015" s="7717" t="s">
        <v>3954</v>
      </c>
      <c r="C1015" s="7873" t="s">
        <v>989</v>
      </c>
      <c r="D1015" s="4944">
        <v>300000000</v>
      </c>
      <c r="E1015" s="5011">
        <v>0.05</v>
      </c>
      <c r="F1015" s="4944">
        <f>D1015*E1015</f>
        <v>15000000</v>
      </c>
      <c r="G1015" s="7482"/>
      <c r="H1015" s="7482"/>
      <c r="I1015" s="7482" t="s">
        <v>4147</v>
      </c>
      <c r="J1015" s="7482">
        <f>G1015</f>
        <v>0</v>
      </c>
      <c r="K1015" s="7499"/>
      <c r="L1015" s="5051" t="s">
        <v>6121</v>
      </c>
      <c r="M1015" s="386"/>
      <c r="N1015" s="386"/>
      <c r="O1015" s="386"/>
      <c r="P1015" s="386"/>
      <c r="Q1015" s="386"/>
    </row>
    <row r="1016" spans="1:17" ht="30" customHeight="1" x14ac:dyDescent="0.2">
      <c r="A1016" s="7879"/>
      <c r="B1016" s="7717"/>
      <c r="C1016" s="7873"/>
      <c r="D1016" s="4952">
        <v>60000000</v>
      </c>
      <c r="E1016" s="4962">
        <v>0.05</v>
      </c>
      <c r="F1016" s="4952">
        <f>D1016*E1016</f>
        <v>3000000</v>
      </c>
      <c r="G1016" s="7482"/>
      <c r="H1016" s="7482"/>
      <c r="I1016" s="7482"/>
      <c r="J1016" s="7482"/>
      <c r="K1016" s="7499"/>
      <c r="L1016" s="5028" t="s">
        <v>6122</v>
      </c>
      <c r="M1016" s="386"/>
      <c r="N1016" s="386"/>
      <c r="O1016" s="386"/>
      <c r="P1016" s="386"/>
      <c r="Q1016" s="386"/>
    </row>
    <row r="1017" spans="1:17" ht="30" customHeight="1" x14ac:dyDescent="0.2">
      <c r="A1017" s="1028"/>
      <c r="B1017" s="19" t="s">
        <v>3159</v>
      </c>
      <c r="C1017" s="5016" t="s">
        <v>989</v>
      </c>
      <c r="D1017" s="4952">
        <v>50000000</v>
      </c>
      <c r="E1017" s="4962">
        <v>0.05</v>
      </c>
      <c r="F1017" s="4952">
        <f>D1017*E1017</f>
        <v>2500000</v>
      </c>
      <c r="G1017" s="4944"/>
      <c r="H1017" s="4944"/>
      <c r="I1017" s="4944" t="s">
        <v>5854</v>
      </c>
      <c r="J1017" s="4944">
        <f>G1017</f>
        <v>0</v>
      </c>
      <c r="K1017" s="5008">
        <f>F1017-J1017</f>
        <v>2500000</v>
      </c>
      <c r="L1017" s="5028"/>
      <c r="M1017" s="386"/>
      <c r="N1017" s="386"/>
      <c r="O1017" s="386"/>
      <c r="P1017" s="386"/>
      <c r="Q1017" s="386"/>
    </row>
    <row r="1018" spans="1:17" ht="30" customHeight="1" x14ac:dyDescent="0.2">
      <c r="A1018" s="7654"/>
      <c r="B1018" s="7661" t="s">
        <v>3164</v>
      </c>
      <c r="C1018" s="7723" t="s">
        <v>3323</v>
      </c>
      <c r="D1018" s="5919">
        <v>400000000</v>
      </c>
      <c r="E1018" s="5926">
        <v>0.04</v>
      </c>
      <c r="F1018" s="5919">
        <f>D1018*E1018</f>
        <v>16000000</v>
      </c>
      <c r="G1018" s="4944">
        <v>16000000</v>
      </c>
      <c r="H1018" s="4944" t="s">
        <v>6773</v>
      </c>
      <c r="I1018" s="4944" t="s">
        <v>4844</v>
      </c>
      <c r="J1018" s="4944">
        <f>G1018</f>
        <v>16000000</v>
      </c>
      <c r="K1018" s="5008">
        <f>F1018-J1018</f>
        <v>0</v>
      </c>
      <c r="L1018" s="5039" t="s">
        <v>5482</v>
      </c>
      <c r="M1018" s="386"/>
      <c r="N1018" s="386"/>
      <c r="O1018" s="386"/>
      <c r="P1018" s="386"/>
      <c r="Q1018" s="386"/>
    </row>
    <row r="1019" spans="1:17" ht="30" customHeight="1" x14ac:dyDescent="0.2">
      <c r="A1019" s="7655"/>
      <c r="B1019" s="7663"/>
      <c r="C1019" s="7724"/>
      <c r="D1019" s="5919">
        <v>16000000</v>
      </c>
      <c r="E1019" s="5926">
        <v>0.04</v>
      </c>
      <c r="F1019" s="5919">
        <f>D1019*E1019</f>
        <v>640000</v>
      </c>
      <c r="G1019" s="7732" t="s">
        <v>6812</v>
      </c>
      <c r="H1019" s="7733"/>
      <c r="I1019" s="7733"/>
      <c r="J1019" s="7734"/>
      <c r="K1019" s="5927"/>
      <c r="L1019" s="5933"/>
      <c r="M1019" s="386"/>
      <c r="N1019" s="386"/>
      <c r="O1019" s="386"/>
      <c r="P1019" s="386"/>
      <c r="Q1019" s="386"/>
    </row>
    <row r="1020" spans="1:17" ht="30" customHeight="1" x14ac:dyDescent="0.2">
      <c r="A1020" s="7654"/>
      <c r="B1020" s="7661" t="s">
        <v>825</v>
      </c>
      <c r="C1020" s="7703"/>
      <c r="D1020" s="8390" t="s">
        <v>4935</v>
      </c>
      <c r="E1020" s="8391"/>
      <c r="F1020" s="8392"/>
      <c r="G1020" s="4944"/>
      <c r="H1020" s="4944"/>
      <c r="I1020" s="4944" t="s">
        <v>855</v>
      </c>
      <c r="J1020" s="7563">
        <f>G1020+G1021</f>
        <v>0</v>
      </c>
      <c r="K1020" s="7816">
        <f>100000000-J1020</f>
        <v>100000000</v>
      </c>
      <c r="L1020" s="5039"/>
      <c r="M1020" s="386"/>
      <c r="N1020" s="386"/>
      <c r="O1020" s="386"/>
      <c r="P1020" s="386"/>
      <c r="Q1020" s="386"/>
    </row>
    <row r="1021" spans="1:17" ht="30" customHeight="1" x14ac:dyDescent="0.2">
      <c r="A1021" s="7656"/>
      <c r="B1021" s="7662"/>
      <c r="C1021" s="7704"/>
      <c r="D1021" s="8393"/>
      <c r="E1021" s="8394"/>
      <c r="F1021" s="8395"/>
      <c r="G1021" s="4952"/>
      <c r="H1021" s="4952"/>
      <c r="I1021" s="4952" t="s">
        <v>855</v>
      </c>
      <c r="J1021" s="7564"/>
      <c r="K1021" s="7817"/>
      <c r="L1021" s="5039" t="s">
        <v>4628</v>
      </c>
      <c r="M1021" s="386"/>
      <c r="N1021" s="386"/>
      <c r="O1021" s="386"/>
      <c r="P1021" s="386"/>
      <c r="Q1021" s="386"/>
    </row>
    <row r="1022" spans="1:17" ht="30" customHeight="1" x14ac:dyDescent="0.2">
      <c r="A1022" s="7655"/>
      <c r="B1022" s="7663"/>
      <c r="C1022" s="7705"/>
      <c r="D1022" s="5016"/>
      <c r="E1022" s="5016"/>
      <c r="F1022" s="5016"/>
      <c r="G1022" s="4952"/>
      <c r="H1022" s="4952"/>
      <c r="I1022" s="4952"/>
      <c r="J1022" s="4952"/>
      <c r="K1022" s="5008"/>
      <c r="L1022" s="5039"/>
      <c r="M1022" s="386"/>
      <c r="N1022" s="386"/>
      <c r="O1022" s="386"/>
      <c r="P1022" s="386"/>
      <c r="Q1022" s="386"/>
    </row>
    <row r="1023" spans="1:17" ht="30" customHeight="1" x14ac:dyDescent="0.2">
      <c r="A1023" s="399"/>
      <c r="B1023" s="4973" t="s">
        <v>3215</v>
      </c>
      <c r="C1023" s="4990" t="s">
        <v>3216</v>
      </c>
      <c r="D1023" s="4952">
        <v>120000000</v>
      </c>
      <c r="E1023" s="4962">
        <v>0.04</v>
      </c>
      <c r="F1023" s="4952">
        <f>D1023*E1023</f>
        <v>4800000</v>
      </c>
      <c r="G1023" s="4952"/>
      <c r="H1023" s="4952"/>
      <c r="I1023" s="4952" t="s">
        <v>1946</v>
      </c>
      <c r="J1023" s="4952">
        <f t="shared" ref="J1023:J1040" si="93">G1023</f>
        <v>0</v>
      </c>
      <c r="K1023" s="5008">
        <f t="shared" ref="K1023:K1031" si="94">F1023-J1023</f>
        <v>4800000</v>
      </c>
      <c r="L1023" s="5039"/>
      <c r="M1023" s="386"/>
      <c r="N1023" s="386"/>
      <c r="O1023" s="386"/>
      <c r="P1023" s="386"/>
      <c r="Q1023" s="386"/>
    </row>
    <row r="1024" spans="1:17" ht="30" customHeight="1" x14ac:dyDescent="0.2">
      <c r="A1024" s="146"/>
      <c r="B1024" s="4973" t="s">
        <v>3218</v>
      </c>
      <c r="C1024" s="4990" t="s">
        <v>3219</v>
      </c>
      <c r="D1024" s="4952">
        <v>100000000</v>
      </c>
      <c r="E1024" s="5011">
        <v>0.05</v>
      </c>
      <c r="F1024" s="4952">
        <f>D1024*E1024</f>
        <v>5000000</v>
      </c>
      <c r="G1024" s="4944">
        <v>5000000</v>
      </c>
      <c r="H1024" s="4944" t="s">
        <v>6773</v>
      </c>
      <c r="I1024" s="4944" t="s">
        <v>3520</v>
      </c>
      <c r="J1024" s="4944">
        <f t="shared" si="93"/>
        <v>5000000</v>
      </c>
      <c r="K1024" s="5008">
        <f t="shared" si="94"/>
        <v>0</v>
      </c>
      <c r="L1024" s="5039"/>
      <c r="M1024" s="386"/>
      <c r="N1024" s="386"/>
      <c r="O1024" s="386"/>
      <c r="P1024" s="386"/>
      <c r="Q1024" s="386"/>
    </row>
    <row r="1025" spans="1:17" ht="30" customHeight="1" x14ac:dyDescent="0.2">
      <c r="A1025" s="146"/>
      <c r="B1025" s="4973" t="s">
        <v>3221</v>
      </c>
      <c r="C1025" s="4990" t="s">
        <v>1796</v>
      </c>
      <c r="D1025" s="4952">
        <v>50000000</v>
      </c>
      <c r="E1025" s="5011">
        <v>0.05</v>
      </c>
      <c r="F1025" s="4952">
        <f>D1025*E1025</f>
        <v>2500000</v>
      </c>
      <c r="G1025" s="4944"/>
      <c r="H1025" s="4944"/>
      <c r="I1025" s="4944" t="s">
        <v>4777</v>
      </c>
      <c r="J1025" s="4944">
        <f t="shared" si="93"/>
        <v>0</v>
      </c>
      <c r="K1025" s="5008">
        <f t="shared" si="94"/>
        <v>2500000</v>
      </c>
      <c r="L1025" s="5039"/>
      <c r="M1025" s="386"/>
      <c r="N1025" s="386"/>
      <c r="O1025" s="386"/>
      <c r="P1025" s="386"/>
      <c r="Q1025" s="386"/>
    </row>
    <row r="1026" spans="1:17" ht="30" customHeight="1" x14ac:dyDescent="0.2">
      <c r="A1026" s="146"/>
      <c r="B1026" s="4969" t="s">
        <v>3224</v>
      </c>
      <c r="C1026" s="5029"/>
      <c r="D1026" s="5029"/>
      <c r="E1026" s="2519"/>
      <c r="F1026" s="4965"/>
      <c r="G1026" s="4953"/>
      <c r="H1026" s="4953"/>
      <c r="I1026" s="4953" t="s">
        <v>3226</v>
      </c>
      <c r="J1026" s="4953">
        <f t="shared" si="93"/>
        <v>0</v>
      </c>
      <c r="K1026" s="5009">
        <f t="shared" si="94"/>
        <v>0</v>
      </c>
      <c r="L1026" s="2177" t="s">
        <v>4831</v>
      </c>
      <c r="M1026" s="386"/>
      <c r="N1026" s="386"/>
      <c r="O1026" s="386"/>
      <c r="P1026" s="386"/>
      <c r="Q1026" s="386"/>
    </row>
    <row r="1027" spans="1:17" ht="30" customHeight="1" x14ac:dyDescent="0.2">
      <c r="A1027" s="146"/>
      <c r="B1027" s="4973" t="s">
        <v>3257</v>
      </c>
      <c r="C1027" s="4990" t="s">
        <v>402</v>
      </c>
      <c r="D1027" s="4952">
        <v>40000000</v>
      </c>
      <c r="E1027" s="5011">
        <v>0.05</v>
      </c>
      <c r="F1027" s="4952">
        <f>D1027*E1027</f>
        <v>2000000</v>
      </c>
      <c r="G1027" s="4944">
        <v>2000000</v>
      </c>
      <c r="H1027" s="4944" t="s">
        <v>6828</v>
      </c>
      <c r="I1027" s="4944" t="s">
        <v>5536</v>
      </c>
      <c r="J1027" s="4944">
        <f t="shared" si="93"/>
        <v>2000000</v>
      </c>
      <c r="K1027" s="2352">
        <f t="shared" si="94"/>
        <v>0</v>
      </c>
      <c r="L1027" s="5039"/>
      <c r="M1027" s="386"/>
      <c r="N1027" s="386"/>
      <c r="O1027" s="386"/>
      <c r="P1027" s="386"/>
      <c r="Q1027" s="386"/>
    </row>
    <row r="1028" spans="1:17" ht="30" customHeight="1" x14ac:dyDescent="0.2">
      <c r="A1028" s="5014"/>
      <c r="B1028" s="4980" t="s">
        <v>3293</v>
      </c>
      <c r="C1028" s="5016" t="s">
        <v>1796</v>
      </c>
      <c r="D1028" s="4944">
        <v>15000000</v>
      </c>
      <c r="E1028" s="5011">
        <v>0.05</v>
      </c>
      <c r="F1028" s="4944">
        <f>D1028*E1028</f>
        <v>750000</v>
      </c>
      <c r="G1028" s="4944"/>
      <c r="H1028" s="4944"/>
      <c r="I1028" s="4944" t="s">
        <v>5416</v>
      </c>
      <c r="J1028" s="4944">
        <f t="shared" si="93"/>
        <v>0</v>
      </c>
      <c r="K1028" s="5008">
        <f t="shared" si="94"/>
        <v>750000</v>
      </c>
      <c r="L1028" s="5039" t="s">
        <v>6123</v>
      </c>
      <c r="M1028" s="386"/>
      <c r="N1028" s="386"/>
      <c r="O1028" s="386"/>
      <c r="P1028" s="386"/>
      <c r="Q1028" s="386"/>
    </row>
    <row r="1029" spans="1:17" ht="30" customHeight="1" x14ac:dyDescent="0.2">
      <c r="A1029" s="5102"/>
      <c r="B1029" s="5092" t="s">
        <v>3296</v>
      </c>
      <c r="C1029" s="5101" t="s">
        <v>942</v>
      </c>
      <c r="D1029" s="5089">
        <v>150000000</v>
      </c>
      <c r="E1029" s="5100">
        <v>0.05</v>
      </c>
      <c r="F1029" s="5089">
        <f>D1029*E1029</f>
        <v>7500000</v>
      </c>
      <c r="G1029" s="5089"/>
      <c r="H1029" s="5089"/>
      <c r="I1029" s="5089" t="s">
        <v>4263</v>
      </c>
      <c r="J1029" s="5089">
        <f t="shared" si="93"/>
        <v>0</v>
      </c>
      <c r="K1029" s="5090">
        <f t="shared" si="94"/>
        <v>7500000</v>
      </c>
      <c r="L1029" s="5039"/>
      <c r="M1029" s="386"/>
      <c r="N1029" s="386"/>
      <c r="O1029" s="386"/>
      <c r="P1029" s="386"/>
      <c r="Q1029" s="386"/>
    </row>
    <row r="1030" spans="1:17" ht="30" customHeight="1" x14ac:dyDescent="0.2">
      <c r="A1030" s="5014"/>
      <c r="B1030" s="4980" t="s">
        <v>3308</v>
      </c>
      <c r="C1030" s="4990" t="s">
        <v>3323</v>
      </c>
      <c r="D1030" s="4952">
        <v>20000000</v>
      </c>
      <c r="E1030" s="5011">
        <v>0.05</v>
      </c>
      <c r="F1030" s="4952">
        <f>D1030*E1030</f>
        <v>1000000</v>
      </c>
      <c r="G1030" s="4944">
        <v>1000000</v>
      </c>
      <c r="H1030" s="4944" t="s">
        <v>6773</v>
      </c>
      <c r="I1030" s="4944" t="s">
        <v>6136</v>
      </c>
      <c r="J1030" s="4944">
        <f t="shared" si="93"/>
        <v>1000000</v>
      </c>
      <c r="K1030" s="5008">
        <f t="shared" si="94"/>
        <v>0</v>
      </c>
      <c r="L1030" s="5039" t="s">
        <v>5482</v>
      </c>
      <c r="M1030" s="386"/>
      <c r="N1030" s="386"/>
      <c r="O1030" s="386"/>
      <c r="P1030" s="386"/>
      <c r="Q1030" s="386"/>
    </row>
    <row r="1031" spans="1:17" ht="30" customHeight="1" x14ac:dyDescent="0.2">
      <c r="A1031" s="5014"/>
      <c r="B1031" s="4980" t="s">
        <v>4305</v>
      </c>
      <c r="C1031" s="4990" t="s">
        <v>889</v>
      </c>
      <c r="D1031" s="4952">
        <v>200000000</v>
      </c>
      <c r="E1031" s="5011">
        <v>0.05</v>
      </c>
      <c r="F1031" s="4952">
        <f>D1031*E1031</f>
        <v>10000000</v>
      </c>
      <c r="G1031" s="4944">
        <v>10000000</v>
      </c>
      <c r="H1031" s="4944" t="s">
        <v>6789</v>
      </c>
      <c r="I1031" s="4944" t="s">
        <v>4306</v>
      </c>
      <c r="J1031" s="4944">
        <f t="shared" si="93"/>
        <v>10000000</v>
      </c>
      <c r="K1031" s="5008">
        <f t="shared" si="94"/>
        <v>0</v>
      </c>
      <c r="L1031" s="5039"/>
      <c r="M1031" s="386"/>
      <c r="N1031" s="386"/>
      <c r="O1031" s="386"/>
      <c r="P1031" s="386"/>
      <c r="Q1031" s="386"/>
    </row>
    <row r="1032" spans="1:17" ht="30" customHeight="1" x14ac:dyDescent="0.2">
      <c r="A1032" s="5014"/>
      <c r="B1032" s="4980" t="s">
        <v>3332</v>
      </c>
      <c r="C1032" s="4973"/>
      <c r="D1032" s="5029"/>
      <c r="E1032" s="2519"/>
      <c r="F1032" s="4965"/>
      <c r="G1032" s="4944"/>
      <c r="H1032" s="4944"/>
      <c r="I1032" s="4944"/>
      <c r="J1032" s="4944">
        <f t="shared" si="93"/>
        <v>0</v>
      </c>
      <c r="K1032" s="5009"/>
      <c r="L1032" s="5039"/>
      <c r="M1032" s="386"/>
      <c r="N1032" s="386"/>
      <c r="O1032" s="386"/>
      <c r="P1032" s="386"/>
      <c r="Q1032" s="386"/>
    </row>
    <row r="1033" spans="1:17" ht="30" customHeight="1" x14ac:dyDescent="0.2">
      <c r="A1033" s="7654"/>
      <c r="B1033" s="7652" t="s">
        <v>3395</v>
      </c>
      <c r="C1033" s="7723" t="s">
        <v>889</v>
      </c>
      <c r="D1033" s="7563">
        <v>1000000000</v>
      </c>
      <c r="E1033" s="7659">
        <v>6.5000000000000002E-2</v>
      </c>
      <c r="F1033" s="7563">
        <f>D1033*E1033</f>
        <v>65000000</v>
      </c>
      <c r="G1033" s="5089">
        <v>15000000</v>
      </c>
      <c r="H1033" s="5089" t="s">
        <v>3788</v>
      </c>
      <c r="I1033" s="5089" t="s">
        <v>3940</v>
      </c>
      <c r="J1033" s="7563">
        <f>G1033+G1034</f>
        <v>65000000</v>
      </c>
      <c r="K1033" s="7816">
        <f>F1033-J1033</f>
        <v>0</v>
      </c>
      <c r="L1033" s="2700"/>
      <c r="M1033" s="386"/>
      <c r="N1033" s="386"/>
      <c r="O1033" s="386"/>
      <c r="P1033" s="386"/>
      <c r="Q1033" s="386"/>
    </row>
    <row r="1034" spans="1:17" ht="30" customHeight="1" x14ac:dyDescent="0.2">
      <c r="A1034" s="7656"/>
      <c r="B1034" s="7665"/>
      <c r="C1034" s="7724"/>
      <c r="D1034" s="7564"/>
      <c r="E1034" s="7660"/>
      <c r="F1034" s="7564"/>
      <c r="G1034" s="5091">
        <v>50000000</v>
      </c>
      <c r="H1034" s="5091" t="s">
        <v>6773</v>
      </c>
      <c r="I1034" s="5094" t="s">
        <v>3940</v>
      </c>
      <c r="J1034" s="7564"/>
      <c r="K1034" s="7817"/>
      <c r="L1034" s="2700"/>
      <c r="M1034" s="386"/>
      <c r="N1034" s="386"/>
      <c r="O1034" s="386"/>
      <c r="P1034" s="386"/>
      <c r="Q1034" s="386"/>
    </row>
    <row r="1035" spans="1:17" ht="30" customHeight="1" x14ac:dyDescent="0.2">
      <c r="A1035" s="7656"/>
      <c r="B1035" s="7665"/>
      <c r="C1035" s="7723" t="s">
        <v>1298</v>
      </c>
      <c r="D1035" s="7563">
        <v>500000000</v>
      </c>
      <c r="E1035" s="7659">
        <v>6.5000000000000002E-2</v>
      </c>
      <c r="F1035" s="7563">
        <f>D1035*E1035</f>
        <v>32500000</v>
      </c>
      <c r="G1035" s="5539">
        <v>5000000</v>
      </c>
      <c r="H1035" s="5539" t="s">
        <v>7198</v>
      </c>
      <c r="I1035" s="5548" t="s">
        <v>7218</v>
      </c>
      <c r="J1035" s="7563">
        <f>G1035+G1036+G1037+G1038+G1039</f>
        <v>32500000</v>
      </c>
      <c r="K1035" s="7816">
        <f>F1035-J1035</f>
        <v>0</v>
      </c>
      <c r="L1035" s="2700"/>
      <c r="M1035" s="386"/>
      <c r="N1035" s="386"/>
      <c r="O1035" s="386"/>
      <c r="P1035" s="386"/>
      <c r="Q1035" s="386"/>
    </row>
    <row r="1036" spans="1:17" ht="30" customHeight="1" x14ac:dyDescent="0.2">
      <c r="A1036" s="7656"/>
      <c r="B1036" s="7665"/>
      <c r="C1036" s="7747"/>
      <c r="D1036" s="7586"/>
      <c r="E1036" s="7676"/>
      <c r="F1036" s="7586"/>
      <c r="G1036" s="5539">
        <v>4000000</v>
      </c>
      <c r="H1036" s="5539" t="s">
        <v>7198</v>
      </c>
      <c r="I1036" s="5548" t="s">
        <v>7218</v>
      </c>
      <c r="J1036" s="7586"/>
      <c r="K1036" s="7882"/>
      <c r="L1036" s="2700"/>
      <c r="M1036" s="386"/>
      <c r="N1036" s="386"/>
      <c r="O1036" s="386"/>
      <c r="P1036" s="386"/>
      <c r="Q1036" s="386"/>
    </row>
    <row r="1037" spans="1:17" ht="30" customHeight="1" x14ac:dyDescent="0.2">
      <c r="A1037" s="7656"/>
      <c r="B1037" s="7665"/>
      <c r="C1037" s="7747"/>
      <c r="D1037" s="7586"/>
      <c r="E1037" s="7676"/>
      <c r="F1037" s="7586"/>
      <c r="G1037" s="5539">
        <v>500000</v>
      </c>
      <c r="H1037" s="5539" t="s">
        <v>7198</v>
      </c>
      <c r="I1037" s="5548" t="s">
        <v>7218</v>
      </c>
      <c r="J1037" s="7586"/>
      <c r="K1037" s="7882"/>
      <c r="L1037" s="2700"/>
      <c r="M1037" s="386"/>
      <c r="N1037" s="386"/>
      <c r="O1037" s="386"/>
      <c r="P1037" s="386"/>
      <c r="Q1037" s="386"/>
    </row>
    <row r="1038" spans="1:17" ht="30" customHeight="1" x14ac:dyDescent="0.2">
      <c r="A1038" s="7656"/>
      <c r="B1038" s="7665"/>
      <c r="C1038" s="7747"/>
      <c r="D1038" s="7586"/>
      <c r="E1038" s="7676"/>
      <c r="F1038" s="7586"/>
      <c r="G1038" s="5539">
        <v>10000000</v>
      </c>
      <c r="H1038" s="5539" t="s">
        <v>7210</v>
      </c>
      <c r="I1038" s="5548" t="s">
        <v>7218</v>
      </c>
      <c r="J1038" s="7586"/>
      <c r="K1038" s="7882"/>
      <c r="L1038" s="2700"/>
      <c r="M1038" s="386"/>
      <c r="N1038" s="386"/>
      <c r="O1038" s="386"/>
      <c r="P1038" s="386"/>
      <c r="Q1038" s="386"/>
    </row>
    <row r="1039" spans="1:17" ht="30" customHeight="1" x14ac:dyDescent="0.2">
      <c r="A1039" s="7656"/>
      <c r="B1039" s="7665"/>
      <c r="C1039" s="7724"/>
      <c r="D1039" s="7564"/>
      <c r="E1039" s="7660"/>
      <c r="F1039" s="7564"/>
      <c r="G1039" s="4952">
        <v>13000000</v>
      </c>
      <c r="H1039" s="4952" t="s">
        <v>7298</v>
      </c>
      <c r="I1039" s="4999" t="s">
        <v>7301</v>
      </c>
      <c r="J1039" s="7564"/>
      <c r="K1039" s="7817"/>
      <c r="L1039" s="5039"/>
      <c r="M1039" s="386"/>
      <c r="N1039" s="386"/>
      <c r="O1039" s="386"/>
      <c r="P1039" s="386"/>
      <c r="Q1039" s="386"/>
    </row>
    <row r="1040" spans="1:17" ht="30" customHeight="1" x14ac:dyDescent="0.2">
      <c r="A1040" s="7654"/>
      <c r="B1040" s="7661" t="s">
        <v>3514</v>
      </c>
      <c r="C1040" s="7723" t="s">
        <v>1652</v>
      </c>
      <c r="D1040" s="4993">
        <v>120000000</v>
      </c>
      <c r="E1040" s="2348">
        <v>0.05</v>
      </c>
      <c r="F1040" s="4993">
        <f>D1040*E1040</f>
        <v>6000000</v>
      </c>
      <c r="G1040" s="7759">
        <v>7500000</v>
      </c>
      <c r="H1040" s="7759" t="s">
        <v>6785</v>
      </c>
      <c r="I1040" s="7759" t="s">
        <v>678</v>
      </c>
      <c r="J1040" s="7759">
        <f t="shared" si="93"/>
        <v>7500000</v>
      </c>
      <c r="K1040" s="8417">
        <f>(F1040+F1041)-J1040</f>
        <v>0</v>
      </c>
      <c r="L1040" s="5039"/>
      <c r="M1040" s="386"/>
      <c r="N1040" s="386"/>
      <c r="O1040" s="386"/>
      <c r="P1040" s="386"/>
      <c r="Q1040" s="386"/>
    </row>
    <row r="1041" spans="1:17" ht="30" customHeight="1" x14ac:dyDescent="0.2">
      <c r="A1041" s="7655"/>
      <c r="B1041" s="7663"/>
      <c r="C1041" s="7724"/>
      <c r="D1041" s="3928">
        <v>30000000</v>
      </c>
      <c r="E1041" s="2348">
        <v>0.05</v>
      </c>
      <c r="F1041" s="3928">
        <f>D1041*E1041</f>
        <v>1500000</v>
      </c>
      <c r="G1041" s="7761"/>
      <c r="H1041" s="7761"/>
      <c r="I1041" s="7761"/>
      <c r="J1041" s="7761"/>
      <c r="K1041" s="8418"/>
      <c r="L1041" s="5027" t="s">
        <v>5663</v>
      </c>
      <c r="M1041" s="386"/>
      <c r="N1041" s="386"/>
      <c r="O1041" s="386"/>
      <c r="P1041" s="386"/>
      <c r="Q1041" s="386"/>
    </row>
    <row r="1042" spans="1:17" s="1539" customFormat="1" ht="30" customHeight="1" x14ac:dyDescent="0.2">
      <c r="A1042" s="7654"/>
      <c r="B1042" s="7661" t="s">
        <v>3455</v>
      </c>
      <c r="C1042" s="7723" t="s">
        <v>3483</v>
      </c>
      <c r="D1042" s="4944">
        <v>60000000</v>
      </c>
      <c r="E1042" s="5011">
        <v>0.05</v>
      </c>
      <c r="F1042" s="4944">
        <f t="shared" ref="F1042:F1051" si="95">D1042*E1042</f>
        <v>3000000</v>
      </c>
      <c r="G1042" s="7991" t="s">
        <v>6206</v>
      </c>
      <c r="H1042" s="7992"/>
      <c r="I1042" s="7992"/>
      <c r="J1042" s="7993"/>
      <c r="K1042" s="4948"/>
      <c r="L1042" s="5039"/>
      <c r="M1042" s="387"/>
      <c r="N1042" s="387"/>
      <c r="O1042" s="387"/>
      <c r="P1042" s="387"/>
      <c r="Q1042" s="387"/>
    </row>
    <row r="1043" spans="1:17" s="184" customFormat="1" ht="30" customHeight="1" x14ac:dyDescent="0.2">
      <c r="A1043" s="7656"/>
      <c r="B1043" s="7662"/>
      <c r="C1043" s="7747"/>
      <c r="D1043" s="4950">
        <v>3000000</v>
      </c>
      <c r="E1043" s="4960">
        <v>0.05</v>
      </c>
      <c r="F1043" s="4950">
        <f t="shared" si="95"/>
        <v>150000</v>
      </c>
      <c r="G1043" s="7997"/>
      <c r="H1043" s="7998"/>
      <c r="I1043" s="7998"/>
      <c r="J1043" s="7999"/>
      <c r="K1043" s="4948"/>
      <c r="L1043" s="7811" t="s">
        <v>6351</v>
      </c>
      <c r="M1043" s="386"/>
      <c r="N1043" s="386"/>
      <c r="O1043" s="386"/>
      <c r="P1043" s="386"/>
      <c r="Q1043" s="386"/>
    </row>
    <row r="1044" spans="1:17" s="184" customFormat="1" ht="30" customHeight="1" x14ac:dyDescent="0.2">
      <c r="A1044" s="7656"/>
      <c r="B1044" s="7662"/>
      <c r="C1044" s="7747"/>
      <c r="D1044" s="4950">
        <v>17000000</v>
      </c>
      <c r="E1044" s="4960">
        <v>0.05</v>
      </c>
      <c r="F1044" s="4950">
        <f t="shared" si="95"/>
        <v>850000</v>
      </c>
      <c r="G1044" s="7732" t="s">
        <v>6350</v>
      </c>
      <c r="H1044" s="7733"/>
      <c r="I1044" s="7733"/>
      <c r="J1044" s="7734"/>
      <c r="K1044" s="4948"/>
      <c r="L1044" s="7812"/>
      <c r="M1044" s="386"/>
      <c r="N1044" s="386"/>
      <c r="O1044" s="386"/>
      <c r="P1044" s="386"/>
      <c r="Q1044" s="386"/>
    </row>
    <row r="1045" spans="1:17" s="184" customFormat="1" ht="30" customHeight="1" x14ac:dyDescent="0.2">
      <c r="A1045" s="7655"/>
      <c r="B1045" s="7663"/>
      <c r="C1045" s="7724"/>
      <c r="D1045" s="5340">
        <v>80000000</v>
      </c>
      <c r="E1045" s="5341">
        <v>0.05</v>
      </c>
      <c r="F1045" s="5340">
        <f t="shared" si="95"/>
        <v>4000000</v>
      </c>
      <c r="G1045" s="5324">
        <v>4000000</v>
      </c>
      <c r="H1045" s="5324" t="s">
        <v>4612</v>
      </c>
      <c r="I1045" s="5324" t="s">
        <v>3992</v>
      </c>
      <c r="J1045" s="5324">
        <f>G1045</f>
        <v>4000000</v>
      </c>
      <c r="K1045" s="5325">
        <f>F1045-J1045</f>
        <v>0</v>
      </c>
      <c r="L1045" s="5332"/>
      <c r="M1045" s="386"/>
      <c r="N1045" s="386"/>
      <c r="O1045" s="386"/>
      <c r="P1045" s="386"/>
      <c r="Q1045" s="386"/>
    </row>
    <row r="1046" spans="1:17" s="184" customFormat="1" ht="30" customHeight="1" x14ac:dyDescent="0.2">
      <c r="A1046" s="7654"/>
      <c r="B1046" s="7661" t="s">
        <v>3459</v>
      </c>
      <c r="C1046" s="7723" t="s">
        <v>262</v>
      </c>
      <c r="D1046" s="7563">
        <v>2050000000</v>
      </c>
      <c r="E1046" s="7659">
        <v>0.08</v>
      </c>
      <c r="F1046" s="7563">
        <f>D1046*E1046</f>
        <v>164000000</v>
      </c>
      <c r="G1046" s="7732" t="s">
        <v>5456</v>
      </c>
      <c r="H1046" s="7733"/>
      <c r="I1046" s="7733"/>
      <c r="J1046" s="7734"/>
      <c r="K1046" s="4948"/>
      <c r="L1046" s="5039" t="s">
        <v>6281</v>
      </c>
      <c r="M1046" s="386"/>
      <c r="N1046" s="386"/>
      <c r="O1046" s="386"/>
      <c r="P1046" s="386"/>
      <c r="Q1046" s="386"/>
    </row>
    <row r="1047" spans="1:17" s="184" customFormat="1" ht="30" customHeight="1" x14ac:dyDescent="0.2">
      <c r="A1047" s="7656"/>
      <c r="B1047" s="7662"/>
      <c r="C1047" s="7747"/>
      <c r="D1047" s="7586"/>
      <c r="E1047" s="7676"/>
      <c r="F1047" s="7586"/>
      <c r="G1047" s="7732" t="s">
        <v>6364</v>
      </c>
      <c r="H1047" s="7733"/>
      <c r="I1047" s="7733"/>
      <c r="J1047" s="7734"/>
      <c r="K1047" s="4948"/>
      <c r="L1047" s="5039"/>
      <c r="M1047" s="386"/>
      <c r="N1047" s="386"/>
      <c r="O1047" s="386"/>
      <c r="P1047" s="386"/>
      <c r="Q1047" s="386"/>
    </row>
    <row r="1048" spans="1:17" s="184" customFormat="1" ht="30" customHeight="1" x14ac:dyDescent="0.2">
      <c r="A1048" s="7655"/>
      <c r="B1048" s="7663"/>
      <c r="C1048" s="7724"/>
      <c r="D1048" s="7564"/>
      <c r="E1048" s="7660"/>
      <c r="F1048" s="7564"/>
      <c r="G1048" s="7732" t="s">
        <v>6282</v>
      </c>
      <c r="H1048" s="7733"/>
      <c r="I1048" s="7733"/>
      <c r="J1048" s="7734"/>
      <c r="K1048" s="4948"/>
      <c r="L1048" s="5039" t="s">
        <v>6283</v>
      </c>
      <c r="M1048" s="386"/>
      <c r="N1048" s="386"/>
      <c r="O1048" s="386"/>
      <c r="P1048" s="386"/>
      <c r="Q1048" s="386"/>
    </row>
    <row r="1049" spans="1:17" s="184" customFormat="1" ht="30" customHeight="1" x14ac:dyDescent="0.2">
      <c r="A1049" s="5014"/>
      <c r="B1049" s="4980" t="s">
        <v>3480</v>
      </c>
      <c r="C1049" s="5016" t="s">
        <v>372</v>
      </c>
      <c r="D1049" s="4944">
        <v>85000000</v>
      </c>
      <c r="E1049" s="5011">
        <v>7.0000000000000007E-2</v>
      </c>
      <c r="F1049" s="4944">
        <f t="shared" si="95"/>
        <v>5950000.0000000009</v>
      </c>
      <c r="G1049" s="4944">
        <v>5950000</v>
      </c>
      <c r="H1049" s="4944" t="s">
        <v>7010</v>
      </c>
      <c r="I1049" s="4944" t="s">
        <v>4448</v>
      </c>
      <c r="J1049" s="4944">
        <f t="shared" ref="J1049:J1054" si="96">G1049</f>
        <v>5950000</v>
      </c>
      <c r="K1049" s="4948">
        <f t="shared" ref="K1049:K1051" si="97">F1049-J1049</f>
        <v>0</v>
      </c>
      <c r="L1049" s="5039"/>
      <c r="M1049" s="386"/>
      <c r="N1049" s="386"/>
      <c r="O1049" s="386"/>
      <c r="P1049" s="386"/>
      <c r="Q1049" s="386"/>
    </row>
    <row r="1050" spans="1:17" s="184" customFormat="1" ht="30" customHeight="1" x14ac:dyDescent="0.2">
      <c r="A1050" s="5014"/>
      <c r="B1050" s="4980" t="s">
        <v>3482</v>
      </c>
      <c r="C1050" s="5016" t="s">
        <v>3483</v>
      </c>
      <c r="D1050" s="4944">
        <v>70000000</v>
      </c>
      <c r="E1050" s="5011">
        <v>0.05</v>
      </c>
      <c r="F1050" s="4944">
        <f t="shared" si="95"/>
        <v>3500000</v>
      </c>
      <c r="G1050" s="4944">
        <v>3500000</v>
      </c>
      <c r="H1050" s="4944" t="s">
        <v>6895</v>
      </c>
      <c r="I1050" s="4944" t="s">
        <v>4428</v>
      </c>
      <c r="J1050" s="4944">
        <f t="shared" si="96"/>
        <v>3500000</v>
      </c>
      <c r="K1050" s="4948">
        <f t="shared" si="97"/>
        <v>0</v>
      </c>
      <c r="L1050" s="5039"/>
      <c r="M1050" s="386"/>
      <c r="N1050" s="386"/>
      <c r="O1050" s="386"/>
      <c r="P1050" s="386"/>
      <c r="Q1050" s="386"/>
    </row>
    <row r="1051" spans="1:17" s="184" customFormat="1" ht="30" customHeight="1" x14ac:dyDescent="0.2">
      <c r="A1051" s="5014"/>
      <c r="B1051" s="4980" t="s">
        <v>3979</v>
      </c>
      <c r="C1051" s="5016" t="s">
        <v>889</v>
      </c>
      <c r="D1051" s="4944">
        <v>20000000</v>
      </c>
      <c r="E1051" s="5011">
        <v>0.05</v>
      </c>
      <c r="F1051" s="4944">
        <f t="shared" si="95"/>
        <v>1000000</v>
      </c>
      <c r="G1051" s="4944">
        <v>1000000</v>
      </c>
      <c r="H1051" s="4944" t="s">
        <v>7013</v>
      </c>
      <c r="I1051" s="4944" t="s">
        <v>2494</v>
      </c>
      <c r="J1051" s="4944">
        <f t="shared" si="96"/>
        <v>1000000</v>
      </c>
      <c r="K1051" s="4948">
        <f t="shared" si="97"/>
        <v>0</v>
      </c>
      <c r="L1051" s="5039" t="s">
        <v>6234</v>
      </c>
      <c r="M1051" s="386"/>
      <c r="N1051" s="386"/>
      <c r="O1051" s="386"/>
      <c r="P1051" s="386"/>
      <c r="Q1051" s="386"/>
    </row>
    <row r="1052" spans="1:17" s="1659" customFormat="1" ht="30" customHeight="1" x14ac:dyDescent="0.2">
      <c r="A1052" s="5033"/>
      <c r="B1052" s="4968" t="s">
        <v>3554</v>
      </c>
      <c r="C1052" s="4990" t="s">
        <v>372</v>
      </c>
      <c r="D1052" s="4944">
        <v>10000000</v>
      </c>
      <c r="E1052" s="5011">
        <v>0.05</v>
      </c>
      <c r="F1052" s="4944">
        <f>D1052*E1052</f>
        <v>500000</v>
      </c>
      <c r="G1052" s="4952">
        <v>500000</v>
      </c>
      <c r="H1052" s="4952" t="s">
        <v>7010</v>
      </c>
      <c r="I1052" s="4999" t="s">
        <v>3555</v>
      </c>
      <c r="J1052" s="4952">
        <f t="shared" si="96"/>
        <v>500000</v>
      </c>
      <c r="K1052" s="4952">
        <f>F1052-J1052</f>
        <v>0</v>
      </c>
      <c r="L1052" s="5028"/>
      <c r="M1052" s="386"/>
      <c r="N1052" s="386"/>
      <c r="O1052" s="386"/>
      <c r="P1052" s="386"/>
      <c r="Q1052" s="386"/>
    </row>
    <row r="1053" spans="1:17" s="1659" customFormat="1" ht="30" customHeight="1" x14ac:dyDescent="0.2">
      <c r="A1053" s="5005"/>
      <c r="B1053" s="5017" t="s">
        <v>4442</v>
      </c>
      <c r="C1053" s="4989" t="s">
        <v>4223</v>
      </c>
      <c r="D1053" s="4944">
        <v>100000000</v>
      </c>
      <c r="E1053" s="5011">
        <v>0.05</v>
      </c>
      <c r="F1053" s="4944">
        <f>D1053*E1053</f>
        <v>5000000</v>
      </c>
      <c r="G1053" s="4944">
        <v>5000000</v>
      </c>
      <c r="H1053" s="4944" t="s">
        <v>7010</v>
      </c>
      <c r="I1053" s="4944" t="s">
        <v>6388</v>
      </c>
      <c r="J1053" s="4950">
        <f t="shared" si="96"/>
        <v>5000000</v>
      </c>
      <c r="K1053" s="4950">
        <f>F1053-J1053</f>
        <v>0</v>
      </c>
      <c r="L1053" s="847"/>
      <c r="M1053" s="386"/>
      <c r="N1053" s="386"/>
      <c r="O1053" s="386"/>
      <c r="P1053" s="386"/>
      <c r="Q1053" s="386"/>
    </row>
    <row r="1054" spans="1:17" s="1659" customFormat="1" ht="30" customHeight="1" x14ac:dyDescent="0.2">
      <c r="A1054" s="5033"/>
      <c r="B1054" s="4968" t="s">
        <v>3566</v>
      </c>
      <c r="C1054" s="5016"/>
      <c r="D1054" s="4944">
        <v>6000000</v>
      </c>
      <c r="E1054" s="5011">
        <f>F1054/D1054</f>
        <v>0.05</v>
      </c>
      <c r="F1054" s="4944">
        <v>300000</v>
      </c>
      <c r="G1054" s="4944"/>
      <c r="H1054" s="4944"/>
      <c r="I1054" s="4944" t="s">
        <v>3567</v>
      </c>
      <c r="J1054" s="4944">
        <f t="shared" si="96"/>
        <v>0</v>
      </c>
      <c r="K1054" s="4944">
        <f>F1054-J1054</f>
        <v>300000</v>
      </c>
      <c r="L1054" s="2177" t="s">
        <v>3568</v>
      </c>
      <c r="M1054" s="386"/>
      <c r="N1054" s="386"/>
      <c r="O1054" s="386"/>
      <c r="P1054" s="386"/>
      <c r="Q1054" s="386"/>
    </row>
    <row r="1055" spans="1:17" s="1659" customFormat="1" ht="30" customHeight="1" x14ac:dyDescent="0.2">
      <c r="A1055" s="7703"/>
      <c r="B1055" s="7652" t="s">
        <v>3590</v>
      </c>
      <c r="C1055" s="7723" t="s">
        <v>2278</v>
      </c>
      <c r="D1055" s="7563">
        <v>870000000</v>
      </c>
      <c r="E1055" s="7659">
        <v>7.0999999999999994E-2</v>
      </c>
      <c r="F1055" s="7563">
        <v>62000000</v>
      </c>
      <c r="G1055" s="7563">
        <v>50000000</v>
      </c>
      <c r="H1055" s="7563" t="s">
        <v>7096</v>
      </c>
      <c r="I1055" s="7563" t="s">
        <v>7098</v>
      </c>
      <c r="J1055" s="7563" t="e">
        <f>G1055+G1058</f>
        <v>#VALUE!</v>
      </c>
      <c r="K1055" s="7563" t="e">
        <f>F1059-J1055</f>
        <v>#VALUE!</v>
      </c>
      <c r="L1055" s="5028" t="s">
        <v>6974</v>
      </c>
      <c r="M1055" s="386"/>
      <c r="N1055" s="386"/>
      <c r="O1055" s="386"/>
      <c r="P1055" s="386"/>
      <c r="Q1055" s="386"/>
    </row>
    <row r="1056" spans="1:17" s="1659" customFormat="1" ht="30" customHeight="1" x14ac:dyDescent="0.2">
      <c r="A1056" s="7704"/>
      <c r="B1056" s="7665"/>
      <c r="C1056" s="7747"/>
      <c r="D1056" s="7586"/>
      <c r="E1056" s="7676"/>
      <c r="F1056" s="7586"/>
      <c r="G1056" s="7586"/>
      <c r="H1056" s="7586"/>
      <c r="I1056" s="7586"/>
      <c r="J1056" s="7586"/>
      <c r="K1056" s="7586"/>
      <c r="L1056" s="5028" t="s">
        <v>6975</v>
      </c>
      <c r="M1056" s="386"/>
      <c r="N1056" s="386"/>
      <c r="O1056" s="386"/>
      <c r="P1056" s="386"/>
      <c r="Q1056" s="386"/>
    </row>
    <row r="1057" spans="1:17" s="1659" customFormat="1" ht="30" customHeight="1" x14ac:dyDescent="0.2">
      <c r="A1057" s="7704"/>
      <c r="B1057" s="7665"/>
      <c r="C1057" s="7747"/>
      <c r="D1057" s="4950">
        <v>150000000</v>
      </c>
      <c r="E1057" s="4960">
        <v>7.0999999999999994E-2</v>
      </c>
      <c r="F1057" s="4944">
        <f>D1057*E1057</f>
        <v>10649999.999999998</v>
      </c>
      <c r="G1057" s="7564"/>
      <c r="H1057" s="7564"/>
      <c r="I1057" s="7564"/>
      <c r="J1057" s="7586"/>
      <c r="K1057" s="7586"/>
      <c r="L1057" s="5332" t="s">
        <v>6976</v>
      </c>
      <c r="M1057" s="386"/>
      <c r="N1057" s="386"/>
      <c r="O1057" s="386"/>
      <c r="P1057" s="386"/>
      <c r="Q1057" s="386"/>
    </row>
    <row r="1058" spans="1:17" s="1659" customFormat="1" ht="30" customHeight="1" x14ac:dyDescent="0.2">
      <c r="A1058" s="7704"/>
      <c r="B1058" s="7665"/>
      <c r="C1058" s="7747"/>
      <c r="D1058" s="4950">
        <f>D1055+D1057+1000000</f>
        <v>1021000000</v>
      </c>
      <c r="E1058" s="4960">
        <v>7.0999999999999994E-2</v>
      </c>
      <c r="F1058" s="4944">
        <v>72500000</v>
      </c>
      <c r="G1058" s="7494" t="s">
        <v>7152</v>
      </c>
      <c r="H1058" s="7495"/>
      <c r="I1058" s="7768"/>
      <c r="J1058" s="7586"/>
      <c r="K1058" s="7586"/>
      <c r="L1058" s="5028"/>
      <c r="M1058" s="386"/>
      <c r="N1058" s="386"/>
      <c r="O1058" s="386"/>
      <c r="P1058" s="386"/>
      <c r="Q1058" s="386"/>
    </row>
    <row r="1059" spans="1:17" s="1659" customFormat="1" ht="30" customHeight="1" x14ac:dyDescent="0.2">
      <c r="A1059" s="7705"/>
      <c r="B1059" s="7653"/>
      <c r="C1059" s="7724"/>
      <c r="D1059" s="5056">
        <v>1478000000</v>
      </c>
      <c r="E1059" s="5058">
        <v>7.0999999999999994E-2</v>
      </c>
      <c r="F1059" s="5072">
        <v>104500000</v>
      </c>
      <c r="G1059" s="7769"/>
      <c r="H1059" s="7805"/>
      <c r="I1059" s="7770"/>
      <c r="J1059" s="7564"/>
      <c r="K1059" s="7564"/>
      <c r="L1059" s="5069"/>
      <c r="M1059" s="386"/>
      <c r="N1059" s="386"/>
      <c r="O1059" s="386"/>
      <c r="P1059" s="386"/>
      <c r="Q1059" s="386"/>
    </row>
    <row r="1060" spans="1:17" s="1659" customFormat="1" ht="30" customHeight="1" x14ac:dyDescent="0.2">
      <c r="A1060" s="19"/>
      <c r="B1060" s="4968" t="s">
        <v>3597</v>
      </c>
      <c r="C1060" s="5016" t="s">
        <v>889</v>
      </c>
      <c r="D1060" s="4944">
        <v>200000000</v>
      </c>
      <c r="E1060" s="5011">
        <v>0.05</v>
      </c>
      <c r="F1060" s="4944">
        <f>D1060*E1060</f>
        <v>10000000</v>
      </c>
      <c r="G1060" s="4944">
        <v>10000000</v>
      </c>
      <c r="H1060" s="4944" t="s">
        <v>6785</v>
      </c>
      <c r="I1060" s="4944" t="s">
        <v>3598</v>
      </c>
      <c r="J1060" s="4944">
        <f>G1060</f>
        <v>10000000</v>
      </c>
      <c r="K1060" s="4944">
        <f>F1060-J1060</f>
        <v>0</v>
      </c>
      <c r="L1060" s="5028"/>
      <c r="M1060" s="386"/>
      <c r="N1060" s="386"/>
      <c r="O1060" s="386"/>
      <c r="P1060" s="386"/>
      <c r="Q1060" s="386"/>
    </row>
    <row r="1061" spans="1:17" s="1659" customFormat="1" ht="30" customHeight="1" x14ac:dyDescent="0.2">
      <c r="A1061" s="7703"/>
      <c r="B1061" s="7652" t="s">
        <v>3612</v>
      </c>
      <c r="C1061" s="7723" t="s">
        <v>2278</v>
      </c>
      <c r="D1061" s="4944">
        <v>100000000</v>
      </c>
      <c r="E1061" s="5011">
        <v>0.05</v>
      </c>
      <c r="F1061" s="4944">
        <f t="shared" ref="F1061:F1069" si="98">D1061*E1061</f>
        <v>5000000</v>
      </c>
      <c r="G1061" s="7732" t="s">
        <v>6812</v>
      </c>
      <c r="H1061" s="7733"/>
      <c r="I1061" s="7733"/>
      <c r="J1061" s="7734"/>
      <c r="K1061" s="4944">
        <f>F1061-J1061</f>
        <v>5000000</v>
      </c>
      <c r="L1061" s="5028" t="s">
        <v>6881</v>
      </c>
      <c r="M1061" s="386"/>
      <c r="N1061" s="386"/>
      <c r="O1061" s="386"/>
      <c r="P1061" s="386"/>
      <c r="Q1061" s="386"/>
    </row>
    <row r="1062" spans="1:17" s="1659" customFormat="1" ht="30" customHeight="1" x14ac:dyDescent="0.2">
      <c r="A1062" s="7705"/>
      <c r="B1062" s="7653"/>
      <c r="C1062" s="7724"/>
      <c r="D1062" s="5206">
        <v>100000000</v>
      </c>
      <c r="E1062" s="5219">
        <v>0.05</v>
      </c>
      <c r="F1062" s="5206">
        <f>D1062*E1062</f>
        <v>5000000</v>
      </c>
      <c r="G1062" s="7732" t="s">
        <v>6875</v>
      </c>
      <c r="H1062" s="7733"/>
      <c r="I1062" s="7733"/>
      <c r="J1062" s="7734"/>
      <c r="K1062" s="5206"/>
      <c r="L1062" s="5215" t="s">
        <v>6879</v>
      </c>
      <c r="M1062" s="386"/>
      <c r="N1062" s="386"/>
      <c r="O1062" s="386"/>
      <c r="P1062" s="386"/>
      <c r="Q1062" s="386"/>
    </row>
    <row r="1063" spans="1:17" s="1659" customFormat="1" ht="30" customHeight="1" x14ac:dyDescent="0.2">
      <c r="A1063" s="5033"/>
      <c r="B1063" s="4968" t="s">
        <v>4055</v>
      </c>
      <c r="C1063" s="5016" t="s">
        <v>2278</v>
      </c>
      <c r="D1063" s="4944">
        <v>200000000</v>
      </c>
      <c r="E1063" s="5011">
        <v>0.05</v>
      </c>
      <c r="F1063" s="4944">
        <f>D1063*E1063</f>
        <v>10000000</v>
      </c>
      <c r="G1063" s="4944">
        <v>10000000</v>
      </c>
      <c r="H1063" s="4944" t="s">
        <v>3116</v>
      </c>
      <c r="I1063" s="4944" t="s">
        <v>6428</v>
      </c>
      <c r="J1063" s="4944">
        <f>G1063</f>
        <v>10000000</v>
      </c>
      <c r="K1063" s="4944">
        <f>F1063-J1063</f>
        <v>0</v>
      </c>
      <c r="L1063" s="1660" t="s">
        <v>4520</v>
      </c>
      <c r="M1063" s="386"/>
      <c r="N1063" s="386"/>
      <c r="O1063" s="386"/>
      <c r="P1063" s="386"/>
      <c r="Q1063" s="386"/>
    </row>
    <row r="1064" spans="1:17" s="1659" customFormat="1" ht="30" customHeight="1" x14ac:dyDescent="0.2">
      <c r="A1064" s="7703"/>
      <c r="B1064" s="7652" t="s">
        <v>3674</v>
      </c>
      <c r="C1064" s="7723" t="s">
        <v>402</v>
      </c>
      <c r="D1064" s="7563">
        <v>1300000000</v>
      </c>
      <c r="E1064" s="7659">
        <v>7.0000000000000007E-2</v>
      </c>
      <c r="F1064" s="7563">
        <f t="shared" si="98"/>
        <v>91000000.000000015</v>
      </c>
      <c r="G1064" s="4944">
        <v>50000000</v>
      </c>
      <c r="H1064" s="5148" t="s">
        <v>6800</v>
      </c>
      <c r="I1064" s="5148" t="s">
        <v>6217</v>
      </c>
      <c r="J1064" s="7563">
        <f>G1064+G1065</f>
        <v>91000000</v>
      </c>
      <c r="K1064" s="7563">
        <f>F1064-J1064</f>
        <v>0</v>
      </c>
      <c r="L1064" s="5028" t="s">
        <v>3709</v>
      </c>
      <c r="M1064" s="386"/>
      <c r="N1064" s="386"/>
      <c r="O1064" s="386"/>
      <c r="P1064" s="386"/>
      <c r="Q1064" s="386"/>
    </row>
    <row r="1065" spans="1:17" s="1659" customFormat="1" ht="30" customHeight="1" x14ac:dyDescent="0.2">
      <c r="A1065" s="7704"/>
      <c r="B1065" s="7665"/>
      <c r="C1065" s="7747"/>
      <c r="D1065" s="7564"/>
      <c r="E1065" s="7660"/>
      <c r="F1065" s="7564"/>
      <c r="G1065" s="4944">
        <v>41000000</v>
      </c>
      <c r="H1065" s="5148" t="s">
        <v>6895</v>
      </c>
      <c r="I1065" s="5148" t="s">
        <v>6896</v>
      </c>
      <c r="J1065" s="7564"/>
      <c r="K1065" s="7564"/>
      <c r="L1065" s="5028"/>
      <c r="M1065" s="386"/>
      <c r="N1065" s="386"/>
      <c r="O1065" s="386"/>
      <c r="P1065" s="386"/>
      <c r="Q1065" s="386"/>
    </row>
    <row r="1066" spans="1:17" s="1659" customFormat="1" ht="30" customHeight="1" x14ac:dyDescent="0.2">
      <c r="A1066" s="7705"/>
      <c r="B1066" s="7653"/>
      <c r="C1066" s="7724"/>
      <c r="D1066" s="5304">
        <v>500000000</v>
      </c>
      <c r="E1066" s="5306"/>
      <c r="F1066" s="5304"/>
      <c r="G1066" s="5302"/>
      <c r="H1066" s="5302"/>
      <c r="I1066" s="5302"/>
      <c r="J1066" s="5304"/>
      <c r="K1066" s="5304"/>
      <c r="L1066" s="5310" t="s">
        <v>7167</v>
      </c>
      <c r="M1066" s="386"/>
      <c r="N1066" s="386"/>
      <c r="O1066" s="386"/>
      <c r="P1066" s="386"/>
      <c r="Q1066" s="386"/>
    </row>
    <row r="1067" spans="1:17" s="1659" customFormat="1" ht="30" customHeight="1" x14ac:dyDescent="0.2">
      <c r="A1067" s="5033"/>
      <c r="B1067" s="4968" t="s">
        <v>3707</v>
      </c>
      <c r="C1067" s="5016" t="s">
        <v>3390</v>
      </c>
      <c r="D1067" s="4944">
        <v>10000000</v>
      </c>
      <c r="E1067" s="5011">
        <v>0.05</v>
      </c>
      <c r="F1067" s="4944">
        <f t="shared" si="98"/>
        <v>500000</v>
      </c>
      <c r="G1067" s="4944"/>
      <c r="H1067" s="4944"/>
      <c r="I1067" s="4944" t="s">
        <v>6570</v>
      </c>
      <c r="J1067" s="4944">
        <f>G1067</f>
        <v>0</v>
      </c>
      <c r="K1067" s="4944">
        <f>F1067-J1067</f>
        <v>500000</v>
      </c>
      <c r="L1067" s="5028"/>
      <c r="M1067" s="386"/>
      <c r="N1067" s="386"/>
      <c r="O1067" s="386"/>
      <c r="P1067" s="386"/>
      <c r="Q1067" s="386"/>
    </row>
    <row r="1068" spans="1:17" s="1659" customFormat="1" ht="30" customHeight="1" x14ac:dyDescent="0.2">
      <c r="A1068" s="7703"/>
      <c r="B1068" s="7652" t="s">
        <v>3710</v>
      </c>
      <c r="C1068" s="7723" t="s">
        <v>262</v>
      </c>
      <c r="D1068" s="4944">
        <v>58000000</v>
      </c>
      <c r="E1068" s="5011">
        <v>0.05</v>
      </c>
      <c r="F1068" s="4944">
        <f t="shared" si="98"/>
        <v>2900000</v>
      </c>
      <c r="G1068" s="4944"/>
      <c r="H1068" s="4944"/>
      <c r="I1068" s="4944"/>
      <c r="J1068" s="4944"/>
      <c r="K1068" s="4944"/>
      <c r="L1068" s="5028"/>
      <c r="M1068" s="386"/>
      <c r="N1068" s="386"/>
      <c r="O1068" s="386"/>
      <c r="P1068" s="386"/>
      <c r="Q1068" s="386"/>
    </row>
    <row r="1069" spans="1:17" s="1659" customFormat="1" ht="30" customHeight="1" x14ac:dyDescent="0.2">
      <c r="A1069" s="7704"/>
      <c r="B1069" s="7665"/>
      <c r="C1069" s="7747"/>
      <c r="D1069" s="4944">
        <v>39500000</v>
      </c>
      <c r="E1069" s="5011">
        <v>0.05</v>
      </c>
      <c r="F1069" s="4944">
        <f t="shared" si="98"/>
        <v>1975000</v>
      </c>
      <c r="G1069" s="4944"/>
      <c r="H1069" s="4944"/>
      <c r="I1069" s="4944"/>
      <c r="J1069" s="4944"/>
      <c r="K1069" s="4944"/>
      <c r="L1069" s="5028" t="s">
        <v>5276</v>
      </c>
      <c r="M1069" s="386"/>
      <c r="N1069" s="386"/>
      <c r="O1069" s="386"/>
      <c r="P1069" s="386"/>
      <c r="Q1069" s="386"/>
    </row>
    <row r="1070" spans="1:17" s="1659" customFormat="1" ht="30" customHeight="1" x14ac:dyDescent="0.2">
      <c r="A1070" s="7705"/>
      <c r="B1070" s="7653"/>
      <c r="C1070" s="7724"/>
      <c r="D1070" s="5072">
        <f>D1068+D1069</f>
        <v>97500000</v>
      </c>
      <c r="E1070" s="896"/>
      <c r="F1070" s="5072"/>
      <c r="G1070" s="4944"/>
      <c r="H1070" s="4944"/>
      <c r="I1070" s="4944"/>
      <c r="J1070" s="4944"/>
      <c r="K1070" s="4944"/>
      <c r="L1070" s="5028"/>
      <c r="M1070" s="386"/>
      <c r="N1070" s="386"/>
      <c r="O1070" s="386"/>
      <c r="P1070" s="386"/>
      <c r="Q1070" s="386"/>
    </row>
    <row r="1071" spans="1:17" s="1659" customFormat="1" ht="30" customHeight="1" x14ac:dyDescent="0.2">
      <c r="A1071" s="5033"/>
      <c r="B1071" s="4968" t="s">
        <v>3742</v>
      </c>
      <c r="C1071" s="5016" t="s">
        <v>1300</v>
      </c>
      <c r="D1071" s="4944">
        <v>100000000</v>
      </c>
      <c r="E1071" s="5011">
        <v>0.05</v>
      </c>
      <c r="F1071" s="4944">
        <f>D1071*E1071</f>
        <v>5000000</v>
      </c>
      <c r="G1071" s="4944">
        <v>5000000</v>
      </c>
      <c r="H1071" s="4944" t="s">
        <v>7065</v>
      </c>
      <c r="I1071" s="4944" t="s">
        <v>4776</v>
      </c>
      <c r="J1071" s="4944">
        <f>G1071</f>
        <v>5000000</v>
      </c>
      <c r="K1071" s="4944">
        <f>F1071-J1071</f>
        <v>0</v>
      </c>
      <c r="L1071" s="5028"/>
      <c r="M1071" s="386"/>
      <c r="N1071" s="386"/>
      <c r="O1071" s="386"/>
      <c r="P1071" s="386"/>
      <c r="Q1071" s="386"/>
    </row>
    <row r="1072" spans="1:17" s="1659" customFormat="1" ht="30" customHeight="1" x14ac:dyDescent="0.2">
      <c r="A1072" s="5033"/>
      <c r="B1072" s="4968" t="s">
        <v>3743</v>
      </c>
      <c r="C1072" s="5016" t="s">
        <v>1300</v>
      </c>
      <c r="D1072" s="4952">
        <v>96000000</v>
      </c>
      <c r="E1072" s="4962">
        <v>0.05</v>
      </c>
      <c r="F1072" s="4952">
        <v>5000000</v>
      </c>
      <c r="G1072" s="4944">
        <v>5000000</v>
      </c>
      <c r="H1072" s="4944" t="s">
        <v>7080</v>
      </c>
      <c r="I1072" s="4944" t="s">
        <v>3525</v>
      </c>
      <c r="J1072" s="4944">
        <f>G1072</f>
        <v>5000000</v>
      </c>
      <c r="K1072" s="4944">
        <f>F1072-J1072</f>
        <v>0</v>
      </c>
      <c r="L1072" s="5028"/>
      <c r="M1072" s="386"/>
      <c r="N1072" s="386"/>
      <c r="O1072" s="386"/>
      <c r="P1072" s="386"/>
      <c r="Q1072" s="386"/>
    </row>
    <row r="1073" spans="1:17" s="1659" customFormat="1" ht="30" customHeight="1" x14ac:dyDescent="0.2">
      <c r="A1073" s="5033"/>
      <c r="B1073" s="4968" t="s">
        <v>3869</v>
      </c>
      <c r="C1073" s="5016" t="s">
        <v>3219</v>
      </c>
      <c r="D1073" s="4952">
        <v>100000000</v>
      </c>
      <c r="E1073" s="4962">
        <v>0.06</v>
      </c>
      <c r="F1073" s="4952">
        <f>D1073*E1073</f>
        <v>6000000</v>
      </c>
      <c r="G1073" s="4952"/>
      <c r="H1073" s="4952"/>
      <c r="I1073" s="4999"/>
      <c r="J1073" s="4952"/>
      <c r="K1073" s="4952"/>
      <c r="L1073" s="5028" t="s">
        <v>3872</v>
      </c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033"/>
      <c r="B1074" s="4968" t="s">
        <v>3871</v>
      </c>
      <c r="C1074" s="5016" t="s">
        <v>3390</v>
      </c>
      <c r="D1074" s="4944">
        <v>50000000</v>
      </c>
      <c r="E1074" s="4962">
        <v>0.05</v>
      </c>
      <c r="F1074" s="4952">
        <f>D1074*E1074</f>
        <v>2500000</v>
      </c>
      <c r="G1074" s="4952"/>
      <c r="H1074" s="4952"/>
      <c r="I1074" s="4999"/>
      <c r="J1074" s="4952"/>
      <c r="K1074" s="4952"/>
      <c r="L1074" s="5028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033"/>
      <c r="B1075" s="4968" t="s">
        <v>3890</v>
      </c>
      <c r="C1075" s="5016"/>
      <c r="D1075" s="4953"/>
      <c r="E1075" s="4953"/>
      <c r="F1075" s="4953"/>
      <c r="G1075" s="4952"/>
      <c r="H1075" s="4952"/>
      <c r="I1075" s="4999" t="s">
        <v>3891</v>
      </c>
      <c r="J1075" s="4952">
        <f>G1075</f>
        <v>0</v>
      </c>
      <c r="K1075" s="4952">
        <f>F1075-J1075</f>
        <v>0</v>
      </c>
      <c r="L1075" s="5028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7703"/>
      <c r="B1076" s="7652" t="s">
        <v>3895</v>
      </c>
      <c r="C1076" s="7723" t="s">
        <v>4105</v>
      </c>
      <c r="D1076" s="4944">
        <v>120000000</v>
      </c>
      <c r="E1076" s="4962">
        <v>0.05</v>
      </c>
      <c r="F1076" s="4952">
        <f>D1076*E1076</f>
        <v>6000000</v>
      </c>
      <c r="G1076" s="7563"/>
      <c r="H1076" s="7563"/>
      <c r="I1076" s="7563" t="s">
        <v>4313</v>
      </c>
      <c r="J1076" s="7563">
        <f>G1076</f>
        <v>0</v>
      </c>
      <c r="K1076" s="7563">
        <f>(F1076+F1077)-J1076</f>
        <v>8100000</v>
      </c>
      <c r="L1076" s="7811"/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7704"/>
      <c r="B1077" s="7665"/>
      <c r="C1077" s="7747"/>
      <c r="D1077" s="4952">
        <v>30000000</v>
      </c>
      <c r="E1077" s="4962">
        <v>7.0000000000000007E-2</v>
      </c>
      <c r="F1077" s="4952">
        <f>D1077*E1077</f>
        <v>2100000</v>
      </c>
      <c r="G1077" s="7564"/>
      <c r="H1077" s="7564"/>
      <c r="I1077" s="7564"/>
      <c r="J1077" s="7564"/>
      <c r="K1077" s="7564"/>
      <c r="L1077" s="7812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7704"/>
      <c r="B1078" s="7665"/>
      <c r="C1078" s="7747"/>
      <c r="D1078" s="4944">
        <v>120000000</v>
      </c>
      <c r="E1078" s="4962">
        <v>0.05</v>
      </c>
      <c r="F1078" s="4952">
        <f>D1078*E1078</f>
        <v>6000000</v>
      </c>
      <c r="G1078" s="7563"/>
      <c r="H1078" s="7563"/>
      <c r="I1078" s="7563" t="s">
        <v>4313</v>
      </c>
      <c r="J1078" s="7563">
        <f>G1078</f>
        <v>0</v>
      </c>
      <c r="K1078" s="7563">
        <f>(F1078+F1079)-J1078</f>
        <v>8100000</v>
      </c>
      <c r="L1078" s="7811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7705"/>
      <c r="B1079" s="7653"/>
      <c r="C1079" s="7724"/>
      <c r="D1079" s="4952">
        <v>30000000</v>
      </c>
      <c r="E1079" s="4962">
        <v>7.0000000000000007E-2</v>
      </c>
      <c r="F1079" s="4952">
        <f>D1079*E1079</f>
        <v>2100000</v>
      </c>
      <c r="G1079" s="7564"/>
      <c r="H1079" s="7564"/>
      <c r="I1079" s="7564"/>
      <c r="J1079" s="7564"/>
      <c r="K1079" s="7564"/>
      <c r="L1079" s="7812"/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5033"/>
      <c r="B1080" s="4968" t="s">
        <v>3956</v>
      </c>
      <c r="C1080" s="4990" t="s">
        <v>3390</v>
      </c>
      <c r="D1080" s="4952">
        <v>50000000</v>
      </c>
      <c r="E1080" s="4962">
        <v>0.05</v>
      </c>
      <c r="F1080" s="4952">
        <f>D1080*E1080</f>
        <v>2500000</v>
      </c>
      <c r="G1080" s="4952"/>
      <c r="H1080" s="4952"/>
      <c r="I1080" s="4999" t="s">
        <v>4600</v>
      </c>
      <c r="J1080" s="4952">
        <f>G1080</f>
        <v>0</v>
      </c>
      <c r="K1080" s="4952">
        <f>F1080-J1080</f>
        <v>2500000</v>
      </c>
      <c r="L1080" s="5028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5033"/>
      <c r="B1081" s="4968" t="s">
        <v>3961</v>
      </c>
      <c r="C1081" s="4990"/>
      <c r="D1081" s="4952">
        <f>25000000+10000000+10000000+250000+2500000+1500000+500000</f>
        <v>49750000</v>
      </c>
      <c r="E1081" s="4962"/>
      <c r="F1081" s="4952"/>
      <c r="G1081" s="4952"/>
      <c r="H1081" s="4952"/>
      <c r="I1081" s="4999"/>
      <c r="J1081" s="4952"/>
      <c r="K1081" s="4952"/>
      <c r="L1081" s="5028" t="s">
        <v>3962</v>
      </c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017"/>
      <c r="B1082" s="5017" t="s">
        <v>4902</v>
      </c>
      <c r="C1082" s="5016" t="s">
        <v>942</v>
      </c>
      <c r="D1082" s="4944">
        <v>800000000</v>
      </c>
      <c r="E1082" s="5011">
        <v>6.5000000000000002E-2</v>
      </c>
      <c r="F1082" s="4991">
        <f>D1082*E1082</f>
        <v>52000000</v>
      </c>
      <c r="G1082" s="4944">
        <v>40000000</v>
      </c>
      <c r="H1082" s="4944" t="s">
        <v>6773</v>
      </c>
      <c r="I1082" s="4944" t="s">
        <v>4147</v>
      </c>
      <c r="J1082" s="4944">
        <f>G1082</f>
        <v>40000000</v>
      </c>
      <c r="K1082" s="4944">
        <f>52000000-12000000-J1082</f>
        <v>0</v>
      </c>
      <c r="L1082" s="5069" t="s">
        <v>5482</v>
      </c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703"/>
      <c r="B1083" s="7652" t="s">
        <v>3964</v>
      </c>
      <c r="C1083" s="7747" t="s">
        <v>4223</v>
      </c>
      <c r="D1083" s="4952">
        <v>58000000</v>
      </c>
      <c r="E1083" s="4962">
        <v>0.05</v>
      </c>
      <c r="F1083" s="4952">
        <f>D1083*E1083</f>
        <v>2900000</v>
      </c>
      <c r="G1083" s="7586">
        <v>4900000</v>
      </c>
      <c r="H1083" s="7586" t="s">
        <v>7020</v>
      </c>
      <c r="I1083" s="7586" t="s">
        <v>5535</v>
      </c>
      <c r="J1083" s="7586">
        <f>G1083</f>
        <v>4900000</v>
      </c>
      <c r="K1083" s="7586">
        <f>(F1083+F1084)-J1083</f>
        <v>0</v>
      </c>
      <c r="L1083" s="5028"/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705"/>
      <c r="B1084" s="7653"/>
      <c r="C1084" s="7724"/>
      <c r="D1084" s="4952">
        <v>40000000</v>
      </c>
      <c r="E1084" s="4962">
        <v>0.05</v>
      </c>
      <c r="F1084" s="4952">
        <f>D1084*E1084</f>
        <v>2000000</v>
      </c>
      <c r="G1084" s="7564"/>
      <c r="H1084" s="7564"/>
      <c r="I1084" s="7564"/>
      <c r="J1084" s="7564"/>
      <c r="K1084" s="7564"/>
      <c r="L1084" s="5028" t="s">
        <v>5285</v>
      </c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703"/>
      <c r="B1085" s="7652" t="s">
        <v>896</v>
      </c>
      <c r="C1085" s="7723"/>
      <c r="D1085" s="4952">
        <v>130000000</v>
      </c>
      <c r="E1085" s="4962">
        <v>0.05</v>
      </c>
      <c r="F1085" s="4952">
        <f>D1085*E1085</f>
        <v>6500000</v>
      </c>
      <c r="G1085" s="4952">
        <v>6500000</v>
      </c>
      <c r="H1085" s="4952" t="s">
        <v>6785</v>
      </c>
      <c r="I1085" s="4999" t="s">
        <v>4869</v>
      </c>
      <c r="J1085" s="4952">
        <f t="shared" ref="J1085:J1090" si="99">G1085</f>
        <v>6500000</v>
      </c>
      <c r="K1085" s="4952">
        <f>F1085-J1085</f>
        <v>0</v>
      </c>
      <c r="L1085" s="5028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7704"/>
      <c r="B1086" s="7665"/>
      <c r="C1086" s="7747"/>
      <c r="D1086" s="5324">
        <v>342000000</v>
      </c>
      <c r="E1086" s="5328">
        <v>5.5E-2</v>
      </c>
      <c r="F1086" s="5324">
        <v>18800000</v>
      </c>
      <c r="G1086" s="7991" t="s">
        <v>6999</v>
      </c>
      <c r="H1086" s="7992"/>
      <c r="I1086" s="7992"/>
      <c r="J1086" s="7993"/>
      <c r="K1086" s="5326"/>
      <c r="L1086" s="5332" t="s">
        <v>7348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705"/>
      <c r="B1087" s="7653"/>
      <c r="C1087" s="7724"/>
      <c r="D1087" s="7470" t="s">
        <v>7000</v>
      </c>
      <c r="E1087" s="7493"/>
      <c r="F1087" s="7510"/>
      <c r="G1087" s="7997"/>
      <c r="H1087" s="7998"/>
      <c r="I1087" s="7998"/>
      <c r="J1087" s="7999"/>
      <c r="K1087" s="5326"/>
      <c r="L1087" s="5332"/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5033"/>
      <c r="B1088" s="4968" t="s">
        <v>2305</v>
      </c>
      <c r="C1088" s="4990"/>
      <c r="D1088" s="7470" t="s">
        <v>5703</v>
      </c>
      <c r="E1088" s="7493"/>
      <c r="F1088" s="7510"/>
      <c r="G1088" s="4952"/>
      <c r="H1088" s="4952"/>
      <c r="I1088" s="4999" t="s">
        <v>3609</v>
      </c>
      <c r="J1088" s="4952">
        <f t="shared" si="99"/>
        <v>0</v>
      </c>
      <c r="K1088" s="4952"/>
      <c r="L1088" s="5028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5033"/>
      <c r="B1089" s="4968" t="s">
        <v>4014</v>
      </c>
      <c r="C1089" s="4990" t="s">
        <v>4223</v>
      </c>
      <c r="D1089" s="4952">
        <v>100000000</v>
      </c>
      <c r="E1089" s="4962">
        <v>0.06</v>
      </c>
      <c r="F1089" s="4952">
        <f>D1089*E1089</f>
        <v>6000000</v>
      </c>
      <c r="G1089" s="4944">
        <v>6000000</v>
      </c>
      <c r="H1089" s="4944" t="s">
        <v>7010</v>
      </c>
      <c r="I1089" s="4944" t="s">
        <v>5085</v>
      </c>
      <c r="J1089" s="4944">
        <f t="shared" si="99"/>
        <v>6000000</v>
      </c>
      <c r="K1089" s="4952">
        <f>F1089-J1089</f>
        <v>0</v>
      </c>
      <c r="L1089" s="5028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5033"/>
      <c r="B1090" s="4968" t="s">
        <v>4025</v>
      </c>
      <c r="C1090" s="4990" t="s">
        <v>1718</v>
      </c>
      <c r="D1090" s="4952">
        <v>110000000</v>
      </c>
      <c r="E1090" s="4962">
        <v>0.04</v>
      </c>
      <c r="F1090" s="4952">
        <f>D1090*E1090</f>
        <v>4400000</v>
      </c>
      <c r="G1090" s="4952">
        <v>4400000</v>
      </c>
      <c r="H1090" s="4952" t="s">
        <v>6828</v>
      </c>
      <c r="I1090" s="4999" t="s">
        <v>3469</v>
      </c>
      <c r="J1090" s="4952">
        <f t="shared" si="99"/>
        <v>4400000</v>
      </c>
      <c r="K1090" s="4952">
        <f>F1090-J1090</f>
        <v>0</v>
      </c>
      <c r="L1090" s="5028"/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5033"/>
      <c r="B1091" s="5381" t="s">
        <v>1455</v>
      </c>
      <c r="C1091" s="5383"/>
      <c r="D1091" s="5376">
        <v>50000000</v>
      </c>
      <c r="E1091" s="5379">
        <v>0.05</v>
      </c>
      <c r="F1091" s="5376">
        <f>D1091*E1091</f>
        <v>2500000</v>
      </c>
      <c r="G1091" s="5374"/>
      <c r="H1091" s="5374"/>
      <c r="I1091" s="5374"/>
      <c r="J1091" s="5374"/>
      <c r="K1091" s="5376"/>
      <c r="L1091" s="5389"/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703"/>
      <c r="B1092" s="7652" t="s">
        <v>7050</v>
      </c>
      <c r="C1092" s="7723"/>
      <c r="D1092" s="7494" t="s">
        <v>7104</v>
      </c>
      <c r="E1092" s="7495"/>
      <c r="F1092" s="7768"/>
      <c r="G1092" s="5374">
        <v>8000000</v>
      </c>
      <c r="H1092" s="5374" t="s">
        <v>6895</v>
      </c>
      <c r="I1092" s="5374" t="s">
        <v>6907</v>
      </c>
      <c r="J1092" s="7563">
        <f>G1092+G1093+G1094</f>
        <v>30000000</v>
      </c>
      <c r="K1092" s="7482"/>
      <c r="L1092" s="7888" t="s">
        <v>7051</v>
      </c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704"/>
      <c r="B1093" s="7665"/>
      <c r="C1093" s="7747"/>
      <c r="D1093" s="7877"/>
      <c r="E1093" s="7524"/>
      <c r="F1093" s="7878"/>
      <c r="G1093" s="5489">
        <v>10000000</v>
      </c>
      <c r="H1093" s="5489" t="s">
        <v>7168</v>
      </c>
      <c r="I1093" s="5489" t="s">
        <v>3729</v>
      </c>
      <c r="J1093" s="7586"/>
      <c r="K1093" s="7482"/>
      <c r="L1093" s="7888"/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705"/>
      <c r="B1094" s="7653"/>
      <c r="C1094" s="7724"/>
      <c r="D1094" s="7769"/>
      <c r="E1094" s="7805"/>
      <c r="F1094" s="7770"/>
      <c r="G1094" s="5489">
        <v>12000000</v>
      </c>
      <c r="H1094" s="5489" t="s">
        <v>7198</v>
      </c>
      <c r="I1094" s="5489" t="s">
        <v>7199</v>
      </c>
      <c r="J1094" s="7564"/>
      <c r="K1094" s="7482"/>
      <c r="L1094" s="7888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7703"/>
      <c r="B1095" s="7652" t="s">
        <v>4037</v>
      </c>
      <c r="C1095" s="7723"/>
      <c r="D1095" s="4950">
        <v>21000000</v>
      </c>
      <c r="E1095" s="4944"/>
      <c r="F1095" s="4950"/>
      <c r="G1095" s="4950"/>
      <c r="H1095" s="4950"/>
      <c r="I1095" s="4950"/>
      <c r="J1095" s="4950"/>
      <c r="K1095" s="4951"/>
      <c r="L1095" s="5038" t="s">
        <v>4219</v>
      </c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7705"/>
      <c r="B1096" s="7653"/>
      <c r="C1096" s="7724"/>
      <c r="D1096" s="4950">
        <v>520000000</v>
      </c>
      <c r="E1096" s="4952"/>
      <c r="F1096" s="4950"/>
      <c r="G1096" s="4950"/>
      <c r="H1096" s="4950"/>
      <c r="I1096" s="4950"/>
      <c r="J1096" s="4950"/>
      <c r="K1096" s="4951"/>
      <c r="L1096" s="5038" t="s">
        <v>5126</v>
      </c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7703"/>
      <c r="B1097" s="7652" t="s">
        <v>4046</v>
      </c>
      <c r="C1097" s="7723" t="s">
        <v>990</v>
      </c>
      <c r="D1097" s="4944">
        <v>47000000</v>
      </c>
      <c r="E1097" s="4962">
        <v>0.05</v>
      </c>
      <c r="F1097" s="4944">
        <f>D1097*E1097</f>
        <v>2350000</v>
      </c>
      <c r="G1097" s="7563"/>
      <c r="H1097" s="7563"/>
      <c r="I1097" s="7563" t="s">
        <v>4766</v>
      </c>
      <c r="J1097" s="7563">
        <f>G1097</f>
        <v>0</v>
      </c>
      <c r="K1097" s="7563">
        <f>(F1097+F1098+F1099)-J1097</f>
        <v>7000000</v>
      </c>
      <c r="L1097" s="5039"/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7704"/>
      <c r="B1098" s="7665"/>
      <c r="C1098" s="7747"/>
      <c r="D1098" s="4999">
        <v>90000000</v>
      </c>
      <c r="E1098" s="4962">
        <v>0.05</v>
      </c>
      <c r="F1098" s="5000">
        <f>D1098*E1098</f>
        <v>4500000</v>
      </c>
      <c r="G1098" s="7586"/>
      <c r="H1098" s="7586"/>
      <c r="I1098" s="7586"/>
      <c r="J1098" s="7586"/>
      <c r="K1098" s="7586"/>
      <c r="L1098" s="5028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7704"/>
      <c r="B1099" s="7665"/>
      <c r="C1099" s="7747"/>
      <c r="D1099" s="4999">
        <v>3000000</v>
      </c>
      <c r="E1099" s="4962">
        <v>0.05</v>
      </c>
      <c r="F1099" s="5000">
        <f>D1099*E1099</f>
        <v>150000</v>
      </c>
      <c r="G1099" s="7564"/>
      <c r="H1099" s="7564"/>
      <c r="I1099" s="7564"/>
      <c r="J1099" s="7564"/>
      <c r="K1099" s="7564"/>
      <c r="L1099" s="5028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7704"/>
      <c r="B1100" s="7665"/>
      <c r="C1100" s="7747"/>
      <c r="D1100" s="5454">
        <v>10000000</v>
      </c>
      <c r="E1100" s="5451">
        <v>0.05</v>
      </c>
      <c r="F1100" s="5535">
        <f t="shared" ref="F1100:F1101" si="100">D1100*E1100</f>
        <v>500000</v>
      </c>
      <c r="G1100" s="7732" t="s">
        <v>7141</v>
      </c>
      <c r="H1100" s="7733"/>
      <c r="I1100" s="7733"/>
      <c r="J1100" s="7734"/>
      <c r="K1100" s="5449"/>
      <c r="L1100" s="5460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7705"/>
      <c r="B1101" s="7653"/>
      <c r="C1101" s="7724"/>
      <c r="D1101" s="5454">
        <v>10000000</v>
      </c>
      <c r="E1101" s="5451">
        <v>0.05</v>
      </c>
      <c r="F1101" s="5535">
        <f t="shared" si="100"/>
        <v>500000</v>
      </c>
      <c r="G1101" s="7732" t="s">
        <v>7142</v>
      </c>
      <c r="H1101" s="7733"/>
      <c r="I1101" s="7733"/>
      <c r="J1101" s="7734"/>
      <c r="K1101" s="5449"/>
      <c r="L1101" s="5460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5033"/>
      <c r="B1102" s="4956" t="s">
        <v>4079</v>
      </c>
      <c r="C1102" s="4990" t="s">
        <v>1652</v>
      </c>
      <c r="D1102" s="4999">
        <v>100000000</v>
      </c>
      <c r="E1102" s="4962">
        <v>0.05</v>
      </c>
      <c r="F1102" s="5000">
        <f>D1102*E1102</f>
        <v>5000000</v>
      </c>
      <c r="G1102" s="4952">
        <v>5000000</v>
      </c>
      <c r="H1102" s="4952" t="s">
        <v>6792</v>
      </c>
      <c r="I1102" s="4999" t="s">
        <v>5468</v>
      </c>
      <c r="J1102" s="4952">
        <f t="shared" ref="J1102:J1104" si="101">G1102</f>
        <v>5000000</v>
      </c>
      <c r="K1102" s="4952">
        <f>F1102-J1102</f>
        <v>0</v>
      </c>
      <c r="L1102" s="5028" t="s">
        <v>6255</v>
      </c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5033"/>
      <c r="B1103" s="4968" t="s">
        <v>4083</v>
      </c>
      <c r="C1103" s="4990"/>
      <c r="D1103" s="452"/>
      <c r="E1103" s="4975"/>
      <c r="F1103" s="597"/>
      <c r="G1103" s="4952"/>
      <c r="H1103" s="4952"/>
      <c r="I1103" s="937">
        <v>5423044873</v>
      </c>
      <c r="J1103" s="4952">
        <f t="shared" si="101"/>
        <v>0</v>
      </c>
      <c r="K1103" s="4965"/>
      <c r="L1103" s="5028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703"/>
      <c r="B1104" s="7652" t="s">
        <v>4100</v>
      </c>
      <c r="C1104" s="7723" t="s">
        <v>1796</v>
      </c>
      <c r="D1104" s="4944">
        <v>11000000</v>
      </c>
      <c r="E1104" s="5011">
        <v>0.05</v>
      </c>
      <c r="F1104" s="4944">
        <f>D1104*E1104</f>
        <v>550000</v>
      </c>
      <c r="G1104" s="7563"/>
      <c r="H1104" s="7563"/>
      <c r="I1104" s="7563" t="s">
        <v>6025</v>
      </c>
      <c r="J1104" s="7563">
        <f t="shared" si="101"/>
        <v>0</v>
      </c>
      <c r="K1104" s="7563">
        <f>(F1104+F1105)-J1104</f>
        <v>2050000</v>
      </c>
      <c r="L1104" s="5028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705"/>
      <c r="B1105" s="7653"/>
      <c r="C1105" s="7724"/>
      <c r="D1105" s="4999">
        <v>30000000</v>
      </c>
      <c r="E1105" s="4962">
        <v>0.05</v>
      </c>
      <c r="F1105" s="5000">
        <f>D1105*E1105</f>
        <v>1500000</v>
      </c>
      <c r="G1105" s="7564"/>
      <c r="H1105" s="7564"/>
      <c r="I1105" s="7564"/>
      <c r="J1105" s="7564"/>
      <c r="K1105" s="7564"/>
      <c r="L1105" s="5028"/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5033"/>
      <c r="B1106" s="4968" t="s">
        <v>4114</v>
      </c>
      <c r="C1106" s="4990" t="s">
        <v>1172</v>
      </c>
      <c r="D1106" s="4999">
        <v>50000000</v>
      </c>
      <c r="E1106" s="4962">
        <v>0.05</v>
      </c>
      <c r="F1106" s="5000">
        <f>D1106*E1106</f>
        <v>2500000</v>
      </c>
      <c r="G1106" s="4952"/>
      <c r="H1106" s="4952"/>
      <c r="I1106" s="4999"/>
      <c r="J1106" s="4952"/>
      <c r="K1106" s="4952"/>
      <c r="L1106" s="5028"/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5033"/>
      <c r="B1107" s="4968" t="s">
        <v>4115</v>
      </c>
      <c r="C1107" s="4990"/>
      <c r="D1107" s="4999">
        <v>5000000</v>
      </c>
      <c r="E1107" s="4962"/>
      <c r="F1107" s="5000"/>
      <c r="G1107" s="4952"/>
      <c r="H1107" s="4952"/>
      <c r="I1107" s="4999"/>
      <c r="J1107" s="4952"/>
      <c r="K1107" s="4952"/>
      <c r="L1107" s="5028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5033"/>
      <c r="B1108" s="4968" t="s">
        <v>4116</v>
      </c>
      <c r="C1108" s="4990" t="s">
        <v>1172</v>
      </c>
      <c r="D1108" s="4999">
        <v>70000000</v>
      </c>
      <c r="E1108" s="4962">
        <v>0.06</v>
      </c>
      <c r="F1108" s="5000">
        <f>D1108*E1108</f>
        <v>4200000</v>
      </c>
      <c r="G1108" s="4952"/>
      <c r="H1108" s="4952"/>
      <c r="I1108" s="4999"/>
      <c r="J1108" s="4952"/>
      <c r="K1108" s="4952"/>
      <c r="L1108" s="5028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5033"/>
      <c r="B1109" s="4968" t="s">
        <v>4131</v>
      </c>
      <c r="C1109" s="4990"/>
      <c r="D1109" s="4999">
        <v>45000000</v>
      </c>
      <c r="E1109" s="4962">
        <v>0.05</v>
      </c>
      <c r="F1109" s="5000">
        <f>D1109*E1109</f>
        <v>2250000</v>
      </c>
      <c r="G1109" s="4944">
        <v>2250000</v>
      </c>
      <c r="H1109" s="4944" t="s">
        <v>6793</v>
      </c>
      <c r="I1109" s="4944" t="s">
        <v>6794</v>
      </c>
      <c r="J1109" s="4944">
        <f>G1109</f>
        <v>2250000</v>
      </c>
      <c r="K1109" s="4952">
        <f>F1109-J1109</f>
        <v>0</v>
      </c>
      <c r="L1109" s="5028" t="s">
        <v>6228</v>
      </c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703"/>
      <c r="B1110" s="7652" t="s">
        <v>4242</v>
      </c>
      <c r="C1110" s="7723" t="s">
        <v>1299</v>
      </c>
      <c r="D1110" s="7563">
        <v>60000000</v>
      </c>
      <c r="E1110" s="7659">
        <v>0.05</v>
      </c>
      <c r="F1110" s="7563">
        <f>D1110*E1110</f>
        <v>3000000</v>
      </c>
      <c r="G1110" s="5491">
        <v>3000000</v>
      </c>
      <c r="H1110" s="5491" t="s">
        <v>3116</v>
      </c>
      <c r="I1110" s="452" t="s">
        <v>5760</v>
      </c>
      <c r="J1110" s="5491">
        <f>G1110</f>
        <v>3000000</v>
      </c>
      <c r="K1110" s="4952">
        <f>F1110-J1110</f>
        <v>0</v>
      </c>
      <c r="L1110" s="5028" t="s">
        <v>5364</v>
      </c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705"/>
      <c r="B1111" s="7653"/>
      <c r="C1111" s="7724"/>
      <c r="D1111" s="7564"/>
      <c r="E1111" s="7660"/>
      <c r="F1111" s="7564"/>
      <c r="G1111" s="5490">
        <v>3000000</v>
      </c>
      <c r="H1111" s="5490" t="s">
        <v>7168</v>
      </c>
      <c r="I1111" s="5493" t="s">
        <v>5175</v>
      </c>
      <c r="J1111" s="5490">
        <f>G1111</f>
        <v>3000000</v>
      </c>
      <c r="K1111" s="5490">
        <f>F1110-J1111</f>
        <v>0</v>
      </c>
      <c r="L1111" s="2020" t="s">
        <v>7173</v>
      </c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5033"/>
      <c r="B1112" s="4968" t="s">
        <v>4139</v>
      </c>
      <c r="C1112" s="4990"/>
      <c r="D1112" s="4999">
        <v>10000000</v>
      </c>
      <c r="E1112" s="4962"/>
      <c r="F1112" s="5000"/>
      <c r="G1112" s="4952"/>
      <c r="H1112" s="4952"/>
      <c r="I1112" s="4999"/>
      <c r="J1112" s="4952"/>
      <c r="K1112" s="4952"/>
      <c r="L1112" s="7732"/>
      <c r="M1112" s="7733"/>
      <c r="N1112" s="7733"/>
      <c r="O1112" s="7734"/>
      <c r="P1112" s="386"/>
      <c r="Q1112" s="386"/>
    </row>
    <row r="1113" spans="1:17" s="1659" customFormat="1" ht="30" customHeight="1" x14ac:dyDescent="0.2">
      <c r="A1113" s="5033"/>
      <c r="B1113" s="4968" t="s">
        <v>4142</v>
      </c>
      <c r="C1113" s="5016"/>
      <c r="D1113" s="4944">
        <v>200000000</v>
      </c>
      <c r="E1113" s="5011">
        <v>7.0000000000000007E-2</v>
      </c>
      <c r="F1113" s="4944">
        <f>D1113*E1113</f>
        <v>14000000.000000002</v>
      </c>
      <c r="G1113" s="4999">
        <v>2500000</v>
      </c>
      <c r="H1113" s="4962" t="s">
        <v>2474</v>
      </c>
      <c r="I1113" s="5000" t="s">
        <v>7250</v>
      </c>
      <c r="J1113" s="4999">
        <f>G1113</f>
        <v>2500000</v>
      </c>
      <c r="K1113" s="4952">
        <f>F1113-J1113</f>
        <v>11500000.000000002</v>
      </c>
      <c r="L1113" s="7732"/>
      <c r="M1113" s="7733"/>
      <c r="N1113" s="7733"/>
      <c r="O1113" s="7734"/>
      <c r="P1113" s="386"/>
      <c r="Q1113" s="386"/>
    </row>
    <row r="1114" spans="1:17" s="1659" customFormat="1" ht="30" customHeight="1" x14ac:dyDescent="0.2">
      <c r="A1114" s="5033"/>
      <c r="B1114" s="5078" t="s">
        <v>4155</v>
      </c>
      <c r="C1114" s="4990"/>
      <c r="D1114" s="452"/>
      <c r="E1114" s="4975"/>
      <c r="F1114" s="597"/>
      <c r="G1114" s="4952"/>
      <c r="H1114" s="4952"/>
      <c r="I1114" s="4999" t="s">
        <v>4156</v>
      </c>
      <c r="J1114" s="4952">
        <f>G1114</f>
        <v>0</v>
      </c>
      <c r="K1114" s="4952"/>
      <c r="L1114" s="5028"/>
      <c r="M1114" s="5040"/>
      <c r="N1114" s="5040"/>
      <c r="O1114" s="5040"/>
      <c r="P1114" s="386"/>
      <c r="Q1114" s="386"/>
    </row>
    <row r="1115" spans="1:17" s="1659" customFormat="1" ht="30" customHeight="1" x14ac:dyDescent="0.2">
      <c r="A1115" s="5033"/>
      <c r="B1115" s="5078" t="s">
        <v>4157</v>
      </c>
      <c r="C1115" s="4990"/>
      <c r="D1115" s="452"/>
      <c r="E1115" s="4975"/>
      <c r="F1115" s="597"/>
      <c r="G1115" s="4952"/>
      <c r="H1115" s="4952"/>
      <c r="I1115" s="4999" t="s">
        <v>4158</v>
      </c>
      <c r="J1115" s="4952">
        <f>G1115</f>
        <v>0</v>
      </c>
      <c r="K1115" s="4952"/>
      <c r="L1115" s="5028"/>
      <c r="M1115" s="5040"/>
      <c r="N1115" s="5040"/>
      <c r="O1115" s="5040"/>
      <c r="P1115" s="386"/>
      <c r="Q1115" s="386"/>
    </row>
    <row r="1116" spans="1:17" s="1659" customFormat="1" ht="30" customHeight="1" x14ac:dyDescent="0.2">
      <c r="A1116" s="5033"/>
      <c r="B1116" s="5078" t="s">
        <v>4160</v>
      </c>
      <c r="C1116" s="4990"/>
      <c r="D1116" s="452"/>
      <c r="E1116" s="4975"/>
      <c r="F1116" s="597"/>
      <c r="G1116" s="4952"/>
      <c r="H1116" s="4952"/>
      <c r="I1116" s="4999" t="s">
        <v>4161</v>
      </c>
      <c r="J1116" s="4952">
        <f>G1116</f>
        <v>0</v>
      </c>
      <c r="K1116" s="4952"/>
      <c r="L1116" s="5028"/>
      <c r="M1116" s="5040"/>
      <c r="N1116" s="5040"/>
      <c r="O1116" s="5040"/>
      <c r="P1116" s="386"/>
      <c r="Q1116" s="386"/>
    </row>
    <row r="1117" spans="1:17" s="1659" customFormat="1" ht="30" customHeight="1" x14ac:dyDescent="0.2">
      <c r="A1117" s="7703"/>
      <c r="B1117" s="8021" t="s">
        <v>4162</v>
      </c>
      <c r="C1117" s="8023" t="s">
        <v>392</v>
      </c>
      <c r="D1117" s="8001">
        <v>70000000</v>
      </c>
      <c r="E1117" s="8083">
        <v>0.06</v>
      </c>
      <c r="F1117" s="8001">
        <f>D1117*E1117</f>
        <v>4200000</v>
      </c>
      <c r="G1117" s="8270" t="s">
        <v>4674</v>
      </c>
      <c r="H1117" s="8271"/>
      <c r="I1117" s="8271"/>
      <c r="J1117" s="8272"/>
      <c r="K1117" s="4664"/>
      <c r="L1117" s="5030" t="s">
        <v>4208</v>
      </c>
      <c r="M1117" s="5040"/>
      <c r="N1117" s="5040"/>
      <c r="O1117" s="5040"/>
      <c r="P1117" s="386"/>
      <c r="Q1117" s="386"/>
    </row>
    <row r="1118" spans="1:17" s="1659" customFormat="1" ht="30" customHeight="1" x14ac:dyDescent="0.2">
      <c r="A1118" s="7704"/>
      <c r="B1118" s="8269"/>
      <c r="C1118" s="8024"/>
      <c r="D1118" s="8002"/>
      <c r="E1118" s="8084"/>
      <c r="F1118" s="8002"/>
      <c r="G1118" s="8273"/>
      <c r="H1118" s="8274"/>
      <c r="I1118" s="8274"/>
      <c r="J1118" s="8275"/>
      <c r="K1118" s="4664"/>
      <c r="L1118" s="5038" t="s">
        <v>4209</v>
      </c>
      <c r="M1118" s="5040"/>
      <c r="N1118" s="5040"/>
      <c r="O1118" s="5040"/>
      <c r="P1118" s="386"/>
      <c r="Q1118" s="386"/>
    </row>
    <row r="1119" spans="1:17" s="1659" customFormat="1" ht="30" customHeight="1" x14ac:dyDescent="0.2">
      <c r="A1119" s="7704"/>
      <c r="B1119" s="8269"/>
      <c r="C1119" s="8024"/>
      <c r="D1119" s="5054">
        <v>10000000</v>
      </c>
      <c r="E1119" s="5064">
        <v>0.06</v>
      </c>
      <c r="F1119" s="5054">
        <f t="shared" ref="F1119:F1126" si="102">D1119*E1119</f>
        <v>600000</v>
      </c>
      <c r="G1119" s="8045"/>
      <c r="H1119" s="8046"/>
      <c r="I1119" s="8046"/>
      <c r="J1119" s="8047"/>
      <c r="K1119" s="4664"/>
      <c r="L1119" s="5038" t="s">
        <v>4270</v>
      </c>
      <c r="M1119" s="5040"/>
      <c r="N1119" s="5040"/>
      <c r="O1119" s="5040"/>
      <c r="P1119" s="386"/>
      <c r="Q1119" s="386"/>
    </row>
    <row r="1120" spans="1:17" s="1659" customFormat="1" ht="30" customHeight="1" x14ac:dyDescent="0.2">
      <c r="A1120" s="7704"/>
      <c r="B1120" s="8269"/>
      <c r="C1120" s="8024"/>
      <c r="D1120" s="5067">
        <f>D1117+D1119+F1117+F1119</f>
        <v>84800000</v>
      </c>
      <c r="E1120" s="679">
        <v>0.06</v>
      </c>
      <c r="F1120" s="5067">
        <f t="shared" si="102"/>
        <v>5088000</v>
      </c>
      <c r="G1120" s="8264" t="s">
        <v>4832</v>
      </c>
      <c r="H1120" s="8264"/>
      <c r="I1120" s="8264"/>
      <c r="J1120" s="8264"/>
      <c r="K1120" s="5067"/>
      <c r="L1120" s="5038"/>
      <c r="M1120" s="5040"/>
      <c r="N1120" s="5040"/>
      <c r="O1120" s="5040"/>
      <c r="P1120" s="386"/>
      <c r="Q1120" s="386"/>
    </row>
    <row r="1121" spans="1:17" s="1659" customFormat="1" ht="30" customHeight="1" x14ac:dyDescent="0.2">
      <c r="A1121" s="7704"/>
      <c r="B1121" s="8269"/>
      <c r="C1121" s="8024"/>
      <c r="D1121" s="5067">
        <f>D1120+F1120</f>
        <v>89888000</v>
      </c>
      <c r="E1121" s="679">
        <v>0.06</v>
      </c>
      <c r="F1121" s="5067">
        <f t="shared" si="102"/>
        <v>5393280</v>
      </c>
      <c r="G1121" s="8264" t="s">
        <v>6392</v>
      </c>
      <c r="H1121" s="8264"/>
      <c r="I1121" s="8264"/>
      <c r="J1121" s="8264"/>
      <c r="K1121" s="5067"/>
      <c r="L1121" s="5038"/>
      <c r="M1121" s="5040"/>
      <c r="N1121" s="5040"/>
      <c r="O1121" s="5040"/>
      <c r="P1121" s="386"/>
      <c r="Q1121" s="386"/>
    </row>
    <row r="1122" spans="1:17" s="1659" customFormat="1" ht="30" customHeight="1" x14ac:dyDescent="0.2">
      <c r="A1122" s="7704"/>
      <c r="B1122" s="8269"/>
      <c r="C1122" s="8024"/>
      <c r="D1122" s="5067">
        <f>D1121+F1121</f>
        <v>95281280</v>
      </c>
      <c r="E1122" s="679">
        <v>0.06</v>
      </c>
      <c r="F1122" s="5067">
        <f>D1122*E1122</f>
        <v>5716876.7999999998</v>
      </c>
      <c r="G1122" s="5161">
        <v>6000000</v>
      </c>
      <c r="H1122" s="5161" t="s">
        <v>6785</v>
      </c>
      <c r="I1122" s="5158" t="s">
        <v>1693</v>
      </c>
      <c r="J1122" s="5158">
        <f>G1122</f>
        <v>6000000</v>
      </c>
      <c r="K1122" s="4944"/>
      <c r="L1122" s="5038" t="s">
        <v>6807</v>
      </c>
      <c r="M1122" s="5040"/>
      <c r="N1122" s="5040"/>
      <c r="O1122" s="5040"/>
      <c r="P1122" s="386"/>
      <c r="Q1122" s="386"/>
    </row>
    <row r="1123" spans="1:17" s="1659" customFormat="1" ht="30" customHeight="1" x14ac:dyDescent="0.2">
      <c r="A1123" s="7705"/>
      <c r="B1123" s="8022"/>
      <c r="C1123" s="8025"/>
      <c r="D1123" s="4953">
        <v>100000000</v>
      </c>
      <c r="E1123" s="2519">
        <v>0.06</v>
      </c>
      <c r="F1123" s="4953">
        <f t="shared" si="102"/>
        <v>6000000</v>
      </c>
      <c r="G1123" s="4965"/>
      <c r="H1123" s="4965"/>
      <c r="I1123" s="2032"/>
      <c r="J1123" s="4964"/>
      <c r="K1123" s="4964"/>
      <c r="L1123" s="5038" t="s">
        <v>4371</v>
      </c>
      <c r="M1123" s="5040"/>
      <c r="N1123" s="5040"/>
      <c r="O1123" s="5040"/>
      <c r="P1123" s="386"/>
      <c r="Q1123" s="386"/>
    </row>
    <row r="1124" spans="1:17" s="1659" customFormat="1" ht="30" customHeight="1" x14ac:dyDescent="0.2">
      <c r="A1124" s="5033"/>
      <c r="B1124" s="4968" t="s">
        <v>4186</v>
      </c>
      <c r="C1124" s="5016" t="s">
        <v>392</v>
      </c>
      <c r="D1124" s="4944">
        <v>120000000</v>
      </c>
      <c r="E1124" s="5011">
        <v>0.05</v>
      </c>
      <c r="F1124" s="4944">
        <f t="shared" si="102"/>
        <v>6000000</v>
      </c>
      <c r="G1124" s="4952">
        <v>6000000</v>
      </c>
      <c r="H1124" s="4952" t="s">
        <v>6785</v>
      </c>
      <c r="I1124" s="4944" t="s">
        <v>5061</v>
      </c>
      <c r="J1124" s="4944">
        <f>G1124</f>
        <v>6000000</v>
      </c>
      <c r="K1124" s="4944">
        <f>F1124-J1124</f>
        <v>0</v>
      </c>
      <c r="L1124" s="5028" t="s">
        <v>4990</v>
      </c>
      <c r="M1124" s="5040"/>
      <c r="N1124" s="5040"/>
      <c r="O1124" s="5040"/>
      <c r="P1124" s="386"/>
      <c r="Q1124" s="386"/>
    </row>
    <row r="1125" spans="1:17" s="1659" customFormat="1" ht="30" customHeight="1" x14ac:dyDescent="0.2">
      <c r="A1125" s="5033"/>
      <c r="B1125" s="4968" t="s">
        <v>4196</v>
      </c>
      <c r="C1125" s="5016" t="s">
        <v>1306</v>
      </c>
      <c r="D1125" s="4944">
        <v>100000000</v>
      </c>
      <c r="E1125" s="5011">
        <v>0.05</v>
      </c>
      <c r="F1125" s="4944">
        <f t="shared" si="102"/>
        <v>5000000</v>
      </c>
      <c r="G1125" s="4952"/>
      <c r="H1125" s="4952"/>
      <c r="I1125" s="4999" t="s">
        <v>5844</v>
      </c>
      <c r="J1125" s="4952">
        <f>G1125</f>
        <v>0</v>
      </c>
      <c r="K1125" s="4952">
        <f>F1125-J1125</f>
        <v>5000000</v>
      </c>
      <c r="L1125" s="5028" t="s">
        <v>5809</v>
      </c>
      <c r="M1125" s="5040"/>
      <c r="N1125" s="5040"/>
      <c r="O1125" s="5040"/>
      <c r="P1125" s="386"/>
      <c r="Q1125" s="386"/>
    </row>
    <row r="1126" spans="1:17" s="1659" customFormat="1" ht="30" customHeight="1" x14ac:dyDescent="0.2">
      <c r="A1126" s="5033"/>
      <c r="B1126" s="4968" t="s">
        <v>4213</v>
      </c>
      <c r="C1126" s="5016" t="s">
        <v>4105</v>
      </c>
      <c r="D1126" s="4944">
        <v>100000000</v>
      </c>
      <c r="E1126" s="5011">
        <v>7.0000000000000007E-2</v>
      </c>
      <c r="F1126" s="4944">
        <f t="shared" si="102"/>
        <v>7000000.0000000009</v>
      </c>
      <c r="G1126" s="4952">
        <v>7000000</v>
      </c>
      <c r="H1126" s="4952" t="s">
        <v>6773</v>
      </c>
      <c r="I1126" s="4999" t="s">
        <v>4845</v>
      </c>
      <c r="J1126" s="4952">
        <f>G1126</f>
        <v>7000000</v>
      </c>
      <c r="K1126" s="4952">
        <f>F1126-J1126</f>
        <v>0</v>
      </c>
      <c r="L1126" s="5069" t="s">
        <v>5482</v>
      </c>
      <c r="M1126" s="5040"/>
      <c r="N1126" s="5040"/>
      <c r="O1126" s="5040"/>
      <c r="P1126" s="386"/>
      <c r="Q1126" s="386"/>
    </row>
    <row r="1127" spans="1:17" s="1659" customFormat="1" ht="30" customHeight="1" x14ac:dyDescent="0.2">
      <c r="A1127" s="5033"/>
      <c r="B1127" s="4968" t="s">
        <v>4292</v>
      </c>
      <c r="C1127" s="5016"/>
      <c r="D1127" s="4944"/>
      <c r="E1127" s="4962"/>
      <c r="F1127" s="4952"/>
      <c r="G1127" s="4952"/>
      <c r="H1127" s="4952"/>
      <c r="I1127" s="4999"/>
      <c r="J1127" s="4952"/>
      <c r="K1127" s="4952"/>
      <c r="L1127" s="4242" t="s">
        <v>6056</v>
      </c>
      <c r="M1127" s="5040"/>
      <c r="N1127" s="5040"/>
      <c r="O1127" s="5040"/>
      <c r="P1127" s="386"/>
      <c r="Q1127" s="386"/>
    </row>
    <row r="1128" spans="1:17" s="1659" customFormat="1" ht="30" customHeight="1" x14ac:dyDescent="0.2">
      <c r="A1128" s="5033"/>
      <c r="B1128" s="4968" t="s">
        <v>4295</v>
      </c>
      <c r="C1128" s="5016" t="s">
        <v>4296</v>
      </c>
      <c r="D1128" s="4944">
        <v>80000000</v>
      </c>
      <c r="E1128" s="5011">
        <v>0.05</v>
      </c>
      <c r="F1128" s="4944">
        <f>D1128*E1128</f>
        <v>4000000</v>
      </c>
      <c r="G1128" s="4952"/>
      <c r="H1128" s="4952"/>
      <c r="I1128" s="4999" t="s">
        <v>1720</v>
      </c>
      <c r="J1128" s="4952">
        <f t="shared" ref="J1128:J1147" si="103">G1128</f>
        <v>0</v>
      </c>
      <c r="K1128" s="4952">
        <f>F1128-J1128</f>
        <v>4000000</v>
      </c>
      <c r="L1128" s="5069" t="s">
        <v>4670</v>
      </c>
      <c r="M1128" s="5040"/>
      <c r="N1128" s="5040"/>
      <c r="O1128" s="5040"/>
      <c r="P1128" s="386"/>
      <c r="Q1128" s="386"/>
    </row>
    <row r="1129" spans="1:17" s="1659" customFormat="1" ht="30" customHeight="1" x14ac:dyDescent="0.2">
      <c r="A1129" s="7703"/>
      <c r="B1129" s="7652" t="s">
        <v>4332</v>
      </c>
      <c r="C1129" s="7723" t="s">
        <v>402</v>
      </c>
      <c r="D1129" s="7563">
        <v>200000000</v>
      </c>
      <c r="E1129" s="7659">
        <v>0.05</v>
      </c>
      <c r="F1129" s="7563">
        <f>D1129*E1129</f>
        <v>10000000</v>
      </c>
      <c r="G1129" s="5405">
        <v>10000000</v>
      </c>
      <c r="H1129" s="5405" t="s">
        <v>6828</v>
      </c>
      <c r="I1129" s="452" t="s">
        <v>1220</v>
      </c>
      <c r="J1129" s="5405">
        <f t="shared" si="103"/>
        <v>10000000</v>
      </c>
      <c r="K1129" s="5405">
        <f>F1129-J1129</f>
        <v>0</v>
      </c>
      <c r="L1129" s="5069" t="s">
        <v>4795</v>
      </c>
      <c r="M1129" s="5040"/>
      <c r="N1129" s="5040"/>
      <c r="O1129" s="5040"/>
      <c r="P1129" s="386"/>
      <c r="Q1129" s="386"/>
    </row>
    <row r="1130" spans="1:17" s="1659" customFormat="1" ht="30" customHeight="1" x14ac:dyDescent="0.2">
      <c r="A1130" s="7704"/>
      <c r="B1130" s="7665"/>
      <c r="C1130" s="7747"/>
      <c r="D1130" s="7586"/>
      <c r="E1130" s="7676"/>
      <c r="F1130" s="7586"/>
      <c r="G1130" s="5405">
        <v>10000000</v>
      </c>
      <c r="H1130" s="5405" t="s">
        <v>4612</v>
      </c>
      <c r="I1130" s="452" t="s">
        <v>1220</v>
      </c>
      <c r="J1130" s="5405">
        <f t="shared" ref="J1130:J1131" si="104">G1130</f>
        <v>10000000</v>
      </c>
      <c r="K1130" s="5405">
        <f>F1129-J1130</f>
        <v>0</v>
      </c>
      <c r="L1130" s="5423" t="s">
        <v>7090</v>
      </c>
      <c r="M1130" s="5421"/>
      <c r="N1130" s="5421"/>
      <c r="O1130" s="5421"/>
      <c r="P1130" s="386"/>
      <c r="Q1130" s="386"/>
    </row>
    <row r="1131" spans="1:17" s="1659" customFormat="1" ht="30" customHeight="1" x14ac:dyDescent="0.2">
      <c r="A1131" s="7705"/>
      <c r="B1131" s="7653"/>
      <c r="C1131" s="7724"/>
      <c r="D1131" s="7564"/>
      <c r="E1131" s="7660"/>
      <c r="F1131" s="7564"/>
      <c r="G1131" s="5403">
        <v>10000000</v>
      </c>
      <c r="H1131" s="5403" t="s">
        <v>7088</v>
      </c>
      <c r="I1131" s="5410" t="s">
        <v>7089</v>
      </c>
      <c r="J1131" s="5403">
        <f t="shared" si="104"/>
        <v>10000000</v>
      </c>
      <c r="K1131" s="5403">
        <f>F1129-J1131</f>
        <v>0</v>
      </c>
      <c r="L1131" s="5423"/>
      <c r="M1131" s="5421"/>
      <c r="N1131" s="5421"/>
      <c r="O1131" s="5421"/>
      <c r="P1131" s="386"/>
      <c r="Q1131" s="386"/>
    </row>
    <row r="1132" spans="1:17" s="1659" customFormat="1" ht="30" customHeight="1" x14ac:dyDescent="0.2">
      <c r="A1132" s="5033"/>
      <c r="B1132" s="4968" t="s">
        <v>4368</v>
      </c>
      <c r="C1132" s="5016"/>
      <c r="D1132" s="452"/>
      <c r="E1132" s="4975"/>
      <c r="F1132" s="597"/>
      <c r="G1132" s="4952"/>
      <c r="H1132" s="4952"/>
      <c r="I1132" s="4999" t="s">
        <v>2986</v>
      </c>
      <c r="J1132" s="4952">
        <f t="shared" si="103"/>
        <v>0</v>
      </c>
      <c r="K1132" s="4952"/>
      <c r="L1132" s="5069"/>
      <c r="M1132" s="5040"/>
      <c r="N1132" s="5040"/>
      <c r="O1132" s="5040"/>
      <c r="P1132" s="386"/>
      <c r="Q1132" s="386"/>
    </row>
    <row r="1133" spans="1:17" s="1659" customFormat="1" ht="30" customHeight="1" x14ac:dyDescent="0.2">
      <c r="A1133" s="7703"/>
      <c r="B1133" s="7652" t="s">
        <v>4374</v>
      </c>
      <c r="C1133" s="7723" t="s">
        <v>1718</v>
      </c>
      <c r="D1133" s="7563">
        <v>100000000</v>
      </c>
      <c r="E1133" s="7659">
        <v>0.05</v>
      </c>
      <c r="F1133" s="7563">
        <f>D1133*E1133</f>
        <v>5000000</v>
      </c>
      <c r="G1133" s="4952">
        <v>5000000</v>
      </c>
      <c r="H1133" s="4952" t="s">
        <v>6895</v>
      </c>
      <c r="I1133" s="4999" t="s">
        <v>5014</v>
      </c>
      <c r="J1133" s="5203">
        <f>G1133</f>
        <v>5000000</v>
      </c>
      <c r="K1133" s="5268">
        <f>F1133-J1133</f>
        <v>0</v>
      </c>
      <c r="L1133" s="5028" t="s">
        <v>4375</v>
      </c>
      <c r="M1133" s="5040"/>
      <c r="N1133" s="5040"/>
      <c r="O1133" s="5040"/>
      <c r="P1133" s="386"/>
      <c r="Q1133" s="386"/>
    </row>
    <row r="1134" spans="1:17" s="1659" customFormat="1" ht="30" customHeight="1" x14ac:dyDescent="0.2">
      <c r="A1134" s="7705"/>
      <c r="B1134" s="7653"/>
      <c r="C1134" s="7724"/>
      <c r="D1134" s="7564"/>
      <c r="E1134" s="7660"/>
      <c r="F1134" s="7564"/>
      <c r="G1134" s="5268">
        <v>3870000</v>
      </c>
      <c r="H1134" s="5268" t="s">
        <v>6895</v>
      </c>
      <c r="I1134" s="5268" t="s">
        <v>5014</v>
      </c>
      <c r="J1134" s="5268">
        <f>G1134</f>
        <v>3870000</v>
      </c>
      <c r="K1134" s="5270"/>
      <c r="L1134" s="5285" t="s">
        <v>6897</v>
      </c>
      <c r="M1134" s="5292"/>
      <c r="N1134" s="5292"/>
      <c r="O1134" s="5292"/>
      <c r="P1134" s="386"/>
      <c r="Q1134" s="386"/>
    </row>
    <row r="1135" spans="1:17" s="1659" customFormat="1" ht="30" customHeight="1" x14ac:dyDescent="0.2">
      <c r="A1135" s="7703"/>
      <c r="B1135" s="7652" t="s">
        <v>5361</v>
      </c>
      <c r="C1135" s="7723" t="s">
        <v>262</v>
      </c>
      <c r="D1135" s="7563">
        <v>115000000</v>
      </c>
      <c r="E1135" s="7659">
        <v>0.05</v>
      </c>
      <c r="F1135" s="7563">
        <f>D1135*E1135</f>
        <v>5750000</v>
      </c>
      <c r="G1135" s="7732" t="s">
        <v>5655</v>
      </c>
      <c r="H1135" s="7733"/>
      <c r="I1135" s="7733"/>
      <c r="J1135" s="7734"/>
      <c r="K1135" s="233"/>
      <c r="L1135" s="5028" t="s">
        <v>5711</v>
      </c>
      <c r="M1135" s="5040"/>
      <c r="N1135" s="5040"/>
      <c r="O1135" s="5040"/>
      <c r="P1135" s="386"/>
      <c r="Q1135" s="386"/>
    </row>
    <row r="1136" spans="1:17" s="1659" customFormat="1" ht="30" customHeight="1" x14ac:dyDescent="0.2">
      <c r="A1136" s="7704"/>
      <c r="B1136" s="7665"/>
      <c r="C1136" s="7747"/>
      <c r="D1136" s="7564"/>
      <c r="E1136" s="7660"/>
      <c r="F1136" s="7564"/>
      <c r="G1136" s="7563">
        <v>6000000</v>
      </c>
      <c r="H1136" s="7563" t="s">
        <v>6932</v>
      </c>
      <c r="I1136" s="7563" t="s">
        <v>6933</v>
      </c>
      <c r="J1136" s="7563">
        <f>G1136</f>
        <v>6000000</v>
      </c>
      <c r="K1136" s="7563">
        <f>(F1135+F1137)-J1136</f>
        <v>0</v>
      </c>
      <c r="L1136" s="5028" t="s">
        <v>5712</v>
      </c>
      <c r="M1136" s="5040"/>
      <c r="N1136" s="5040"/>
      <c r="O1136" s="5040"/>
      <c r="P1136" s="386"/>
      <c r="Q1136" s="386"/>
    </row>
    <row r="1137" spans="1:17" s="1659" customFormat="1" ht="30" customHeight="1" x14ac:dyDescent="0.2">
      <c r="A1137" s="7705"/>
      <c r="B1137" s="7653"/>
      <c r="C1137" s="7724"/>
      <c r="D1137" s="4999">
        <v>5000000</v>
      </c>
      <c r="E1137" s="4962">
        <v>0.05</v>
      </c>
      <c r="F1137" s="5000">
        <f>D1137*E1137</f>
        <v>250000</v>
      </c>
      <c r="G1137" s="7564"/>
      <c r="H1137" s="7564"/>
      <c r="I1137" s="7564"/>
      <c r="J1137" s="7564"/>
      <c r="K1137" s="7564"/>
      <c r="L1137" s="5028"/>
      <c r="M1137" s="5040"/>
      <c r="N1137" s="5040"/>
      <c r="O1137" s="5040"/>
      <c r="P1137" s="386"/>
      <c r="Q1137" s="386"/>
    </row>
    <row r="1138" spans="1:17" s="1659" customFormat="1" ht="30" customHeight="1" x14ac:dyDescent="0.2">
      <c r="A1138" s="5033"/>
      <c r="B1138" s="4968" t="s">
        <v>4376</v>
      </c>
      <c r="C1138" s="5016" t="s">
        <v>1718</v>
      </c>
      <c r="D1138" s="4999">
        <v>70000000</v>
      </c>
      <c r="E1138" s="4962">
        <v>7.0000000000000007E-2</v>
      </c>
      <c r="F1138" s="5000">
        <f>D1138*E1138</f>
        <v>4900000.0000000009</v>
      </c>
      <c r="G1138" s="4952">
        <v>4900000</v>
      </c>
      <c r="H1138" s="4952" t="s">
        <v>6828</v>
      </c>
      <c r="I1138" s="4999" t="s">
        <v>4928</v>
      </c>
      <c r="J1138" s="4952">
        <f t="shared" si="103"/>
        <v>4900000</v>
      </c>
      <c r="K1138" s="4952">
        <f t="shared" ref="K1138:K1146" si="105">F1138-J1138</f>
        <v>0</v>
      </c>
      <c r="L1138" s="5069" t="s">
        <v>4992</v>
      </c>
      <c r="M1138" s="5040"/>
      <c r="N1138" s="5040"/>
      <c r="O1138" s="5040"/>
      <c r="P1138" s="386"/>
      <c r="Q1138" s="386"/>
    </row>
    <row r="1139" spans="1:17" s="1659" customFormat="1" ht="30" customHeight="1" x14ac:dyDescent="0.2">
      <c r="A1139" s="5033"/>
      <c r="B1139" s="4968" t="s">
        <v>4393</v>
      </c>
      <c r="C1139" s="5016" t="s">
        <v>1718</v>
      </c>
      <c r="D1139" s="4999">
        <v>350000000</v>
      </c>
      <c r="E1139" s="4962">
        <v>7.0000000000000007E-2</v>
      </c>
      <c r="F1139" s="5000">
        <f>D1139*E1139</f>
        <v>24500000.000000004</v>
      </c>
      <c r="G1139" s="4952">
        <v>24500000</v>
      </c>
      <c r="H1139" s="4952" t="s">
        <v>6828</v>
      </c>
      <c r="I1139" s="4999" t="s">
        <v>4900</v>
      </c>
      <c r="J1139" s="4952">
        <f t="shared" si="103"/>
        <v>24500000</v>
      </c>
      <c r="K1139" s="4952">
        <f t="shared" si="105"/>
        <v>0</v>
      </c>
      <c r="L1139" s="5069" t="s">
        <v>4394</v>
      </c>
      <c r="M1139" s="5040"/>
      <c r="N1139" s="5040"/>
      <c r="O1139" s="5040"/>
      <c r="P1139" s="386"/>
      <c r="Q1139" s="386"/>
    </row>
    <row r="1140" spans="1:17" s="1659" customFormat="1" ht="30" customHeight="1" x14ac:dyDescent="0.2">
      <c r="A1140" s="5033"/>
      <c r="B1140" s="4968" t="s">
        <v>4397</v>
      </c>
      <c r="C1140" s="5016"/>
      <c r="D1140" s="4999">
        <v>50000000</v>
      </c>
      <c r="E1140" s="4962">
        <v>0.05</v>
      </c>
      <c r="F1140" s="5000">
        <f t="shared" ref="F1140:F1148" si="106">D1140*E1140</f>
        <v>2500000</v>
      </c>
      <c r="G1140" s="4952">
        <v>2500000</v>
      </c>
      <c r="H1140" s="4952" t="s">
        <v>6895</v>
      </c>
      <c r="I1140" s="4999" t="s">
        <v>4526</v>
      </c>
      <c r="J1140" s="4952">
        <f t="shared" si="103"/>
        <v>2500000</v>
      </c>
      <c r="K1140" s="4952">
        <f t="shared" si="105"/>
        <v>0</v>
      </c>
      <c r="L1140" s="5069" t="s">
        <v>4398</v>
      </c>
      <c r="M1140" s="5040"/>
      <c r="N1140" s="5040"/>
      <c r="O1140" s="5040"/>
      <c r="P1140" s="386"/>
      <c r="Q1140" s="386"/>
    </row>
    <row r="1141" spans="1:17" s="1659" customFormat="1" ht="30" customHeight="1" x14ac:dyDescent="0.2">
      <c r="A1141" s="5033"/>
      <c r="B1141" s="4968" t="s">
        <v>5013</v>
      </c>
      <c r="C1141" s="5016" t="s">
        <v>1652</v>
      </c>
      <c r="D1141" s="4999">
        <v>100000000</v>
      </c>
      <c r="E1141" s="4962">
        <v>0.05</v>
      </c>
      <c r="F1141" s="5000">
        <f t="shared" si="106"/>
        <v>5000000</v>
      </c>
      <c r="G1141" s="4952">
        <v>5000000</v>
      </c>
      <c r="H1141" s="4952" t="s">
        <v>6828</v>
      </c>
      <c r="I1141" s="4999" t="s">
        <v>4406</v>
      </c>
      <c r="J1141" s="4952">
        <f t="shared" si="103"/>
        <v>5000000</v>
      </c>
      <c r="K1141" s="4952">
        <f t="shared" si="105"/>
        <v>0</v>
      </c>
      <c r="L1141" s="5069"/>
      <c r="M1141" s="5040"/>
      <c r="N1141" s="5040"/>
      <c r="O1141" s="5040"/>
      <c r="P1141" s="386"/>
      <c r="Q1141" s="386"/>
    </row>
    <row r="1142" spans="1:17" s="1659" customFormat="1" ht="30" customHeight="1" x14ac:dyDescent="0.2">
      <c r="A1142" s="5033"/>
      <c r="B1142" s="4968" t="s">
        <v>4410</v>
      </c>
      <c r="C1142" s="5016"/>
      <c r="D1142" s="4999">
        <v>50000000</v>
      </c>
      <c r="E1142" s="4962">
        <v>0.05</v>
      </c>
      <c r="F1142" s="5000">
        <f t="shared" si="106"/>
        <v>2500000</v>
      </c>
      <c r="G1142" s="4952">
        <v>2500000</v>
      </c>
      <c r="H1142" s="4952" t="s">
        <v>7010</v>
      </c>
      <c r="I1142" s="4999" t="s">
        <v>4411</v>
      </c>
      <c r="J1142" s="4952">
        <f t="shared" si="103"/>
        <v>2500000</v>
      </c>
      <c r="K1142" s="4952">
        <f t="shared" si="105"/>
        <v>0</v>
      </c>
      <c r="L1142" s="5069"/>
      <c r="M1142" s="5040"/>
      <c r="N1142" s="5040"/>
      <c r="O1142" s="5040"/>
      <c r="P1142" s="386"/>
      <c r="Q1142" s="386"/>
    </row>
    <row r="1143" spans="1:17" s="1659" customFormat="1" ht="30" customHeight="1" x14ac:dyDescent="0.2">
      <c r="A1143" s="5033"/>
      <c r="B1143" s="4968" t="s">
        <v>5005</v>
      </c>
      <c r="C1143" s="5016" t="s">
        <v>262</v>
      </c>
      <c r="D1143" s="4999">
        <v>20000000</v>
      </c>
      <c r="E1143" s="4962">
        <v>0.05</v>
      </c>
      <c r="F1143" s="5000">
        <f t="shared" si="106"/>
        <v>1000000</v>
      </c>
      <c r="G1143" s="4952">
        <v>1000000</v>
      </c>
      <c r="H1143" s="4952" t="s">
        <v>6932</v>
      </c>
      <c r="I1143" s="4999" t="s">
        <v>6934</v>
      </c>
      <c r="J1143" s="4952">
        <f t="shared" si="103"/>
        <v>1000000</v>
      </c>
      <c r="K1143" s="4952">
        <f t="shared" si="105"/>
        <v>0</v>
      </c>
      <c r="L1143" s="5069" t="s">
        <v>5036</v>
      </c>
      <c r="M1143" s="5040"/>
      <c r="N1143" s="5040"/>
      <c r="O1143" s="5040"/>
      <c r="P1143" s="386"/>
      <c r="Q1143" s="386"/>
    </row>
    <row r="1144" spans="1:17" s="1659" customFormat="1" ht="30" customHeight="1" x14ac:dyDescent="0.2">
      <c r="A1144" s="5033"/>
      <c r="B1144" s="4968" t="s">
        <v>4432</v>
      </c>
      <c r="C1144" s="5016" t="s">
        <v>2644</v>
      </c>
      <c r="D1144" s="4999">
        <v>300000000</v>
      </c>
      <c r="E1144" s="4962">
        <v>0.05</v>
      </c>
      <c r="F1144" s="5000">
        <f t="shared" si="106"/>
        <v>15000000</v>
      </c>
      <c r="G1144" s="4952">
        <v>15000000</v>
      </c>
      <c r="H1144" s="4952" t="s">
        <v>6789</v>
      </c>
      <c r="I1144" s="4999" t="s">
        <v>1063</v>
      </c>
      <c r="J1144" s="4952">
        <f t="shared" si="103"/>
        <v>15000000</v>
      </c>
      <c r="K1144" s="4952">
        <f t="shared" si="105"/>
        <v>0</v>
      </c>
      <c r="L1144" s="5069" t="s">
        <v>4435</v>
      </c>
      <c r="M1144" s="5040"/>
      <c r="N1144" s="5040"/>
      <c r="O1144" s="5040"/>
      <c r="P1144" s="386"/>
      <c r="Q1144" s="386"/>
    </row>
    <row r="1145" spans="1:17" s="1659" customFormat="1" ht="30" customHeight="1" x14ac:dyDescent="0.2">
      <c r="A1145" s="5033"/>
      <c r="B1145" s="4968" t="s">
        <v>4433</v>
      </c>
      <c r="C1145" s="5016" t="s">
        <v>371</v>
      </c>
      <c r="D1145" s="4999">
        <v>200000000</v>
      </c>
      <c r="E1145" s="4962">
        <v>0.05</v>
      </c>
      <c r="F1145" s="5000">
        <f t="shared" si="106"/>
        <v>10000000</v>
      </c>
      <c r="G1145" s="4952">
        <v>10000000</v>
      </c>
      <c r="H1145" s="4952" t="s">
        <v>7013</v>
      </c>
      <c r="I1145" s="4999" t="s">
        <v>4167</v>
      </c>
      <c r="J1145" s="4952">
        <f t="shared" si="103"/>
        <v>10000000</v>
      </c>
      <c r="K1145" s="4952">
        <f t="shared" si="105"/>
        <v>0</v>
      </c>
      <c r="L1145" s="5069" t="s">
        <v>4434</v>
      </c>
      <c r="M1145" s="5040"/>
      <c r="N1145" s="5040"/>
      <c r="O1145" s="5040"/>
      <c r="P1145" s="386"/>
      <c r="Q1145" s="386"/>
    </row>
    <row r="1146" spans="1:17" s="1659" customFormat="1" ht="30" customHeight="1" x14ac:dyDescent="0.2">
      <c r="A1146" s="5033"/>
      <c r="B1146" s="4968" t="s">
        <v>4454</v>
      </c>
      <c r="C1146" s="5016" t="s">
        <v>262</v>
      </c>
      <c r="D1146" s="4999">
        <v>120000000</v>
      </c>
      <c r="E1146" s="4962">
        <v>0.06</v>
      </c>
      <c r="F1146" s="5000">
        <f t="shared" si="106"/>
        <v>7200000</v>
      </c>
      <c r="G1146" s="4952">
        <v>7200000</v>
      </c>
      <c r="H1146" s="4952" t="s">
        <v>6932</v>
      </c>
      <c r="I1146" s="4999" t="s">
        <v>4455</v>
      </c>
      <c r="J1146" s="4952">
        <f t="shared" si="103"/>
        <v>7200000</v>
      </c>
      <c r="K1146" s="4952">
        <f t="shared" si="105"/>
        <v>0</v>
      </c>
      <c r="L1146" s="5069" t="s">
        <v>4456</v>
      </c>
      <c r="M1146" s="5040"/>
      <c r="N1146" s="5040"/>
      <c r="O1146" s="5040"/>
      <c r="P1146" s="386"/>
      <c r="Q1146" s="386"/>
    </row>
    <row r="1147" spans="1:17" s="1659" customFormat="1" ht="30" customHeight="1" x14ac:dyDescent="0.2">
      <c r="A1147" s="7703"/>
      <c r="B1147" s="7652" t="s">
        <v>4468</v>
      </c>
      <c r="C1147" s="7723" t="s">
        <v>1300</v>
      </c>
      <c r="D1147" s="4999">
        <v>75000000</v>
      </c>
      <c r="E1147" s="4962">
        <v>0.05</v>
      </c>
      <c r="F1147" s="5000">
        <f t="shared" si="106"/>
        <v>3750000</v>
      </c>
      <c r="G1147" s="7563">
        <v>5500000</v>
      </c>
      <c r="H1147" s="7563" t="s">
        <v>7080</v>
      </c>
      <c r="I1147" s="7563" t="s">
        <v>7081</v>
      </c>
      <c r="J1147" s="7563">
        <f t="shared" si="103"/>
        <v>5500000</v>
      </c>
      <c r="K1147" s="7563">
        <f>(F1147+F1148)-J1147</f>
        <v>0</v>
      </c>
      <c r="L1147" s="5069" t="s">
        <v>4469</v>
      </c>
      <c r="M1147" s="5040"/>
      <c r="N1147" s="5040"/>
      <c r="O1147" s="5040"/>
      <c r="P1147" s="386"/>
      <c r="Q1147" s="386"/>
    </row>
    <row r="1148" spans="1:17" s="1659" customFormat="1" ht="30" customHeight="1" x14ac:dyDescent="0.2">
      <c r="A1148" s="7704"/>
      <c r="B1148" s="7665"/>
      <c r="C1148" s="7747"/>
      <c r="D1148" s="7563">
        <v>35000000</v>
      </c>
      <c r="E1148" s="7659">
        <v>0.05</v>
      </c>
      <c r="F1148" s="7563">
        <f t="shared" si="106"/>
        <v>1750000</v>
      </c>
      <c r="G1148" s="7586"/>
      <c r="H1148" s="7586"/>
      <c r="I1148" s="7586"/>
      <c r="J1148" s="7586"/>
      <c r="K1148" s="7586"/>
      <c r="L1148" s="5069" t="s">
        <v>6410</v>
      </c>
      <c r="M1148" s="5040"/>
      <c r="N1148" s="5040"/>
      <c r="O1148" s="5040"/>
      <c r="P1148" s="386"/>
      <c r="Q1148" s="386"/>
    </row>
    <row r="1149" spans="1:17" s="1659" customFormat="1" ht="30" customHeight="1" x14ac:dyDescent="0.2">
      <c r="A1149" s="7705"/>
      <c r="B1149" s="7653"/>
      <c r="C1149" s="7724"/>
      <c r="D1149" s="7564"/>
      <c r="E1149" s="7660"/>
      <c r="F1149" s="7564"/>
      <c r="G1149" s="7564"/>
      <c r="H1149" s="7564"/>
      <c r="I1149" s="7564"/>
      <c r="J1149" s="7564"/>
      <c r="K1149" s="7564"/>
      <c r="L1149" s="5423" t="s">
        <v>6411</v>
      </c>
      <c r="M1149" s="5421"/>
      <c r="N1149" s="5421"/>
      <c r="O1149" s="5421"/>
      <c r="P1149" s="386"/>
      <c r="Q1149" s="386"/>
    </row>
    <row r="1150" spans="1:17" s="1659" customFormat="1" ht="30" customHeight="1" x14ac:dyDescent="0.2">
      <c r="A1150" s="7703"/>
      <c r="B1150" s="7652" t="s">
        <v>4496</v>
      </c>
      <c r="C1150" s="7723" t="s">
        <v>1287</v>
      </c>
      <c r="D1150" s="4999">
        <v>100000000</v>
      </c>
      <c r="E1150" s="4962">
        <v>0.06</v>
      </c>
      <c r="F1150" s="5000">
        <f>D1150*E1150</f>
        <v>6000000</v>
      </c>
      <c r="G1150" s="7482">
        <v>15000000</v>
      </c>
      <c r="H1150" s="7482" t="s">
        <v>7065</v>
      </c>
      <c r="I1150" s="7482" t="s">
        <v>5133</v>
      </c>
      <c r="J1150" s="7563">
        <f>G1150+G1152</f>
        <v>15600000</v>
      </c>
      <c r="K1150" s="7563">
        <f>F1153-J1150</f>
        <v>0</v>
      </c>
      <c r="L1150" s="5069"/>
      <c r="M1150" s="5040"/>
      <c r="N1150" s="5040"/>
      <c r="O1150" s="5040"/>
      <c r="P1150" s="386"/>
      <c r="Q1150" s="386"/>
    </row>
    <row r="1151" spans="1:17" s="1659" customFormat="1" ht="30" customHeight="1" x14ac:dyDescent="0.2">
      <c r="A1151" s="7704"/>
      <c r="B1151" s="7665"/>
      <c r="C1151" s="7747"/>
      <c r="D1151" s="7563">
        <v>160000000</v>
      </c>
      <c r="E1151" s="7659">
        <v>0.06</v>
      </c>
      <c r="F1151" s="7563">
        <f>D1151*E1151</f>
        <v>9600000</v>
      </c>
      <c r="G1151" s="7482"/>
      <c r="H1151" s="7482"/>
      <c r="I1151" s="7482"/>
      <c r="J1151" s="7586"/>
      <c r="K1151" s="7586"/>
      <c r="L1151" s="5069" t="s">
        <v>5307</v>
      </c>
      <c r="M1151" s="5040"/>
      <c r="N1151" s="5040"/>
      <c r="O1151" s="5040"/>
      <c r="P1151" s="386"/>
      <c r="Q1151" s="386"/>
    </row>
    <row r="1152" spans="1:17" s="1659" customFormat="1" ht="30" customHeight="1" x14ac:dyDescent="0.2">
      <c r="A1152" s="7704"/>
      <c r="B1152" s="7665"/>
      <c r="C1152" s="7747"/>
      <c r="D1152" s="7564"/>
      <c r="E1152" s="7660"/>
      <c r="F1152" s="7564"/>
      <c r="G1152" s="7563">
        <v>600000</v>
      </c>
      <c r="H1152" s="7563" t="s">
        <v>7080</v>
      </c>
      <c r="I1152" s="7563" t="s">
        <v>7082</v>
      </c>
      <c r="J1152" s="7586"/>
      <c r="K1152" s="7586"/>
      <c r="L1152" s="5069" t="s">
        <v>5406</v>
      </c>
      <c r="M1152" s="5040"/>
      <c r="N1152" s="5040"/>
      <c r="O1152" s="5040"/>
      <c r="P1152" s="386"/>
      <c r="Q1152" s="386"/>
    </row>
    <row r="1153" spans="1:17" s="1659" customFormat="1" ht="30" customHeight="1" x14ac:dyDescent="0.2">
      <c r="A1153" s="7705"/>
      <c r="B1153" s="7653"/>
      <c r="C1153" s="7724"/>
      <c r="D1153" s="5049">
        <f>D1150+D1151</f>
        <v>260000000</v>
      </c>
      <c r="E1153" s="4986">
        <v>0.06</v>
      </c>
      <c r="F1153" s="5050">
        <f>D1153*E1153</f>
        <v>15600000</v>
      </c>
      <c r="G1153" s="7564"/>
      <c r="H1153" s="7564"/>
      <c r="I1153" s="7564"/>
      <c r="J1153" s="7564"/>
      <c r="K1153" s="7564"/>
      <c r="L1153" s="5069" t="s">
        <v>5707</v>
      </c>
      <c r="M1153" s="5040"/>
      <c r="N1153" s="5040"/>
      <c r="O1153" s="5040"/>
      <c r="P1153" s="386"/>
      <c r="Q1153" s="386"/>
    </row>
    <row r="1154" spans="1:17" s="1659" customFormat="1" ht="30" customHeight="1" x14ac:dyDescent="0.2">
      <c r="A1154" s="7703"/>
      <c r="B1154" s="7652" t="s">
        <v>4494</v>
      </c>
      <c r="C1154" s="7723" t="s">
        <v>1287</v>
      </c>
      <c r="D1154" s="4944">
        <v>150000000</v>
      </c>
      <c r="E1154" s="4962">
        <v>0.06</v>
      </c>
      <c r="F1154" s="4952">
        <f>D1154*E1154</f>
        <v>9000000</v>
      </c>
      <c r="G1154" s="7991" t="s">
        <v>5309</v>
      </c>
      <c r="H1154" s="7992"/>
      <c r="I1154" s="7992"/>
      <c r="J1154" s="7993"/>
      <c r="K1154" s="4952"/>
      <c r="L1154" s="5031" t="s">
        <v>4495</v>
      </c>
      <c r="M1154" s="5040"/>
      <c r="N1154" s="5040"/>
      <c r="O1154" s="5040"/>
      <c r="P1154" s="386"/>
      <c r="Q1154" s="386"/>
    </row>
    <row r="1155" spans="1:17" s="1659" customFormat="1" ht="30" customHeight="1" x14ac:dyDescent="0.2">
      <c r="A1155" s="7704"/>
      <c r="B1155" s="7665"/>
      <c r="C1155" s="7747"/>
      <c r="D1155" s="4944">
        <v>130000000</v>
      </c>
      <c r="E1155" s="4962">
        <v>0.06</v>
      </c>
      <c r="F1155" s="4952">
        <f>D1155*E1155</f>
        <v>7800000</v>
      </c>
      <c r="G1155" s="7997"/>
      <c r="H1155" s="7998"/>
      <c r="I1155" s="7998"/>
      <c r="J1155" s="7999"/>
      <c r="K1155" s="4952"/>
      <c r="L1155" s="5069" t="s">
        <v>5308</v>
      </c>
      <c r="M1155" s="5040"/>
      <c r="N1155" s="5040"/>
      <c r="O1155" s="5040"/>
      <c r="P1155" s="386"/>
      <c r="Q1155" s="386"/>
    </row>
    <row r="1156" spans="1:17" s="1659" customFormat="1" ht="30" customHeight="1" x14ac:dyDescent="0.2">
      <c r="A1156" s="7705"/>
      <c r="B1156" s="7653"/>
      <c r="C1156" s="7724"/>
      <c r="D1156" s="4949">
        <f>D1154+D1155</f>
        <v>280000000</v>
      </c>
      <c r="E1156" s="4986">
        <v>0.06</v>
      </c>
      <c r="F1156" s="4988">
        <f>D1156*E1156</f>
        <v>16800000</v>
      </c>
      <c r="G1156" s="4952">
        <v>16800000</v>
      </c>
      <c r="H1156" s="4952" t="s">
        <v>7065</v>
      </c>
      <c r="I1156" s="4999" t="s">
        <v>2078</v>
      </c>
      <c r="J1156" s="4952">
        <f>G1156</f>
        <v>16800000</v>
      </c>
      <c r="K1156" s="4952">
        <f>F1156-J1156</f>
        <v>0</v>
      </c>
      <c r="L1156" s="5031" t="s">
        <v>5662</v>
      </c>
      <c r="M1156" s="5040"/>
      <c r="N1156" s="5040"/>
      <c r="O1156" s="5040"/>
      <c r="P1156" s="386"/>
      <c r="Q1156" s="386"/>
    </row>
    <row r="1157" spans="1:17" s="1659" customFormat="1" ht="30" customHeight="1" x14ac:dyDescent="0.2">
      <c r="A1157" s="7703"/>
      <c r="B1157" s="7652" t="s">
        <v>4513</v>
      </c>
      <c r="C1157" s="5016" t="s">
        <v>1299</v>
      </c>
      <c r="D1157" s="4944">
        <v>20000000</v>
      </c>
      <c r="E1157" s="4962">
        <f>F1157/D1157</f>
        <v>0.06</v>
      </c>
      <c r="F1157" s="4952">
        <v>1200000</v>
      </c>
      <c r="G1157" s="4952">
        <v>4400000</v>
      </c>
      <c r="H1157" s="4952" t="s">
        <v>6932</v>
      </c>
      <c r="I1157" s="4999" t="s">
        <v>2026</v>
      </c>
      <c r="J1157" s="4952">
        <f>G1157</f>
        <v>4400000</v>
      </c>
      <c r="K1157" s="4952"/>
      <c r="L1157" s="5031" t="s">
        <v>6959</v>
      </c>
      <c r="M1157" s="5040"/>
      <c r="N1157" s="5040"/>
      <c r="O1157" s="5040"/>
      <c r="P1157" s="386"/>
      <c r="Q1157" s="386"/>
    </row>
    <row r="1158" spans="1:17" s="1659" customFormat="1" ht="30" customHeight="1" x14ac:dyDescent="0.2">
      <c r="A1158" s="7705"/>
      <c r="B1158" s="7653"/>
      <c r="C1158" s="5016" t="s">
        <v>1138</v>
      </c>
      <c r="D1158" s="4944">
        <v>130000000</v>
      </c>
      <c r="E1158" s="4962">
        <v>7.0000000000000007E-2</v>
      </c>
      <c r="F1158" s="4952">
        <v>9000000</v>
      </c>
      <c r="G1158" s="4952"/>
      <c r="H1158" s="4952"/>
      <c r="I1158" s="4999" t="s">
        <v>4526</v>
      </c>
      <c r="J1158" s="4952">
        <f>G1158</f>
        <v>0</v>
      </c>
      <c r="K1158" s="4952"/>
      <c r="L1158" s="5031" t="s">
        <v>6034</v>
      </c>
      <c r="M1158" s="5040"/>
      <c r="N1158" s="5040"/>
      <c r="O1158" s="5040"/>
      <c r="P1158" s="386"/>
      <c r="Q1158" s="386"/>
    </row>
    <row r="1159" spans="1:17" s="1659" customFormat="1" ht="30" customHeight="1" x14ac:dyDescent="0.2">
      <c r="A1159" s="7703"/>
      <c r="B1159" s="7652" t="s">
        <v>3186</v>
      </c>
      <c r="C1159" s="7723" t="s">
        <v>889</v>
      </c>
      <c r="D1159" s="7563">
        <v>150000000</v>
      </c>
      <c r="E1159" s="7659">
        <v>0.06</v>
      </c>
      <c r="F1159" s="7563">
        <f>D1159*E1159</f>
        <v>9000000</v>
      </c>
      <c r="G1159" s="7563">
        <v>27000000</v>
      </c>
      <c r="H1159" s="7563" t="s">
        <v>6785</v>
      </c>
      <c r="I1159" s="7563" t="s">
        <v>4782</v>
      </c>
      <c r="J1159" s="7563">
        <f>G1159</f>
        <v>27000000</v>
      </c>
      <c r="K1159" s="7563">
        <f>G1159-J1159</f>
        <v>0</v>
      </c>
      <c r="L1159" s="5031" t="s">
        <v>4682</v>
      </c>
      <c r="M1159" s="5040"/>
      <c r="N1159" s="5040"/>
      <c r="O1159" s="5040"/>
      <c r="P1159" s="386"/>
      <c r="Q1159" s="386"/>
    </row>
    <row r="1160" spans="1:17" s="1659" customFormat="1" ht="30" customHeight="1" x14ac:dyDescent="0.2">
      <c r="A1160" s="7705"/>
      <c r="B1160" s="7653"/>
      <c r="C1160" s="7724"/>
      <c r="D1160" s="7564"/>
      <c r="E1160" s="7660"/>
      <c r="F1160" s="7564"/>
      <c r="G1160" s="7564"/>
      <c r="H1160" s="7564"/>
      <c r="I1160" s="7564"/>
      <c r="J1160" s="7564"/>
      <c r="K1160" s="7564"/>
      <c r="L1160" s="5031" t="s">
        <v>4681</v>
      </c>
      <c r="M1160" s="5040"/>
      <c r="N1160" s="5040"/>
      <c r="O1160" s="5040"/>
      <c r="P1160" s="386"/>
      <c r="Q1160" s="386"/>
    </row>
    <row r="1161" spans="1:17" s="1659" customFormat="1" ht="30" customHeight="1" x14ac:dyDescent="0.2">
      <c r="A1161" s="7703"/>
      <c r="B1161" s="7652" t="s">
        <v>4527</v>
      </c>
      <c r="C1161" s="8341" t="s">
        <v>2278</v>
      </c>
      <c r="D1161" s="4944">
        <v>100000000</v>
      </c>
      <c r="E1161" s="4962">
        <v>0.05</v>
      </c>
      <c r="F1161" s="4952">
        <v>5000000</v>
      </c>
      <c r="G1161" s="5500">
        <v>6500000</v>
      </c>
      <c r="H1161" s="5500" t="s">
        <v>3116</v>
      </c>
      <c r="I1161" s="5500" t="s">
        <v>5757</v>
      </c>
      <c r="J1161" s="5500">
        <f>F1161</f>
        <v>5000000</v>
      </c>
      <c r="K1161" s="5500">
        <f>F1161-J1161</f>
        <v>0</v>
      </c>
      <c r="L1161" s="5031" t="s">
        <v>5835</v>
      </c>
      <c r="M1161" s="5040"/>
      <c r="N1161" s="5040"/>
      <c r="O1161" s="5040"/>
      <c r="P1161" s="386"/>
      <c r="Q1161" s="386"/>
    </row>
    <row r="1162" spans="1:17" s="1659" customFormat="1" ht="30" customHeight="1" x14ac:dyDescent="0.2">
      <c r="A1162" s="7705"/>
      <c r="B1162" s="7653"/>
      <c r="C1162" s="8343"/>
      <c r="D1162" s="4944">
        <v>30000000</v>
      </c>
      <c r="E1162" s="4962">
        <v>0.05</v>
      </c>
      <c r="F1162" s="4952">
        <f>D1162*E1162</f>
        <v>1500000</v>
      </c>
      <c r="G1162" s="5497">
        <v>6500000</v>
      </c>
      <c r="H1162" s="5497" t="s">
        <v>7067</v>
      </c>
      <c r="I1162" s="5497" t="s">
        <v>5757</v>
      </c>
      <c r="J1162" s="5497">
        <f>G1162</f>
        <v>6500000</v>
      </c>
      <c r="K1162" s="5497">
        <f>(F1161+F1162)-J1162</f>
        <v>0</v>
      </c>
      <c r="L1162" s="5031" t="s">
        <v>6423</v>
      </c>
      <c r="M1162" s="5040"/>
      <c r="N1162" s="5040"/>
      <c r="O1162" s="5040"/>
      <c r="P1162" s="386"/>
      <c r="Q1162" s="386"/>
    </row>
    <row r="1163" spans="1:17" s="1659" customFormat="1" ht="30" customHeight="1" x14ac:dyDescent="0.2">
      <c r="A1163" s="5033"/>
      <c r="B1163" s="4968" t="s">
        <v>5135</v>
      </c>
      <c r="C1163" s="5016" t="s">
        <v>3007</v>
      </c>
      <c r="D1163" s="4944">
        <v>10000000</v>
      </c>
      <c r="E1163" s="4962">
        <v>0.05</v>
      </c>
      <c r="F1163" s="4952">
        <f>D1163*E1163</f>
        <v>500000</v>
      </c>
      <c r="G1163" s="4952"/>
      <c r="H1163" s="4952"/>
      <c r="I1163" s="4999" t="s">
        <v>6437</v>
      </c>
      <c r="J1163" s="4952">
        <f>G1163</f>
        <v>0</v>
      </c>
      <c r="K1163" s="4952">
        <f>F1163-J1163</f>
        <v>500000</v>
      </c>
      <c r="L1163" s="5031" t="s">
        <v>5136</v>
      </c>
      <c r="M1163" s="5040"/>
      <c r="N1163" s="5040"/>
      <c r="O1163" s="5040"/>
      <c r="P1163" s="386"/>
      <c r="Q1163" s="386"/>
    </row>
    <row r="1164" spans="1:17" s="1659" customFormat="1" ht="30" customHeight="1" x14ac:dyDescent="0.2">
      <c r="A1164" s="5033"/>
      <c r="B1164" s="4968" t="s">
        <v>4537</v>
      </c>
      <c r="C1164" s="5016" t="s">
        <v>1299</v>
      </c>
      <c r="D1164" s="4944">
        <v>100000000</v>
      </c>
      <c r="E1164" s="4962">
        <v>0.05</v>
      </c>
      <c r="F1164" s="4952">
        <f>D1164*E1164</f>
        <v>5000000</v>
      </c>
      <c r="G1164" s="4952"/>
      <c r="H1164" s="4952"/>
      <c r="I1164" s="4999" t="s">
        <v>5212</v>
      </c>
      <c r="J1164" s="4952">
        <f>G1164</f>
        <v>0</v>
      </c>
      <c r="K1164" s="4952">
        <f>F1164-J1164</f>
        <v>5000000</v>
      </c>
      <c r="L1164" s="5031" t="s">
        <v>4538</v>
      </c>
      <c r="M1164" s="5040"/>
      <c r="N1164" s="5040"/>
      <c r="O1164" s="5040"/>
      <c r="P1164" s="386"/>
      <c r="Q1164" s="386"/>
    </row>
    <row r="1165" spans="1:17" s="1659" customFormat="1" ht="30" customHeight="1" x14ac:dyDescent="0.2">
      <c r="A1165" s="5033"/>
      <c r="B1165" s="4968" t="s">
        <v>105</v>
      </c>
      <c r="C1165" s="5016" t="s">
        <v>990</v>
      </c>
      <c r="D1165" s="4944">
        <v>200000000</v>
      </c>
      <c r="E1165" s="4962">
        <v>7.0000000000000007E-2</v>
      </c>
      <c r="F1165" s="4952">
        <f>D1165*E1165</f>
        <v>14000000.000000002</v>
      </c>
      <c r="G1165" s="4952"/>
      <c r="H1165" s="4952"/>
      <c r="I1165" s="4999" t="s">
        <v>2794</v>
      </c>
      <c r="J1165" s="4952">
        <f>G1165</f>
        <v>0</v>
      </c>
      <c r="K1165" s="4952">
        <f>F1165-J1165</f>
        <v>14000000.000000002</v>
      </c>
      <c r="L1165" s="5031"/>
      <c r="M1165" s="5040"/>
      <c r="N1165" s="5040"/>
      <c r="O1165" s="5040"/>
      <c r="P1165" s="386"/>
      <c r="Q1165" s="386"/>
    </row>
    <row r="1166" spans="1:17" s="1659" customFormat="1" ht="30" customHeight="1" x14ac:dyDescent="0.2">
      <c r="A1166" s="7703"/>
      <c r="B1166" s="7652" t="s">
        <v>4550</v>
      </c>
      <c r="C1166" s="7723" t="s">
        <v>1299</v>
      </c>
      <c r="D1166" s="7563">
        <v>120000000</v>
      </c>
      <c r="E1166" s="7659">
        <v>7.0000000000000007E-2</v>
      </c>
      <c r="F1166" s="7563">
        <f>D1166*E1166</f>
        <v>8400000</v>
      </c>
      <c r="G1166" s="7563">
        <v>8400000</v>
      </c>
      <c r="H1166" s="7563" t="s">
        <v>7067</v>
      </c>
      <c r="I1166" s="7563" t="s">
        <v>5178</v>
      </c>
      <c r="J1166" s="7563">
        <f>G1166+G1167</f>
        <v>8400000</v>
      </c>
      <c r="K1166" s="7563">
        <f>F1166-J1166</f>
        <v>0</v>
      </c>
      <c r="L1166" s="5031" t="s">
        <v>4551</v>
      </c>
      <c r="M1166" s="5040"/>
      <c r="N1166" s="5040"/>
      <c r="O1166" s="5040"/>
      <c r="P1166" s="386"/>
      <c r="Q1166" s="386"/>
    </row>
    <row r="1167" spans="1:17" s="1659" customFormat="1" ht="30" customHeight="1" x14ac:dyDescent="0.2">
      <c r="A1167" s="7705"/>
      <c r="B1167" s="7653"/>
      <c r="C1167" s="7724"/>
      <c r="D1167" s="7564"/>
      <c r="E1167" s="7660"/>
      <c r="F1167" s="7564"/>
      <c r="G1167" s="7564"/>
      <c r="H1167" s="7564"/>
      <c r="I1167" s="7564"/>
      <c r="J1167" s="7564"/>
      <c r="K1167" s="7564"/>
      <c r="L1167" s="5031" t="s">
        <v>5148</v>
      </c>
      <c r="M1167" s="5040"/>
      <c r="N1167" s="5040"/>
      <c r="O1167" s="5040"/>
      <c r="P1167" s="386"/>
      <c r="Q1167" s="386"/>
    </row>
    <row r="1168" spans="1:17" s="1659" customFormat="1" ht="30" customHeight="1" x14ac:dyDescent="0.2">
      <c r="A1168" s="5033"/>
      <c r="B1168" s="4968" t="s">
        <v>4577</v>
      </c>
      <c r="C1168" s="5016" t="s">
        <v>371</v>
      </c>
      <c r="D1168" s="4944">
        <v>50000000</v>
      </c>
      <c r="E1168" s="4962">
        <v>0.05</v>
      </c>
      <c r="F1168" s="4952">
        <f>D1168*E1168</f>
        <v>2500000</v>
      </c>
      <c r="G1168" s="4952">
        <v>2500000</v>
      </c>
      <c r="H1168" s="4952" t="s">
        <v>7013</v>
      </c>
      <c r="I1168" s="4999" t="s">
        <v>4578</v>
      </c>
      <c r="J1168" s="4952">
        <f t="shared" ref="J1168:J1185" si="107">G1168</f>
        <v>2500000</v>
      </c>
      <c r="K1168" s="4952">
        <f>F1168-G1168</f>
        <v>0</v>
      </c>
      <c r="L1168" s="5031" t="s">
        <v>5094</v>
      </c>
      <c r="M1168" s="5040"/>
      <c r="N1168" s="5040"/>
      <c r="O1168" s="5040"/>
      <c r="P1168" s="386"/>
      <c r="Q1168" s="386"/>
    </row>
    <row r="1169" spans="1:17" s="1659" customFormat="1" ht="30" customHeight="1" x14ac:dyDescent="0.2">
      <c r="A1169" s="5033"/>
      <c r="B1169" s="4968" t="s">
        <v>4657</v>
      </c>
      <c r="C1169" s="5016" t="s">
        <v>990</v>
      </c>
      <c r="D1169" s="4944">
        <v>10000000</v>
      </c>
      <c r="E1169" s="5011">
        <v>0.05</v>
      </c>
      <c r="F1169" s="4944">
        <f>D1169*E1169</f>
        <v>500000</v>
      </c>
      <c r="G1169" s="4944"/>
      <c r="H1169" s="4944"/>
      <c r="I1169" s="4944" t="s">
        <v>4841</v>
      </c>
      <c r="J1169" s="4944">
        <f t="shared" si="107"/>
        <v>0</v>
      </c>
      <c r="K1169" s="4952">
        <f t="shared" ref="K1169:K1174" si="108">F1169-J1169</f>
        <v>500000</v>
      </c>
      <c r="L1169" s="5069" t="s">
        <v>4658</v>
      </c>
      <c r="M1169" s="5040"/>
      <c r="N1169" s="5040"/>
      <c r="O1169" s="5040"/>
      <c r="P1169" s="386"/>
      <c r="Q1169" s="386"/>
    </row>
    <row r="1170" spans="1:17" s="1659" customFormat="1" ht="30" customHeight="1" x14ac:dyDescent="0.2">
      <c r="A1170" s="5033"/>
      <c r="B1170" s="4968" t="s">
        <v>4667</v>
      </c>
      <c r="C1170" s="5016" t="s">
        <v>1796</v>
      </c>
      <c r="D1170" s="4944">
        <v>100000000</v>
      </c>
      <c r="E1170" s="4962">
        <v>7.0000000000000007E-2</v>
      </c>
      <c r="F1170" s="4952">
        <f>D1170*E1170</f>
        <v>7000000.0000000009</v>
      </c>
      <c r="G1170" s="4952"/>
      <c r="H1170" s="4952"/>
      <c r="I1170" s="4999" t="s">
        <v>4787</v>
      </c>
      <c r="J1170" s="4952">
        <f t="shared" si="107"/>
        <v>0</v>
      </c>
      <c r="K1170" s="4952">
        <f t="shared" si="108"/>
        <v>7000000.0000000009</v>
      </c>
      <c r="L1170" s="5031"/>
      <c r="M1170" s="5040"/>
      <c r="N1170" s="5040"/>
      <c r="O1170" s="5040"/>
      <c r="P1170" s="386"/>
      <c r="Q1170" s="386"/>
    </row>
    <row r="1171" spans="1:17" s="1659" customFormat="1" ht="30" customHeight="1" x14ac:dyDescent="0.2">
      <c r="A1171" s="5033"/>
      <c r="B1171" s="4968" t="s">
        <v>4668</v>
      </c>
      <c r="C1171" s="5016"/>
      <c r="D1171" s="4944">
        <v>100000000</v>
      </c>
      <c r="E1171" s="4962">
        <v>7.0000000000000007E-2</v>
      </c>
      <c r="F1171" s="4952">
        <f t="shared" ref="F1171:F1174" si="109">D1171*E1171</f>
        <v>7000000.0000000009</v>
      </c>
      <c r="G1171" s="4952"/>
      <c r="H1171" s="4952"/>
      <c r="I1171" s="4999" t="s">
        <v>4861</v>
      </c>
      <c r="J1171" s="4952">
        <f t="shared" si="107"/>
        <v>0</v>
      </c>
      <c r="K1171" s="4952">
        <f t="shared" si="108"/>
        <v>7000000.0000000009</v>
      </c>
      <c r="L1171" s="5031"/>
      <c r="M1171" s="5040"/>
      <c r="N1171" s="5040"/>
      <c r="O1171" s="5040"/>
      <c r="P1171" s="386"/>
      <c r="Q1171" s="386"/>
    </row>
    <row r="1172" spans="1:17" s="1659" customFormat="1" ht="30" customHeight="1" x14ac:dyDescent="0.2">
      <c r="A1172" s="5033"/>
      <c r="B1172" s="4968" t="s">
        <v>4669</v>
      </c>
      <c r="C1172" s="5016"/>
      <c r="D1172" s="4944">
        <v>35000000</v>
      </c>
      <c r="E1172" s="4962">
        <v>7.0000000000000007E-2</v>
      </c>
      <c r="F1172" s="4952">
        <f t="shared" si="109"/>
        <v>2450000.0000000005</v>
      </c>
      <c r="G1172" s="4952"/>
      <c r="H1172" s="4952"/>
      <c r="I1172" s="4999" t="s">
        <v>4862</v>
      </c>
      <c r="J1172" s="4952">
        <f t="shared" si="107"/>
        <v>0</v>
      </c>
      <c r="K1172" s="4952">
        <f t="shared" si="108"/>
        <v>2450000.0000000005</v>
      </c>
      <c r="L1172" s="5031"/>
      <c r="M1172" s="5040"/>
      <c r="N1172" s="5040"/>
      <c r="O1172" s="5040"/>
      <c r="P1172" s="386"/>
      <c r="Q1172" s="386"/>
    </row>
    <row r="1173" spans="1:17" s="1659" customFormat="1" ht="30" customHeight="1" x14ac:dyDescent="0.2">
      <c r="A1173" s="5033"/>
      <c r="B1173" s="4968" t="s">
        <v>4676</v>
      </c>
      <c r="C1173" s="5016" t="s">
        <v>1287</v>
      </c>
      <c r="D1173" s="4944">
        <v>110000000</v>
      </c>
      <c r="E1173" s="4962">
        <v>0.05</v>
      </c>
      <c r="F1173" s="4952">
        <f t="shared" si="109"/>
        <v>5500000</v>
      </c>
      <c r="G1173" s="4952">
        <v>5500000</v>
      </c>
      <c r="H1173" s="4952" t="s">
        <v>7065</v>
      </c>
      <c r="I1173" s="4999" t="s">
        <v>5759</v>
      </c>
      <c r="J1173" s="4952">
        <f t="shared" si="107"/>
        <v>5500000</v>
      </c>
      <c r="K1173" s="4952">
        <f t="shared" si="108"/>
        <v>0</v>
      </c>
      <c r="L1173" s="5031" t="s">
        <v>4677</v>
      </c>
      <c r="M1173" s="5040"/>
      <c r="N1173" s="5040"/>
      <c r="O1173" s="5040"/>
      <c r="P1173" s="386"/>
      <c r="Q1173" s="386"/>
    </row>
    <row r="1174" spans="1:17" s="1659" customFormat="1" ht="30" customHeight="1" x14ac:dyDescent="0.2">
      <c r="A1174" s="7703"/>
      <c r="B1174" s="7652" t="s">
        <v>4755</v>
      </c>
      <c r="C1174" s="7723" t="s">
        <v>1796</v>
      </c>
      <c r="D1174" s="7563">
        <v>50000000</v>
      </c>
      <c r="E1174" s="7659">
        <v>0.05</v>
      </c>
      <c r="F1174" s="7563">
        <f t="shared" si="109"/>
        <v>2500000</v>
      </c>
      <c r="G1174" s="4944"/>
      <c r="H1174" s="4944"/>
      <c r="I1174" s="4944" t="s">
        <v>5331</v>
      </c>
      <c r="J1174" s="4944">
        <f t="shared" si="107"/>
        <v>0</v>
      </c>
      <c r="K1174" s="4944">
        <f t="shared" si="108"/>
        <v>2500000</v>
      </c>
      <c r="L1174" s="5069" t="s">
        <v>4756</v>
      </c>
      <c r="M1174" s="5040"/>
      <c r="N1174" s="5040"/>
      <c r="O1174" s="5040"/>
      <c r="P1174" s="386"/>
      <c r="Q1174" s="386"/>
    </row>
    <row r="1175" spans="1:17" s="1659" customFormat="1" ht="30" customHeight="1" x14ac:dyDescent="0.2">
      <c r="A1175" s="7705"/>
      <c r="B1175" s="7653"/>
      <c r="C1175" s="7724"/>
      <c r="D1175" s="7564"/>
      <c r="E1175" s="7660"/>
      <c r="F1175" s="7564"/>
      <c r="G1175" s="4944"/>
      <c r="H1175" s="4944"/>
      <c r="I1175" s="4944" t="s">
        <v>5331</v>
      </c>
      <c r="J1175" s="4944">
        <f t="shared" si="107"/>
        <v>0</v>
      </c>
      <c r="K1175" s="4944">
        <f>F1174-J1175</f>
        <v>2500000</v>
      </c>
      <c r="L1175" s="5069" t="s">
        <v>5242</v>
      </c>
      <c r="M1175" s="5040"/>
      <c r="N1175" s="5040"/>
      <c r="O1175" s="5040"/>
      <c r="P1175" s="386"/>
      <c r="Q1175" s="386"/>
    </row>
    <row r="1176" spans="1:17" s="1659" customFormat="1" ht="30" customHeight="1" x14ac:dyDescent="0.2">
      <c r="A1176" s="5033"/>
      <c r="B1176" s="4968" t="s">
        <v>229</v>
      </c>
      <c r="C1176" s="5016" t="s">
        <v>1306</v>
      </c>
      <c r="D1176" s="4944">
        <v>60000000</v>
      </c>
      <c r="E1176" s="4962">
        <v>0.05</v>
      </c>
      <c r="F1176" s="4952">
        <f t="shared" ref="F1176:F1181" si="110">D1176*E1176</f>
        <v>3000000</v>
      </c>
      <c r="G1176" s="4952"/>
      <c r="H1176" s="4952"/>
      <c r="I1176" s="4999" t="s">
        <v>1063</v>
      </c>
      <c r="J1176" s="4952">
        <f t="shared" si="107"/>
        <v>0</v>
      </c>
      <c r="K1176" s="4952">
        <f t="shared" ref="K1176:K1185" si="111">F1176-J1176</f>
        <v>3000000</v>
      </c>
      <c r="L1176" s="5031"/>
      <c r="M1176" s="5040"/>
      <c r="N1176" s="5040"/>
      <c r="O1176" s="5040"/>
      <c r="P1176" s="386"/>
      <c r="Q1176" s="386"/>
    </row>
    <row r="1177" spans="1:17" s="1659" customFormat="1" ht="30" customHeight="1" x14ac:dyDescent="0.2">
      <c r="A1177" s="5033"/>
      <c r="B1177" s="4968" t="s">
        <v>4792</v>
      </c>
      <c r="C1177" s="5016" t="s">
        <v>2278</v>
      </c>
      <c r="D1177" s="4944">
        <v>200000000</v>
      </c>
      <c r="E1177" s="4962">
        <v>7.0000000000000007E-2</v>
      </c>
      <c r="F1177" s="4952">
        <f t="shared" si="110"/>
        <v>14000000.000000002</v>
      </c>
      <c r="G1177" s="4952">
        <v>14000000</v>
      </c>
      <c r="H1177" s="4952" t="s">
        <v>7065</v>
      </c>
      <c r="I1177" s="4999" t="s">
        <v>5122</v>
      </c>
      <c r="J1177" s="4952">
        <f t="shared" si="107"/>
        <v>14000000</v>
      </c>
      <c r="K1177" s="4952">
        <f t="shared" si="111"/>
        <v>0</v>
      </c>
      <c r="L1177" s="5031" t="s">
        <v>4977</v>
      </c>
      <c r="M1177" s="5040"/>
      <c r="N1177" s="5040"/>
      <c r="O1177" s="5040"/>
      <c r="P1177" s="386"/>
      <c r="Q1177" s="386"/>
    </row>
    <row r="1178" spans="1:17" s="1659" customFormat="1" ht="30" customHeight="1" x14ac:dyDescent="0.2">
      <c r="A1178" s="5033"/>
      <c r="B1178" s="4968" t="s">
        <v>5040</v>
      </c>
      <c r="C1178" s="5016" t="s">
        <v>1300</v>
      </c>
      <c r="D1178" s="4944">
        <v>250000000</v>
      </c>
      <c r="E1178" s="4962">
        <v>7.0000000000000007E-2</v>
      </c>
      <c r="F1178" s="4952">
        <f t="shared" si="110"/>
        <v>17500000</v>
      </c>
      <c r="G1178" s="4952">
        <v>17500000</v>
      </c>
      <c r="H1178" s="4952" t="s">
        <v>7065</v>
      </c>
      <c r="I1178" s="4999" t="s">
        <v>5132</v>
      </c>
      <c r="J1178" s="4952">
        <f t="shared" si="107"/>
        <v>17500000</v>
      </c>
      <c r="K1178" s="4952">
        <f t="shared" si="111"/>
        <v>0</v>
      </c>
      <c r="L1178" s="5031" t="s">
        <v>5600</v>
      </c>
      <c r="M1178" s="5040"/>
      <c r="N1178" s="5040"/>
      <c r="O1178" s="5040"/>
      <c r="P1178" s="386"/>
      <c r="Q1178" s="386"/>
    </row>
    <row r="1179" spans="1:17" s="1659" customFormat="1" ht="30" customHeight="1" x14ac:dyDescent="0.2">
      <c r="A1179" s="5033"/>
      <c r="B1179" s="4968" t="s">
        <v>4914</v>
      </c>
      <c r="C1179" s="5016" t="s">
        <v>1299</v>
      </c>
      <c r="D1179" s="4944">
        <v>200000000</v>
      </c>
      <c r="E1179" s="4962">
        <v>5.5E-2</v>
      </c>
      <c r="F1179" s="4952">
        <f t="shared" si="110"/>
        <v>11000000</v>
      </c>
      <c r="G1179" s="4952"/>
      <c r="H1179" s="4952"/>
      <c r="I1179" s="4999" t="s">
        <v>4581</v>
      </c>
      <c r="J1179" s="4952">
        <f t="shared" si="107"/>
        <v>0</v>
      </c>
      <c r="K1179" s="4952">
        <f t="shared" si="111"/>
        <v>11000000</v>
      </c>
      <c r="L1179" s="5031" t="s">
        <v>4915</v>
      </c>
      <c r="M1179" s="5040"/>
      <c r="N1179" s="5040"/>
      <c r="O1179" s="5040"/>
      <c r="P1179" s="386"/>
      <c r="Q1179" s="386"/>
    </row>
    <row r="1180" spans="1:17" s="1659" customFormat="1" ht="30" customHeight="1" x14ac:dyDescent="0.2">
      <c r="A1180" s="5033"/>
      <c r="B1180" s="4968" t="s">
        <v>4922</v>
      </c>
      <c r="C1180" s="5016"/>
      <c r="D1180" s="4944">
        <v>600000000</v>
      </c>
      <c r="E1180" s="4962">
        <v>7.0000000000000007E-2</v>
      </c>
      <c r="F1180" s="4952">
        <f t="shared" si="110"/>
        <v>42000000.000000007</v>
      </c>
      <c r="G1180" s="4952">
        <v>42000000</v>
      </c>
      <c r="H1180" s="4952" t="s">
        <v>6895</v>
      </c>
      <c r="I1180" s="4999" t="s">
        <v>5604</v>
      </c>
      <c r="J1180" s="4952">
        <f t="shared" si="107"/>
        <v>42000000</v>
      </c>
      <c r="K1180" s="4952">
        <f t="shared" si="111"/>
        <v>0</v>
      </c>
      <c r="L1180" s="5031" t="s">
        <v>5656</v>
      </c>
      <c r="M1180" s="5040"/>
      <c r="N1180" s="5040"/>
      <c r="O1180" s="5040"/>
      <c r="P1180" s="386"/>
      <c r="Q1180" s="386"/>
    </row>
    <row r="1181" spans="1:17" s="1659" customFormat="1" ht="30" customHeight="1" x14ac:dyDescent="0.2">
      <c r="A1181" s="8143"/>
      <c r="B1181" s="8132" t="s">
        <v>4969</v>
      </c>
      <c r="C1181" s="8134" t="s">
        <v>1718</v>
      </c>
      <c r="D1181" s="2548">
        <v>100000000</v>
      </c>
      <c r="E1181" s="2556">
        <v>0.05</v>
      </c>
      <c r="F1181" s="5297">
        <f t="shared" si="110"/>
        <v>5000000</v>
      </c>
      <c r="G1181" s="5297"/>
      <c r="H1181" s="5297"/>
      <c r="I1181" s="5299"/>
      <c r="J1181" s="5297"/>
      <c r="K1181" s="5297"/>
      <c r="L1181" s="3836" t="s">
        <v>4970</v>
      </c>
      <c r="M1181" s="5040"/>
      <c r="N1181" s="5040"/>
      <c r="O1181" s="5040"/>
      <c r="P1181" s="386"/>
      <c r="Q1181" s="386"/>
    </row>
    <row r="1182" spans="1:17" s="1659" customFormat="1" ht="30" customHeight="1" x14ac:dyDescent="0.2">
      <c r="A1182" s="8282"/>
      <c r="B1182" s="8281"/>
      <c r="C1182" s="8156"/>
      <c r="D1182" s="8157" t="s">
        <v>6818</v>
      </c>
      <c r="E1182" s="8158"/>
      <c r="F1182" s="8159"/>
      <c r="G1182" s="5297">
        <v>50000000</v>
      </c>
      <c r="H1182" s="5297" t="s">
        <v>6800</v>
      </c>
      <c r="I1182" s="5299" t="s">
        <v>6358</v>
      </c>
      <c r="J1182" s="8145">
        <f>G1182+G1183</f>
        <v>90000000</v>
      </c>
      <c r="K1182" s="8145">
        <f>90000000-J1182</f>
        <v>0</v>
      </c>
      <c r="L1182" s="3836"/>
      <c r="M1182" s="5175"/>
      <c r="N1182" s="5175"/>
      <c r="O1182" s="5175"/>
      <c r="P1182" s="386"/>
      <c r="Q1182" s="386"/>
    </row>
    <row r="1183" spans="1:17" s="1659" customFormat="1" ht="30" customHeight="1" x14ac:dyDescent="0.2">
      <c r="A1183" s="8144"/>
      <c r="B1183" s="8133"/>
      <c r="C1183" s="8135"/>
      <c r="D1183" s="8163"/>
      <c r="E1183" s="8164"/>
      <c r="F1183" s="8165"/>
      <c r="G1183" s="5297">
        <v>40000000</v>
      </c>
      <c r="H1183" s="5297" t="s">
        <v>6932</v>
      </c>
      <c r="I1183" s="5299" t="s">
        <v>6358</v>
      </c>
      <c r="J1183" s="8147"/>
      <c r="K1183" s="8147"/>
      <c r="L1183" s="3836"/>
      <c r="M1183" s="5175"/>
      <c r="N1183" s="5175"/>
      <c r="O1183" s="5175"/>
      <c r="P1183" s="386"/>
      <c r="Q1183" s="386"/>
    </row>
    <row r="1184" spans="1:17" s="1659" customFormat="1" ht="30" customHeight="1" x14ac:dyDescent="0.2">
      <c r="A1184" s="5033"/>
      <c r="B1184" s="4968" t="s">
        <v>4967</v>
      </c>
      <c r="C1184" s="5016" t="s">
        <v>3483</v>
      </c>
      <c r="D1184" s="4944">
        <v>150000000</v>
      </c>
      <c r="E1184" s="4962">
        <v>5.6000000000000001E-2</v>
      </c>
      <c r="F1184" s="4952">
        <v>8500000</v>
      </c>
      <c r="G1184" s="4952">
        <v>8500000</v>
      </c>
      <c r="H1184" s="4952" t="s">
        <v>6895</v>
      </c>
      <c r="I1184" s="4999" t="s">
        <v>5515</v>
      </c>
      <c r="J1184" s="4952">
        <f t="shared" si="107"/>
        <v>8500000</v>
      </c>
      <c r="K1184" s="4952">
        <f t="shared" si="111"/>
        <v>0</v>
      </c>
      <c r="L1184" s="5031" t="s">
        <v>4968</v>
      </c>
      <c r="M1184" s="5040"/>
      <c r="N1184" s="5040"/>
      <c r="O1184" s="5040"/>
      <c r="P1184" s="386"/>
      <c r="Q1184" s="386"/>
    </row>
    <row r="1185" spans="1:17" s="1659" customFormat="1" ht="30" customHeight="1" x14ac:dyDescent="0.2">
      <c r="A1185" s="5033"/>
      <c r="B1185" s="4968" t="s">
        <v>5019</v>
      </c>
      <c r="C1185" s="4990"/>
      <c r="D1185" s="4952">
        <v>130000000</v>
      </c>
      <c r="E1185" s="4962">
        <v>0.05</v>
      </c>
      <c r="F1185" s="4952">
        <f>D1185*E1185</f>
        <v>6500000</v>
      </c>
      <c r="G1185" s="4952">
        <v>6500000</v>
      </c>
      <c r="H1185" s="4952" t="s">
        <v>7080</v>
      </c>
      <c r="I1185" s="4999" t="s">
        <v>1220</v>
      </c>
      <c r="J1185" s="4952">
        <f t="shared" si="107"/>
        <v>6500000</v>
      </c>
      <c r="K1185" s="4952">
        <f t="shared" si="111"/>
        <v>0</v>
      </c>
      <c r="L1185" s="5031" t="s">
        <v>5020</v>
      </c>
      <c r="M1185" s="5040"/>
      <c r="N1185" s="5040"/>
      <c r="O1185" s="5040"/>
      <c r="P1185" s="386"/>
      <c r="Q1185" s="386"/>
    </row>
    <row r="1186" spans="1:17" s="1659" customFormat="1" ht="30" customHeight="1" x14ac:dyDescent="0.2">
      <c r="A1186" s="7703"/>
      <c r="B1186" s="7652" t="s">
        <v>5021</v>
      </c>
      <c r="C1186" s="7723" t="s">
        <v>1287</v>
      </c>
      <c r="D1186" s="4952">
        <v>200000000</v>
      </c>
      <c r="E1186" s="4962">
        <v>0.05</v>
      </c>
      <c r="F1186" s="4952">
        <f>D1186*E1186</f>
        <v>10000000</v>
      </c>
      <c r="G1186" s="7563">
        <v>20000000</v>
      </c>
      <c r="H1186" s="7563" t="s">
        <v>7065</v>
      </c>
      <c r="I1186" s="7563" t="s">
        <v>5708</v>
      </c>
      <c r="J1186" s="7563">
        <f>G1186</f>
        <v>20000000</v>
      </c>
      <c r="K1186" s="7563">
        <f>F1188-J1186</f>
        <v>0</v>
      </c>
      <c r="L1186" s="5031" t="s">
        <v>5022</v>
      </c>
      <c r="M1186" s="5040"/>
      <c r="N1186" s="5040"/>
      <c r="O1186" s="5040"/>
      <c r="P1186" s="386"/>
      <c r="Q1186" s="386"/>
    </row>
    <row r="1187" spans="1:17" s="1659" customFormat="1" ht="30" customHeight="1" x14ac:dyDescent="0.2">
      <c r="A1187" s="7704"/>
      <c r="B1187" s="7665"/>
      <c r="C1187" s="7747"/>
      <c r="D1187" s="4952">
        <v>200000000</v>
      </c>
      <c r="E1187" s="4962">
        <v>0.05</v>
      </c>
      <c r="F1187" s="4952">
        <f>D1187*E1187</f>
        <v>10000000</v>
      </c>
      <c r="G1187" s="7586"/>
      <c r="H1187" s="7586"/>
      <c r="I1187" s="7586"/>
      <c r="J1187" s="7586"/>
      <c r="K1187" s="7586"/>
      <c r="L1187" s="5031" t="s">
        <v>5151</v>
      </c>
      <c r="M1187" s="5040"/>
      <c r="N1187" s="5040"/>
      <c r="O1187" s="5040"/>
      <c r="P1187" s="386"/>
      <c r="Q1187" s="386"/>
    </row>
    <row r="1188" spans="1:17" s="1659" customFormat="1" ht="30" customHeight="1" x14ac:dyDescent="0.2">
      <c r="A1188" s="7705"/>
      <c r="B1188" s="7653"/>
      <c r="C1188" s="7724"/>
      <c r="D1188" s="5057">
        <v>400000000</v>
      </c>
      <c r="E1188" s="5059">
        <v>0.05</v>
      </c>
      <c r="F1188" s="5057">
        <f>D1188*E1188</f>
        <v>20000000</v>
      </c>
      <c r="G1188" s="7564"/>
      <c r="H1188" s="7564"/>
      <c r="I1188" s="7564"/>
      <c r="J1188" s="7564"/>
      <c r="K1188" s="7564"/>
      <c r="L1188" s="5031" t="s">
        <v>5709</v>
      </c>
      <c r="M1188" s="5040"/>
      <c r="N1188" s="5040"/>
      <c r="O1188" s="5040"/>
      <c r="P1188" s="386"/>
      <c r="Q1188" s="386"/>
    </row>
    <row r="1189" spans="1:17" s="1659" customFormat="1" ht="30" customHeight="1" x14ac:dyDescent="0.2">
      <c r="A1189" s="5033"/>
      <c r="B1189" s="4968" t="s">
        <v>5033</v>
      </c>
      <c r="C1189" s="4990"/>
      <c r="D1189" s="4965"/>
      <c r="E1189" s="4975"/>
      <c r="F1189" s="4965"/>
      <c r="G1189" s="4952"/>
      <c r="H1189" s="4952"/>
      <c r="I1189" s="4999" t="s">
        <v>5034</v>
      </c>
      <c r="J1189" s="4952">
        <f>G1189</f>
        <v>0</v>
      </c>
      <c r="K1189" s="4965">
        <f>F1189-J1189</f>
        <v>0</v>
      </c>
      <c r="L1189" s="5031"/>
      <c r="M1189" s="5040"/>
      <c r="N1189" s="5040"/>
      <c r="O1189" s="5040"/>
      <c r="P1189" s="386"/>
      <c r="Q1189" s="386"/>
    </row>
    <row r="1190" spans="1:17" s="1659" customFormat="1" ht="30" customHeight="1" x14ac:dyDescent="0.2">
      <c r="A1190" s="5076"/>
      <c r="B1190" s="4968" t="s">
        <v>5037</v>
      </c>
      <c r="C1190" s="4990" t="s">
        <v>371</v>
      </c>
      <c r="D1190" s="4952">
        <v>60000000</v>
      </c>
      <c r="E1190" s="4962">
        <v>0.06</v>
      </c>
      <c r="F1190" s="4952">
        <f t="shared" ref="F1190:F1195" si="112">D1190*E1190</f>
        <v>3600000</v>
      </c>
      <c r="G1190" s="4952"/>
      <c r="H1190" s="4952"/>
      <c r="I1190" s="4999"/>
      <c r="J1190" s="4952"/>
      <c r="K1190" s="4952"/>
      <c r="L1190" s="5031" t="s">
        <v>5038</v>
      </c>
      <c r="M1190" s="5040"/>
      <c r="N1190" s="5040"/>
      <c r="O1190" s="5040"/>
      <c r="P1190" s="386"/>
      <c r="Q1190" s="386"/>
    </row>
    <row r="1191" spans="1:17" s="1659" customFormat="1" ht="30" customHeight="1" x14ac:dyDescent="0.2">
      <c r="A1191" s="5076"/>
      <c r="B1191" s="4968" t="s">
        <v>5053</v>
      </c>
      <c r="C1191" s="4990"/>
      <c r="D1191" s="4952">
        <v>300000000</v>
      </c>
      <c r="E1191" s="4962">
        <v>0.05</v>
      </c>
      <c r="F1191" s="4952">
        <f t="shared" si="112"/>
        <v>15000000</v>
      </c>
      <c r="G1191" s="4952">
        <v>15000000</v>
      </c>
      <c r="H1191" s="4952" t="s">
        <v>6932</v>
      </c>
      <c r="I1191" s="4999" t="s">
        <v>5059</v>
      </c>
      <c r="J1191" s="4952">
        <f t="shared" ref="J1191:J1198" si="113">G1191</f>
        <v>15000000</v>
      </c>
      <c r="K1191" s="4952">
        <f>F1191-J1191</f>
        <v>0</v>
      </c>
      <c r="L1191" s="5031"/>
      <c r="M1191" s="5040"/>
      <c r="N1191" s="5040"/>
      <c r="O1191" s="5040"/>
      <c r="P1191" s="386"/>
      <c r="Q1191" s="386"/>
    </row>
    <row r="1192" spans="1:17" s="1659" customFormat="1" ht="30" customHeight="1" x14ac:dyDescent="0.2">
      <c r="A1192" s="5076"/>
      <c r="B1192" s="4968" t="s">
        <v>5064</v>
      </c>
      <c r="C1192" s="4990" t="s">
        <v>372</v>
      </c>
      <c r="D1192" s="4952">
        <v>700000000</v>
      </c>
      <c r="E1192" s="4962">
        <v>6.5000000000000002E-2</v>
      </c>
      <c r="F1192" s="4952">
        <f t="shared" si="112"/>
        <v>45500000</v>
      </c>
      <c r="G1192" s="4952">
        <v>45500000</v>
      </c>
      <c r="H1192" s="4952" t="s">
        <v>6895</v>
      </c>
      <c r="I1192" s="4999" t="s">
        <v>5520</v>
      </c>
      <c r="J1192" s="4952">
        <f t="shared" si="113"/>
        <v>45500000</v>
      </c>
      <c r="K1192" s="4952">
        <f>F1192-J1192</f>
        <v>0</v>
      </c>
      <c r="L1192" s="5031" t="s">
        <v>5066</v>
      </c>
      <c r="M1192" s="5040"/>
      <c r="N1192" s="5040"/>
      <c r="O1192" s="5040"/>
      <c r="P1192" s="386"/>
      <c r="Q1192" s="386"/>
    </row>
    <row r="1193" spans="1:17" s="1659" customFormat="1" ht="30" customHeight="1" x14ac:dyDescent="0.2">
      <c r="A1193" s="5076"/>
      <c r="B1193" s="4968" t="s">
        <v>5065</v>
      </c>
      <c r="C1193" s="4990" t="s">
        <v>372</v>
      </c>
      <c r="D1193" s="4952">
        <v>400000000</v>
      </c>
      <c r="E1193" s="4962">
        <v>6.5000000000000002E-2</v>
      </c>
      <c r="F1193" s="4952">
        <f t="shared" si="112"/>
        <v>26000000</v>
      </c>
      <c r="G1193" s="4952">
        <v>26000000</v>
      </c>
      <c r="H1193" s="4952" t="s">
        <v>6895</v>
      </c>
      <c r="I1193" s="4999" t="s">
        <v>5519</v>
      </c>
      <c r="J1193" s="4952">
        <f t="shared" si="113"/>
        <v>26000000</v>
      </c>
      <c r="K1193" s="4952">
        <f>F1193-J1193</f>
        <v>0</v>
      </c>
      <c r="L1193" s="5031" t="s">
        <v>5066</v>
      </c>
      <c r="M1193" s="5040"/>
      <c r="N1193" s="5040"/>
      <c r="O1193" s="5040"/>
      <c r="P1193" s="386"/>
      <c r="Q1193" s="386"/>
    </row>
    <row r="1194" spans="1:17" s="1659" customFormat="1" ht="30" customHeight="1" x14ac:dyDescent="0.2">
      <c r="A1194" s="5033"/>
      <c r="B1194" s="19" t="s">
        <v>5067</v>
      </c>
      <c r="C1194" s="378" t="s">
        <v>990</v>
      </c>
      <c r="D1194" s="4944">
        <v>32000000</v>
      </c>
      <c r="E1194" s="5011">
        <v>0.05</v>
      </c>
      <c r="F1194" s="4944">
        <f t="shared" si="112"/>
        <v>1600000</v>
      </c>
      <c r="G1194" s="4944">
        <v>1600000</v>
      </c>
      <c r="H1194" s="4944" t="s">
        <v>2474</v>
      </c>
      <c r="I1194" s="4944" t="s">
        <v>5316</v>
      </c>
      <c r="J1194" s="4944">
        <f t="shared" si="113"/>
        <v>1600000</v>
      </c>
      <c r="K1194" s="4944">
        <f>F1194-J1194</f>
        <v>0</v>
      </c>
      <c r="L1194" s="5031" t="s">
        <v>5219</v>
      </c>
      <c r="M1194" s="5040"/>
      <c r="N1194" s="5040"/>
      <c r="O1194" s="5040"/>
      <c r="P1194" s="386"/>
      <c r="Q1194" s="386"/>
    </row>
    <row r="1195" spans="1:17" s="1659" customFormat="1" ht="30" customHeight="1" x14ac:dyDescent="0.2">
      <c r="A1195" s="5076"/>
      <c r="B1195" s="4956" t="s">
        <v>5113</v>
      </c>
      <c r="C1195" s="4990" t="s">
        <v>1291</v>
      </c>
      <c r="D1195" s="4952">
        <v>500000000</v>
      </c>
      <c r="E1195" s="4962">
        <v>0.05</v>
      </c>
      <c r="F1195" s="4952">
        <f t="shared" si="112"/>
        <v>25000000</v>
      </c>
      <c r="G1195" s="4952">
        <v>25000000</v>
      </c>
      <c r="H1195" s="4952" t="s">
        <v>7065</v>
      </c>
      <c r="I1195" s="4999" t="s">
        <v>5114</v>
      </c>
      <c r="J1195" s="4952">
        <f t="shared" si="113"/>
        <v>25000000</v>
      </c>
      <c r="K1195" s="4952">
        <f>F1195-J1195</f>
        <v>0</v>
      </c>
      <c r="L1195" s="5031"/>
      <c r="M1195" s="5040"/>
      <c r="N1195" s="5040"/>
      <c r="O1195" s="5040"/>
      <c r="P1195" s="386"/>
      <c r="Q1195" s="386"/>
    </row>
    <row r="1196" spans="1:17" s="1659" customFormat="1" ht="30" customHeight="1" x14ac:dyDescent="0.2">
      <c r="A1196" s="5076"/>
      <c r="B1196" s="5078" t="s">
        <v>5124</v>
      </c>
      <c r="C1196" s="4990"/>
      <c r="D1196" s="4965"/>
      <c r="E1196" s="4975"/>
      <c r="F1196" s="4965"/>
      <c r="G1196" s="4952"/>
      <c r="H1196" s="4952"/>
      <c r="I1196" s="4999" t="s">
        <v>5125</v>
      </c>
      <c r="J1196" s="4952">
        <f t="shared" si="113"/>
        <v>0</v>
      </c>
      <c r="K1196" s="4952"/>
      <c r="L1196" s="5031"/>
      <c r="M1196" s="5040"/>
      <c r="N1196" s="5040"/>
      <c r="O1196" s="5040"/>
      <c r="P1196" s="386"/>
      <c r="Q1196" s="386"/>
    </row>
    <row r="1197" spans="1:17" s="1659" customFormat="1" ht="30" customHeight="1" x14ac:dyDescent="0.2">
      <c r="A1197" s="5076"/>
      <c r="B1197" s="5078" t="s">
        <v>5129</v>
      </c>
      <c r="C1197" s="4990"/>
      <c r="D1197" s="4965"/>
      <c r="E1197" s="4975"/>
      <c r="F1197" s="4965"/>
      <c r="G1197" s="4952"/>
      <c r="H1197" s="4952"/>
      <c r="I1197" s="4999" t="s">
        <v>6361</v>
      </c>
      <c r="J1197" s="4952">
        <f t="shared" si="113"/>
        <v>0</v>
      </c>
      <c r="K1197" s="4952"/>
      <c r="L1197" s="5031"/>
      <c r="M1197" s="5040"/>
      <c r="N1197" s="5040"/>
      <c r="O1197" s="5040"/>
      <c r="P1197" s="386"/>
      <c r="Q1197" s="386"/>
    </row>
    <row r="1198" spans="1:17" s="1659" customFormat="1" ht="30" customHeight="1" x14ac:dyDescent="0.2">
      <c r="A1198" s="5076"/>
      <c r="B1198" s="4968" t="s">
        <v>5218</v>
      </c>
      <c r="C1198" s="4990" t="s">
        <v>990</v>
      </c>
      <c r="D1198" s="4952">
        <v>50000000</v>
      </c>
      <c r="E1198" s="4962">
        <v>0.05</v>
      </c>
      <c r="F1198" s="4952">
        <f>D1198*E1198</f>
        <v>2500000</v>
      </c>
      <c r="G1198" s="4952"/>
      <c r="H1198" s="4952"/>
      <c r="I1198" s="4999" t="s">
        <v>6694</v>
      </c>
      <c r="J1198" s="4952">
        <f t="shared" si="113"/>
        <v>0</v>
      </c>
      <c r="K1198" s="4952">
        <f>F1198-J1198</f>
        <v>2500000</v>
      </c>
      <c r="L1198" s="5031" t="s">
        <v>6695</v>
      </c>
      <c r="M1198" s="5040"/>
      <c r="N1198" s="5040"/>
      <c r="O1198" s="5040"/>
      <c r="P1198" s="386"/>
      <c r="Q1198" s="386"/>
    </row>
    <row r="1199" spans="1:17" s="1659" customFormat="1" ht="30" customHeight="1" x14ac:dyDescent="0.2">
      <c r="A1199" s="7703"/>
      <c r="B1199" s="7652" t="s">
        <v>5241</v>
      </c>
      <c r="C1199" s="7723" t="s">
        <v>1306</v>
      </c>
      <c r="D1199" s="7563">
        <v>100000000</v>
      </c>
      <c r="E1199" s="7659">
        <v>7.0000000000000007E-2</v>
      </c>
      <c r="F1199" s="7563">
        <f>D1199*E1199</f>
        <v>7000000.0000000009</v>
      </c>
      <c r="G1199" s="4952"/>
      <c r="H1199" s="4952"/>
      <c r="I1199" s="4999"/>
      <c r="J1199" s="4952"/>
      <c r="K1199" s="4952"/>
      <c r="L1199" s="5031" t="s">
        <v>5322</v>
      </c>
      <c r="M1199" s="5040"/>
      <c r="N1199" s="5040"/>
      <c r="O1199" s="5040"/>
      <c r="P1199" s="386"/>
      <c r="Q1199" s="386"/>
    </row>
    <row r="1200" spans="1:17" s="1659" customFormat="1" ht="30" customHeight="1" x14ac:dyDescent="0.2">
      <c r="A1200" s="7704"/>
      <c r="B1200" s="7665"/>
      <c r="C1200" s="7747"/>
      <c r="D1200" s="7564"/>
      <c r="E1200" s="7660"/>
      <c r="F1200" s="7564"/>
      <c r="G1200" s="4952"/>
      <c r="H1200" s="4952"/>
      <c r="I1200" s="4999"/>
      <c r="J1200" s="4952"/>
      <c r="K1200" s="4952"/>
      <c r="L1200" s="5031" t="s">
        <v>5794</v>
      </c>
      <c r="M1200" s="5040"/>
      <c r="N1200" s="5040"/>
      <c r="O1200" s="5040"/>
      <c r="P1200" s="386"/>
      <c r="Q1200" s="386"/>
    </row>
    <row r="1201" spans="1:17" s="1659" customFormat="1" ht="30" customHeight="1" x14ac:dyDescent="0.2">
      <c r="A1201" s="7704"/>
      <c r="B1201" s="7665"/>
      <c r="C1201" s="7747"/>
      <c r="D1201" s="4952">
        <v>280000000</v>
      </c>
      <c r="E1201" s="4962">
        <v>7.0000000000000007E-2</v>
      </c>
      <c r="F1201" s="4952">
        <f t="shared" ref="F1201:F1209" si="114">D1201*E1201</f>
        <v>19600000.000000004</v>
      </c>
      <c r="G1201" s="4952"/>
      <c r="H1201" s="4952"/>
      <c r="I1201" s="4999"/>
      <c r="J1201" s="4952"/>
      <c r="K1201" s="4952"/>
      <c r="L1201" s="5031" t="s">
        <v>5795</v>
      </c>
      <c r="M1201" s="5040"/>
      <c r="N1201" s="5040"/>
      <c r="O1201" s="5040"/>
      <c r="P1201" s="386"/>
      <c r="Q1201" s="386"/>
    </row>
    <row r="1202" spans="1:17" s="1659" customFormat="1" ht="30" customHeight="1" x14ac:dyDescent="0.2">
      <c r="A1202" s="7704"/>
      <c r="B1202" s="7665"/>
      <c r="C1202" s="7747"/>
      <c r="D1202" s="4952">
        <v>745000000</v>
      </c>
      <c r="E1202" s="4962">
        <v>7.0000000000000007E-2</v>
      </c>
      <c r="F1202" s="4952">
        <f t="shared" si="114"/>
        <v>52150000.000000007</v>
      </c>
      <c r="G1202" s="7732" t="s">
        <v>5984</v>
      </c>
      <c r="H1202" s="7733"/>
      <c r="I1202" s="7733"/>
      <c r="J1202" s="7734"/>
      <c r="K1202" s="4952"/>
      <c r="L1202" s="5031"/>
      <c r="M1202" s="5040"/>
      <c r="N1202" s="5040"/>
      <c r="O1202" s="5040"/>
      <c r="P1202" s="386"/>
      <c r="Q1202" s="386"/>
    </row>
    <row r="1203" spans="1:17" s="1659" customFormat="1" ht="30" customHeight="1" x14ac:dyDescent="0.2">
      <c r="A1203" s="7704"/>
      <c r="B1203" s="7665"/>
      <c r="C1203" s="7747"/>
      <c r="D1203" s="5057">
        <f>SUM(D1199:D1202)</f>
        <v>1125000000</v>
      </c>
      <c r="E1203" s="5059">
        <v>7.0000000000000007E-2</v>
      </c>
      <c r="F1203" s="5057">
        <f t="shared" si="114"/>
        <v>78750000.000000015</v>
      </c>
      <c r="G1203" s="7732" t="s">
        <v>5983</v>
      </c>
      <c r="H1203" s="7733"/>
      <c r="I1203" s="7733"/>
      <c r="J1203" s="7734"/>
      <c r="K1203" s="4952"/>
      <c r="L1203" s="5031"/>
      <c r="M1203" s="5040"/>
      <c r="N1203" s="5040"/>
      <c r="O1203" s="5040"/>
      <c r="P1203" s="386"/>
      <c r="Q1203" s="386"/>
    </row>
    <row r="1204" spans="1:17" s="1659" customFormat="1" ht="30" customHeight="1" x14ac:dyDescent="0.2">
      <c r="A1204" s="7704"/>
      <c r="B1204" s="7665"/>
      <c r="C1204" s="7747"/>
      <c r="D1204" s="8026">
        <v>1275000000</v>
      </c>
      <c r="E1204" s="8405">
        <v>7.0000000000000007E-2</v>
      </c>
      <c r="F1204" s="8026">
        <f t="shared" si="114"/>
        <v>89250000.000000015</v>
      </c>
      <c r="G1204" s="7732" t="s">
        <v>6008</v>
      </c>
      <c r="H1204" s="7733"/>
      <c r="I1204" s="7733"/>
      <c r="J1204" s="7734"/>
      <c r="K1204" s="4952"/>
      <c r="L1204" s="5031" t="s">
        <v>6009</v>
      </c>
      <c r="M1204" s="5040"/>
      <c r="N1204" s="5040"/>
      <c r="O1204" s="5040"/>
      <c r="P1204" s="386"/>
      <c r="Q1204" s="386"/>
    </row>
    <row r="1205" spans="1:17" s="1659" customFormat="1" ht="30" customHeight="1" x14ac:dyDescent="0.2">
      <c r="A1205" s="7705"/>
      <c r="B1205" s="7653"/>
      <c r="C1205" s="7724"/>
      <c r="D1205" s="8027"/>
      <c r="E1205" s="8406"/>
      <c r="F1205" s="8027"/>
      <c r="G1205" s="4944"/>
      <c r="H1205" s="4944"/>
      <c r="I1205" s="4944" t="s">
        <v>6626</v>
      </c>
      <c r="J1205" s="4944">
        <f t="shared" ref="J1205:J1212" si="115">G1205</f>
        <v>0</v>
      </c>
      <c r="K1205" s="4952">
        <f>F1204-J1205</f>
        <v>89250000.000000015</v>
      </c>
      <c r="L1205" s="5031"/>
      <c r="M1205" s="5040"/>
      <c r="N1205" s="5040"/>
      <c r="O1205" s="5040"/>
      <c r="P1205" s="386"/>
      <c r="Q1205" s="386"/>
    </row>
    <row r="1206" spans="1:17" s="1659" customFormat="1" ht="30" customHeight="1" x14ac:dyDescent="0.2">
      <c r="A1206" s="7703"/>
      <c r="B1206" s="7652" t="s">
        <v>5243</v>
      </c>
      <c r="C1206" s="7723" t="s">
        <v>1081</v>
      </c>
      <c r="D1206" s="4952">
        <v>50000000</v>
      </c>
      <c r="E1206" s="4962">
        <v>0.05</v>
      </c>
      <c r="F1206" s="4952">
        <f t="shared" si="114"/>
        <v>2500000</v>
      </c>
      <c r="G1206" s="4944"/>
      <c r="H1206" s="4944"/>
      <c r="I1206" s="4944" t="s">
        <v>5994</v>
      </c>
      <c r="J1206" s="4944">
        <f t="shared" si="115"/>
        <v>0</v>
      </c>
      <c r="K1206" s="4944">
        <f>F1206-J1206</f>
        <v>2500000</v>
      </c>
      <c r="L1206" s="5031" t="s">
        <v>5278</v>
      </c>
      <c r="M1206" s="5040" t="s">
        <v>5277</v>
      </c>
      <c r="N1206" s="5040"/>
      <c r="O1206" s="5040"/>
      <c r="P1206" s="386"/>
      <c r="Q1206" s="386"/>
    </row>
    <row r="1207" spans="1:17" s="1659" customFormat="1" ht="30" customHeight="1" x14ac:dyDescent="0.2">
      <c r="A1207" s="7705"/>
      <c r="B1207" s="7653"/>
      <c r="C1207" s="7724"/>
      <c r="D1207" s="4952">
        <v>30000000</v>
      </c>
      <c r="E1207" s="4962">
        <v>0.05</v>
      </c>
      <c r="F1207" s="4952">
        <f t="shared" si="114"/>
        <v>1500000</v>
      </c>
      <c r="G1207" s="7732" t="s">
        <v>6838</v>
      </c>
      <c r="H1207" s="7733"/>
      <c r="I1207" s="7733"/>
      <c r="J1207" s="7734"/>
      <c r="K1207" s="4944"/>
      <c r="L1207" s="5031" t="s">
        <v>6748</v>
      </c>
      <c r="M1207" s="5040"/>
      <c r="N1207" s="5040"/>
      <c r="O1207" s="5040"/>
      <c r="P1207" s="386"/>
      <c r="Q1207" s="386"/>
    </row>
    <row r="1208" spans="1:17" s="1659" customFormat="1" ht="30" customHeight="1" x14ac:dyDescent="0.2">
      <c r="A1208" s="5076"/>
      <c r="B1208" s="4968" t="s">
        <v>5250</v>
      </c>
      <c r="C1208" s="5016" t="s">
        <v>1138</v>
      </c>
      <c r="D1208" s="4944">
        <v>100000000</v>
      </c>
      <c r="E1208" s="4962">
        <v>0.05</v>
      </c>
      <c r="F1208" s="4952">
        <f t="shared" si="114"/>
        <v>5000000</v>
      </c>
      <c r="G1208" s="4952"/>
      <c r="H1208" s="4952"/>
      <c r="I1208" s="4999" t="s">
        <v>5997</v>
      </c>
      <c r="J1208" s="4952">
        <f t="shared" si="115"/>
        <v>0</v>
      </c>
      <c r="K1208" s="4952">
        <f>F1208-J1208</f>
        <v>5000000</v>
      </c>
      <c r="L1208" s="5031" t="s">
        <v>5251</v>
      </c>
      <c r="M1208" s="5040"/>
      <c r="N1208" s="5040"/>
      <c r="O1208" s="5040"/>
      <c r="P1208" s="386"/>
      <c r="Q1208" s="386"/>
    </row>
    <row r="1209" spans="1:17" s="1659" customFormat="1" ht="30" customHeight="1" x14ac:dyDescent="0.2">
      <c r="A1209" s="5076"/>
      <c r="B1209" s="4968" t="s">
        <v>5252</v>
      </c>
      <c r="C1209" s="4990" t="s">
        <v>942</v>
      </c>
      <c r="D1209" s="4952">
        <v>200000000</v>
      </c>
      <c r="E1209" s="4962">
        <v>5.5E-2</v>
      </c>
      <c r="F1209" s="4952">
        <f t="shared" si="114"/>
        <v>11000000</v>
      </c>
      <c r="G1209" s="4952">
        <v>11000000</v>
      </c>
      <c r="H1209" s="4952" t="s">
        <v>6773</v>
      </c>
      <c r="I1209" s="4999" t="s">
        <v>6141</v>
      </c>
      <c r="J1209" s="4952">
        <f t="shared" si="115"/>
        <v>11000000</v>
      </c>
      <c r="K1209" s="4952">
        <f>F1209-J1209</f>
        <v>0</v>
      </c>
      <c r="L1209" s="5031" t="s">
        <v>5305</v>
      </c>
      <c r="M1209" s="5040"/>
      <c r="N1209" s="5040"/>
      <c r="O1209" s="5040"/>
      <c r="P1209" s="386"/>
      <c r="Q1209" s="386"/>
    </row>
    <row r="1210" spans="1:17" s="1659" customFormat="1" ht="30" customHeight="1" x14ac:dyDescent="0.2">
      <c r="A1210" s="5076"/>
      <c r="B1210" s="4968" t="s">
        <v>5304</v>
      </c>
      <c r="C1210" s="4990"/>
      <c r="D1210" s="4965"/>
      <c r="E1210" s="4975"/>
      <c r="F1210" s="4965"/>
      <c r="G1210" s="4952"/>
      <c r="H1210" s="4952"/>
      <c r="I1210" s="4999" t="s">
        <v>4147</v>
      </c>
      <c r="J1210" s="4952">
        <f t="shared" si="115"/>
        <v>0</v>
      </c>
      <c r="K1210" s="4965"/>
      <c r="L1210" s="5031"/>
      <c r="M1210" s="5040"/>
      <c r="N1210" s="5040"/>
      <c r="O1210" s="5040"/>
      <c r="P1210" s="386"/>
      <c r="Q1210" s="386"/>
    </row>
    <row r="1211" spans="1:17" s="1659" customFormat="1" ht="30" customHeight="1" x14ac:dyDescent="0.2">
      <c r="A1211" s="7703"/>
      <c r="B1211" s="7652" t="s">
        <v>5310</v>
      </c>
      <c r="C1211" s="7723"/>
      <c r="D1211" s="7563">
        <v>30000000</v>
      </c>
      <c r="E1211" s="7659">
        <v>0.05</v>
      </c>
      <c r="F1211" s="7563">
        <f>D1211*E1211</f>
        <v>1500000</v>
      </c>
      <c r="G1211" s="4952"/>
      <c r="H1211" s="4952"/>
      <c r="I1211" s="4999" t="s">
        <v>6139</v>
      </c>
      <c r="J1211" s="4952">
        <f t="shared" si="115"/>
        <v>0</v>
      </c>
      <c r="K1211" s="4952">
        <f>F1211-J1211</f>
        <v>1500000</v>
      </c>
      <c r="L1211" s="5031" t="s">
        <v>5435</v>
      </c>
      <c r="M1211" s="5040"/>
      <c r="N1211" s="5040"/>
      <c r="O1211" s="5040"/>
      <c r="P1211" s="386"/>
      <c r="Q1211" s="386"/>
    </row>
    <row r="1212" spans="1:17" s="1659" customFormat="1" ht="30" customHeight="1" x14ac:dyDescent="0.2">
      <c r="A1212" s="7705"/>
      <c r="B1212" s="7653"/>
      <c r="C1212" s="7724"/>
      <c r="D1212" s="7564"/>
      <c r="E1212" s="7660"/>
      <c r="F1212" s="7564"/>
      <c r="G1212" s="4952"/>
      <c r="H1212" s="4952"/>
      <c r="I1212" s="4999" t="s">
        <v>6139</v>
      </c>
      <c r="J1212" s="4952">
        <f t="shared" si="115"/>
        <v>0</v>
      </c>
      <c r="K1212" s="4952">
        <f>F1211-J1212</f>
        <v>1500000</v>
      </c>
      <c r="L1212" s="5031" t="s">
        <v>5482</v>
      </c>
      <c r="M1212" s="5040"/>
      <c r="N1212" s="5040"/>
      <c r="O1212" s="5040"/>
      <c r="P1212" s="386"/>
      <c r="Q1212" s="386"/>
    </row>
    <row r="1213" spans="1:17" s="1659" customFormat="1" ht="30" customHeight="1" x14ac:dyDescent="0.2">
      <c r="A1213" s="5076"/>
      <c r="B1213" s="4968" t="s">
        <v>5311</v>
      </c>
      <c r="C1213" s="4990"/>
      <c r="D1213" s="4952">
        <v>10000000</v>
      </c>
      <c r="E1213" s="4962">
        <v>0.05</v>
      </c>
      <c r="F1213" s="4952">
        <f>D1213*E1213</f>
        <v>500000</v>
      </c>
      <c r="G1213" s="4952"/>
      <c r="H1213" s="4952"/>
      <c r="I1213" s="4999"/>
      <c r="J1213" s="4952"/>
      <c r="K1213" s="4952"/>
      <c r="L1213" s="5031" t="s">
        <v>5437</v>
      </c>
      <c r="M1213" s="5040"/>
      <c r="N1213" s="5040"/>
      <c r="O1213" s="5040"/>
      <c r="P1213" s="386"/>
      <c r="Q1213" s="386"/>
    </row>
    <row r="1214" spans="1:17" s="1659" customFormat="1" ht="30" customHeight="1" x14ac:dyDescent="0.2">
      <c r="A1214" s="5076"/>
      <c r="B1214" s="4968" t="s">
        <v>5319</v>
      </c>
      <c r="C1214" s="4990" t="s">
        <v>889</v>
      </c>
      <c r="D1214" s="4952">
        <v>110000000</v>
      </c>
      <c r="E1214" s="4962">
        <v>0.05</v>
      </c>
      <c r="F1214" s="4952">
        <f>D1214*E1214</f>
        <v>5500000</v>
      </c>
      <c r="G1214" s="4952">
        <v>5500000</v>
      </c>
      <c r="H1214" s="4952" t="s">
        <v>6785</v>
      </c>
      <c r="I1214" s="4999" t="s">
        <v>6194</v>
      </c>
      <c r="J1214" s="4952">
        <f>G1214</f>
        <v>5500000</v>
      </c>
      <c r="K1214" s="4952">
        <f>F1214-J1214</f>
        <v>0</v>
      </c>
      <c r="L1214" s="5031" t="s">
        <v>5320</v>
      </c>
      <c r="M1214" s="5040"/>
      <c r="N1214" s="5040"/>
      <c r="O1214" s="5040"/>
      <c r="P1214" s="386"/>
      <c r="Q1214" s="386"/>
    </row>
    <row r="1215" spans="1:17" s="1659" customFormat="1" ht="30" customHeight="1" x14ac:dyDescent="0.2">
      <c r="A1215" s="5076"/>
      <c r="B1215" s="4968" t="s">
        <v>5325</v>
      </c>
      <c r="C1215" s="4990"/>
      <c r="D1215" s="4965"/>
      <c r="E1215" s="4975"/>
      <c r="F1215" s="4965"/>
      <c r="G1215" s="4952"/>
      <c r="H1215" s="4952"/>
      <c r="I1215" s="4999" t="s">
        <v>5326</v>
      </c>
      <c r="J1215" s="4952">
        <f>G1215</f>
        <v>0</v>
      </c>
      <c r="K1215" s="4952"/>
      <c r="L1215" s="3476" t="s">
        <v>5327</v>
      </c>
      <c r="M1215" s="5040"/>
      <c r="N1215" s="5040"/>
      <c r="O1215" s="5040"/>
      <c r="P1215" s="386"/>
      <c r="Q1215" s="386"/>
    </row>
    <row r="1216" spans="1:17" s="1659" customFormat="1" ht="30" customHeight="1" x14ac:dyDescent="0.2">
      <c r="A1216" s="5076"/>
      <c r="B1216" s="4968" t="s">
        <v>5332</v>
      </c>
      <c r="C1216" s="4990"/>
      <c r="D1216" s="4952">
        <v>30000000</v>
      </c>
      <c r="E1216" s="4962">
        <v>7.0000000000000007E-2</v>
      </c>
      <c r="F1216" s="4952">
        <f>D1216*E1216</f>
        <v>2100000</v>
      </c>
      <c r="G1216" s="4952"/>
      <c r="H1216" s="4952"/>
      <c r="I1216" s="4999" t="s">
        <v>5918</v>
      </c>
      <c r="J1216" s="4952">
        <f>G1216</f>
        <v>0</v>
      </c>
      <c r="K1216" s="4952">
        <f>F1216-J1216</f>
        <v>2100000</v>
      </c>
      <c r="L1216" s="5031"/>
      <c r="M1216" s="5040"/>
      <c r="N1216" s="5040"/>
      <c r="O1216" s="5040"/>
      <c r="P1216" s="386"/>
      <c r="Q1216" s="386"/>
    </row>
    <row r="1217" spans="1:17" s="1659" customFormat="1" ht="30" customHeight="1" x14ac:dyDescent="0.2">
      <c r="A1217" s="7703"/>
      <c r="B1217" s="7652" t="s">
        <v>5362</v>
      </c>
      <c r="C1217" s="7723"/>
      <c r="D1217" s="7563">
        <v>11000000</v>
      </c>
      <c r="E1217" s="7659">
        <v>0.06</v>
      </c>
      <c r="F1217" s="7563">
        <f>D1217*E1217</f>
        <v>660000</v>
      </c>
      <c r="G1217" s="7563">
        <v>780000</v>
      </c>
      <c r="H1217" s="7563" t="s">
        <v>7252</v>
      </c>
      <c r="I1217" s="7563" t="s">
        <v>7253</v>
      </c>
      <c r="J1217" s="7563">
        <f>G1217</f>
        <v>780000</v>
      </c>
      <c r="K1217" s="7563">
        <f>(F1217+F1219)-J1217</f>
        <v>0</v>
      </c>
      <c r="L1217" s="5031" t="s">
        <v>5363</v>
      </c>
      <c r="M1217" s="5040"/>
      <c r="N1217" s="5040"/>
      <c r="O1217" s="5040"/>
      <c r="P1217" s="386"/>
      <c r="Q1217" s="386"/>
    </row>
    <row r="1218" spans="1:17" s="1659" customFormat="1" ht="30" customHeight="1" x14ac:dyDescent="0.2">
      <c r="A1218" s="7704"/>
      <c r="B1218" s="7665"/>
      <c r="C1218" s="7747"/>
      <c r="D1218" s="7564"/>
      <c r="E1218" s="7660"/>
      <c r="F1218" s="7564"/>
      <c r="G1218" s="7586"/>
      <c r="H1218" s="7586"/>
      <c r="I1218" s="7586"/>
      <c r="J1218" s="7586"/>
      <c r="K1218" s="7586"/>
      <c r="L1218" s="5062" t="s">
        <v>5642</v>
      </c>
      <c r="M1218" s="5040"/>
      <c r="N1218" s="5040"/>
      <c r="O1218" s="5040"/>
      <c r="P1218" s="386"/>
      <c r="Q1218" s="386"/>
    </row>
    <row r="1219" spans="1:17" s="1659" customFormat="1" ht="30" customHeight="1" x14ac:dyDescent="0.2">
      <c r="A1219" s="7705"/>
      <c r="B1219" s="7653"/>
      <c r="C1219" s="7724"/>
      <c r="D1219" s="4944">
        <v>2000000</v>
      </c>
      <c r="E1219" s="5011">
        <v>0.06</v>
      </c>
      <c r="F1219" s="4944">
        <f>D1219*E1219</f>
        <v>120000</v>
      </c>
      <c r="G1219" s="7564"/>
      <c r="H1219" s="7564"/>
      <c r="I1219" s="7564"/>
      <c r="J1219" s="7564"/>
      <c r="K1219" s="7564"/>
      <c r="L1219" s="5062" t="s">
        <v>6308</v>
      </c>
      <c r="M1219" s="5040"/>
      <c r="N1219" s="5040"/>
      <c r="O1219" s="5040"/>
      <c r="P1219" s="386"/>
      <c r="Q1219" s="386"/>
    </row>
    <row r="1220" spans="1:17" s="1659" customFormat="1" ht="30" customHeight="1" x14ac:dyDescent="0.2">
      <c r="A1220" s="7703"/>
      <c r="B1220" s="7652" t="s">
        <v>5365</v>
      </c>
      <c r="C1220" s="7723"/>
      <c r="D1220" s="7563"/>
      <c r="E1220" s="7659"/>
      <c r="F1220" s="7563"/>
      <c r="G1220" s="4952"/>
      <c r="H1220" s="4952"/>
      <c r="I1220" s="4999" t="s">
        <v>678</v>
      </c>
      <c r="J1220" s="7563">
        <f>G1220+G1221</f>
        <v>0</v>
      </c>
      <c r="K1220" s="7563"/>
      <c r="L1220" s="7674" t="s">
        <v>5366</v>
      </c>
      <c r="M1220" s="5040"/>
      <c r="N1220" s="5040"/>
      <c r="O1220" s="5040"/>
      <c r="P1220" s="386"/>
      <c r="Q1220" s="386"/>
    </row>
    <row r="1221" spans="1:17" s="1659" customFormat="1" ht="30" customHeight="1" x14ac:dyDescent="0.2">
      <c r="A1221" s="7705"/>
      <c r="B1221" s="7653"/>
      <c r="C1221" s="7724"/>
      <c r="D1221" s="7564"/>
      <c r="E1221" s="7660"/>
      <c r="F1221" s="7564"/>
      <c r="G1221" s="4952"/>
      <c r="H1221" s="4952"/>
      <c r="I1221" s="4999" t="s">
        <v>5418</v>
      </c>
      <c r="J1221" s="7564"/>
      <c r="K1221" s="7564"/>
      <c r="L1221" s="7675"/>
      <c r="M1221" s="5040"/>
      <c r="N1221" s="5040"/>
      <c r="O1221" s="5040"/>
      <c r="P1221" s="386"/>
      <c r="Q1221" s="386"/>
    </row>
    <row r="1222" spans="1:17" s="1659" customFormat="1" ht="30" customHeight="1" x14ac:dyDescent="0.2">
      <c r="A1222" s="7703"/>
      <c r="B1222" s="7652" t="s">
        <v>5370</v>
      </c>
      <c r="C1222" s="7723" t="s">
        <v>4223</v>
      </c>
      <c r="D1222" s="7563">
        <v>300000000</v>
      </c>
      <c r="E1222" s="7659">
        <v>5.5E-2</v>
      </c>
      <c r="F1222" s="7563">
        <f>D1222*E1222</f>
        <v>16500000</v>
      </c>
      <c r="G1222" s="7470" t="s">
        <v>5526</v>
      </c>
      <c r="H1222" s="7493"/>
      <c r="I1222" s="7493"/>
      <c r="J1222" s="7510"/>
      <c r="K1222" s="4952"/>
      <c r="L1222" s="5031" t="s">
        <v>5525</v>
      </c>
      <c r="M1222" s="5040"/>
      <c r="N1222" s="5040"/>
      <c r="O1222" s="5040"/>
      <c r="P1222" s="386"/>
      <c r="Q1222" s="386"/>
    </row>
    <row r="1223" spans="1:17" s="1659" customFormat="1" ht="30" customHeight="1" x14ac:dyDescent="0.2">
      <c r="A1223" s="7705"/>
      <c r="B1223" s="7653"/>
      <c r="C1223" s="7724"/>
      <c r="D1223" s="7564"/>
      <c r="E1223" s="7660"/>
      <c r="F1223" s="7564"/>
      <c r="G1223" s="4944">
        <v>16500000</v>
      </c>
      <c r="H1223" s="4944" t="s">
        <v>7013</v>
      </c>
      <c r="I1223" s="4944" t="s">
        <v>7014</v>
      </c>
      <c r="J1223" s="4944">
        <f>G1223</f>
        <v>16500000</v>
      </c>
      <c r="K1223" s="4952">
        <f>F1222-J1223</f>
        <v>0</v>
      </c>
      <c r="L1223" s="5031"/>
      <c r="M1223" s="5040"/>
      <c r="N1223" s="5040"/>
      <c r="O1223" s="5040"/>
      <c r="P1223" s="386"/>
      <c r="Q1223" s="386"/>
    </row>
    <row r="1224" spans="1:17" s="1659" customFormat="1" ht="30" customHeight="1" x14ac:dyDescent="0.2">
      <c r="A1224" s="5076"/>
      <c r="B1224" s="4968" t="s">
        <v>5401</v>
      </c>
      <c r="C1224" s="4990"/>
      <c r="D1224" s="4965"/>
      <c r="E1224" s="4975"/>
      <c r="F1224" s="4965"/>
      <c r="G1224" s="4952"/>
      <c r="H1224" s="4952"/>
      <c r="I1224" s="4999" t="s">
        <v>5402</v>
      </c>
      <c r="J1224" s="4952">
        <f>G1224</f>
        <v>0</v>
      </c>
      <c r="K1224" s="4965"/>
      <c r="L1224" s="5031"/>
      <c r="M1224" s="5040"/>
      <c r="N1224" s="5040"/>
      <c r="O1224" s="5040"/>
      <c r="P1224" s="386"/>
      <c r="Q1224" s="386"/>
    </row>
    <row r="1225" spans="1:17" s="1659" customFormat="1" ht="30" customHeight="1" x14ac:dyDescent="0.2">
      <c r="A1225" s="5076"/>
      <c r="B1225" s="4968" t="s">
        <v>5421</v>
      </c>
      <c r="C1225" s="4990"/>
      <c r="D1225" s="4965"/>
      <c r="E1225" s="4975"/>
      <c r="F1225" s="4965"/>
      <c r="G1225" s="4944">
        <v>15000000</v>
      </c>
      <c r="H1225" s="4944" t="s">
        <v>7168</v>
      </c>
      <c r="I1225" s="4944" t="s">
        <v>5422</v>
      </c>
      <c r="J1225" s="4944">
        <f>G1225</f>
        <v>15000000</v>
      </c>
      <c r="K1225" s="4965"/>
      <c r="L1225" s="5031"/>
      <c r="M1225" s="5040"/>
      <c r="N1225" s="5040"/>
      <c r="O1225" s="5040"/>
      <c r="P1225" s="386"/>
      <c r="Q1225" s="386"/>
    </row>
    <row r="1226" spans="1:17" s="1659" customFormat="1" ht="30" customHeight="1" x14ac:dyDescent="0.2">
      <c r="A1226" s="5076"/>
      <c r="B1226" s="5078" t="s">
        <v>5407</v>
      </c>
      <c r="C1226" s="5029"/>
      <c r="D1226" s="4965">
        <v>70000000</v>
      </c>
      <c r="E1226" s="4975"/>
      <c r="F1226" s="4965"/>
      <c r="G1226" s="7552" t="s">
        <v>5410</v>
      </c>
      <c r="H1226" s="7843"/>
      <c r="I1226" s="7843"/>
      <c r="J1226" s="7844"/>
      <c r="K1226" s="4965"/>
      <c r="L1226" s="3476" t="s">
        <v>5675</v>
      </c>
      <c r="M1226" s="5040"/>
      <c r="N1226" s="5040"/>
      <c r="O1226" s="5040"/>
      <c r="P1226" s="386"/>
      <c r="Q1226" s="386"/>
    </row>
    <row r="1227" spans="1:17" s="1659" customFormat="1" ht="30" customHeight="1" x14ac:dyDescent="0.2">
      <c r="A1227" s="5076"/>
      <c r="B1227" s="4968" t="s">
        <v>5411</v>
      </c>
      <c r="C1227" s="4990" t="s">
        <v>392</v>
      </c>
      <c r="D1227" s="4952">
        <v>8000000</v>
      </c>
      <c r="E1227" s="4962">
        <v>0.05</v>
      </c>
      <c r="F1227" s="4952">
        <f>D1227*E1227</f>
        <v>400000</v>
      </c>
      <c r="G1227" s="4944">
        <v>400000</v>
      </c>
      <c r="H1227" s="4944" t="s">
        <v>6895</v>
      </c>
      <c r="I1227" s="4944" t="s">
        <v>6245</v>
      </c>
      <c r="J1227" s="4944">
        <f>G1227</f>
        <v>400000</v>
      </c>
      <c r="K1227" s="4952">
        <f>F1227-J1227</f>
        <v>0</v>
      </c>
      <c r="L1227" s="5031" t="s">
        <v>6244</v>
      </c>
      <c r="M1227" s="5040"/>
      <c r="N1227" s="5040"/>
      <c r="O1227" s="5040"/>
      <c r="P1227" s="386"/>
      <c r="Q1227" s="386"/>
    </row>
    <row r="1228" spans="1:17" s="1659" customFormat="1" ht="30" customHeight="1" x14ac:dyDescent="0.2">
      <c r="A1228" s="7703"/>
      <c r="B1228" s="7652" t="s">
        <v>5676</v>
      </c>
      <c r="C1228" s="7723" t="s">
        <v>2644</v>
      </c>
      <c r="D1228" s="7563">
        <v>260000000</v>
      </c>
      <c r="E1228" s="7659">
        <v>0.05</v>
      </c>
      <c r="F1228" s="7563">
        <f>D1228*E1228</f>
        <v>13000000</v>
      </c>
      <c r="G1228" s="8000" t="s">
        <v>6232</v>
      </c>
      <c r="H1228" s="8000"/>
      <c r="I1228" s="8000"/>
      <c r="J1228" s="8000"/>
      <c r="K1228" s="1604"/>
      <c r="L1228" s="5031" t="s">
        <v>6233</v>
      </c>
      <c r="M1228" s="5040"/>
      <c r="N1228" s="5040"/>
      <c r="O1228" s="5040"/>
      <c r="P1228" s="386"/>
      <c r="Q1228" s="386"/>
    </row>
    <row r="1229" spans="1:17" s="1659" customFormat="1" ht="30" customHeight="1" x14ac:dyDescent="0.2">
      <c r="A1229" s="7704"/>
      <c r="B1229" s="7665"/>
      <c r="C1229" s="7747"/>
      <c r="D1229" s="7564"/>
      <c r="E1229" s="7660"/>
      <c r="F1229" s="7564"/>
      <c r="G1229" s="4944">
        <v>13000000</v>
      </c>
      <c r="H1229" s="4944" t="s">
        <v>6789</v>
      </c>
      <c r="I1229" s="4944" t="s">
        <v>5277</v>
      </c>
      <c r="J1229" s="4944">
        <f>G1229</f>
        <v>13000000</v>
      </c>
      <c r="K1229" s="4952">
        <f>F1228-J1229</f>
        <v>0</v>
      </c>
      <c r="L1229" s="5031" t="s">
        <v>5415</v>
      </c>
      <c r="M1229" s="5040"/>
      <c r="N1229" s="5040"/>
      <c r="O1229" s="5040"/>
      <c r="P1229" s="386"/>
      <c r="Q1229" s="386"/>
    </row>
    <row r="1230" spans="1:17" s="1659" customFormat="1" ht="30" customHeight="1" x14ac:dyDescent="0.2">
      <c r="A1230" s="7704"/>
      <c r="B1230" s="7665"/>
      <c r="C1230" s="7747"/>
      <c r="D1230" s="7494" t="s">
        <v>7027</v>
      </c>
      <c r="E1230" s="7495"/>
      <c r="F1230" s="7768"/>
      <c r="G1230" s="5346">
        <v>190000000</v>
      </c>
      <c r="H1230" s="5346" t="s">
        <v>7020</v>
      </c>
      <c r="I1230" s="5346" t="s">
        <v>7028</v>
      </c>
      <c r="J1230" s="5347">
        <f>G1230</f>
        <v>190000000</v>
      </c>
      <c r="K1230" s="5348"/>
      <c r="L1230" s="5360" t="s">
        <v>7029</v>
      </c>
      <c r="M1230" s="5361"/>
      <c r="N1230" s="5361"/>
      <c r="O1230" s="5361"/>
      <c r="P1230" s="386"/>
      <c r="Q1230" s="386"/>
    </row>
    <row r="1231" spans="1:17" s="1659" customFormat="1" ht="30" customHeight="1" x14ac:dyDescent="0.2">
      <c r="A1231" s="7705"/>
      <c r="B1231" s="7653"/>
      <c r="C1231" s="7724"/>
      <c r="D1231" s="7769"/>
      <c r="E1231" s="7805"/>
      <c r="F1231" s="7770"/>
      <c r="G1231" s="7732" t="s">
        <v>7149</v>
      </c>
      <c r="H1231" s="7733"/>
      <c r="I1231" s="7733"/>
      <c r="J1231" s="7734"/>
      <c r="K1231" s="5471"/>
      <c r="L1231" s="5481"/>
      <c r="M1231" s="5483"/>
      <c r="N1231" s="5483"/>
      <c r="O1231" s="5483"/>
      <c r="P1231" s="386"/>
      <c r="Q1231" s="386"/>
    </row>
    <row r="1232" spans="1:17" s="1659" customFormat="1" ht="30" customHeight="1" x14ac:dyDescent="0.2">
      <c r="A1232" s="8357"/>
      <c r="B1232" s="7717" t="s">
        <v>5426</v>
      </c>
      <c r="C1232" s="7723"/>
      <c r="D1232" s="7494" t="s">
        <v>5427</v>
      </c>
      <c r="E1232" s="7495"/>
      <c r="F1232" s="7768"/>
      <c r="G1232" s="4944"/>
      <c r="H1232" s="4944"/>
      <c r="I1232" s="4944" t="s">
        <v>4111</v>
      </c>
      <c r="J1232" s="7563">
        <f>G1232+G1233+G1234</f>
        <v>0</v>
      </c>
      <c r="K1232" s="7563">
        <f>130000000-J1232</f>
        <v>130000000</v>
      </c>
      <c r="L1232" s="5031" t="s">
        <v>5428</v>
      </c>
      <c r="M1232" s="5040"/>
      <c r="N1232" s="5040"/>
      <c r="O1232" s="5040"/>
      <c r="P1232" s="386"/>
      <c r="Q1232" s="386"/>
    </row>
    <row r="1233" spans="1:17" s="1659" customFormat="1" ht="30" customHeight="1" x14ac:dyDescent="0.2">
      <c r="A1233" s="8358"/>
      <c r="B1233" s="7717"/>
      <c r="C1233" s="7747"/>
      <c r="D1233" s="7877"/>
      <c r="E1233" s="7524"/>
      <c r="F1233" s="7878"/>
      <c r="G1233" s="4952"/>
      <c r="H1233" s="4952"/>
      <c r="I1233" s="4999" t="s">
        <v>4111</v>
      </c>
      <c r="J1233" s="7586"/>
      <c r="K1233" s="7586"/>
      <c r="L1233" s="5031"/>
      <c r="M1233" s="5040"/>
      <c r="N1233" s="5040"/>
      <c r="O1233" s="5040"/>
      <c r="P1233" s="386"/>
      <c r="Q1233" s="386"/>
    </row>
    <row r="1234" spans="1:17" s="1659" customFormat="1" ht="30" customHeight="1" x14ac:dyDescent="0.2">
      <c r="A1234" s="8359"/>
      <c r="B1234" s="7717"/>
      <c r="C1234" s="7724"/>
      <c r="D1234" s="7769"/>
      <c r="E1234" s="7805"/>
      <c r="F1234" s="7770"/>
      <c r="G1234" s="4952"/>
      <c r="H1234" s="4952"/>
      <c r="I1234" s="4999" t="s">
        <v>5589</v>
      </c>
      <c r="J1234" s="7564"/>
      <c r="K1234" s="7564"/>
      <c r="L1234" s="5031"/>
      <c r="M1234" s="5040"/>
      <c r="N1234" s="5040"/>
      <c r="O1234" s="5040"/>
      <c r="P1234" s="386"/>
      <c r="Q1234" s="386"/>
    </row>
    <row r="1235" spans="1:17" s="1659" customFormat="1" ht="30" customHeight="1" x14ac:dyDescent="0.2">
      <c r="A1235" s="7703"/>
      <c r="B1235" s="7652" t="s">
        <v>5440</v>
      </c>
      <c r="C1235" s="7723" t="s">
        <v>1718</v>
      </c>
      <c r="D1235" s="7846">
        <v>250000000</v>
      </c>
      <c r="E1235" s="7659">
        <v>0.06</v>
      </c>
      <c r="F1235" s="7563">
        <f>D1235*E1235</f>
        <v>15000000</v>
      </c>
      <c r="G1235" s="7732" t="s">
        <v>6375</v>
      </c>
      <c r="H1235" s="7733"/>
      <c r="I1235" s="7733"/>
      <c r="J1235" s="7734"/>
      <c r="K1235" s="4952"/>
      <c r="L1235" s="4242" t="s">
        <v>6882</v>
      </c>
      <c r="M1235" s="5040"/>
      <c r="N1235" s="5040"/>
      <c r="O1235" s="5040"/>
      <c r="P1235" s="386"/>
      <c r="Q1235" s="386"/>
    </row>
    <row r="1236" spans="1:17" s="1659" customFormat="1" ht="30" customHeight="1" x14ac:dyDescent="0.2">
      <c r="A1236" s="7704"/>
      <c r="B1236" s="7665"/>
      <c r="C1236" s="7747"/>
      <c r="D1236" s="7848"/>
      <c r="E1236" s="7660"/>
      <c r="F1236" s="7564"/>
      <c r="G1236" s="4944">
        <v>15000000</v>
      </c>
      <c r="H1236" s="4944" t="s">
        <v>6828</v>
      </c>
      <c r="I1236" s="4944" t="s">
        <v>6385</v>
      </c>
      <c r="J1236" s="4944">
        <f>G1236</f>
        <v>15000000</v>
      </c>
      <c r="K1236" s="4952">
        <f>F1235-J1236</f>
        <v>0</v>
      </c>
      <c r="L1236" s="5248" t="s">
        <v>6883</v>
      </c>
      <c r="M1236" s="5040"/>
      <c r="N1236" s="5040"/>
      <c r="O1236" s="5040"/>
      <c r="P1236" s="386"/>
      <c r="Q1236" s="386"/>
    </row>
    <row r="1237" spans="1:17" s="1659" customFormat="1" ht="30" customHeight="1" x14ac:dyDescent="0.2">
      <c r="A1237" s="7704"/>
      <c r="B1237" s="7665"/>
      <c r="C1237" s="7747"/>
      <c r="D1237" s="7778" t="s">
        <v>6884</v>
      </c>
      <c r="E1237" s="7778"/>
      <c r="F1237" s="7778"/>
      <c r="G1237" s="5234"/>
      <c r="H1237" s="5234"/>
      <c r="I1237" s="5234"/>
      <c r="J1237" s="5234"/>
      <c r="K1237" s="5235"/>
      <c r="L1237" s="5248"/>
      <c r="M1237" s="5253"/>
      <c r="N1237" s="5253"/>
      <c r="O1237" s="5253"/>
      <c r="P1237" s="386"/>
      <c r="Q1237" s="386"/>
    </row>
    <row r="1238" spans="1:17" s="1659" customFormat="1" ht="30" customHeight="1" x14ac:dyDescent="0.2">
      <c r="A1238" s="7705"/>
      <c r="B1238" s="7653"/>
      <c r="C1238" s="7724"/>
      <c r="D1238" s="5267">
        <v>150000000</v>
      </c>
      <c r="E1238" s="5265">
        <v>0.06</v>
      </c>
      <c r="F1238" s="5264">
        <f>D1238*E1238</f>
        <v>9000000</v>
      </c>
      <c r="G1238" s="5234"/>
      <c r="H1238" s="5234"/>
      <c r="I1238" s="5234"/>
      <c r="J1238" s="5234"/>
      <c r="K1238" s="5235"/>
      <c r="L1238" s="5248"/>
      <c r="M1238" s="5253"/>
      <c r="N1238" s="5253"/>
      <c r="O1238" s="5253"/>
      <c r="P1238" s="386"/>
      <c r="Q1238" s="386"/>
    </row>
    <row r="1239" spans="1:17" s="1659" customFormat="1" ht="30" customHeight="1" x14ac:dyDescent="0.2">
      <c r="A1239" s="7703"/>
      <c r="B1239" s="7652" t="s">
        <v>5452</v>
      </c>
      <c r="C1239" s="7723"/>
      <c r="D1239" s="7563">
        <v>200000000</v>
      </c>
      <c r="E1239" s="7659">
        <v>0.06</v>
      </c>
      <c r="F1239" s="7563">
        <f>D1239*E1239</f>
        <v>12000000</v>
      </c>
      <c r="G1239" s="7732" t="s">
        <v>6296</v>
      </c>
      <c r="H1239" s="7733"/>
      <c r="I1239" s="7733"/>
      <c r="J1239" s="7734"/>
      <c r="K1239" s="4952"/>
      <c r="L1239" s="5031" t="s">
        <v>5455</v>
      </c>
      <c r="M1239" s="5040"/>
      <c r="N1239" s="5040"/>
      <c r="O1239" s="5040"/>
      <c r="P1239" s="386"/>
      <c r="Q1239" s="386"/>
    </row>
    <row r="1240" spans="1:17" s="1659" customFormat="1" ht="30" customHeight="1" x14ac:dyDescent="0.2">
      <c r="A1240" s="7704"/>
      <c r="B1240" s="7665"/>
      <c r="C1240" s="7747"/>
      <c r="D1240" s="7586"/>
      <c r="E1240" s="7676"/>
      <c r="F1240" s="7586"/>
      <c r="G1240" s="7732" t="s">
        <v>6297</v>
      </c>
      <c r="H1240" s="7733"/>
      <c r="I1240" s="7733"/>
      <c r="J1240" s="7734"/>
      <c r="K1240" s="4952"/>
      <c r="L1240" s="5031" t="s">
        <v>5965</v>
      </c>
      <c r="M1240" s="5040"/>
      <c r="N1240" s="5040"/>
      <c r="O1240" s="5040"/>
      <c r="P1240" s="386"/>
      <c r="Q1240" s="386"/>
    </row>
    <row r="1241" spans="1:17" s="1659" customFormat="1" ht="30" customHeight="1" x14ac:dyDescent="0.2">
      <c r="A1241" s="7704"/>
      <c r="B1241" s="7665"/>
      <c r="C1241" s="7747"/>
      <c r="D1241" s="7586"/>
      <c r="E1241" s="7676"/>
      <c r="F1241" s="7586"/>
      <c r="G1241" s="7732" t="s">
        <v>6298</v>
      </c>
      <c r="H1241" s="7733"/>
      <c r="I1241" s="7733"/>
      <c r="J1241" s="7734"/>
      <c r="K1241" s="4952"/>
      <c r="L1241" s="5031" t="s">
        <v>6299</v>
      </c>
      <c r="M1241" s="5040"/>
      <c r="N1241" s="5040"/>
      <c r="O1241" s="5040"/>
      <c r="P1241" s="386"/>
      <c r="Q1241" s="386"/>
    </row>
    <row r="1242" spans="1:17" s="1659" customFormat="1" ht="30" customHeight="1" x14ac:dyDescent="0.2">
      <c r="A1242" s="7705"/>
      <c r="B1242" s="7653"/>
      <c r="C1242" s="7724"/>
      <c r="D1242" s="7564"/>
      <c r="E1242" s="7660"/>
      <c r="F1242" s="7564"/>
      <c r="G1242" s="4944">
        <v>12000000</v>
      </c>
      <c r="H1242" s="4944" t="s">
        <v>6828</v>
      </c>
      <c r="I1242" s="4944" t="s">
        <v>6357</v>
      </c>
      <c r="J1242" s="4944">
        <f>G1242</f>
        <v>12000000</v>
      </c>
      <c r="K1242" s="4952">
        <f>F1239-J1242</f>
        <v>0</v>
      </c>
      <c r="L1242" s="5031"/>
      <c r="M1242" s="5040"/>
      <c r="N1242" s="5040"/>
      <c r="O1242" s="5040"/>
      <c r="P1242" s="386"/>
      <c r="Q1242" s="386"/>
    </row>
    <row r="1243" spans="1:17" s="1659" customFormat="1" ht="30" customHeight="1" x14ac:dyDescent="0.2">
      <c r="A1243" s="7703"/>
      <c r="B1243" s="7652" t="s">
        <v>5462</v>
      </c>
      <c r="C1243" s="7723" t="s">
        <v>889</v>
      </c>
      <c r="D1243" s="4952">
        <v>20000000</v>
      </c>
      <c r="E1243" s="4962">
        <v>7.0000000000000007E-2</v>
      </c>
      <c r="F1243" s="4952">
        <f>D1243*E1243</f>
        <v>1400000.0000000002</v>
      </c>
      <c r="G1243" s="4952">
        <v>1400000</v>
      </c>
      <c r="H1243" s="4952" t="s">
        <v>6773</v>
      </c>
      <c r="I1243" s="4999" t="s">
        <v>6783</v>
      </c>
      <c r="J1243" s="4952">
        <f>G1243</f>
        <v>1400000</v>
      </c>
      <c r="K1243" s="4952">
        <f>F1243-J1243</f>
        <v>0</v>
      </c>
      <c r="L1243" s="5031" t="s">
        <v>6085</v>
      </c>
      <c r="M1243" s="5040"/>
      <c r="N1243" s="5040"/>
      <c r="O1243" s="5040"/>
      <c r="P1243" s="386"/>
      <c r="Q1243" s="386"/>
    </row>
    <row r="1244" spans="1:17" s="1659" customFormat="1" ht="30" customHeight="1" x14ac:dyDescent="0.2">
      <c r="A1244" s="7705"/>
      <c r="B1244" s="7653"/>
      <c r="C1244" s="7724"/>
      <c r="D1244" s="7470" t="s">
        <v>6966</v>
      </c>
      <c r="E1244" s="7493"/>
      <c r="F1244" s="7510"/>
      <c r="G1244" s="5326">
        <v>10000000</v>
      </c>
      <c r="H1244" s="5326" t="s">
        <v>4612</v>
      </c>
      <c r="I1244" s="5330" t="s">
        <v>6783</v>
      </c>
      <c r="J1244" s="5326">
        <f>G1244</f>
        <v>10000000</v>
      </c>
      <c r="K1244" s="5326"/>
      <c r="L1244" s="5335" t="s">
        <v>7396</v>
      </c>
      <c r="M1244" s="5339"/>
      <c r="N1244" s="5339"/>
      <c r="O1244" s="5339"/>
      <c r="P1244" s="386"/>
      <c r="Q1244" s="386"/>
    </row>
    <row r="1245" spans="1:17" s="1659" customFormat="1" ht="30" customHeight="1" x14ac:dyDescent="0.2">
      <c r="A1245" s="5418"/>
      <c r="B1245" s="5408" t="s">
        <v>5506</v>
      </c>
      <c r="C1245" s="5411" t="s">
        <v>371</v>
      </c>
      <c r="D1245" s="4952">
        <v>125000000</v>
      </c>
      <c r="E1245" s="4962">
        <v>0.06</v>
      </c>
      <c r="F1245" s="4952">
        <f>D1245*E1245</f>
        <v>7500000</v>
      </c>
      <c r="G1245" s="4944">
        <v>7500000</v>
      </c>
      <c r="H1245" s="4944" t="s">
        <v>7059</v>
      </c>
      <c r="I1245" s="4944" t="s">
        <v>6430</v>
      </c>
      <c r="J1245" s="4944">
        <f>G1245</f>
        <v>7500000</v>
      </c>
      <c r="K1245" s="4952">
        <f>F1245-J1245</f>
        <v>0</v>
      </c>
      <c r="L1245" s="5031" t="s">
        <v>5597</v>
      </c>
      <c r="M1245" s="5040"/>
      <c r="N1245" s="5040"/>
      <c r="O1245" s="5040"/>
      <c r="P1245" s="386"/>
      <c r="Q1245" s="386"/>
    </row>
    <row r="1246" spans="1:17" s="1659" customFormat="1" ht="30" customHeight="1" x14ac:dyDescent="0.2">
      <c r="A1246" s="5033"/>
      <c r="B1246" s="3823"/>
      <c r="C1246" s="4990"/>
      <c r="D1246" s="4952">
        <v>43000000</v>
      </c>
      <c r="E1246" s="4962">
        <v>0.05</v>
      </c>
      <c r="F1246" s="4952">
        <f>D1246*E1246</f>
        <v>2150000</v>
      </c>
      <c r="G1246" s="4952"/>
      <c r="H1246" s="4952"/>
      <c r="I1246" s="4999"/>
      <c r="J1246" s="4952"/>
      <c r="K1246" s="4952"/>
      <c r="L1246" s="5031" t="s">
        <v>5509</v>
      </c>
      <c r="M1246" s="5040"/>
      <c r="N1246" s="5040"/>
      <c r="O1246" s="5040"/>
      <c r="P1246" s="386"/>
      <c r="Q1246" s="386"/>
    </row>
    <row r="1247" spans="1:17" s="1659" customFormat="1" ht="30" customHeight="1" x14ac:dyDescent="0.2">
      <c r="A1247" s="7703"/>
      <c r="B1247" s="7652" t="s">
        <v>1473</v>
      </c>
      <c r="C1247" s="7723" t="s">
        <v>262</v>
      </c>
      <c r="D1247" s="7563">
        <v>150000000</v>
      </c>
      <c r="E1247" s="7659">
        <v>5.7000000000000002E-2</v>
      </c>
      <c r="F1247" s="7563">
        <v>8500000</v>
      </c>
      <c r="G1247" s="7732" t="s">
        <v>5654</v>
      </c>
      <c r="H1247" s="7733"/>
      <c r="I1247" s="7733"/>
      <c r="J1247" s="7734"/>
      <c r="K1247" s="4952"/>
      <c r="L1247" s="5031" t="s">
        <v>5510</v>
      </c>
      <c r="M1247" s="5040"/>
      <c r="N1247" s="5040"/>
      <c r="O1247" s="5040"/>
      <c r="P1247" s="386"/>
      <c r="Q1247" s="386"/>
    </row>
    <row r="1248" spans="1:17" s="1659" customFormat="1" ht="30" customHeight="1" x14ac:dyDescent="0.2">
      <c r="A1248" s="7705"/>
      <c r="B1248" s="7653"/>
      <c r="C1248" s="7724"/>
      <c r="D1248" s="7564"/>
      <c r="E1248" s="7660"/>
      <c r="F1248" s="7564"/>
      <c r="G1248" s="4944">
        <v>8500000</v>
      </c>
      <c r="H1248" s="4944" t="s">
        <v>6932</v>
      </c>
      <c r="I1248" s="4944" t="s">
        <v>6369</v>
      </c>
      <c r="J1248" s="4944">
        <f>G1248</f>
        <v>8500000</v>
      </c>
      <c r="K1248" s="4952">
        <f>F1247-J1248</f>
        <v>0</v>
      </c>
      <c r="L1248" s="5031"/>
      <c r="M1248" s="5040"/>
      <c r="N1248" s="5040"/>
      <c r="O1248" s="5040"/>
      <c r="P1248" s="386"/>
      <c r="Q1248" s="386"/>
    </row>
    <row r="1249" spans="1:17" s="1659" customFormat="1" ht="30" customHeight="1" x14ac:dyDescent="0.2">
      <c r="A1249" s="5033"/>
      <c r="B1249" s="4921" t="s">
        <v>5512</v>
      </c>
      <c r="C1249" s="4990"/>
      <c r="D1249" s="4952">
        <v>40000000</v>
      </c>
      <c r="E1249" s="4962"/>
      <c r="F1249" s="4952"/>
      <c r="G1249" s="4952"/>
      <c r="H1249" s="4952"/>
      <c r="I1249" s="4999"/>
      <c r="J1249" s="4952"/>
      <c r="K1249" s="4952"/>
      <c r="L1249" s="5031" t="s">
        <v>5513</v>
      </c>
      <c r="M1249" s="5040"/>
      <c r="N1249" s="5040"/>
      <c r="O1249" s="5040"/>
      <c r="P1249" s="386"/>
      <c r="Q1249" s="386"/>
    </row>
    <row r="1250" spans="1:17" s="1659" customFormat="1" ht="30" customHeight="1" x14ac:dyDescent="0.2">
      <c r="A1250" s="5033"/>
      <c r="B1250" s="4921" t="s">
        <v>5527</v>
      </c>
      <c r="C1250" s="4990" t="s">
        <v>4223</v>
      </c>
      <c r="D1250" s="4952">
        <v>300000000</v>
      </c>
      <c r="E1250" s="4962">
        <v>0.06</v>
      </c>
      <c r="F1250" s="4952">
        <f>D1250*E1250</f>
        <v>18000000</v>
      </c>
      <c r="G1250" s="4952"/>
      <c r="H1250" s="4952"/>
      <c r="I1250" s="4999"/>
      <c r="J1250" s="4952"/>
      <c r="K1250" s="4952"/>
      <c r="L1250" s="5031" t="s">
        <v>5529</v>
      </c>
      <c r="M1250" s="5040"/>
      <c r="N1250" s="5040"/>
      <c r="O1250" s="5040"/>
      <c r="P1250" s="386"/>
      <c r="Q1250" s="386"/>
    </row>
    <row r="1251" spans="1:17" s="1659" customFormat="1" ht="30" customHeight="1" x14ac:dyDescent="0.2">
      <c r="A1251" s="5033"/>
      <c r="B1251" s="4921" t="s">
        <v>5545</v>
      </c>
      <c r="C1251" s="4990" t="s">
        <v>371</v>
      </c>
      <c r="D1251" s="4952">
        <v>100000000</v>
      </c>
      <c r="E1251" s="4962">
        <v>0.05</v>
      </c>
      <c r="F1251" s="4952">
        <f>D1251*E1251</f>
        <v>5000000</v>
      </c>
      <c r="G1251" s="4952"/>
      <c r="H1251" s="4952"/>
      <c r="I1251" s="4999"/>
      <c r="J1251" s="4952"/>
      <c r="K1251" s="4952"/>
      <c r="L1251" s="5031" t="s">
        <v>5546</v>
      </c>
      <c r="M1251" s="5040"/>
      <c r="N1251" s="5040"/>
      <c r="O1251" s="5040"/>
      <c r="P1251" s="386"/>
      <c r="Q1251" s="386"/>
    </row>
    <row r="1252" spans="1:17" s="1659" customFormat="1" ht="30" customHeight="1" x14ac:dyDescent="0.2">
      <c r="A1252" s="7703"/>
      <c r="B1252" s="7652" t="s">
        <v>5547</v>
      </c>
      <c r="C1252" s="7723"/>
      <c r="D1252" s="7563">
        <v>40000000</v>
      </c>
      <c r="E1252" s="7659">
        <v>0.05</v>
      </c>
      <c r="F1252" s="7563">
        <f>D1252*E1252</f>
        <v>2000000</v>
      </c>
      <c r="G1252" s="7732" t="s">
        <v>5549</v>
      </c>
      <c r="H1252" s="7733"/>
      <c r="I1252" s="7733"/>
      <c r="J1252" s="7734"/>
      <c r="K1252" s="4952"/>
      <c r="L1252" s="4242" t="s">
        <v>6505</v>
      </c>
      <c r="M1252" s="5040"/>
      <c r="N1252" s="5040"/>
      <c r="O1252" s="5040"/>
      <c r="P1252" s="386"/>
      <c r="Q1252" s="386"/>
    </row>
    <row r="1253" spans="1:17" s="1659" customFormat="1" ht="30" customHeight="1" x14ac:dyDescent="0.2">
      <c r="A1253" s="7704"/>
      <c r="B1253" s="7665"/>
      <c r="C1253" s="7747"/>
      <c r="D1253" s="7564"/>
      <c r="E1253" s="7660"/>
      <c r="F1253" s="7564"/>
      <c r="G1253" s="7732" t="s">
        <v>5550</v>
      </c>
      <c r="H1253" s="7733"/>
      <c r="I1253" s="7733"/>
      <c r="J1253" s="7734"/>
      <c r="K1253" s="4952"/>
      <c r="L1253" s="5031"/>
      <c r="M1253" s="5040"/>
      <c r="N1253" s="5040"/>
      <c r="O1253" s="5040"/>
      <c r="P1253" s="386"/>
      <c r="Q1253" s="386"/>
    </row>
    <row r="1254" spans="1:17" s="1659" customFormat="1" ht="30" customHeight="1" x14ac:dyDescent="0.2">
      <c r="A1254" s="7705"/>
      <c r="B1254" s="7653"/>
      <c r="C1254" s="7724"/>
      <c r="D1254" s="7470" t="s">
        <v>6555</v>
      </c>
      <c r="E1254" s="7493"/>
      <c r="F1254" s="7510"/>
      <c r="G1254" s="4944"/>
      <c r="H1254" s="4944"/>
      <c r="I1254" s="4944" t="s">
        <v>6556</v>
      </c>
      <c r="J1254" s="4944">
        <f>G1254</f>
        <v>0</v>
      </c>
      <c r="K1254" s="4952"/>
      <c r="L1254" s="5031"/>
      <c r="M1254" s="5040"/>
      <c r="N1254" s="5040"/>
      <c r="O1254" s="5040"/>
      <c r="P1254" s="386"/>
      <c r="Q1254" s="386"/>
    </row>
    <row r="1255" spans="1:17" s="1659" customFormat="1" ht="30" customHeight="1" x14ac:dyDescent="0.2">
      <c r="A1255" s="7703"/>
      <c r="B1255" s="7652" t="s">
        <v>5551</v>
      </c>
      <c r="C1255" s="7723" t="s">
        <v>4223</v>
      </c>
      <c r="D1255" s="7846">
        <v>40000000</v>
      </c>
      <c r="E1255" s="7659">
        <v>0.04</v>
      </c>
      <c r="F1255" s="7563">
        <f>D1255*E1255</f>
        <v>1600000</v>
      </c>
      <c r="G1255" s="7732" t="s">
        <v>5552</v>
      </c>
      <c r="H1255" s="7733"/>
      <c r="I1255" s="7733"/>
      <c r="J1255" s="7734"/>
      <c r="K1255" s="4952"/>
      <c r="L1255" s="5031" t="s">
        <v>5553</v>
      </c>
      <c r="M1255" s="5040"/>
      <c r="N1255" s="5040"/>
      <c r="O1255" s="5040"/>
      <c r="P1255" s="386"/>
      <c r="Q1255" s="386"/>
    </row>
    <row r="1256" spans="1:17" s="1659" customFormat="1" ht="30" customHeight="1" x14ac:dyDescent="0.2">
      <c r="A1256" s="7705"/>
      <c r="B1256" s="7653"/>
      <c r="C1256" s="7724"/>
      <c r="D1256" s="7848"/>
      <c r="E1256" s="7660"/>
      <c r="F1256" s="7564"/>
      <c r="G1256" s="4944">
        <v>1600000</v>
      </c>
      <c r="H1256" s="4944" t="s">
        <v>7010</v>
      </c>
      <c r="I1256" s="4944" t="s">
        <v>6390</v>
      </c>
      <c r="J1256" s="4944">
        <f>G1256</f>
        <v>1600000</v>
      </c>
      <c r="K1256" s="4952">
        <f>F1255-J1256</f>
        <v>0</v>
      </c>
      <c r="L1256" s="5031"/>
      <c r="M1256" s="5040"/>
      <c r="N1256" s="5040"/>
      <c r="O1256" s="5040"/>
      <c r="P1256" s="386"/>
      <c r="Q1256" s="386"/>
    </row>
    <row r="1257" spans="1:17" s="1659" customFormat="1" ht="30" customHeight="1" x14ac:dyDescent="0.2">
      <c r="A1257" s="7703"/>
      <c r="B1257" s="7652" t="s">
        <v>5562</v>
      </c>
      <c r="C1257" s="7723" t="s">
        <v>1652</v>
      </c>
      <c r="D1257" s="7563">
        <v>100000000</v>
      </c>
      <c r="E1257" s="7659">
        <v>0.05</v>
      </c>
      <c r="F1257" s="7563">
        <f>D1257*E1257</f>
        <v>5000000</v>
      </c>
      <c r="G1257" s="7563">
        <v>5000000</v>
      </c>
      <c r="H1257" s="7563" t="s">
        <v>6828</v>
      </c>
      <c r="I1257" s="7563" t="s">
        <v>5563</v>
      </c>
      <c r="J1257" s="7563">
        <f>G1257</f>
        <v>5000000</v>
      </c>
      <c r="K1257" s="7563">
        <f>F1257-J1257</f>
        <v>0</v>
      </c>
      <c r="L1257" s="5031" t="s">
        <v>5657</v>
      </c>
      <c r="M1257" s="5040"/>
      <c r="N1257" s="5040"/>
      <c r="O1257" s="5040"/>
      <c r="P1257" s="386"/>
      <c r="Q1257" s="386"/>
    </row>
    <row r="1258" spans="1:17" s="1659" customFormat="1" ht="30" customHeight="1" x14ac:dyDescent="0.2">
      <c r="A1258" s="7705"/>
      <c r="B1258" s="7653"/>
      <c r="C1258" s="7724"/>
      <c r="D1258" s="7564"/>
      <c r="E1258" s="7660"/>
      <c r="F1258" s="7564"/>
      <c r="G1258" s="7564"/>
      <c r="H1258" s="7564"/>
      <c r="I1258" s="7564"/>
      <c r="J1258" s="7564"/>
      <c r="K1258" s="7564"/>
      <c r="L1258" s="5031" t="s">
        <v>5807</v>
      </c>
      <c r="M1258" s="5040"/>
      <c r="N1258" s="5040"/>
      <c r="O1258" s="5040"/>
      <c r="P1258" s="386"/>
      <c r="Q1258" s="386"/>
    </row>
    <row r="1259" spans="1:17" s="1659" customFormat="1" ht="30" customHeight="1" x14ac:dyDescent="0.2">
      <c r="A1259" s="5010"/>
      <c r="B1259" s="4921" t="s">
        <v>5573</v>
      </c>
      <c r="C1259" s="4990" t="s">
        <v>371</v>
      </c>
      <c r="D1259" s="4952">
        <v>150000000</v>
      </c>
      <c r="E1259" s="4962">
        <v>0.06</v>
      </c>
      <c r="F1259" s="4952">
        <f t="shared" ref="F1259:F1280" si="116">D1259*E1259</f>
        <v>9000000</v>
      </c>
      <c r="G1259" s="4944">
        <v>9000000</v>
      </c>
      <c r="H1259" s="4944" t="s">
        <v>7013</v>
      </c>
      <c r="I1259" s="4944" t="s">
        <v>4141</v>
      </c>
      <c r="J1259" s="4944">
        <f>G1259</f>
        <v>9000000</v>
      </c>
      <c r="K1259" s="4952">
        <f>F1259-J1259</f>
        <v>0</v>
      </c>
      <c r="L1259" s="5031"/>
      <c r="M1259" s="5040"/>
      <c r="N1259" s="5040"/>
      <c r="O1259" s="5040"/>
      <c r="P1259" s="386"/>
      <c r="Q1259" s="386"/>
    </row>
    <row r="1260" spans="1:17" s="1659" customFormat="1" ht="30" customHeight="1" x14ac:dyDescent="0.2">
      <c r="A1260" s="5010"/>
      <c r="B1260" s="4921" t="s">
        <v>5574</v>
      </c>
      <c r="C1260" s="4990" t="s">
        <v>371</v>
      </c>
      <c r="D1260" s="4952">
        <v>80000000</v>
      </c>
      <c r="E1260" s="4962">
        <v>0.06</v>
      </c>
      <c r="F1260" s="4952">
        <f t="shared" si="116"/>
        <v>4800000</v>
      </c>
      <c r="G1260" s="4944">
        <v>4800000</v>
      </c>
      <c r="H1260" s="4944" t="s">
        <v>7013</v>
      </c>
      <c r="I1260" s="4944" t="s">
        <v>6398</v>
      </c>
      <c r="J1260" s="4944">
        <f>G1260</f>
        <v>4800000</v>
      </c>
      <c r="K1260" s="4952">
        <f>F1260-J1260</f>
        <v>0</v>
      </c>
      <c r="L1260" s="5031"/>
      <c r="M1260" s="5040"/>
      <c r="N1260" s="5040"/>
      <c r="O1260" s="5040"/>
      <c r="P1260" s="386"/>
      <c r="Q1260" s="386"/>
    </row>
    <row r="1261" spans="1:17" s="1659" customFormat="1" ht="30" customHeight="1" x14ac:dyDescent="0.2">
      <c r="A1261" s="7703"/>
      <c r="B1261" s="7652" t="s">
        <v>64</v>
      </c>
      <c r="C1261" s="7723" t="s">
        <v>3390</v>
      </c>
      <c r="D1261" s="7563">
        <v>20000000</v>
      </c>
      <c r="E1261" s="7659">
        <v>0.05</v>
      </c>
      <c r="F1261" s="7563">
        <f t="shared" si="116"/>
        <v>1000000</v>
      </c>
      <c r="G1261" s="7732" t="s">
        <v>5742</v>
      </c>
      <c r="H1261" s="7733"/>
      <c r="I1261" s="7733"/>
      <c r="J1261" s="7734"/>
      <c r="K1261" s="4952"/>
      <c r="L1261" s="5031" t="s">
        <v>5640</v>
      </c>
      <c r="M1261" s="5040"/>
      <c r="N1261" s="5040"/>
      <c r="O1261" s="5040"/>
      <c r="P1261" s="386"/>
      <c r="Q1261" s="386"/>
    </row>
    <row r="1262" spans="1:17" s="1659" customFormat="1" ht="30" customHeight="1" x14ac:dyDescent="0.2">
      <c r="A1262" s="7705"/>
      <c r="B1262" s="7653"/>
      <c r="C1262" s="7724"/>
      <c r="D1262" s="7564"/>
      <c r="E1262" s="7660"/>
      <c r="F1262" s="7564"/>
      <c r="G1262" s="4944"/>
      <c r="H1262" s="4944"/>
      <c r="I1262" s="4944" t="s">
        <v>6627</v>
      </c>
      <c r="J1262" s="4944">
        <f>G1262</f>
        <v>0</v>
      </c>
      <c r="K1262" s="4952">
        <f>F1261-J1262</f>
        <v>1000000</v>
      </c>
      <c r="L1262" s="5062"/>
      <c r="M1262" s="5040"/>
      <c r="N1262" s="5040"/>
      <c r="O1262" s="5040"/>
      <c r="P1262" s="386"/>
      <c r="Q1262" s="386"/>
    </row>
    <row r="1263" spans="1:17" s="1659" customFormat="1" ht="30" customHeight="1" x14ac:dyDescent="0.2">
      <c r="A1263" s="7703"/>
      <c r="B1263" s="7652" t="s">
        <v>5638</v>
      </c>
      <c r="C1263" s="7723" t="s">
        <v>3390</v>
      </c>
      <c r="D1263" s="7563">
        <v>8000000</v>
      </c>
      <c r="E1263" s="7659">
        <v>0.05</v>
      </c>
      <c r="F1263" s="7563">
        <f t="shared" si="116"/>
        <v>400000</v>
      </c>
      <c r="G1263" s="7732" t="s">
        <v>5741</v>
      </c>
      <c r="H1263" s="7733"/>
      <c r="I1263" s="7733"/>
      <c r="J1263" s="7734"/>
      <c r="K1263" s="4952"/>
      <c r="L1263" s="7674" t="s">
        <v>5668</v>
      </c>
      <c r="M1263" s="5040"/>
      <c r="N1263" s="5040"/>
      <c r="O1263" s="5040"/>
      <c r="P1263" s="386"/>
      <c r="Q1263" s="386"/>
    </row>
    <row r="1264" spans="1:17" s="1659" customFormat="1" ht="30" customHeight="1" x14ac:dyDescent="0.2">
      <c r="A1264" s="7705"/>
      <c r="B1264" s="7653"/>
      <c r="C1264" s="7724"/>
      <c r="D1264" s="7564"/>
      <c r="E1264" s="7660"/>
      <c r="F1264" s="7564"/>
      <c r="G1264" s="4944">
        <v>400000</v>
      </c>
      <c r="H1264" s="4944" t="s">
        <v>2474</v>
      </c>
      <c r="I1264" s="4944" t="s">
        <v>7247</v>
      </c>
      <c r="J1264" s="4944">
        <f>G1264</f>
        <v>400000</v>
      </c>
      <c r="K1264" s="4952">
        <f>F1263-J1264</f>
        <v>0</v>
      </c>
      <c r="L1264" s="8186"/>
      <c r="M1264" s="5040"/>
      <c r="N1264" s="5040"/>
      <c r="O1264" s="5040"/>
      <c r="P1264" s="386"/>
      <c r="Q1264" s="386"/>
    </row>
    <row r="1265" spans="1:17" s="1659" customFormat="1" ht="30" customHeight="1" x14ac:dyDescent="0.2">
      <c r="A1265" s="7703"/>
      <c r="B1265" s="7652" t="s">
        <v>5639</v>
      </c>
      <c r="C1265" s="7723" t="s">
        <v>3390</v>
      </c>
      <c r="D1265" s="7846">
        <v>12000000</v>
      </c>
      <c r="E1265" s="7659">
        <v>0.05</v>
      </c>
      <c r="F1265" s="7563">
        <f t="shared" si="116"/>
        <v>600000</v>
      </c>
      <c r="G1265" s="7732" t="s">
        <v>5743</v>
      </c>
      <c r="H1265" s="7733"/>
      <c r="I1265" s="7733"/>
      <c r="J1265" s="7734"/>
      <c r="K1265" s="4952"/>
      <c r="L1265" s="7675"/>
      <c r="M1265" s="5040"/>
      <c r="N1265" s="5040"/>
      <c r="O1265" s="5040"/>
      <c r="P1265" s="386"/>
      <c r="Q1265" s="386"/>
    </row>
    <row r="1266" spans="1:17" s="1659" customFormat="1" ht="30" customHeight="1" x14ac:dyDescent="0.2">
      <c r="A1266" s="7705"/>
      <c r="B1266" s="7653"/>
      <c r="C1266" s="7724"/>
      <c r="D1266" s="7848"/>
      <c r="E1266" s="7660"/>
      <c r="F1266" s="7564"/>
      <c r="G1266" s="4944">
        <v>600000</v>
      </c>
      <c r="H1266" s="4944" t="s">
        <v>2474</v>
      </c>
      <c r="I1266" s="4944" t="s">
        <v>7248</v>
      </c>
      <c r="J1266" s="4944">
        <f>G1266</f>
        <v>600000</v>
      </c>
      <c r="K1266" s="4952">
        <f>F1265-J1266</f>
        <v>0</v>
      </c>
      <c r="L1266" s="5031"/>
      <c r="M1266" s="5040"/>
      <c r="N1266" s="5040"/>
      <c r="O1266" s="5040"/>
      <c r="P1266" s="386"/>
      <c r="Q1266" s="386"/>
    </row>
    <row r="1267" spans="1:17" s="1659" customFormat="1" ht="30" customHeight="1" x14ac:dyDescent="0.2">
      <c r="A1267" s="5010"/>
      <c r="B1267" s="4921" t="s">
        <v>5660</v>
      </c>
      <c r="C1267" s="4990"/>
      <c r="D1267" s="4952">
        <v>50000000</v>
      </c>
      <c r="E1267" s="4962">
        <v>0.05</v>
      </c>
      <c r="F1267" s="4952">
        <f t="shared" si="116"/>
        <v>2500000</v>
      </c>
      <c r="G1267" s="4952">
        <v>2500000</v>
      </c>
      <c r="H1267" s="4952" t="s">
        <v>6773</v>
      </c>
      <c r="I1267" s="4999" t="s">
        <v>815</v>
      </c>
      <c r="J1267" s="4952">
        <f>G1267</f>
        <v>2500000</v>
      </c>
      <c r="K1267" s="4952">
        <f>F1267-J1267</f>
        <v>0</v>
      </c>
      <c r="L1267" s="5031" t="s">
        <v>5661</v>
      </c>
      <c r="M1267" s="5040"/>
      <c r="N1267" s="5040"/>
      <c r="O1267" s="5040"/>
      <c r="P1267" s="386"/>
      <c r="Q1267" s="386"/>
    </row>
    <row r="1268" spans="1:17" s="1659" customFormat="1" ht="30" customHeight="1" x14ac:dyDescent="0.2">
      <c r="A1268" s="5382"/>
      <c r="B1268" s="4921"/>
      <c r="C1268" s="5383"/>
      <c r="D1268" s="5376">
        <v>2000000</v>
      </c>
      <c r="E1268" s="5379"/>
      <c r="F1268" s="5376"/>
      <c r="G1268" s="7732" t="s">
        <v>7053</v>
      </c>
      <c r="H1268" s="7733"/>
      <c r="I1268" s="7733"/>
      <c r="J1268" s="7733"/>
      <c r="K1268" s="7734"/>
      <c r="L1268" s="5391"/>
      <c r="M1268" s="5393"/>
      <c r="N1268" s="5393"/>
      <c r="O1268" s="5393"/>
      <c r="P1268" s="386"/>
      <c r="Q1268" s="386"/>
    </row>
    <row r="1269" spans="1:17" s="1659" customFormat="1" ht="30" customHeight="1" x14ac:dyDescent="0.2">
      <c r="A1269" s="5382"/>
      <c r="B1269" s="4921"/>
      <c r="C1269" s="5383"/>
      <c r="D1269" s="5376"/>
      <c r="E1269" s="5379"/>
      <c r="F1269" s="5376"/>
      <c r="G1269" s="7732" t="s">
        <v>7054</v>
      </c>
      <c r="H1269" s="7733"/>
      <c r="I1269" s="7733"/>
      <c r="J1269" s="7733"/>
      <c r="K1269" s="7734"/>
      <c r="L1269" s="5391"/>
      <c r="M1269" s="5393"/>
      <c r="N1269" s="5393"/>
      <c r="O1269" s="5393"/>
      <c r="P1269" s="386"/>
      <c r="Q1269" s="386"/>
    </row>
    <row r="1270" spans="1:17" s="1659" customFormat="1" ht="30" customHeight="1" x14ac:dyDescent="0.2">
      <c r="A1270" s="5382"/>
      <c r="B1270" s="4921"/>
      <c r="C1270" s="5383"/>
      <c r="D1270" s="5376"/>
      <c r="E1270" s="5379"/>
      <c r="F1270" s="5376"/>
      <c r="G1270" s="5384"/>
      <c r="H1270" s="5387"/>
      <c r="I1270" s="5387"/>
      <c r="J1270" s="5387"/>
      <c r="K1270" s="5385"/>
      <c r="L1270" s="5391"/>
      <c r="M1270" s="5393"/>
      <c r="N1270" s="5393"/>
      <c r="O1270" s="5393"/>
      <c r="P1270" s="386"/>
      <c r="Q1270" s="386"/>
    </row>
    <row r="1271" spans="1:17" s="1659" customFormat="1" ht="30" customHeight="1" x14ac:dyDescent="0.2">
      <c r="A1271" s="5010"/>
      <c r="B1271" s="4921" t="s">
        <v>5684</v>
      </c>
      <c r="C1271" s="4990"/>
      <c r="D1271" s="4952">
        <v>20000000</v>
      </c>
      <c r="E1271" s="4962">
        <v>0.05</v>
      </c>
      <c r="F1271" s="4952">
        <f t="shared" si="116"/>
        <v>1000000</v>
      </c>
      <c r="G1271" s="7732" t="s">
        <v>5685</v>
      </c>
      <c r="H1271" s="7733"/>
      <c r="I1271" s="7733"/>
      <c r="J1271" s="7733"/>
      <c r="K1271" s="7734"/>
      <c r="L1271" s="5031" t="s">
        <v>5686</v>
      </c>
      <c r="M1271" s="5040"/>
      <c r="N1271" s="5040"/>
      <c r="O1271" s="5040"/>
      <c r="P1271" s="386"/>
      <c r="Q1271" s="386"/>
    </row>
    <row r="1272" spans="1:17" s="1659" customFormat="1" ht="30" customHeight="1" x14ac:dyDescent="0.2">
      <c r="A1272" s="7703"/>
      <c r="B1272" s="7652" t="s">
        <v>5738</v>
      </c>
      <c r="C1272" s="7723" t="s">
        <v>3007</v>
      </c>
      <c r="D1272" s="4952">
        <v>200000000</v>
      </c>
      <c r="E1272" s="4962">
        <v>6.5000000000000002E-2</v>
      </c>
      <c r="F1272" s="4952">
        <f t="shared" si="116"/>
        <v>13000000</v>
      </c>
      <c r="G1272" s="7732" t="s">
        <v>5728</v>
      </c>
      <c r="H1272" s="7733"/>
      <c r="I1272" s="7733"/>
      <c r="J1272" s="7734"/>
      <c r="K1272" s="7563">
        <f>(F1272+F1273)-J1274</f>
        <v>0</v>
      </c>
      <c r="L1272" s="5031" t="s">
        <v>5687</v>
      </c>
      <c r="M1272" s="5040"/>
      <c r="N1272" s="5040"/>
      <c r="O1272" s="5040"/>
      <c r="P1272" s="386"/>
      <c r="Q1272" s="386"/>
    </row>
    <row r="1273" spans="1:17" s="1659" customFormat="1" ht="30" customHeight="1" x14ac:dyDescent="0.2">
      <c r="A1273" s="7704"/>
      <c r="B1273" s="7665"/>
      <c r="C1273" s="7747"/>
      <c r="D1273" s="7563">
        <v>350000000</v>
      </c>
      <c r="E1273" s="7659">
        <v>6.5000000000000002E-2</v>
      </c>
      <c r="F1273" s="7563">
        <f t="shared" si="116"/>
        <v>22750000</v>
      </c>
      <c r="G1273" s="7732" t="s">
        <v>5739</v>
      </c>
      <c r="H1273" s="7733"/>
      <c r="I1273" s="7733"/>
      <c r="J1273" s="7734"/>
      <c r="K1273" s="7586"/>
      <c r="L1273" s="5031" t="s">
        <v>5947</v>
      </c>
      <c r="M1273" s="5040"/>
      <c r="N1273" s="5040"/>
      <c r="O1273" s="5040"/>
      <c r="P1273" s="386"/>
      <c r="Q1273" s="386"/>
    </row>
    <row r="1274" spans="1:17" s="1659" customFormat="1" ht="30" customHeight="1" x14ac:dyDescent="0.2">
      <c r="A1274" s="7705"/>
      <c r="B1274" s="7653"/>
      <c r="C1274" s="7724"/>
      <c r="D1274" s="7564"/>
      <c r="E1274" s="7660"/>
      <c r="F1274" s="7564"/>
      <c r="G1274" s="4944">
        <v>35750000</v>
      </c>
      <c r="H1274" s="4944" t="s">
        <v>3116</v>
      </c>
      <c r="I1274" s="4944" t="s">
        <v>6572</v>
      </c>
      <c r="J1274" s="4944">
        <f>G1274</f>
        <v>35750000</v>
      </c>
      <c r="K1274" s="7564"/>
      <c r="L1274" s="5031"/>
      <c r="M1274" s="5040"/>
      <c r="N1274" s="5040"/>
      <c r="O1274" s="5040"/>
      <c r="P1274" s="386"/>
      <c r="Q1274" s="386"/>
    </row>
    <row r="1275" spans="1:17" s="1659" customFormat="1" ht="30" customHeight="1" x14ac:dyDescent="0.2">
      <c r="A1275" s="5496"/>
      <c r="B1275" s="5492" t="s">
        <v>5688</v>
      </c>
      <c r="C1275" s="5495" t="s">
        <v>1300</v>
      </c>
      <c r="D1275" s="5488">
        <v>4000000</v>
      </c>
      <c r="E1275" s="5494">
        <v>7.0000000000000007E-2</v>
      </c>
      <c r="F1275" s="5488">
        <f t="shared" si="116"/>
        <v>280000</v>
      </c>
      <c r="G1275" s="5488">
        <v>280000</v>
      </c>
      <c r="H1275" s="5488" t="s">
        <v>7168</v>
      </c>
      <c r="I1275" s="5488" t="s">
        <v>6623</v>
      </c>
      <c r="J1275" s="5488">
        <f>G1275</f>
        <v>280000</v>
      </c>
      <c r="K1275" s="4952">
        <f>F1275-J1275</f>
        <v>0</v>
      </c>
      <c r="L1275" s="5031" t="s">
        <v>5689</v>
      </c>
      <c r="M1275" s="5040"/>
      <c r="N1275" s="5040"/>
      <c r="O1275" s="5040"/>
      <c r="P1275" s="386"/>
      <c r="Q1275" s="386"/>
    </row>
    <row r="1276" spans="1:17" s="1659" customFormat="1" ht="30" customHeight="1" x14ac:dyDescent="0.2">
      <c r="A1276" s="5010"/>
      <c r="B1276" s="4921" t="s">
        <v>5690</v>
      </c>
      <c r="C1276" s="4990"/>
      <c r="D1276" s="4952">
        <v>1000000000</v>
      </c>
      <c r="E1276" s="4962">
        <v>7.0000000000000007E-2</v>
      </c>
      <c r="F1276" s="4952">
        <f t="shared" si="116"/>
        <v>70000000</v>
      </c>
      <c r="G1276" s="4952"/>
      <c r="H1276" s="4952"/>
      <c r="I1276" s="4999"/>
      <c r="J1276" s="4952"/>
      <c r="K1276" s="4952"/>
      <c r="L1276" s="5031"/>
      <c r="M1276" s="5040"/>
      <c r="N1276" s="5040"/>
      <c r="O1276" s="5040"/>
      <c r="P1276" s="386"/>
      <c r="Q1276" s="386"/>
    </row>
    <row r="1277" spans="1:17" s="1659" customFormat="1" ht="30" customHeight="1" x14ac:dyDescent="0.2">
      <c r="A1277" s="7703"/>
      <c r="B1277" s="7652" t="s">
        <v>5691</v>
      </c>
      <c r="C1277" s="7723" t="s">
        <v>1287</v>
      </c>
      <c r="D1277" s="7563">
        <v>60000000</v>
      </c>
      <c r="E1277" s="7659">
        <v>0.05</v>
      </c>
      <c r="F1277" s="7563">
        <f t="shared" si="116"/>
        <v>3000000</v>
      </c>
      <c r="G1277" s="7563">
        <v>3000000</v>
      </c>
      <c r="H1277" s="7563" t="s">
        <v>7065</v>
      </c>
      <c r="I1277" s="7563" t="s">
        <v>2078</v>
      </c>
      <c r="J1277" s="7563">
        <f>G1277</f>
        <v>3000000</v>
      </c>
      <c r="K1277" s="7563">
        <f>F1277-J1277</f>
        <v>0</v>
      </c>
      <c r="L1277" s="5031" t="s">
        <v>6279</v>
      </c>
      <c r="M1277" s="5040"/>
      <c r="N1277" s="5040"/>
      <c r="O1277" s="5040"/>
      <c r="P1277" s="386"/>
      <c r="Q1277" s="386"/>
    </row>
    <row r="1278" spans="1:17" s="1659" customFormat="1" ht="30" customHeight="1" x14ac:dyDescent="0.2">
      <c r="A1278" s="7704"/>
      <c r="B1278" s="7665"/>
      <c r="C1278" s="7724"/>
      <c r="D1278" s="7564"/>
      <c r="E1278" s="7660"/>
      <c r="F1278" s="7564"/>
      <c r="G1278" s="7564"/>
      <c r="H1278" s="7564"/>
      <c r="I1278" s="7564"/>
      <c r="J1278" s="7564"/>
      <c r="K1278" s="7564"/>
      <c r="L1278" s="5288" t="s">
        <v>5883</v>
      </c>
      <c r="M1278" s="5040"/>
      <c r="N1278" s="5040"/>
      <c r="O1278" s="5040"/>
      <c r="P1278" s="386"/>
      <c r="Q1278" s="386"/>
    </row>
    <row r="1279" spans="1:17" s="1659" customFormat="1" ht="30" customHeight="1" x14ac:dyDescent="0.2">
      <c r="A1279" s="7705"/>
      <c r="B1279" s="7653"/>
      <c r="C1279" s="5016" t="s">
        <v>3483</v>
      </c>
      <c r="D1279" s="4952">
        <v>40000000</v>
      </c>
      <c r="E1279" s="4962">
        <v>0.05</v>
      </c>
      <c r="F1279" s="4952">
        <f t="shared" si="116"/>
        <v>2000000</v>
      </c>
      <c r="G1279" s="5268">
        <v>2000000</v>
      </c>
      <c r="H1279" s="5268" t="s">
        <v>6895</v>
      </c>
      <c r="I1279" s="5268" t="s">
        <v>2078</v>
      </c>
      <c r="J1279" s="5268">
        <f>G1279</f>
        <v>2000000</v>
      </c>
      <c r="K1279" s="4952">
        <f>F1279-J1279</f>
        <v>0</v>
      </c>
      <c r="L1279" s="5031" t="s">
        <v>6898</v>
      </c>
      <c r="M1279" s="5040"/>
      <c r="N1279" s="5040"/>
      <c r="O1279" s="5040"/>
      <c r="P1279" s="386"/>
      <c r="Q1279" s="386"/>
    </row>
    <row r="1280" spans="1:17" s="1659" customFormat="1" ht="30" customHeight="1" x14ac:dyDescent="0.2">
      <c r="A1280" s="5010"/>
      <c r="B1280" s="4921" t="s">
        <v>5848</v>
      </c>
      <c r="C1280" s="4990" t="s">
        <v>1299</v>
      </c>
      <c r="D1280" s="4952">
        <v>350000000</v>
      </c>
      <c r="E1280" s="4962">
        <v>0.05</v>
      </c>
      <c r="F1280" s="4952">
        <f t="shared" si="116"/>
        <v>17500000</v>
      </c>
      <c r="G1280" s="4952"/>
      <c r="H1280" s="4952"/>
      <c r="I1280" s="4999" t="s">
        <v>1063</v>
      </c>
      <c r="J1280" s="4952">
        <f>G1280</f>
        <v>0</v>
      </c>
      <c r="K1280" s="4952">
        <f>F1280-J1280</f>
        <v>17500000</v>
      </c>
      <c r="L1280" s="5031" t="s">
        <v>5874</v>
      </c>
      <c r="M1280" s="5040"/>
      <c r="N1280" s="5040"/>
      <c r="O1280" s="5040"/>
      <c r="P1280" s="386"/>
      <c r="Q1280" s="386"/>
    </row>
    <row r="1281" spans="1:17" s="1659" customFormat="1" ht="30" customHeight="1" x14ac:dyDescent="0.2">
      <c r="A1281" s="7703"/>
      <c r="B1281" s="7652" t="s">
        <v>5715</v>
      </c>
      <c r="C1281" s="7723" t="s">
        <v>4223</v>
      </c>
      <c r="D1281" s="5158">
        <v>100000000</v>
      </c>
      <c r="E1281" s="5174">
        <v>5.5E-2</v>
      </c>
      <c r="F1281" s="5158">
        <f>D1281*E1281</f>
        <v>5500000</v>
      </c>
      <c r="G1281" s="5158">
        <v>5500000</v>
      </c>
      <c r="H1281" s="5158" t="s">
        <v>7010</v>
      </c>
      <c r="I1281" s="5158" t="s">
        <v>4776</v>
      </c>
      <c r="J1281" s="5158">
        <f>G1281</f>
        <v>5500000</v>
      </c>
      <c r="K1281" s="5158">
        <f>F1281-J1281</f>
        <v>0</v>
      </c>
      <c r="L1281" s="5176" t="s">
        <v>6821</v>
      </c>
      <c r="M1281" s="5040"/>
      <c r="N1281" s="5040"/>
      <c r="O1281" s="5040"/>
      <c r="P1281" s="386"/>
      <c r="Q1281" s="386"/>
    </row>
    <row r="1282" spans="1:17" s="1659" customFormat="1" ht="30" customHeight="1" x14ac:dyDescent="0.2">
      <c r="A1282" s="7704"/>
      <c r="B1282" s="7665"/>
      <c r="C1282" s="7747"/>
      <c r="D1282" s="5158">
        <v>100000000</v>
      </c>
      <c r="E1282" s="5174">
        <v>5.5E-2</v>
      </c>
      <c r="F1282" s="5158">
        <f>D1282*E1282</f>
        <v>5500000</v>
      </c>
      <c r="G1282" s="7732" t="s">
        <v>6824</v>
      </c>
      <c r="H1282" s="7733"/>
      <c r="I1282" s="7733"/>
      <c r="J1282" s="7734"/>
      <c r="K1282" s="5158"/>
      <c r="L1282" s="5176" t="s">
        <v>6820</v>
      </c>
      <c r="M1282" s="5040"/>
      <c r="N1282" s="5040"/>
      <c r="O1282" s="5040"/>
      <c r="P1282" s="386"/>
      <c r="Q1282" s="386"/>
    </row>
    <row r="1283" spans="1:17" s="1659" customFormat="1" ht="30" customHeight="1" x14ac:dyDescent="0.2">
      <c r="A1283" s="7705"/>
      <c r="B1283" s="7653"/>
      <c r="C1283" s="7724"/>
      <c r="D1283" s="5181">
        <v>200000000</v>
      </c>
      <c r="E1283" s="5182">
        <v>5.5E-2</v>
      </c>
      <c r="F1283" s="5181">
        <f>D1283*E1283</f>
        <v>11000000</v>
      </c>
      <c r="G1283" s="7732" t="s">
        <v>6825</v>
      </c>
      <c r="H1283" s="7733"/>
      <c r="I1283" s="7733"/>
      <c r="J1283" s="7734"/>
      <c r="K1283" s="5161"/>
      <c r="L1283" s="5171"/>
      <c r="M1283" s="5175"/>
      <c r="N1283" s="5175"/>
      <c r="O1283" s="5175"/>
      <c r="P1283" s="386"/>
      <c r="Q1283" s="386"/>
    </row>
    <row r="1284" spans="1:17" s="1659" customFormat="1" ht="30" customHeight="1" x14ac:dyDescent="0.2">
      <c r="A1284" s="7703"/>
      <c r="B1284" s="7652" t="s">
        <v>5732</v>
      </c>
      <c r="C1284" s="7723" t="s">
        <v>3390</v>
      </c>
      <c r="D1284" s="7563">
        <v>80000000</v>
      </c>
      <c r="E1284" s="7659">
        <v>7.0000000000000007E-2</v>
      </c>
      <c r="F1284" s="7563">
        <f t="shared" ref="F1284:F1293" si="117">D1284*E1284</f>
        <v>5600000.0000000009</v>
      </c>
      <c r="G1284" s="7732" t="s">
        <v>6158</v>
      </c>
      <c r="H1284" s="7733"/>
      <c r="I1284" s="7733"/>
      <c r="J1284" s="7734"/>
      <c r="K1284" s="4952"/>
      <c r="L1284" s="5571" t="s">
        <v>5731</v>
      </c>
      <c r="M1284" s="5040"/>
      <c r="N1284" s="5040"/>
      <c r="O1284" s="5040"/>
      <c r="P1284" s="386"/>
      <c r="Q1284" s="386"/>
    </row>
    <row r="1285" spans="1:17" s="1659" customFormat="1" ht="30" customHeight="1" x14ac:dyDescent="0.2">
      <c r="A1285" s="7705"/>
      <c r="B1285" s="7653"/>
      <c r="C1285" s="7724"/>
      <c r="D1285" s="7564"/>
      <c r="E1285" s="7660"/>
      <c r="F1285" s="7564"/>
      <c r="G1285" s="4944">
        <v>5600000</v>
      </c>
      <c r="H1285" s="4944" t="s">
        <v>2474</v>
      </c>
      <c r="I1285" s="4944" t="s">
        <v>7245</v>
      </c>
      <c r="J1285" s="4944">
        <f>G1285</f>
        <v>5600000</v>
      </c>
      <c r="K1285" s="4952">
        <f>F1284-J1285</f>
        <v>0</v>
      </c>
      <c r="L1285" s="5572" t="s">
        <v>7244</v>
      </c>
      <c r="M1285" s="5040"/>
      <c r="N1285" s="5040"/>
      <c r="O1285" s="5040"/>
      <c r="P1285" s="386"/>
      <c r="Q1285" s="386"/>
    </row>
    <row r="1286" spans="1:17" s="1659" customFormat="1" ht="30" customHeight="1" x14ac:dyDescent="0.2">
      <c r="A1286" s="5010"/>
      <c r="B1286" s="4921" t="s">
        <v>5744</v>
      </c>
      <c r="C1286" s="4990"/>
      <c r="D1286" s="4952">
        <v>50000000</v>
      </c>
      <c r="E1286" s="4962">
        <v>0.05</v>
      </c>
      <c r="F1286" s="4952">
        <f t="shared" si="117"/>
        <v>2500000</v>
      </c>
      <c r="G1286" s="4952"/>
      <c r="H1286" s="4952"/>
      <c r="I1286" s="4999"/>
      <c r="J1286" s="4952"/>
      <c r="K1286" s="4952"/>
      <c r="L1286" s="5031" t="s">
        <v>5745</v>
      </c>
      <c r="M1286" s="5040"/>
      <c r="N1286" s="5040"/>
      <c r="O1286" s="5040"/>
      <c r="P1286" s="386"/>
      <c r="Q1286" s="386"/>
    </row>
    <row r="1287" spans="1:17" s="1659" customFormat="1" ht="30" customHeight="1" x14ac:dyDescent="0.2">
      <c r="A1287" s="7703"/>
      <c r="B1287" s="7652" t="s">
        <v>5762</v>
      </c>
      <c r="C1287" s="7723" t="s">
        <v>3390</v>
      </c>
      <c r="D1287" s="7563">
        <v>150000000</v>
      </c>
      <c r="E1287" s="7659">
        <v>0.05</v>
      </c>
      <c r="F1287" s="7563">
        <f t="shared" si="117"/>
        <v>7500000</v>
      </c>
      <c r="G1287" s="7732" t="s">
        <v>5872</v>
      </c>
      <c r="H1287" s="7733"/>
      <c r="I1287" s="7733"/>
      <c r="J1287" s="7734"/>
      <c r="K1287" s="4952"/>
      <c r="L1287" s="7674" t="s">
        <v>5763</v>
      </c>
      <c r="M1287" s="5040"/>
      <c r="N1287" s="5040"/>
      <c r="O1287" s="5040"/>
      <c r="P1287" s="386"/>
      <c r="Q1287" s="386"/>
    </row>
    <row r="1288" spans="1:17" s="1659" customFormat="1" ht="30" customHeight="1" x14ac:dyDescent="0.2">
      <c r="A1288" s="7704"/>
      <c r="B1288" s="7665"/>
      <c r="C1288" s="7747"/>
      <c r="D1288" s="7586"/>
      <c r="E1288" s="7676"/>
      <c r="F1288" s="7586"/>
      <c r="G1288" s="7732" t="s">
        <v>5873</v>
      </c>
      <c r="H1288" s="7733"/>
      <c r="I1288" s="7733"/>
      <c r="J1288" s="7734"/>
      <c r="K1288" s="4952"/>
      <c r="L1288" s="7675"/>
      <c r="M1288" s="5040"/>
      <c r="N1288" s="5040"/>
      <c r="O1288" s="5040"/>
      <c r="P1288" s="386"/>
      <c r="Q1288" s="386"/>
    </row>
    <row r="1289" spans="1:17" s="1659" customFormat="1" ht="30" customHeight="1" x14ac:dyDescent="0.2">
      <c r="A1289" s="7705"/>
      <c r="B1289" s="7653"/>
      <c r="C1289" s="7724"/>
      <c r="D1289" s="7564"/>
      <c r="E1289" s="7660"/>
      <c r="F1289" s="7564"/>
      <c r="G1289" s="4944">
        <v>7500000</v>
      </c>
      <c r="H1289" s="4944" t="s">
        <v>2474</v>
      </c>
      <c r="I1289" s="4944" t="s">
        <v>7251</v>
      </c>
      <c r="J1289" s="4944">
        <f>G1289</f>
        <v>7500000</v>
      </c>
      <c r="K1289" s="4952">
        <f>F1287-J1289</f>
        <v>0</v>
      </c>
      <c r="L1289" s="5031"/>
      <c r="M1289" s="5040"/>
      <c r="N1289" s="5040"/>
      <c r="O1289" s="5040"/>
      <c r="P1289" s="386"/>
      <c r="Q1289" s="386"/>
    </row>
    <row r="1290" spans="1:17" s="1659" customFormat="1" ht="30" customHeight="1" x14ac:dyDescent="0.2">
      <c r="A1290" s="5010"/>
      <c r="B1290" s="4921" t="s">
        <v>5771</v>
      </c>
      <c r="C1290" s="4990" t="s">
        <v>1306</v>
      </c>
      <c r="D1290" s="4952">
        <v>150000000</v>
      </c>
      <c r="E1290" s="4962">
        <v>0.06</v>
      </c>
      <c r="F1290" s="4952">
        <f t="shared" si="117"/>
        <v>9000000</v>
      </c>
      <c r="G1290" s="4952">
        <v>9000000</v>
      </c>
      <c r="H1290" s="4952" t="s">
        <v>2474</v>
      </c>
      <c r="I1290" s="4999" t="s">
        <v>6567</v>
      </c>
      <c r="J1290" s="4952">
        <f>G1290</f>
        <v>9000000</v>
      </c>
      <c r="K1290" s="4952">
        <f>F1290-J1290</f>
        <v>0</v>
      </c>
      <c r="L1290" s="5031" t="s">
        <v>5810</v>
      </c>
      <c r="M1290" s="5040"/>
      <c r="N1290" s="5040"/>
      <c r="O1290" s="5040"/>
      <c r="P1290" s="386"/>
      <c r="Q1290" s="386"/>
    </row>
    <row r="1291" spans="1:17" s="1659" customFormat="1" ht="30" customHeight="1" x14ac:dyDescent="0.2">
      <c r="A1291" s="7703"/>
      <c r="B1291" s="7652" t="s">
        <v>5772</v>
      </c>
      <c r="C1291" s="7723" t="s">
        <v>3390</v>
      </c>
      <c r="D1291" s="7563">
        <v>20000000</v>
      </c>
      <c r="E1291" s="7659">
        <v>0.05</v>
      </c>
      <c r="F1291" s="7563">
        <f t="shared" si="117"/>
        <v>1000000</v>
      </c>
      <c r="G1291" s="7732" t="s">
        <v>5792</v>
      </c>
      <c r="H1291" s="7733"/>
      <c r="I1291" s="7733"/>
      <c r="J1291" s="7734"/>
      <c r="K1291" s="4952"/>
      <c r="L1291" s="5031" t="s">
        <v>5686</v>
      </c>
      <c r="M1291" s="5040"/>
      <c r="N1291" s="5040"/>
      <c r="O1291" s="5040"/>
      <c r="P1291" s="386"/>
      <c r="Q1291" s="386"/>
    </row>
    <row r="1292" spans="1:17" s="1659" customFormat="1" ht="30" customHeight="1" x14ac:dyDescent="0.2">
      <c r="A1292" s="7705"/>
      <c r="B1292" s="7653"/>
      <c r="C1292" s="7724"/>
      <c r="D1292" s="7564"/>
      <c r="E1292" s="7660"/>
      <c r="F1292" s="7564"/>
      <c r="G1292" s="4944">
        <v>1000000</v>
      </c>
      <c r="H1292" s="4944" t="s">
        <v>7210</v>
      </c>
      <c r="I1292" s="4944" t="s">
        <v>6583</v>
      </c>
      <c r="J1292" s="4944">
        <f>G1292</f>
        <v>1000000</v>
      </c>
      <c r="K1292" s="4951">
        <f>F1291-J1292</f>
        <v>0</v>
      </c>
      <c r="L1292" s="5062"/>
      <c r="M1292" s="5040"/>
      <c r="N1292" s="5040"/>
      <c r="O1292" s="5040"/>
      <c r="P1292" s="386"/>
      <c r="Q1292" s="386"/>
    </row>
    <row r="1293" spans="1:17" s="1659" customFormat="1" ht="30" customHeight="1" x14ac:dyDescent="0.2">
      <c r="A1293" s="7703"/>
      <c r="B1293" s="7652" t="s">
        <v>5805</v>
      </c>
      <c r="C1293" s="7723" t="s">
        <v>1306</v>
      </c>
      <c r="D1293" s="7563">
        <v>50000000</v>
      </c>
      <c r="E1293" s="7659">
        <v>0.05</v>
      </c>
      <c r="F1293" s="7563">
        <f t="shared" si="117"/>
        <v>2500000</v>
      </c>
      <c r="G1293" s="8381" t="s">
        <v>6314</v>
      </c>
      <c r="H1293" s="8382"/>
      <c r="I1293" s="8382"/>
      <c r="J1293" s="8383"/>
      <c r="K1293" s="7563"/>
      <c r="L1293" s="7674" t="s">
        <v>5806</v>
      </c>
      <c r="M1293" s="5040"/>
      <c r="N1293" s="5040"/>
      <c r="O1293" s="5040"/>
      <c r="P1293" s="386"/>
      <c r="Q1293" s="386"/>
    </row>
    <row r="1294" spans="1:17" s="1659" customFormat="1" ht="30" customHeight="1" x14ac:dyDescent="0.2">
      <c r="A1294" s="7704"/>
      <c r="B1294" s="7665"/>
      <c r="C1294" s="7747"/>
      <c r="D1294" s="7586"/>
      <c r="E1294" s="7676"/>
      <c r="F1294" s="7586"/>
      <c r="G1294" s="8381" t="s">
        <v>6311</v>
      </c>
      <c r="H1294" s="8382"/>
      <c r="I1294" s="8382"/>
      <c r="J1294" s="8383"/>
      <c r="K1294" s="7586"/>
      <c r="L1294" s="8186"/>
      <c r="M1294" s="5040"/>
      <c r="N1294" s="5040"/>
      <c r="O1294" s="5040"/>
      <c r="P1294" s="386"/>
      <c r="Q1294" s="386"/>
    </row>
    <row r="1295" spans="1:17" s="1659" customFormat="1" ht="30" customHeight="1" x14ac:dyDescent="0.2">
      <c r="A1295" s="7704"/>
      <c r="B1295" s="7665"/>
      <c r="C1295" s="7747"/>
      <c r="D1295" s="7586"/>
      <c r="E1295" s="7676"/>
      <c r="F1295" s="7586"/>
      <c r="G1295" s="8381" t="s">
        <v>6312</v>
      </c>
      <c r="H1295" s="8382"/>
      <c r="I1295" s="8382"/>
      <c r="J1295" s="8383"/>
      <c r="K1295" s="7586"/>
      <c r="L1295" s="8186"/>
      <c r="M1295" s="5040"/>
      <c r="N1295" s="5040"/>
      <c r="O1295" s="5040"/>
      <c r="P1295" s="386"/>
      <c r="Q1295" s="386"/>
    </row>
    <row r="1296" spans="1:17" s="1659" customFormat="1" ht="30" customHeight="1" x14ac:dyDescent="0.2">
      <c r="A1296" s="7704"/>
      <c r="B1296" s="7665"/>
      <c r="C1296" s="7747"/>
      <c r="D1296" s="7586"/>
      <c r="E1296" s="7676"/>
      <c r="F1296" s="7586"/>
      <c r="G1296" s="8381" t="s">
        <v>6313</v>
      </c>
      <c r="H1296" s="8382"/>
      <c r="I1296" s="8382"/>
      <c r="J1296" s="8383"/>
      <c r="K1296" s="7564"/>
      <c r="L1296" s="7675"/>
      <c r="M1296" s="5040"/>
      <c r="N1296" s="5040"/>
      <c r="O1296" s="5040"/>
      <c r="P1296" s="386"/>
      <c r="Q1296" s="386"/>
    </row>
    <row r="1297" spans="1:17" s="1659" customFormat="1" ht="30" customHeight="1" x14ac:dyDescent="0.2">
      <c r="A1297" s="7704"/>
      <c r="B1297" s="7665"/>
      <c r="C1297" s="7747"/>
      <c r="D1297" s="7586"/>
      <c r="E1297" s="7676"/>
      <c r="F1297" s="7586"/>
      <c r="G1297" s="5920">
        <v>2500000</v>
      </c>
      <c r="H1297" s="5920" t="s">
        <v>7067</v>
      </c>
      <c r="I1297" s="5920" t="s">
        <v>6584</v>
      </c>
      <c r="J1297" s="5920">
        <f>G1297</f>
        <v>2500000</v>
      </c>
      <c r="K1297" s="5921">
        <f>F1293-J1297</f>
        <v>0</v>
      </c>
      <c r="L1297" s="5936"/>
      <c r="M1297" s="5040"/>
      <c r="N1297" s="5040"/>
      <c r="O1297" s="5040"/>
      <c r="P1297" s="386"/>
      <c r="Q1297" s="386"/>
    </row>
    <row r="1298" spans="1:17" s="1659" customFormat="1" ht="30" customHeight="1" x14ac:dyDescent="0.2">
      <c r="A1298" s="5010"/>
      <c r="B1298" s="5924" t="s">
        <v>5923</v>
      </c>
      <c r="C1298" s="5928" t="s">
        <v>262</v>
      </c>
      <c r="D1298" s="5919">
        <v>100000000</v>
      </c>
      <c r="E1298" s="5926"/>
      <c r="F1298" s="5919"/>
      <c r="G1298" s="5919"/>
      <c r="H1298" s="5919"/>
      <c r="I1298" s="5919"/>
      <c r="J1298" s="5919"/>
      <c r="K1298" s="5919"/>
      <c r="L1298" s="5935" t="s">
        <v>5924</v>
      </c>
      <c r="M1298" s="5040"/>
      <c r="N1298" s="5040"/>
      <c r="O1298" s="5040"/>
      <c r="P1298" s="386"/>
      <c r="Q1298" s="386"/>
    </row>
    <row r="1299" spans="1:17" s="1659" customFormat="1" ht="30" customHeight="1" x14ac:dyDescent="0.2">
      <c r="A1299" s="7703"/>
      <c r="B1299" s="7652" t="s">
        <v>5970</v>
      </c>
      <c r="C1299" s="7723" t="s">
        <v>942</v>
      </c>
      <c r="D1299" s="7563">
        <v>100000000</v>
      </c>
      <c r="E1299" s="7659">
        <v>0.06</v>
      </c>
      <c r="F1299" s="7563">
        <f>D1299*E1299</f>
        <v>6000000</v>
      </c>
      <c r="G1299" s="7732" t="s">
        <v>6028</v>
      </c>
      <c r="H1299" s="7733"/>
      <c r="I1299" s="7733"/>
      <c r="J1299" s="7734"/>
      <c r="K1299" s="4952"/>
      <c r="L1299" s="5031" t="s">
        <v>5971</v>
      </c>
      <c r="M1299" s="5040"/>
      <c r="N1299" s="5040"/>
      <c r="O1299" s="5040"/>
      <c r="P1299" s="386"/>
      <c r="Q1299" s="386"/>
    </row>
    <row r="1300" spans="1:17" s="1659" customFormat="1" ht="30" customHeight="1" x14ac:dyDescent="0.2">
      <c r="A1300" s="7705"/>
      <c r="B1300" s="7653"/>
      <c r="C1300" s="7724"/>
      <c r="D1300" s="7564"/>
      <c r="E1300" s="7660"/>
      <c r="F1300" s="7564"/>
      <c r="G1300" s="5823">
        <v>6000000</v>
      </c>
      <c r="H1300" s="5823" t="s">
        <v>6773</v>
      </c>
      <c r="I1300" s="5823" t="s">
        <v>7304</v>
      </c>
      <c r="J1300" s="5823">
        <f>G1300</f>
        <v>6000000</v>
      </c>
      <c r="K1300" s="5826">
        <f>F1299-J1300</f>
        <v>0</v>
      </c>
      <c r="L1300" s="5841"/>
      <c r="M1300" s="5843"/>
      <c r="N1300" s="5843"/>
      <c r="O1300" s="5843"/>
      <c r="P1300" s="386"/>
      <c r="Q1300" s="386"/>
    </row>
    <row r="1301" spans="1:17" s="1659" customFormat="1" ht="30" customHeight="1" x14ac:dyDescent="0.2">
      <c r="A1301" s="7703"/>
      <c r="B1301" s="7652" t="s">
        <v>5975</v>
      </c>
      <c r="C1301" s="7723" t="s">
        <v>3483</v>
      </c>
      <c r="D1301" s="7563">
        <v>270000000</v>
      </c>
      <c r="E1301" s="7659">
        <v>0.06</v>
      </c>
      <c r="F1301" s="7563">
        <f>D1301*E1301</f>
        <v>16200000</v>
      </c>
      <c r="G1301" s="7563">
        <v>16200000</v>
      </c>
      <c r="H1301" s="7563" t="s">
        <v>6895</v>
      </c>
      <c r="I1301" s="7563" t="s">
        <v>4141</v>
      </c>
      <c r="J1301" s="7563">
        <f>G1301</f>
        <v>16200000</v>
      </c>
      <c r="K1301" s="7563">
        <f>F1301-J1301</f>
        <v>0</v>
      </c>
      <c r="L1301" s="5031" t="s">
        <v>5976</v>
      </c>
      <c r="M1301" s="5040"/>
      <c r="N1301" s="5040"/>
      <c r="O1301" s="5040"/>
      <c r="P1301" s="386"/>
      <c r="Q1301" s="386"/>
    </row>
    <row r="1302" spans="1:17" s="1659" customFormat="1" ht="30" customHeight="1" x14ac:dyDescent="0.2">
      <c r="A1302" s="7704"/>
      <c r="B1302" s="7665"/>
      <c r="C1302" s="7747"/>
      <c r="D1302" s="7586"/>
      <c r="E1302" s="7676"/>
      <c r="F1302" s="7586"/>
      <c r="G1302" s="7586"/>
      <c r="H1302" s="7586"/>
      <c r="I1302" s="7586"/>
      <c r="J1302" s="7586"/>
      <c r="K1302" s="7586"/>
      <c r="L1302" s="5031" t="s">
        <v>5977</v>
      </c>
      <c r="M1302" s="5040"/>
      <c r="N1302" s="5040"/>
      <c r="O1302" s="5040"/>
      <c r="P1302" s="386"/>
      <c r="Q1302" s="386"/>
    </row>
    <row r="1303" spans="1:17" s="1659" customFormat="1" ht="30" customHeight="1" x14ac:dyDescent="0.2">
      <c r="A1303" s="7705"/>
      <c r="B1303" s="7653"/>
      <c r="C1303" s="7724"/>
      <c r="D1303" s="7564"/>
      <c r="E1303" s="7660"/>
      <c r="F1303" s="7564"/>
      <c r="G1303" s="7564"/>
      <c r="H1303" s="7564"/>
      <c r="I1303" s="7564"/>
      <c r="J1303" s="7564"/>
      <c r="K1303" s="7564"/>
      <c r="L1303" s="5031" t="s">
        <v>5978</v>
      </c>
      <c r="M1303" s="5040"/>
      <c r="N1303" s="5040"/>
      <c r="O1303" s="5040"/>
      <c r="P1303" s="386"/>
      <c r="Q1303" s="386"/>
    </row>
    <row r="1304" spans="1:17" s="1659" customFormat="1" ht="30" customHeight="1" x14ac:dyDescent="0.2">
      <c r="A1304" s="7703"/>
      <c r="B1304" s="7652" t="s">
        <v>5980</v>
      </c>
      <c r="C1304" s="7723" t="s">
        <v>942</v>
      </c>
      <c r="D1304" s="4952">
        <v>490000000</v>
      </c>
      <c r="E1304" s="4962">
        <v>0.06</v>
      </c>
      <c r="F1304" s="4952">
        <f>D1304*E1304</f>
        <v>29400000</v>
      </c>
      <c r="G1304" s="7732" t="s">
        <v>6013</v>
      </c>
      <c r="H1304" s="7733"/>
      <c r="I1304" s="7733"/>
      <c r="J1304" s="7733"/>
      <c r="K1304" s="7734"/>
      <c r="L1304" s="4242" t="s">
        <v>6702</v>
      </c>
      <c r="M1304" s="5040"/>
      <c r="N1304" s="5040"/>
      <c r="O1304" s="5040"/>
      <c r="P1304" s="386"/>
      <c r="Q1304" s="386"/>
    </row>
    <row r="1305" spans="1:17" s="1659" customFormat="1" ht="30" customHeight="1" x14ac:dyDescent="0.2">
      <c r="A1305" s="7704"/>
      <c r="B1305" s="7665"/>
      <c r="C1305" s="7747"/>
      <c r="D1305" s="4952">
        <v>30000000</v>
      </c>
      <c r="E1305" s="4962">
        <v>0.06</v>
      </c>
      <c r="F1305" s="4952">
        <f t="shared" ref="F1305:F1310" si="118">D1305*E1305</f>
        <v>1800000</v>
      </c>
      <c r="G1305" s="8000" t="s">
        <v>6704</v>
      </c>
      <c r="H1305" s="8000"/>
      <c r="I1305" s="8000"/>
      <c r="J1305" s="8000"/>
      <c r="K1305" s="5043"/>
      <c r="L1305" s="4242"/>
      <c r="M1305" s="5040"/>
      <c r="N1305" s="5040"/>
      <c r="O1305" s="5040"/>
      <c r="P1305" s="386"/>
      <c r="Q1305" s="386"/>
    </row>
    <row r="1306" spans="1:17" s="1659" customFormat="1" ht="30" customHeight="1" x14ac:dyDescent="0.2">
      <c r="A1306" s="7704"/>
      <c r="B1306" s="7665"/>
      <c r="C1306" s="7747"/>
      <c r="D1306" s="4952">
        <v>60000000</v>
      </c>
      <c r="E1306" s="4962">
        <v>0.06</v>
      </c>
      <c r="F1306" s="4952">
        <f t="shared" si="118"/>
        <v>3600000</v>
      </c>
      <c r="G1306" s="7732" t="s">
        <v>6705</v>
      </c>
      <c r="H1306" s="7733"/>
      <c r="I1306" s="7733"/>
      <c r="J1306" s="7734"/>
      <c r="K1306" s="5043"/>
      <c r="L1306" s="4242"/>
      <c r="M1306" s="5040"/>
      <c r="N1306" s="5040"/>
      <c r="O1306" s="5040"/>
      <c r="P1306" s="386"/>
      <c r="Q1306" s="386"/>
    </row>
    <row r="1307" spans="1:17" s="1659" customFormat="1" ht="30" customHeight="1" x14ac:dyDescent="0.2">
      <c r="A1307" s="7704"/>
      <c r="B1307" s="7665"/>
      <c r="C1307" s="7747"/>
      <c r="D1307" s="4952">
        <v>75000000</v>
      </c>
      <c r="E1307" s="4962">
        <v>0.06</v>
      </c>
      <c r="F1307" s="4952">
        <f t="shared" si="118"/>
        <v>4500000</v>
      </c>
      <c r="G1307" s="7732" t="s">
        <v>6706</v>
      </c>
      <c r="H1307" s="7733"/>
      <c r="I1307" s="7733"/>
      <c r="J1307" s="7734"/>
      <c r="K1307" s="5043"/>
      <c r="L1307" s="4242"/>
      <c r="M1307" s="5040"/>
      <c r="N1307" s="5040"/>
      <c r="O1307" s="5040"/>
      <c r="P1307" s="386"/>
      <c r="Q1307" s="386"/>
    </row>
    <row r="1308" spans="1:17" s="1659" customFormat="1" ht="30" customHeight="1" x14ac:dyDescent="0.2">
      <c r="A1308" s="7704"/>
      <c r="B1308" s="7665"/>
      <c r="C1308" s="7747"/>
      <c r="D1308" s="4952">
        <v>75000000</v>
      </c>
      <c r="E1308" s="4962">
        <v>0.06</v>
      </c>
      <c r="F1308" s="4952">
        <f t="shared" si="118"/>
        <v>4500000</v>
      </c>
      <c r="G1308" s="7732" t="s">
        <v>6707</v>
      </c>
      <c r="H1308" s="7733"/>
      <c r="I1308" s="7733"/>
      <c r="J1308" s="7734"/>
      <c r="K1308" s="5043"/>
      <c r="L1308" s="4242"/>
      <c r="M1308" s="5040"/>
      <c r="N1308" s="5040"/>
      <c r="O1308" s="5040"/>
      <c r="P1308" s="386"/>
      <c r="Q1308" s="386"/>
    </row>
    <row r="1309" spans="1:17" s="1659" customFormat="1" ht="30" customHeight="1" x14ac:dyDescent="0.2">
      <c r="A1309" s="7704"/>
      <c r="B1309" s="7665"/>
      <c r="C1309" s="7747"/>
      <c r="D1309" s="4952">
        <v>70000000</v>
      </c>
      <c r="E1309" s="4962">
        <v>0.06</v>
      </c>
      <c r="F1309" s="4952">
        <f t="shared" si="118"/>
        <v>4200000</v>
      </c>
      <c r="G1309" s="7732" t="s">
        <v>6708</v>
      </c>
      <c r="H1309" s="7733"/>
      <c r="I1309" s="7733"/>
      <c r="J1309" s="7734"/>
      <c r="K1309" s="5043"/>
      <c r="L1309" s="4242"/>
      <c r="M1309" s="5040"/>
      <c r="N1309" s="5040"/>
      <c r="O1309" s="5040"/>
      <c r="P1309" s="386"/>
      <c r="Q1309" s="386"/>
    </row>
    <row r="1310" spans="1:17" s="1659" customFormat="1" ht="30" customHeight="1" x14ac:dyDescent="0.2">
      <c r="A1310" s="7704"/>
      <c r="B1310" s="7665"/>
      <c r="C1310" s="7747"/>
      <c r="D1310" s="4952">
        <v>70000000</v>
      </c>
      <c r="E1310" s="4962">
        <v>0.06</v>
      </c>
      <c r="F1310" s="4952">
        <f t="shared" si="118"/>
        <v>4200000</v>
      </c>
      <c r="G1310" s="7732" t="s">
        <v>6709</v>
      </c>
      <c r="H1310" s="7733"/>
      <c r="I1310" s="7733"/>
      <c r="J1310" s="7734"/>
      <c r="K1310" s="5043"/>
      <c r="L1310" s="4242"/>
      <c r="M1310" s="5040"/>
      <c r="N1310" s="5040"/>
      <c r="O1310" s="5040"/>
      <c r="P1310" s="386"/>
      <c r="Q1310" s="386"/>
    </row>
    <row r="1311" spans="1:17" s="1659" customFormat="1" ht="30" customHeight="1" x14ac:dyDescent="0.2">
      <c r="A1311" s="7705"/>
      <c r="B1311" s="7653"/>
      <c r="C1311" s="7724"/>
      <c r="D1311" s="5057">
        <v>870000000</v>
      </c>
      <c r="E1311" s="5059">
        <v>0.06</v>
      </c>
      <c r="F1311" s="5057">
        <f>D1311*E1311</f>
        <v>52200000</v>
      </c>
      <c r="G1311" s="8000" t="s">
        <v>6703</v>
      </c>
      <c r="H1311" s="8000"/>
      <c r="I1311" s="8000"/>
      <c r="J1311" s="8000"/>
      <c r="K1311" s="5043"/>
      <c r="L1311" s="5031" t="s">
        <v>6701</v>
      </c>
      <c r="M1311" s="5040"/>
      <c r="N1311" s="5040"/>
      <c r="O1311" s="5040"/>
      <c r="P1311" s="386"/>
      <c r="Q1311" s="386"/>
    </row>
    <row r="1312" spans="1:17" s="1659" customFormat="1" ht="30" customHeight="1" x14ac:dyDescent="0.2">
      <c r="A1312" s="5010"/>
      <c r="B1312" s="4921" t="s">
        <v>5985</v>
      </c>
      <c r="C1312" s="4990" t="s">
        <v>1081</v>
      </c>
      <c r="D1312" s="4952">
        <v>40000000</v>
      </c>
      <c r="E1312" s="4962">
        <v>0.05</v>
      </c>
      <c r="F1312" s="4952">
        <f>D1312*E1312</f>
        <v>2000000</v>
      </c>
      <c r="G1312" s="4944"/>
      <c r="H1312" s="4944"/>
      <c r="I1312" s="4944" t="s">
        <v>6761</v>
      </c>
      <c r="J1312" s="4944">
        <f>G1312</f>
        <v>0</v>
      </c>
      <c r="K1312" s="4952">
        <f>F1312-J1312</f>
        <v>2000000</v>
      </c>
      <c r="L1312" s="5031" t="s">
        <v>6760</v>
      </c>
      <c r="M1312" s="5040"/>
      <c r="N1312" s="5040"/>
      <c r="O1312" s="5040"/>
      <c r="P1312" s="386"/>
      <c r="Q1312" s="386"/>
    </row>
    <row r="1313" spans="1:17" s="1659" customFormat="1" ht="30" customHeight="1" x14ac:dyDescent="0.2">
      <c r="A1313" s="7703"/>
      <c r="B1313" s="7652" t="s">
        <v>6017</v>
      </c>
      <c r="C1313" s="7723" t="s">
        <v>3323</v>
      </c>
      <c r="D1313" s="7563">
        <v>1900000000</v>
      </c>
      <c r="E1313" s="7659">
        <v>7.0000000000000007E-2</v>
      </c>
      <c r="F1313" s="7563">
        <f>D1313*E1313</f>
        <v>133000000.00000001</v>
      </c>
      <c r="G1313" s="7732" t="s">
        <v>6018</v>
      </c>
      <c r="H1313" s="7733"/>
      <c r="I1313" s="7733"/>
      <c r="J1313" s="7733"/>
      <c r="K1313" s="7734"/>
      <c r="L1313" s="7674" t="s">
        <v>6019</v>
      </c>
      <c r="M1313" s="5040"/>
      <c r="N1313" s="5040"/>
      <c r="O1313" s="5040"/>
      <c r="P1313" s="386"/>
      <c r="Q1313" s="386"/>
    </row>
    <row r="1314" spans="1:17" s="1659" customFormat="1" ht="30" customHeight="1" x14ac:dyDescent="0.2">
      <c r="A1314" s="7704"/>
      <c r="B1314" s="7665"/>
      <c r="C1314" s="7747"/>
      <c r="D1314" s="7586"/>
      <c r="E1314" s="7676"/>
      <c r="F1314" s="7586"/>
      <c r="G1314" s="7732" t="s">
        <v>6763</v>
      </c>
      <c r="H1314" s="7733"/>
      <c r="I1314" s="7733"/>
      <c r="J1314" s="7734"/>
      <c r="K1314" s="4944"/>
      <c r="L1314" s="7675"/>
      <c r="M1314" s="5040"/>
      <c r="N1314" s="5040"/>
      <c r="O1314" s="5040"/>
      <c r="P1314" s="386"/>
      <c r="Q1314" s="386"/>
    </row>
    <row r="1315" spans="1:17" s="1659" customFormat="1" ht="30" customHeight="1" x14ac:dyDescent="0.2">
      <c r="A1315" s="7705"/>
      <c r="B1315" s="7653"/>
      <c r="C1315" s="7724"/>
      <c r="D1315" s="7564"/>
      <c r="E1315" s="7660"/>
      <c r="F1315" s="7564"/>
      <c r="G1315" s="5561">
        <v>50000000</v>
      </c>
      <c r="H1315" s="5561" t="s">
        <v>2474</v>
      </c>
      <c r="I1315" s="5561" t="s">
        <v>7246</v>
      </c>
      <c r="J1315" s="5561">
        <f>G1315</f>
        <v>50000000</v>
      </c>
      <c r="K1315" s="5562"/>
      <c r="L1315" s="5572"/>
      <c r="M1315" s="5575"/>
      <c r="N1315" s="5575"/>
      <c r="O1315" s="5575"/>
      <c r="P1315" s="386"/>
      <c r="Q1315" s="386"/>
    </row>
    <row r="1316" spans="1:17" s="1659" customFormat="1" ht="30" customHeight="1" x14ac:dyDescent="0.2">
      <c r="A1316" s="5010"/>
      <c r="B1316" s="4921" t="s">
        <v>6031</v>
      </c>
      <c r="C1316" s="4990"/>
      <c r="D1316" s="4952">
        <v>120000000</v>
      </c>
      <c r="E1316" s="4962"/>
      <c r="F1316" s="4952"/>
      <c r="G1316" s="7732" t="s">
        <v>6033</v>
      </c>
      <c r="H1316" s="7733"/>
      <c r="I1316" s="7733"/>
      <c r="J1316" s="7734"/>
      <c r="K1316" s="4952"/>
      <c r="L1316" s="5031" t="s">
        <v>6032</v>
      </c>
      <c r="M1316" s="5040"/>
      <c r="N1316" s="5040"/>
      <c r="O1316" s="5040"/>
      <c r="P1316" s="386"/>
      <c r="Q1316" s="386"/>
    </row>
    <row r="1317" spans="1:17" s="1659" customFormat="1" ht="30" customHeight="1" x14ac:dyDescent="0.2">
      <c r="A1317" s="7703"/>
      <c r="B1317" s="7652" t="s">
        <v>6053</v>
      </c>
      <c r="C1317" s="7723" t="s">
        <v>1287</v>
      </c>
      <c r="D1317" s="7563">
        <v>200000000</v>
      </c>
      <c r="E1317" s="7659">
        <v>0.06</v>
      </c>
      <c r="F1317" s="7563">
        <f>D1317*E1317</f>
        <v>12000000</v>
      </c>
      <c r="G1317" s="7991" t="s">
        <v>7046</v>
      </c>
      <c r="H1317" s="7992"/>
      <c r="I1317" s="7992"/>
      <c r="J1317" s="7993"/>
      <c r="K1317" s="7563"/>
      <c r="L1317" s="7674" t="s">
        <v>6054</v>
      </c>
      <c r="M1317" s="5040"/>
      <c r="N1317" s="5040"/>
      <c r="O1317" s="5040"/>
      <c r="P1317" s="386"/>
      <c r="Q1317" s="386"/>
    </row>
    <row r="1318" spans="1:17" s="1659" customFormat="1" ht="30" customHeight="1" x14ac:dyDescent="0.2">
      <c r="A1318" s="7704"/>
      <c r="B1318" s="7665"/>
      <c r="C1318" s="7747"/>
      <c r="D1318" s="7586"/>
      <c r="E1318" s="7676"/>
      <c r="F1318" s="7586"/>
      <c r="G1318" s="7997"/>
      <c r="H1318" s="7998"/>
      <c r="I1318" s="7998"/>
      <c r="J1318" s="7999"/>
      <c r="K1318" s="7564"/>
      <c r="L1318" s="7675"/>
      <c r="M1318" s="5393"/>
      <c r="N1318" s="5393"/>
      <c r="O1318" s="5393"/>
      <c r="P1318" s="386"/>
      <c r="Q1318" s="386"/>
    </row>
    <row r="1319" spans="1:17" s="1659" customFormat="1" ht="30" customHeight="1" x14ac:dyDescent="0.2">
      <c r="A1319" s="7705"/>
      <c r="B1319" s="7653"/>
      <c r="C1319" s="7724"/>
      <c r="D1319" s="7564"/>
      <c r="E1319" s="7660"/>
      <c r="F1319" s="7564"/>
      <c r="G1319" s="5399">
        <v>12000000</v>
      </c>
      <c r="H1319" s="5399" t="s">
        <v>7065</v>
      </c>
      <c r="I1319" s="5399" t="s">
        <v>7075</v>
      </c>
      <c r="J1319" s="5399">
        <f>G1319</f>
        <v>12000000</v>
      </c>
      <c r="K1319" s="5402">
        <f>F1317-J1319</f>
        <v>0</v>
      </c>
      <c r="L1319" s="5417"/>
      <c r="M1319" s="5421"/>
      <c r="N1319" s="5421"/>
      <c r="O1319" s="5421"/>
      <c r="P1319" s="386"/>
      <c r="Q1319" s="386"/>
    </row>
    <row r="1320" spans="1:17" s="1659" customFormat="1" ht="30" customHeight="1" x14ac:dyDescent="0.2">
      <c r="A1320" s="7703"/>
      <c r="B1320" s="7652" t="s">
        <v>4767</v>
      </c>
      <c r="C1320" s="7723" t="s">
        <v>989</v>
      </c>
      <c r="D1320" s="7563">
        <v>4200000</v>
      </c>
      <c r="E1320" s="7659">
        <v>0.05</v>
      </c>
      <c r="F1320" s="7563">
        <f>D1320*E1320</f>
        <v>210000</v>
      </c>
      <c r="G1320" s="4952"/>
      <c r="H1320" s="7482"/>
      <c r="I1320" s="7482" t="s">
        <v>6137</v>
      </c>
      <c r="J1320" s="7482" t="e">
        <f>G1320+G1321+G1322+G1323+G1334</f>
        <v>#VALUE!</v>
      </c>
      <c r="K1320" s="7563"/>
      <c r="L1320" s="5031" t="s">
        <v>4905</v>
      </c>
      <c r="M1320" s="5040"/>
      <c r="N1320" s="5040"/>
      <c r="O1320" s="5040"/>
      <c r="P1320" s="386"/>
      <c r="Q1320" s="386"/>
    </row>
    <row r="1321" spans="1:17" s="1659" customFormat="1" ht="30" customHeight="1" x14ac:dyDescent="0.2">
      <c r="A1321" s="7704"/>
      <c r="B1321" s="7665"/>
      <c r="C1321" s="7747"/>
      <c r="D1321" s="7586"/>
      <c r="E1321" s="7676"/>
      <c r="F1321" s="7586"/>
      <c r="G1321" s="4944"/>
      <c r="H1321" s="7482"/>
      <c r="I1321" s="7482"/>
      <c r="J1321" s="7482"/>
      <c r="K1321" s="7586"/>
      <c r="L1321" s="5051" t="s">
        <v>4906</v>
      </c>
      <c r="M1321" s="5040"/>
      <c r="N1321" s="5040"/>
      <c r="O1321" s="5040"/>
      <c r="P1321" s="386"/>
      <c r="Q1321" s="386"/>
    </row>
    <row r="1322" spans="1:17" s="1659" customFormat="1" ht="30" customHeight="1" x14ac:dyDescent="0.2">
      <c r="A1322" s="7704"/>
      <c r="B1322" s="7665"/>
      <c r="C1322" s="7747"/>
      <c r="D1322" s="7586"/>
      <c r="E1322" s="7676"/>
      <c r="F1322" s="7586"/>
      <c r="G1322" s="4944"/>
      <c r="H1322" s="7482"/>
      <c r="I1322" s="7482"/>
      <c r="J1322" s="7482"/>
      <c r="K1322" s="7586"/>
      <c r="L1322" s="5051" t="s">
        <v>5482</v>
      </c>
      <c r="M1322" s="5040"/>
      <c r="N1322" s="5040"/>
      <c r="O1322" s="5040"/>
      <c r="P1322" s="386"/>
      <c r="Q1322" s="386"/>
    </row>
    <row r="1323" spans="1:17" s="1659" customFormat="1" ht="30" customHeight="1" x14ac:dyDescent="0.2">
      <c r="A1323" s="7705"/>
      <c r="B1323" s="7653"/>
      <c r="C1323" s="7724"/>
      <c r="D1323" s="7564"/>
      <c r="E1323" s="7660"/>
      <c r="F1323" s="7564"/>
      <c r="G1323" s="4944"/>
      <c r="H1323" s="7482"/>
      <c r="I1323" s="7482"/>
      <c r="J1323" s="7482"/>
      <c r="K1323" s="7564"/>
      <c r="L1323" s="5051" t="s">
        <v>6138</v>
      </c>
      <c r="M1323" s="5040"/>
      <c r="N1323" s="5040"/>
      <c r="O1323" s="5040"/>
      <c r="P1323" s="386"/>
      <c r="Q1323" s="386"/>
    </row>
    <row r="1324" spans="1:17" s="1659" customFormat="1" ht="30" customHeight="1" x14ac:dyDescent="0.2">
      <c r="A1324" s="7703"/>
      <c r="B1324" s="7652" t="s">
        <v>6143</v>
      </c>
      <c r="C1324" s="7723"/>
      <c r="D1324" s="4952">
        <v>1100000000</v>
      </c>
      <c r="E1324" s="5290">
        <v>7.0000000000000007E-2</v>
      </c>
      <c r="F1324" s="4952">
        <f>D1324*E1324</f>
        <v>77000000</v>
      </c>
      <c r="G1324" s="7732" t="s">
        <v>6256</v>
      </c>
      <c r="H1324" s="7733"/>
      <c r="I1324" s="7733"/>
      <c r="J1324" s="7734"/>
      <c r="K1324" s="4952"/>
      <c r="L1324" s="5031" t="s">
        <v>6335</v>
      </c>
      <c r="M1324" s="5040"/>
      <c r="N1324" s="5040"/>
      <c r="O1324" s="5040"/>
      <c r="P1324" s="386"/>
      <c r="Q1324" s="386"/>
    </row>
    <row r="1325" spans="1:17" s="1659" customFormat="1" ht="30" customHeight="1" x14ac:dyDescent="0.2">
      <c r="A1325" s="7705"/>
      <c r="B1325" s="7653"/>
      <c r="C1325" s="7724"/>
      <c r="D1325" s="4952">
        <v>50000000</v>
      </c>
      <c r="E1325" s="5290">
        <v>7.0000000000000007E-2</v>
      </c>
      <c r="F1325" s="4952">
        <f>D1325*E1325</f>
        <v>3500000.0000000005</v>
      </c>
      <c r="G1325" s="5268">
        <v>80500000</v>
      </c>
      <c r="H1325" s="5268" t="s">
        <v>6773</v>
      </c>
      <c r="I1325" s="5268" t="s">
        <v>6916</v>
      </c>
      <c r="J1325" s="5268">
        <f>G1325</f>
        <v>80500000</v>
      </c>
      <c r="K1325" s="5271">
        <f>(F1324+F1325)-J1325</f>
        <v>0</v>
      </c>
      <c r="L1325" s="5031" t="s">
        <v>6203</v>
      </c>
      <c r="M1325" s="5040"/>
      <c r="N1325" s="5040"/>
      <c r="O1325" s="5040"/>
      <c r="P1325" s="386"/>
      <c r="Q1325" s="386"/>
    </row>
    <row r="1326" spans="1:17" s="1659" customFormat="1" ht="30" customHeight="1" x14ac:dyDescent="0.2">
      <c r="A1326" s="5010"/>
      <c r="B1326" s="4921" t="s">
        <v>6144</v>
      </c>
      <c r="C1326" s="4990"/>
      <c r="D1326" s="4952">
        <v>100000000</v>
      </c>
      <c r="E1326" s="4962">
        <v>7.0000000000000007E-2</v>
      </c>
      <c r="F1326" s="4952">
        <f>D1326*E1326</f>
        <v>7000000.0000000009</v>
      </c>
      <c r="G1326" s="4952">
        <v>7000000</v>
      </c>
      <c r="H1326" s="4952" t="s">
        <v>6773</v>
      </c>
      <c r="I1326" s="4952" t="s">
        <v>7343</v>
      </c>
      <c r="J1326" s="4952">
        <f>G1326</f>
        <v>7000000</v>
      </c>
      <c r="K1326" s="4952">
        <f>F1326-J1326</f>
        <v>0</v>
      </c>
      <c r="L1326" s="5031" t="s">
        <v>6145</v>
      </c>
      <c r="M1326" s="5040"/>
      <c r="N1326" s="5040"/>
      <c r="O1326" s="5040"/>
      <c r="P1326" s="386"/>
      <c r="Q1326" s="386"/>
    </row>
    <row r="1327" spans="1:17" s="1659" customFormat="1" ht="30" customHeight="1" x14ac:dyDescent="0.2">
      <c r="A1327" s="5010"/>
      <c r="B1327" s="4921" t="s">
        <v>6163</v>
      </c>
      <c r="C1327" s="4990"/>
      <c r="D1327" s="7470" t="s">
        <v>6164</v>
      </c>
      <c r="E1327" s="7493"/>
      <c r="F1327" s="7510"/>
      <c r="G1327" s="4952"/>
      <c r="H1327" s="4952"/>
      <c r="I1327" s="4952" t="s">
        <v>5759</v>
      </c>
      <c r="J1327" s="4952">
        <f>G1327</f>
        <v>0</v>
      </c>
      <c r="K1327" s="4952"/>
      <c r="L1327" s="5031"/>
      <c r="M1327" s="5040"/>
      <c r="N1327" s="5040"/>
      <c r="O1327" s="5040"/>
      <c r="P1327" s="386"/>
      <c r="Q1327" s="386"/>
    </row>
    <row r="1328" spans="1:17" s="1659" customFormat="1" ht="30" customHeight="1" x14ac:dyDescent="0.2">
      <c r="A1328" s="5010"/>
      <c r="B1328" s="4921" t="s">
        <v>6167</v>
      </c>
      <c r="C1328" s="4990"/>
      <c r="D1328" s="7470" t="s">
        <v>6168</v>
      </c>
      <c r="E1328" s="7493"/>
      <c r="F1328" s="7510"/>
      <c r="G1328" s="7732" t="s">
        <v>6169</v>
      </c>
      <c r="H1328" s="7733"/>
      <c r="I1328" s="7733"/>
      <c r="J1328" s="7734"/>
      <c r="K1328" s="4952"/>
      <c r="L1328" s="5031"/>
      <c r="M1328" s="5040"/>
      <c r="N1328" s="5040"/>
      <c r="O1328" s="5040"/>
      <c r="P1328" s="386"/>
      <c r="Q1328" s="386"/>
    </row>
    <row r="1329" spans="1:17" s="1659" customFormat="1" ht="30" customHeight="1" x14ac:dyDescent="0.2">
      <c r="A1329" s="7703"/>
      <c r="B1329" s="7652" t="s">
        <v>6172</v>
      </c>
      <c r="C1329" s="7723" t="s">
        <v>2644</v>
      </c>
      <c r="D1329" s="7563">
        <v>100000000</v>
      </c>
      <c r="E1329" s="7659">
        <v>0.05</v>
      </c>
      <c r="F1329" s="7563">
        <f>D1329*E1329</f>
        <v>5000000</v>
      </c>
      <c r="G1329" s="7732" t="s">
        <v>6173</v>
      </c>
      <c r="H1329" s="7733"/>
      <c r="I1329" s="7733"/>
      <c r="J1329" s="7734"/>
      <c r="K1329" s="4952"/>
      <c r="L1329" s="5031" t="s">
        <v>6174</v>
      </c>
      <c r="M1329" s="5040"/>
      <c r="N1329" s="5040"/>
      <c r="O1329" s="5040"/>
      <c r="P1329" s="386"/>
      <c r="Q1329" s="386"/>
    </row>
    <row r="1330" spans="1:17" s="1659" customFormat="1" ht="30" customHeight="1" x14ac:dyDescent="0.2">
      <c r="A1330" s="7705"/>
      <c r="B1330" s="7653"/>
      <c r="C1330" s="7724"/>
      <c r="D1330" s="7564"/>
      <c r="E1330" s="7660"/>
      <c r="F1330" s="7564"/>
      <c r="G1330" s="5129">
        <v>5000000</v>
      </c>
      <c r="H1330" s="5129" t="s">
        <v>6785</v>
      </c>
      <c r="I1330" s="5129" t="s">
        <v>1810</v>
      </c>
      <c r="J1330" s="5129">
        <f>G1330</f>
        <v>5000000</v>
      </c>
      <c r="K1330" s="5130">
        <f>F1329-J1330</f>
        <v>0</v>
      </c>
      <c r="L1330" s="5135"/>
      <c r="M1330" s="5137"/>
      <c r="N1330" s="5137"/>
      <c r="O1330" s="5137"/>
      <c r="P1330" s="386"/>
      <c r="Q1330" s="386"/>
    </row>
    <row r="1331" spans="1:17" s="1659" customFormat="1" ht="30" customHeight="1" x14ac:dyDescent="0.2">
      <c r="A1331" s="5010"/>
      <c r="B1331" s="4921" t="s">
        <v>6176</v>
      </c>
      <c r="C1331" s="4990"/>
      <c r="D1331" s="4953"/>
      <c r="E1331" s="4953"/>
      <c r="F1331" s="4953"/>
      <c r="G1331" s="4952"/>
      <c r="H1331" s="4952"/>
      <c r="I1331" s="4952" t="s">
        <v>6177</v>
      </c>
      <c r="J1331" s="4952">
        <f>G1331</f>
        <v>0</v>
      </c>
      <c r="K1331" s="4965">
        <f>F1331-J1331</f>
        <v>0</v>
      </c>
      <c r="L1331" s="5031"/>
      <c r="M1331" s="5040"/>
      <c r="N1331" s="5040"/>
      <c r="O1331" s="5040"/>
      <c r="P1331" s="386"/>
      <c r="Q1331" s="386"/>
    </row>
    <row r="1332" spans="1:17" s="1659" customFormat="1" ht="30" customHeight="1" x14ac:dyDescent="0.2">
      <c r="A1332" s="7703"/>
      <c r="B1332" s="7703" t="s">
        <v>6295</v>
      </c>
      <c r="C1332" s="7723" t="s">
        <v>262</v>
      </c>
      <c r="D1332" s="7563">
        <v>50000000</v>
      </c>
      <c r="E1332" s="7659">
        <v>7.0000000000000007E-2</v>
      </c>
      <c r="F1332" s="7563">
        <f>D1332*E1332</f>
        <v>3500000.0000000005</v>
      </c>
      <c r="G1332" s="7991" t="s">
        <v>5756</v>
      </c>
      <c r="H1332" s="7992"/>
      <c r="I1332" s="7992"/>
      <c r="J1332" s="7993"/>
      <c r="K1332" s="4965"/>
      <c r="L1332" s="5031" t="s">
        <v>5631</v>
      </c>
      <c r="M1332" s="5040"/>
      <c r="N1332" s="5040"/>
      <c r="O1332" s="5040"/>
      <c r="P1332" s="386"/>
      <c r="Q1332" s="386"/>
    </row>
    <row r="1333" spans="1:17" s="1659" customFormat="1" ht="30" customHeight="1" x14ac:dyDescent="0.2">
      <c r="A1333" s="7704"/>
      <c r="B1333" s="7704"/>
      <c r="C1333" s="7747"/>
      <c r="D1333" s="7564"/>
      <c r="E1333" s="7660"/>
      <c r="F1333" s="7564"/>
      <c r="G1333" s="4944"/>
      <c r="H1333" s="4944"/>
      <c r="I1333" s="4944" t="s">
        <v>6527</v>
      </c>
      <c r="J1333" s="4944">
        <f>G1333</f>
        <v>0</v>
      </c>
      <c r="K1333" s="4965"/>
      <c r="L1333" s="5031" t="s">
        <v>5632</v>
      </c>
      <c r="M1333" s="5040"/>
      <c r="N1333" s="5040"/>
      <c r="O1333" s="5040"/>
      <c r="P1333" s="386"/>
      <c r="Q1333" s="386"/>
    </row>
    <row r="1334" spans="1:17" s="1659" customFormat="1" ht="30" customHeight="1" x14ac:dyDescent="0.2">
      <c r="A1334" s="7704"/>
      <c r="B1334" s="7704"/>
      <c r="C1334" s="7747"/>
      <c r="D1334" s="8378">
        <v>1000000000</v>
      </c>
      <c r="E1334" s="8375"/>
      <c r="F1334" s="8378"/>
      <c r="G1334" s="8384" t="s">
        <v>6184</v>
      </c>
      <c r="H1334" s="8385"/>
      <c r="I1334" s="8385"/>
      <c r="J1334" s="8386"/>
      <c r="K1334" s="5085"/>
      <c r="L1334" s="4619" t="s">
        <v>6183</v>
      </c>
      <c r="M1334" s="5040"/>
      <c r="N1334" s="5040"/>
      <c r="O1334" s="5040"/>
      <c r="P1334" s="386"/>
      <c r="Q1334" s="386"/>
    </row>
    <row r="1335" spans="1:17" s="1659" customFormat="1" ht="30" customHeight="1" x14ac:dyDescent="0.2">
      <c r="A1335" s="7704"/>
      <c r="B1335" s="7704"/>
      <c r="C1335" s="7747"/>
      <c r="D1335" s="8379"/>
      <c r="E1335" s="8376"/>
      <c r="F1335" s="8379"/>
      <c r="G1335" s="8387" t="s">
        <v>6185</v>
      </c>
      <c r="H1335" s="8388"/>
      <c r="I1335" s="8388"/>
      <c r="J1335" s="8389"/>
      <c r="K1335" s="5085"/>
      <c r="L1335" s="4619" t="s">
        <v>6182</v>
      </c>
      <c r="M1335" s="5040"/>
      <c r="N1335" s="5040"/>
      <c r="O1335" s="5040"/>
      <c r="P1335" s="386"/>
      <c r="Q1335" s="386"/>
    </row>
    <row r="1336" spans="1:17" s="1659" customFormat="1" ht="30" customHeight="1" x14ac:dyDescent="0.2">
      <c r="A1336" s="7704"/>
      <c r="B1336" s="7704"/>
      <c r="C1336" s="7747"/>
      <c r="D1336" s="8379"/>
      <c r="E1336" s="8376"/>
      <c r="F1336" s="8379"/>
      <c r="G1336" s="7732" t="s">
        <v>6346</v>
      </c>
      <c r="H1336" s="7733"/>
      <c r="I1336" s="7733"/>
      <c r="J1336" s="7734"/>
      <c r="K1336" s="5085"/>
      <c r="L1336" s="4619"/>
      <c r="M1336" s="5040"/>
      <c r="N1336" s="5040"/>
      <c r="O1336" s="5040"/>
      <c r="P1336" s="386"/>
      <c r="Q1336" s="386"/>
    </row>
    <row r="1337" spans="1:17" s="1659" customFormat="1" ht="30" customHeight="1" x14ac:dyDescent="0.2">
      <c r="A1337" s="7704"/>
      <c r="B1337" s="7704"/>
      <c r="C1337" s="7747"/>
      <c r="D1337" s="8379"/>
      <c r="E1337" s="8376"/>
      <c r="F1337" s="8379"/>
      <c r="G1337" s="7732" t="s">
        <v>6340</v>
      </c>
      <c r="H1337" s="7733"/>
      <c r="I1337" s="7733"/>
      <c r="J1337" s="7734"/>
      <c r="K1337" s="5085"/>
      <c r="L1337" s="4619"/>
      <c r="M1337" s="5040"/>
      <c r="N1337" s="5040"/>
      <c r="O1337" s="5040"/>
      <c r="P1337" s="386"/>
      <c r="Q1337" s="386"/>
    </row>
    <row r="1338" spans="1:17" s="1659" customFormat="1" ht="30" customHeight="1" x14ac:dyDescent="0.2">
      <c r="A1338" s="7704"/>
      <c r="B1338" s="7704"/>
      <c r="C1338" s="7747"/>
      <c r="D1338" s="8379"/>
      <c r="E1338" s="8376"/>
      <c r="F1338" s="8379"/>
      <c r="G1338" s="7732" t="s">
        <v>6348</v>
      </c>
      <c r="H1338" s="7733"/>
      <c r="I1338" s="7733"/>
      <c r="J1338" s="7734"/>
      <c r="K1338" s="5085"/>
      <c r="L1338" s="4619"/>
      <c r="M1338" s="5040"/>
      <c r="N1338" s="5040"/>
      <c r="O1338" s="5040"/>
      <c r="P1338" s="386"/>
      <c r="Q1338" s="386"/>
    </row>
    <row r="1339" spans="1:17" s="1659" customFormat="1" ht="30" customHeight="1" x14ac:dyDescent="0.2">
      <c r="A1339" s="7704"/>
      <c r="B1339" s="7704"/>
      <c r="C1339" s="7747"/>
      <c r="D1339" s="8379"/>
      <c r="E1339" s="8376"/>
      <c r="F1339" s="8379"/>
      <c r="G1339" s="7732" t="s">
        <v>6347</v>
      </c>
      <c r="H1339" s="7733"/>
      <c r="I1339" s="7733"/>
      <c r="J1339" s="7734"/>
      <c r="K1339" s="5085"/>
      <c r="L1339" s="4619"/>
      <c r="M1339" s="5040"/>
      <c r="N1339" s="5040"/>
      <c r="O1339" s="5040"/>
      <c r="P1339" s="386"/>
      <c r="Q1339" s="386"/>
    </row>
    <row r="1340" spans="1:17" s="1659" customFormat="1" ht="30" customHeight="1" x14ac:dyDescent="0.2">
      <c r="A1340" s="7704"/>
      <c r="B1340" s="7704"/>
      <c r="C1340" s="7747"/>
      <c r="D1340" s="8379"/>
      <c r="E1340" s="8376"/>
      <c r="F1340" s="8379"/>
      <c r="G1340" s="7732" t="s">
        <v>6341</v>
      </c>
      <c r="H1340" s="7733"/>
      <c r="I1340" s="7733"/>
      <c r="J1340" s="7734"/>
      <c r="K1340" s="5085"/>
      <c r="L1340" s="4619"/>
      <c r="M1340" s="5040"/>
      <c r="N1340" s="5040"/>
      <c r="O1340" s="5040"/>
      <c r="P1340" s="386"/>
      <c r="Q1340" s="386"/>
    </row>
    <row r="1341" spans="1:17" s="1659" customFormat="1" ht="30" customHeight="1" x14ac:dyDescent="0.2">
      <c r="A1341" s="7704"/>
      <c r="B1341" s="7704"/>
      <c r="C1341" s="7747"/>
      <c r="D1341" s="8379"/>
      <c r="E1341" s="8376"/>
      <c r="F1341" s="8379"/>
      <c r="G1341" s="7732" t="s">
        <v>6344</v>
      </c>
      <c r="H1341" s="7733"/>
      <c r="I1341" s="7733"/>
      <c r="J1341" s="7734"/>
      <c r="K1341" s="5085"/>
      <c r="L1341" s="4619"/>
      <c r="M1341" s="5040"/>
      <c r="N1341" s="5040"/>
      <c r="O1341" s="5040"/>
      <c r="P1341" s="386"/>
      <c r="Q1341" s="386"/>
    </row>
    <row r="1342" spans="1:17" s="1659" customFormat="1" ht="30" customHeight="1" x14ac:dyDescent="0.2">
      <c r="A1342" s="7704"/>
      <c r="B1342" s="7704"/>
      <c r="C1342" s="7747"/>
      <c r="D1342" s="8379"/>
      <c r="E1342" s="8376"/>
      <c r="F1342" s="8379"/>
      <c r="G1342" s="7732" t="s">
        <v>6345</v>
      </c>
      <c r="H1342" s="7733"/>
      <c r="I1342" s="7733"/>
      <c r="J1342" s="7734"/>
      <c r="K1342" s="5085"/>
      <c r="L1342" s="4619"/>
      <c r="M1342" s="5040"/>
      <c r="N1342" s="5040"/>
      <c r="O1342" s="5040"/>
      <c r="P1342" s="386"/>
      <c r="Q1342" s="386"/>
    </row>
    <row r="1343" spans="1:17" s="1659" customFormat="1" ht="30" customHeight="1" x14ac:dyDescent="0.2">
      <c r="A1343" s="7704"/>
      <c r="B1343" s="7704"/>
      <c r="C1343" s="7747"/>
      <c r="D1343" s="8379"/>
      <c r="E1343" s="8376"/>
      <c r="F1343" s="8379"/>
      <c r="G1343" s="7732" t="s">
        <v>6342</v>
      </c>
      <c r="H1343" s="7733"/>
      <c r="I1343" s="7733"/>
      <c r="J1343" s="7734"/>
      <c r="K1343" s="5085"/>
      <c r="L1343" s="4619"/>
      <c r="M1343" s="5040"/>
      <c r="N1343" s="5040"/>
      <c r="O1343" s="5040"/>
      <c r="P1343" s="386"/>
      <c r="Q1343" s="386"/>
    </row>
    <row r="1344" spans="1:17" s="1659" customFormat="1" ht="30" customHeight="1" x14ac:dyDescent="0.2">
      <c r="A1344" s="7704"/>
      <c r="B1344" s="7704"/>
      <c r="C1344" s="7747"/>
      <c r="D1344" s="8379"/>
      <c r="E1344" s="8376"/>
      <c r="F1344" s="8379"/>
      <c r="G1344" s="7732" t="s">
        <v>6343</v>
      </c>
      <c r="H1344" s="7733"/>
      <c r="I1344" s="7733"/>
      <c r="J1344" s="7734"/>
      <c r="K1344" s="5085"/>
      <c r="L1344" s="4619"/>
      <c r="M1344" s="5040"/>
      <c r="N1344" s="5040"/>
      <c r="O1344" s="5040"/>
      <c r="P1344" s="386"/>
      <c r="Q1344" s="386"/>
    </row>
    <row r="1345" spans="1:17" s="1659" customFormat="1" ht="30" customHeight="1" x14ac:dyDescent="0.2">
      <c r="A1345" s="7705"/>
      <c r="B1345" s="5173" t="s">
        <v>6819</v>
      </c>
      <c r="C1345" s="7724"/>
      <c r="D1345" s="8380"/>
      <c r="E1345" s="8377"/>
      <c r="F1345" s="8380"/>
      <c r="G1345" s="7732" t="s">
        <v>6349</v>
      </c>
      <c r="H1345" s="7733"/>
      <c r="I1345" s="7733"/>
      <c r="J1345" s="7734"/>
      <c r="K1345" s="5085"/>
      <c r="L1345" s="4619"/>
      <c r="M1345" s="5040"/>
      <c r="N1345" s="5040"/>
      <c r="O1345" s="5040"/>
      <c r="P1345" s="386"/>
      <c r="Q1345" s="386"/>
    </row>
    <row r="1346" spans="1:17" s="1659" customFormat="1" ht="30" customHeight="1" x14ac:dyDescent="0.2">
      <c r="A1346" s="7703"/>
      <c r="B1346" s="7652" t="s">
        <v>6295</v>
      </c>
      <c r="C1346" s="7723" t="s">
        <v>262</v>
      </c>
      <c r="D1346" s="7563">
        <f>977000000+D1332</f>
        <v>1027000000</v>
      </c>
      <c r="E1346" s="7659">
        <v>7.0000000000000007E-2</v>
      </c>
      <c r="F1346" s="7563">
        <f>D1346*E1346</f>
        <v>71890000</v>
      </c>
      <c r="G1346" s="5346">
        <v>20000000</v>
      </c>
      <c r="H1346" s="5346" t="s">
        <v>7010</v>
      </c>
      <c r="I1346" s="5346" t="s">
        <v>7011</v>
      </c>
      <c r="J1346" s="7563">
        <f>G1346+G1347</f>
        <v>71800000</v>
      </c>
      <c r="K1346" s="7563">
        <f>F1346-J1346</f>
        <v>90000</v>
      </c>
      <c r="L1346" s="5360"/>
      <c r="M1346" s="5361"/>
      <c r="N1346" s="5361"/>
      <c r="O1346" s="5361"/>
      <c r="P1346" s="386"/>
      <c r="Q1346" s="386"/>
    </row>
    <row r="1347" spans="1:17" s="1659" customFormat="1" ht="30" customHeight="1" x14ac:dyDescent="0.2">
      <c r="A1347" s="7705"/>
      <c r="B1347" s="7653"/>
      <c r="C1347" s="7724"/>
      <c r="D1347" s="7564"/>
      <c r="E1347" s="7660"/>
      <c r="F1347" s="7564"/>
      <c r="G1347" s="5399">
        <v>51800000</v>
      </c>
      <c r="H1347" s="5399" t="s">
        <v>3075</v>
      </c>
      <c r="I1347" s="5399" t="s">
        <v>7011</v>
      </c>
      <c r="J1347" s="7564"/>
      <c r="K1347" s="7564"/>
      <c r="L1347" s="5417"/>
      <c r="M1347" s="5421"/>
      <c r="N1347" s="5421"/>
      <c r="O1347" s="5421"/>
      <c r="P1347" s="386"/>
      <c r="Q1347" s="386"/>
    </row>
    <row r="1348" spans="1:17" s="1659" customFormat="1" ht="30" customHeight="1" x14ac:dyDescent="0.2">
      <c r="A1348" s="5033"/>
      <c r="B1348" s="5169" t="s">
        <v>6189</v>
      </c>
      <c r="C1348" s="4990" t="s">
        <v>392</v>
      </c>
      <c r="D1348" s="4952">
        <v>100000000</v>
      </c>
      <c r="E1348" s="4962">
        <v>0.04</v>
      </c>
      <c r="F1348" s="4952">
        <f>D1348*E1348</f>
        <v>4000000</v>
      </c>
      <c r="G1348" s="7732" t="s">
        <v>6284</v>
      </c>
      <c r="H1348" s="7733"/>
      <c r="I1348" s="7733"/>
      <c r="J1348" s="7734"/>
      <c r="K1348" s="4952"/>
      <c r="L1348" s="5031" t="s">
        <v>6190</v>
      </c>
      <c r="M1348" s="5040"/>
      <c r="N1348" s="5040"/>
      <c r="O1348" s="5040"/>
      <c r="P1348" s="386"/>
      <c r="Q1348" s="386"/>
    </row>
    <row r="1349" spans="1:17" s="1659" customFormat="1" ht="30" customHeight="1" x14ac:dyDescent="0.2">
      <c r="A1349" s="5033"/>
      <c r="B1349" s="4921" t="s">
        <v>6229</v>
      </c>
      <c r="C1349" s="4990"/>
      <c r="D1349" s="4952">
        <v>47000000</v>
      </c>
      <c r="E1349" s="4962">
        <v>4.2999999999999997E-2</v>
      </c>
      <c r="F1349" s="4952">
        <v>2000000</v>
      </c>
      <c r="G1349" s="4952">
        <v>2000000</v>
      </c>
      <c r="H1349" s="4952" t="s">
        <v>6792</v>
      </c>
      <c r="I1349" s="4999" t="s">
        <v>6230</v>
      </c>
      <c r="J1349" s="4952">
        <f>G1349</f>
        <v>2000000</v>
      </c>
      <c r="K1349" s="4952">
        <f>F1349-J1349</f>
        <v>0</v>
      </c>
      <c r="L1349" s="5031"/>
      <c r="M1349" s="5040"/>
      <c r="N1349" s="5040"/>
      <c r="O1349" s="5040"/>
      <c r="P1349" s="386"/>
      <c r="Q1349" s="386"/>
    </row>
    <row r="1350" spans="1:17" s="1659" customFormat="1" ht="30" customHeight="1" x14ac:dyDescent="0.2">
      <c r="A1350" s="7990"/>
      <c r="B1350" s="7717" t="s">
        <v>6271</v>
      </c>
      <c r="C1350" s="7873" t="s">
        <v>402</v>
      </c>
      <c r="D1350" s="7482">
        <v>150000000</v>
      </c>
      <c r="E1350" s="7870">
        <v>0.05</v>
      </c>
      <c r="F1350" s="7482">
        <f>D1350*E1350</f>
        <v>7500000</v>
      </c>
      <c r="G1350" s="8000" t="s">
        <v>6270</v>
      </c>
      <c r="H1350" s="8000"/>
      <c r="I1350" s="8000"/>
      <c r="J1350" s="8000"/>
      <c r="K1350" s="4952"/>
      <c r="L1350" s="5031" t="s">
        <v>6273</v>
      </c>
      <c r="M1350" s="5040"/>
      <c r="N1350" s="5040"/>
      <c r="O1350" s="5040"/>
      <c r="P1350" s="386"/>
      <c r="Q1350" s="386"/>
    </row>
    <row r="1351" spans="1:17" s="1659" customFormat="1" ht="30" customHeight="1" x14ac:dyDescent="0.2">
      <c r="A1351" s="7990"/>
      <c r="B1351" s="7717"/>
      <c r="C1351" s="7873"/>
      <c r="D1351" s="7482"/>
      <c r="E1351" s="7870"/>
      <c r="F1351" s="7482"/>
      <c r="G1351" s="8000" t="s">
        <v>6272</v>
      </c>
      <c r="H1351" s="8000"/>
      <c r="I1351" s="8000"/>
      <c r="J1351" s="8000"/>
      <c r="K1351" s="4952"/>
      <c r="L1351" s="5031" t="s">
        <v>6665</v>
      </c>
      <c r="M1351" s="5040"/>
      <c r="N1351" s="5040"/>
      <c r="O1351" s="5040"/>
      <c r="P1351" s="386"/>
      <c r="Q1351" s="386"/>
    </row>
    <row r="1352" spans="1:17" s="1659" customFormat="1" ht="30" customHeight="1" x14ac:dyDescent="0.2">
      <c r="A1352" s="7990"/>
      <c r="B1352" s="7717"/>
      <c r="C1352" s="7873"/>
      <c r="D1352" s="7482"/>
      <c r="E1352" s="7870"/>
      <c r="F1352" s="7482"/>
      <c r="G1352" s="5268">
        <v>7500000</v>
      </c>
      <c r="H1352" s="5268" t="s">
        <v>6895</v>
      </c>
      <c r="I1352" s="5268" t="s">
        <v>6899</v>
      </c>
      <c r="J1352" s="5268">
        <f>G1352</f>
        <v>7500000</v>
      </c>
      <c r="K1352" s="5271">
        <f>F1350-J1352</f>
        <v>0</v>
      </c>
      <c r="L1352" s="5288" t="s">
        <v>6900</v>
      </c>
      <c r="M1352" s="5292"/>
      <c r="N1352" s="5292"/>
      <c r="O1352" s="5292"/>
      <c r="P1352" s="386"/>
      <c r="Q1352" s="386"/>
    </row>
    <row r="1353" spans="1:17" s="1659" customFormat="1" ht="30" customHeight="1" x14ac:dyDescent="0.2">
      <c r="A1353" s="5006"/>
      <c r="B1353" s="4955" t="s">
        <v>6667</v>
      </c>
      <c r="C1353" s="4992"/>
      <c r="D1353" s="4951">
        <v>50000000</v>
      </c>
      <c r="E1353" s="4961">
        <v>7.0000000000000007E-2</v>
      </c>
      <c r="F1353" s="4951">
        <f>D1353*E1353</f>
        <v>3500000.0000000005</v>
      </c>
      <c r="G1353" s="5268"/>
      <c r="H1353" s="5268"/>
      <c r="I1353" s="5268"/>
      <c r="J1353" s="5268"/>
      <c r="K1353" s="4952"/>
      <c r="L1353" s="5031" t="s">
        <v>6668</v>
      </c>
      <c r="M1353" s="5040"/>
      <c r="N1353" s="5040"/>
      <c r="O1353" s="5040"/>
      <c r="P1353" s="386"/>
      <c r="Q1353" s="386"/>
    </row>
    <row r="1354" spans="1:17" s="1659" customFormat="1" ht="30" customHeight="1" x14ac:dyDescent="0.2">
      <c r="A1354" s="7703"/>
      <c r="B1354" s="7652" t="s">
        <v>6352</v>
      </c>
      <c r="C1354" s="7723" t="s">
        <v>1172</v>
      </c>
      <c r="D1354" s="7563">
        <v>100000000</v>
      </c>
      <c r="E1354" s="7659">
        <v>0.05</v>
      </c>
      <c r="F1354" s="7563">
        <f>D1354*E1354</f>
        <v>5000000</v>
      </c>
      <c r="G1354" s="7563">
        <v>5000000</v>
      </c>
      <c r="H1354" s="7563" t="s">
        <v>6828</v>
      </c>
      <c r="I1354" s="7563" t="s">
        <v>6830</v>
      </c>
      <c r="J1354" s="7563">
        <f>G1354</f>
        <v>5000000</v>
      </c>
      <c r="K1354" s="7563">
        <f>F1354-J1354</f>
        <v>0</v>
      </c>
      <c r="L1354" s="5031" t="s">
        <v>6304</v>
      </c>
      <c r="M1354" s="5040"/>
      <c r="N1354" s="5040"/>
      <c r="O1354" s="5040"/>
      <c r="P1354" s="386"/>
      <c r="Q1354" s="386"/>
    </row>
    <row r="1355" spans="1:17" s="1659" customFormat="1" ht="30" customHeight="1" x14ac:dyDescent="0.2">
      <c r="A1355" s="7704"/>
      <c r="B1355" s="7665"/>
      <c r="C1355" s="7747"/>
      <c r="D1355" s="7586"/>
      <c r="E1355" s="7676"/>
      <c r="F1355" s="7586"/>
      <c r="G1355" s="7586"/>
      <c r="H1355" s="7586"/>
      <c r="I1355" s="7586"/>
      <c r="J1355" s="7586"/>
      <c r="K1355" s="7586"/>
      <c r="L1355" s="5031" t="s">
        <v>6305</v>
      </c>
      <c r="M1355" s="5040"/>
      <c r="N1355" s="5040"/>
      <c r="O1355" s="5040"/>
      <c r="P1355" s="386"/>
      <c r="Q1355" s="386"/>
    </row>
    <row r="1356" spans="1:17" s="1659" customFormat="1" ht="30" customHeight="1" x14ac:dyDescent="0.2">
      <c r="A1356" s="7705"/>
      <c r="B1356" s="7653"/>
      <c r="C1356" s="7724"/>
      <c r="D1356" s="7564"/>
      <c r="E1356" s="7660"/>
      <c r="F1356" s="7564"/>
      <c r="G1356" s="7564"/>
      <c r="H1356" s="7564"/>
      <c r="I1356" s="7564"/>
      <c r="J1356" s="7564"/>
      <c r="K1356" s="7564"/>
      <c r="L1356" s="5031" t="s">
        <v>6353</v>
      </c>
      <c r="M1356" s="5040"/>
      <c r="N1356" s="5040"/>
      <c r="O1356" s="5040"/>
      <c r="P1356" s="386"/>
      <c r="Q1356" s="386"/>
    </row>
    <row r="1357" spans="1:17" s="1659" customFormat="1" ht="30" customHeight="1" x14ac:dyDescent="0.2">
      <c r="A1357" s="5010"/>
      <c r="B1357" s="4956" t="s">
        <v>6306</v>
      </c>
      <c r="C1357" s="4990"/>
      <c r="D1357" s="4952">
        <v>20000000</v>
      </c>
      <c r="E1357" s="4962">
        <v>0.06</v>
      </c>
      <c r="F1357" s="4952">
        <f>D1357*E1357</f>
        <v>1200000</v>
      </c>
      <c r="G1357" s="4952">
        <v>1200000</v>
      </c>
      <c r="H1357" s="4952" t="s">
        <v>6932</v>
      </c>
      <c r="I1357" s="4999" t="s">
        <v>6384</v>
      </c>
      <c r="J1357" s="4952">
        <f>G1357</f>
        <v>1200000</v>
      </c>
      <c r="K1357" s="4952">
        <f>F1357-J1357</f>
        <v>0</v>
      </c>
      <c r="L1357" s="5031" t="s">
        <v>6307</v>
      </c>
      <c r="M1357" s="5040"/>
      <c r="N1357" s="5040"/>
      <c r="O1357" s="5040"/>
      <c r="P1357" s="386"/>
      <c r="Q1357" s="386"/>
    </row>
    <row r="1358" spans="1:17" s="1659" customFormat="1" ht="30" customHeight="1" x14ac:dyDescent="0.2">
      <c r="A1358" s="7703"/>
      <c r="B1358" s="7652" t="s">
        <v>6371</v>
      </c>
      <c r="C1358" s="7723"/>
      <c r="D1358" s="7563">
        <v>100000000</v>
      </c>
      <c r="E1358" s="7659">
        <v>0.05</v>
      </c>
      <c r="F1358" s="7563">
        <f>D1358*E1358</f>
        <v>5000000</v>
      </c>
      <c r="G1358" s="5346">
        <v>4500000</v>
      </c>
      <c r="H1358" s="5346" t="s">
        <v>7010</v>
      </c>
      <c r="I1358" s="5346" t="s">
        <v>1574</v>
      </c>
      <c r="J1358" s="7563">
        <f>G1358+G1359</f>
        <v>5000000</v>
      </c>
      <c r="K1358" s="7563">
        <f>F1358-J1358</f>
        <v>0</v>
      </c>
      <c r="L1358" s="5031" t="s">
        <v>6372</v>
      </c>
      <c r="M1358" s="5040"/>
      <c r="N1358" s="5040"/>
      <c r="O1358" s="5040"/>
      <c r="P1358" s="386"/>
      <c r="Q1358" s="386"/>
    </row>
    <row r="1359" spans="1:17" s="1659" customFormat="1" ht="30" customHeight="1" x14ac:dyDescent="0.2">
      <c r="A1359" s="7705"/>
      <c r="B1359" s="7653"/>
      <c r="C1359" s="7724"/>
      <c r="D1359" s="7564"/>
      <c r="E1359" s="7660"/>
      <c r="F1359" s="7564"/>
      <c r="G1359" s="5346">
        <v>500000</v>
      </c>
      <c r="H1359" s="5346" t="s">
        <v>7010</v>
      </c>
      <c r="I1359" s="5346" t="s">
        <v>1574</v>
      </c>
      <c r="J1359" s="7564"/>
      <c r="K1359" s="7564"/>
      <c r="L1359" s="5360"/>
      <c r="M1359" s="5361"/>
      <c r="N1359" s="5361"/>
      <c r="O1359" s="5361"/>
      <c r="P1359" s="386"/>
      <c r="Q1359" s="386"/>
    </row>
    <row r="1360" spans="1:17" s="1659" customFormat="1" ht="30" customHeight="1" x14ac:dyDescent="0.2">
      <c r="A1360" s="7703"/>
      <c r="B1360" s="7652" t="s">
        <v>6377</v>
      </c>
      <c r="C1360" s="7723"/>
      <c r="D1360" s="7563">
        <v>100000000</v>
      </c>
      <c r="E1360" s="7659">
        <v>0.06</v>
      </c>
      <c r="F1360" s="7563">
        <f>D1360*E1360</f>
        <v>6000000</v>
      </c>
      <c r="G1360" s="7732" t="s">
        <v>6378</v>
      </c>
      <c r="H1360" s="7733"/>
      <c r="I1360" s="7733"/>
      <c r="J1360" s="7734"/>
      <c r="K1360" s="4952"/>
      <c r="L1360" s="5248" t="s">
        <v>6869</v>
      </c>
      <c r="M1360" s="5040"/>
      <c r="N1360" s="5040"/>
      <c r="O1360" s="5040"/>
      <c r="P1360" s="386"/>
      <c r="Q1360" s="386"/>
    </row>
    <row r="1361" spans="1:17" s="1659" customFormat="1" ht="30" customHeight="1" x14ac:dyDescent="0.2">
      <c r="A1361" s="7705"/>
      <c r="B1361" s="7653"/>
      <c r="C1361" s="7724"/>
      <c r="D1361" s="7564"/>
      <c r="E1361" s="7660"/>
      <c r="F1361" s="7564"/>
      <c r="G1361" s="5184">
        <v>6000000</v>
      </c>
      <c r="H1361" s="5184" t="s">
        <v>6828</v>
      </c>
      <c r="I1361" s="5184" t="s">
        <v>3503</v>
      </c>
      <c r="J1361" s="5184">
        <f>G1361</f>
        <v>6000000</v>
      </c>
      <c r="K1361" s="5186">
        <f>F1360-J1361</f>
        <v>0</v>
      </c>
      <c r="L1361" s="5193"/>
      <c r="M1361" s="5195"/>
      <c r="N1361" s="5195"/>
      <c r="O1361" s="5195"/>
      <c r="P1361" s="386"/>
      <c r="Q1361" s="386"/>
    </row>
    <row r="1362" spans="1:17" s="1659" customFormat="1" ht="30" customHeight="1" x14ac:dyDescent="0.2">
      <c r="A1362" s="7703"/>
      <c r="B1362" s="7652" t="s">
        <v>6401</v>
      </c>
      <c r="C1362" s="7723"/>
      <c r="D1362" s="7563">
        <v>20000000</v>
      </c>
      <c r="E1362" s="7659">
        <v>0.05</v>
      </c>
      <c r="F1362" s="7563">
        <f>D1362*E1362</f>
        <v>1000000</v>
      </c>
      <c r="G1362" s="4952">
        <v>5000000</v>
      </c>
      <c r="H1362" s="4952" t="s">
        <v>7065</v>
      </c>
      <c r="I1362" s="4999" t="s">
        <v>6402</v>
      </c>
      <c r="J1362" s="4952">
        <f>G1362</f>
        <v>5000000</v>
      </c>
      <c r="K1362" s="4952">
        <f>F1362-J1362</f>
        <v>-4000000</v>
      </c>
      <c r="L1362" s="5031" t="s">
        <v>7066</v>
      </c>
      <c r="M1362" s="5040"/>
      <c r="N1362" s="5040"/>
      <c r="O1362" s="5040"/>
      <c r="P1362" s="386"/>
      <c r="Q1362" s="386"/>
    </row>
    <row r="1363" spans="1:17" s="1659" customFormat="1" ht="30" customHeight="1" x14ac:dyDescent="0.2">
      <c r="A1363" s="7705"/>
      <c r="B1363" s="7653"/>
      <c r="C1363" s="7724"/>
      <c r="D1363" s="7564"/>
      <c r="E1363" s="7660"/>
      <c r="F1363" s="7564"/>
      <c r="G1363" s="5403">
        <v>1000000</v>
      </c>
      <c r="H1363" s="5403" t="s">
        <v>7080</v>
      </c>
      <c r="I1363" s="5410" t="s">
        <v>6402</v>
      </c>
      <c r="J1363" s="5403">
        <f>G1363</f>
        <v>1000000</v>
      </c>
      <c r="K1363" s="5403">
        <f>F1362-J1363</f>
        <v>0</v>
      </c>
      <c r="L1363" s="5417"/>
      <c r="M1363" s="5421"/>
      <c r="N1363" s="5421"/>
      <c r="O1363" s="5421"/>
      <c r="P1363" s="386"/>
      <c r="Q1363" s="386"/>
    </row>
    <row r="1364" spans="1:17" s="1659" customFormat="1" ht="30" customHeight="1" x14ac:dyDescent="0.2">
      <c r="A1364" s="7703"/>
      <c r="B1364" s="7652" t="s">
        <v>6415</v>
      </c>
      <c r="C1364" s="7723"/>
      <c r="D1364" s="7563">
        <v>90000000</v>
      </c>
      <c r="E1364" s="7659">
        <v>5.5E-2</v>
      </c>
      <c r="F1364" s="7563">
        <v>5000000</v>
      </c>
      <c r="G1364" s="7732" t="s">
        <v>6427</v>
      </c>
      <c r="H1364" s="7733"/>
      <c r="I1364" s="7733"/>
      <c r="J1364" s="7734"/>
      <c r="K1364" s="4952"/>
      <c r="L1364" s="7674" t="s">
        <v>6416</v>
      </c>
      <c r="M1364" s="5040"/>
      <c r="N1364" s="5040"/>
      <c r="O1364" s="5040"/>
      <c r="P1364" s="386"/>
      <c r="Q1364" s="386"/>
    </row>
    <row r="1365" spans="1:17" s="1659" customFormat="1" ht="30" customHeight="1" x14ac:dyDescent="0.2">
      <c r="A1365" s="7705"/>
      <c r="B1365" s="7653"/>
      <c r="C1365" s="7724"/>
      <c r="D1365" s="7564"/>
      <c r="E1365" s="7660"/>
      <c r="F1365" s="7564"/>
      <c r="G1365" s="5399">
        <v>5000000</v>
      </c>
      <c r="H1365" s="5399" t="s">
        <v>7065</v>
      </c>
      <c r="I1365" s="5399" t="s">
        <v>7068</v>
      </c>
      <c r="J1365" s="5399">
        <f>G1365</f>
        <v>5000000</v>
      </c>
      <c r="K1365" s="5403">
        <f>F1364-J1365</f>
        <v>0</v>
      </c>
      <c r="L1365" s="7675"/>
      <c r="M1365" s="5421"/>
      <c r="N1365" s="5421"/>
      <c r="O1365" s="5421"/>
      <c r="P1365" s="386"/>
      <c r="Q1365" s="386"/>
    </row>
    <row r="1366" spans="1:17" s="1659" customFormat="1" ht="30" customHeight="1" x14ac:dyDescent="0.2">
      <c r="A1366" s="5010"/>
      <c r="B1366" s="4956" t="s">
        <v>6433</v>
      </c>
      <c r="C1366" s="4990"/>
      <c r="D1366" s="4952">
        <v>100000000</v>
      </c>
      <c r="E1366" s="4962">
        <v>0.05</v>
      </c>
      <c r="F1366" s="4952">
        <f t="shared" ref="F1366:F1392" si="119">D1366*E1366</f>
        <v>5000000</v>
      </c>
      <c r="G1366" s="7732" t="s">
        <v>7122</v>
      </c>
      <c r="H1366" s="7733"/>
      <c r="I1366" s="7733"/>
      <c r="J1366" s="7734"/>
      <c r="K1366" s="4952"/>
      <c r="L1366" s="5031" t="s">
        <v>6434</v>
      </c>
      <c r="M1366" s="5040"/>
      <c r="N1366" s="5040"/>
      <c r="O1366" s="5040"/>
      <c r="P1366" s="386"/>
      <c r="Q1366" s="386"/>
    </row>
    <row r="1367" spans="1:17" s="1659" customFormat="1" ht="30" customHeight="1" x14ac:dyDescent="0.2">
      <c r="A1367" s="7703"/>
      <c r="B1367" s="7652" t="s">
        <v>6470</v>
      </c>
      <c r="C1367" s="7723"/>
      <c r="D1367" s="7563">
        <v>25000000</v>
      </c>
      <c r="E1367" s="7659">
        <v>0.05</v>
      </c>
      <c r="F1367" s="7563">
        <f t="shared" si="119"/>
        <v>1250000</v>
      </c>
      <c r="G1367" s="7732" t="s">
        <v>6643</v>
      </c>
      <c r="H1367" s="7733"/>
      <c r="I1367" s="7733"/>
      <c r="J1367" s="7734"/>
      <c r="K1367" s="4952"/>
      <c r="L1367" s="5031" t="s">
        <v>6471</v>
      </c>
      <c r="M1367" s="5040"/>
      <c r="N1367" s="5040"/>
      <c r="O1367" s="5040"/>
      <c r="P1367" s="386"/>
      <c r="Q1367" s="386"/>
    </row>
    <row r="1368" spans="1:17" s="1659" customFormat="1" ht="30" customHeight="1" x14ac:dyDescent="0.2">
      <c r="A1368" s="7704"/>
      <c r="B1368" s="7665"/>
      <c r="C1368" s="7747"/>
      <c r="D1368" s="7586"/>
      <c r="E1368" s="7676"/>
      <c r="F1368" s="7586"/>
      <c r="G1368" s="7732" t="s">
        <v>6644</v>
      </c>
      <c r="H1368" s="7733"/>
      <c r="I1368" s="7733"/>
      <c r="J1368" s="7734"/>
      <c r="K1368" s="4952"/>
      <c r="L1368" s="5031"/>
      <c r="M1368" s="5040"/>
      <c r="N1368" s="5040"/>
      <c r="O1368" s="5040"/>
      <c r="P1368" s="386"/>
      <c r="Q1368" s="386"/>
    </row>
    <row r="1369" spans="1:17" s="1659" customFormat="1" ht="30" customHeight="1" x14ac:dyDescent="0.2">
      <c r="A1369" s="7705"/>
      <c r="B1369" s="7653"/>
      <c r="C1369" s="7724"/>
      <c r="D1369" s="7564"/>
      <c r="E1369" s="7660"/>
      <c r="F1369" s="7564"/>
      <c r="G1369" s="7470"/>
      <c r="H1369" s="7493"/>
      <c r="I1369" s="7493"/>
      <c r="J1369" s="7510"/>
      <c r="K1369" s="4952"/>
      <c r="L1369" s="5031"/>
      <c r="M1369" s="5040"/>
      <c r="N1369" s="5040"/>
      <c r="O1369" s="5040"/>
      <c r="P1369" s="386"/>
      <c r="Q1369" s="386"/>
    </row>
    <row r="1370" spans="1:17" s="1659" customFormat="1" ht="30" customHeight="1" x14ac:dyDescent="0.2">
      <c r="A1370" s="5010"/>
      <c r="B1370" s="4956" t="s">
        <v>6507</v>
      </c>
      <c r="C1370" s="4990"/>
      <c r="D1370" s="4952">
        <v>100000000</v>
      </c>
      <c r="E1370" s="4962">
        <v>0.05</v>
      </c>
      <c r="F1370" s="4952">
        <f t="shared" si="119"/>
        <v>5000000</v>
      </c>
      <c r="G1370" s="7732" t="s">
        <v>6508</v>
      </c>
      <c r="H1370" s="7733"/>
      <c r="I1370" s="7733"/>
      <c r="J1370" s="7734"/>
      <c r="K1370" s="4952"/>
      <c r="L1370" s="5031" t="s">
        <v>6506</v>
      </c>
      <c r="M1370" s="5040"/>
      <c r="N1370" s="5040"/>
      <c r="O1370" s="5040"/>
      <c r="P1370" s="386"/>
      <c r="Q1370" s="386"/>
    </row>
    <row r="1371" spans="1:17" s="1659" customFormat="1" ht="30" customHeight="1" x14ac:dyDescent="0.2">
      <c r="A1371" s="7703"/>
      <c r="B1371" s="7652" t="s">
        <v>6524</v>
      </c>
      <c r="C1371" s="7723"/>
      <c r="D1371" s="7563">
        <v>200000000</v>
      </c>
      <c r="E1371" s="7659">
        <v>0.05</v>
      </c>
      <c r="F1371" s="7563">
        <f t="shared" si="119"/>
        <v>10000000</v>
      </c>
      <c r="G1371" s="7732" t="s">
        <v>6526</v>
      </c>
      <c r="H1371" s="7733"/>
      <c r="I1371" s="7733"/>
      <c r="J1371" s="7734"/>
      <c r="K1371" s="4952"/>
      <c r="L1371" s="5031" t="s">
        <v>6525</v>
      </c>
      <c r="M1371" s="5040"/>
      <c r="N1371" s="5040"/>
      <c r="O1371" s="5040"/>
      <c r="P1371" s="386"/>
      <c r="Q1371" s="386"/>
    </row>
    <row r="1372" spans="1:17" s="1659" customFormat="1" ht="30" customHeight="1" x14ac:dyDescent="0.2">
      <c r="A1372" s="7705"/>
      <c r="B1372" s="7653"/>
      <c r="C1372" s="7724"/>
      <c r="D1372" s="7564"/>
      <c r="E1372" s="7660"/>
      <c r="F1372" s="7564"/>
      <c r="G1372" s="5497">
        <v>10000000</v>
      </c>
      <c r="H1372" s="5497" t="s">
        <v>7198</v>
      </c>
      <c r="I1372" s="5497" t="s">
        <v>7209</v>
      </c>
      <c r="J1372" s="5497">
        <f>G1372</f>
        <v>10000000</v>
      </c>
      <c r="K1372" s="5499">
        <f>F1371-J1372</f>
        <v>0</v>
      </c>
      <c r="L1372" s="5516"/>
      <c r="M1372" s="5520"/>
      <c r="N1372" s="5520"/>
      <c r="O1372" s="5520"/>
      <c r="P1372" s="386"/>
      <c r="Q1372" s="386"/>
    </row>
    <row r="1373" spans="1:17" s="1659" customFormat="1" ht="30" customHeight="1" x14ac:dyDescent="0.2">
      <c r="A1373" s="5010"/>
      <c r="B1373" s="4956" t="s">
        <v>6544</v>
      </c>
      <c r="C1373" s="4990"/>
      <c r="D1373" s="4952">
        <v>316000000</v>
      </c>
      <c r="E1373" s="4962">
        <v>7.0000000000000007E-2</v>
      </c>
      <c r="F1373" s="4952">
        <f t="shared" si="119"/>
        <v>22120000.000000004</v>
      </c>
      <c r="G1373" s="4944">
        <v>22120000</v>
      </c>
      <c r="H1373" s="4944" t="s">
        <v>7080</v>
      </c>
      <c r="I1373" s="4944" t="s">
        <v>6545</v>
      </c>
      <c r="J1373" s="4944">
        <f>G1373</f>
        <v>22120000</v>
      </c>
      <c r="K1373" s="4952">
        <f>F1373-J1373</f>
        <v>0</v>
      </c>
      <c r="L1373" s="5031" t="s">
        <v>6546</v>
      </c>
      <c r="M1373" s="5040"/>
      <c r="N1373" s="5040"/>
      <c r="O1373" s="5040"/>
      <c r="P1373" s="386"/>
      <c r="Q1373" s="386"/>
    </row>
    <row r="1374" spans="1:17" s="1659" customFormat="1" ht="30" customHeight="1" x14ac:dyDescent="0.2">
      <c r="A1374" s="7703"/>
      <c r="B1374" s="7652" t="s">
        <v>6548</v>
      </c>
      <c r="C1374" s="7723"/>
      <c r="D1374" s="7563">
        <v>40000000</v>
      </c>
      <c r="E1374" s="7659">
        <v>0.05</v>
      </c>
      <c r="F1374" s="7563">
        <f t="shared" si="119"/>
        <v>2000000</v>
      </c>
      <c r="G1374" s="7732" t="s">
        <v>7058</v>
      </c>
      <c r="H1374" s="7733"/>
      <c r="I1374" s="7733"/>
      <c r="J1374" s="7734"/>
      <c r="K1374" s="4952"/>
      <c r="L1374" s="5031" t="s">
        <v>6549</v>
      </c>
      <c r="M1374" s="5040"/>
      <c r="N1374" s="5040"/>
      <c r="O1374" s="5040"/>
      <c r="P1374" s="386"/>
      <c r="Q1374" s="386"/>
    </row>
    <row r="1375" spans="1:17" s="1659" customFormat="1" ht="30" customHeight="1" x14ac:dyDescent="0.2">
      <c r="A1375" s="7704"/>
      <c r="B1375" s="7665"/>
      <c r="C1375" s="7747"/>
      <c r="D1375" s="7586"/>
      <c r="E1375" s="7676"/>
      <c r="F1375" s="7586"/>
      <c r="G1375" s="5470">
        <v>1000000</v>
      </c>
      <c r="H1375" s="5470" t="s">
        <v>3116</v>
      </c>
      <c r="I1375" s="5470" t="s">
        <v>7166</v>
      </c>
      <c r="J1375" s="7563">
        <f>G1375+G1376</f>
        <v>2000000</v>
      </c>
      <c r="K1375" s="7563">
        <f>F1374-J1375</f>
        <v>0</v>
      </c>
      <c r="L1375" s="5481"/>
      <c r="M1375" s="5483"/>
      <c r="N1375" s="5483"/>
      <c r="O1375" s="5483"/>
      <c r="P1375" s="386"/>
      <c r="Q1375" s="386"/>
    </row>
    <row r="1376" spans="1:17" s="1659" customFormat="1" ht="30" customHeight="1" x14ac:dyDescent="0.2">
      <c r="A1376" s="7705"/>
      <c r="B1376" s="7653"/>
      <c r="C1376" s="7724"/>
      <c r="D1376" s="7564"/>
      <c r="E1376" s="7660"/>
      <c r="F1376" s="7564"/>
      <c r="G1376" s="5470">
        <v>1000000</v>
      </c>
      <c r="H1376" s="5470" t="s">
        <v>7168</v>
      </c>
      <c r="I1376" s="5488" t="s">
        <v>7166</v>
      </c>
      <c r="J1376" s="7564"/>
      <c r="K1376" s="7564"/>
      <c r="L1376" s="5481"/>
      <c r="M1376" s="5483"/>
      <c r="N1376" s="5483"/>
      <c r="O1376" s="5483"/>
      <c r="P1376" s="386"/>
      <c r="Q1376" s="386"/>
    </row>
    <row r="1377" spans="1:17" s="1659" customFormat="1" ht="30" customHeight="1" x14ac:dyDescent="0.2">
      <c r="A1377" s="5010"/>
      <c r="B1377" s="5277" t="s">
        <v>6550</v>
      </c>
      <c r="C1377" s="5286"/>
      <c r="D1377" s="5279">
        <v>60000000</v>
      </c>
      <c r="E1377" s="5278">
        <v>0.05</v>
      </c>
      <c r="F1377" s="5279">
        <f t="shared" si="119"/>
        <v>3000000</v>
      </c>
      <c r="G1377" s="5272"/>
      <c r="H1377" s="5272"/>
      <c r="I1377" s="5272"/>
      <c r="J1377" s="5272"/>
      <c r="K1377" s="5279"/>
      <c r="L1377" s="3476" t="s">
        <v>6551</v>
      </c>
      <c r="M1377" s="5040"/>
      <c r="N1377" s="5040"/>
      <c r="O1377" s="5040"/>
      <c r="P1377" s="386"/>
      <c r="Q1377" s="386"/>
    </row>
    <row r="1378" spans="1:17" s="1659" customFormat="1" ht="30" customHeight="1" x14ac:dyDescent="0.2">
      <c r="A1378" s="5010"/>
      <c r="B1378" s="4956" t="s">
        <v>6574</v>
      </c>
      <c r="C1378" s="4990" t="s">
        <v>1299</v>
      </c>
      <c r="D1378" s="4952">
        <v>50000000</v>
      </c>
      <c r="E1378" s="4962">
        <v>0.05</v>
      </c>
      <c r="F1378" s="4952">
        <f t="shared" si="119"/>
        <v>2500000</v>
      </c>
      <c r="G1378" s="4952">
        <v>2500000</v>
      </c>
      <c r="H1378" s="4952" t="s">
        <v>3116</v>
      </c>
      <c r="I1378" s="4999" t="s">
        <v>815</v>
      </c>
      <c r="J1378" s="4952">
        <f>G1378</f>
        <v>2500000</v>
      </c>
      <c r="K1378" s="4952">
        <f>F1378-J1378</f>
        <v>0</v>
      </c>
      <c r="L1378" s="5031" t="s">
        <v>6576</v>
      </c>
      <c r="M1378" s="5040"/>
      <c r="N1378" s="5040"/>
      <c r="O1378" s="5040"/>
      <c r="P1378" s="386"/>
      <c r="Q1378" s="386"/>
    </row>
    <row r="1379" spans="1:17" s="1659" customFormat="1" ht="30" customHeight="1" x14ac:dyDescent="0.2">
      <c r="A1379" s="7703"/>
      <c r="B1379" s="7652" t="s">
        <v>6585</v>
      </c>
      <c r="C1379" s="7723" t="s">
        <v>372</v>
      </c>
      <c r="D1379" s="7563">
        <v>20000000</v>
      </c>
      <c r="E1379" s="7659">
        <v>0.05</v>
      </c>
      <c r="F1379" s="7563">
        <f t="shared" si="119"/>
        <v>1000000</v>
      </c>
      <c r="G1379" s="7732" t="s">
        <v>6589</v>
      </c>
      <c r="H1379" s="7733"/>
      <c r="I1379" s="7733"/>
      <c r="J1379" s="7734"/>
      <c r="K1379" s="4952"/>
      <c r="L1379" s="5031" t="s">
        <v>6586</v>
      </c>
      <c r="M1379" s="5040"/>
      <c r="N1379" s="5040"/>
      <c r="O1379" s="5040"/>
      <c r="P1379" s="386"/>
      <c r="Q1379" s="386"/>
    </row>
    <row r="1380" spans="1:17" s="1659" customFormat="1" ht="30" customHeight="1" x14ac:dyDescent="0.2">
      <c r="A1380" s="7705"/>
      <c r="B1380" s="7653"/>
      <c r="C1380" s="7724"/>
      <c r="D1380" s="7564"/>
      <c r="E1380" s="7660"/>
      <c r="F1380" s="7564"/>
      <c r="G1380" s="5268">
        <v>5000000</v>
      </c>
      <c r="H1380" s="5268" t="s">
        <v>6932</v>
      </c>
      <c r="I1380" s="5268" t="s">
        <v>2967</v>
      </c>
      <c r="J1380" s="5268">
        <f>G1380</f>
        <v>5000000</v>
      </c>
      <c r="K1380" s="5271"/>
      <c r="L1380" s="5288"/>
      <c r="M1380" s="5292"/>
      <c r="N1380" s="5292"/>
      <c r="O1380" s="5292"/>
      <c r="P1380" s="386"/>
      <c r="Q1380" s="386"/>
    </row>
    <row r="1381" spans="1:17" s="1659" customFormat="1" ht="30" customHeight="1" x14ac:dyDescent="0.2">
      <c r="A1381" s="5010"/>
      <c r="B1381" s="4956" t="s">
        <v>6587</v>
      </c>
      <c r="C1381" s="4990"/>
      <c r="D1381" s="4952">
        <v>44000000</v>
      </c>
      <c r="E1381" s="4962">
        <v>0.05</v>
      </c>
      <c r="F1381" s="4952">
        <f t="shared" si="119"/>
        <v>2200000</v>
      </c>
      <c r="G1381" s="4952"/>
      <c r="H1381" s="4952"/>
      <c r="I1381" s="4999"/>
      <c r="J1381" s="4952"/>
      <c r="K1381" s="4952"/>
      <c r="L1381" s="5031" t="s">
        <v>6588</v>
      </c>
      <c r="M1381" s="5040"/>
      <c r="N1381" s="5040"/>
      <c r="O1381" s="5040"/>
      <c r="P1381" s="386"/>
      <c r="Q1381" s="386"/>
    </row>
    <row r="1382" spans="1:17" s="1659" customFormat="1" ht="30" customHeight="1" x14ac:dyDescent="0.2">
      <c r="A1382" s="7703"/>
      <c r="B1382" s="7652" t="s">
        <v>6550</v>
      </c>
      <c r="C1382" s="7723" t="s">
        <v>1652</v>
      </c>
      <c r="D1382" s="5271">
        <v>50000000</v>
      </c>
      <c r="E1382" s="5276">
        <v>0.05</v>
      </c>
      <c r="F1382" s="5271">
        <f t="shared" si="119"/>
        <v>2500000</v>
      </c>
      <c r="G1382" s="7991" t="s">
        <v>6590</v>
      </c>
      <c r="H1382" s="7992"/>
      <c r="I1382" s="7992"/>
      <c r="J1382" s="7993"/>
      <c r="K1382" s="4952"/>
      <c r="L1382" s="5031" t="s">
        <v>6592</v>
      </c>
      <c r="M1382" s="5040"/>
      <c r="N1382" s="5040"/>
      <c r="O1382" s="5040"/>
      <c r="P1382" s="386"/>
      <c r="Q1382" s="386"/>
    </row>
    <row r="1383" spans="1:17" s="1659" customFormat="1" ht="30" customHeight="1" x14ac:dyDescent="0.2">
      <c r="A1383" s="7704"/>
      <c r="B1383" s="7665"/>
      <c r="C1383" s="7747"/>
      <c r="D1383" s="5271">
        <v>10000000</v>
      </c>
      <c r="E1383" s="5276">
        <v>0.05</v>
      </c>
      <c r="F1383" s="5271">
        <f t="shared" si="119"/>
        <v>500000</v>
      </c>
      <c r="G1383" s="7997"/>
      <c r="H1383" s="7998"/>
      <c r="I1383" s="7998"/>
      <c r="J1383" s="7999"/>
      <c r="K1383" s="4952"/>
      <c r="L1383" s="5031" t="s">
        <v>6593</v>
      </c>
      <c r="M1383" s="5040"/>
      <c r="N1383" s="5040"/>
      <c r="O1383" s="5040"/>
      <c r="P1383" s="386"/>
      <c r="Q1383" s="386"/>
    </row>
    <row r="1384" spans="1:17" s="1659" customFormat="1" ht="30" customHeight="1" x14ac:dyDescent="0.2">
      <c r="A1384" s="7705"/>
      <c r="B1384" s="7653"/>
      <c r="C1384" s="7724"/>
      <c r="D1384" s="5271">
        <v>90000000</v>
      </c>
      <c r="E1384" s="5276">
        <v>0.05</v>
      </c>
      <c r="F1384" s="5271">
        <f t="shared" si="119"/>
        <v>4500000</v>
      </c>
      <c r="G1384" s="5268">
        <v>6300000</v>
      </c>
      <c r="H1384" s="5268" t="s">
        <v>6895</v>
      </c>
      <c r="I1384" s="5268" t="s">
        <v>6901</v>
      </c>
      <c r="J1384" s="5268">
        <f>G1384</f>
        <v>6300000</v>
      </c>
      <c r="K1384" s="4952"/>
      <c r="L1384" s="5031" t="s">
        <v>6591</v>
      </c>
      <c r="M1384" s="5040"/>
      <c r="N1384" s="5040"/>
      <c r="O1384" s="5040"/>
      <c r="P1384" s="386"/>
      <c r="Q1384" s="386"/>
    </row>
    <row r="1385" spans="1:17" s="1659" customFormat="1" ht="30" customHeight="1" x14ac:dyDescent="0.2">
      <c r="A1385" s="7703"/>
      <c r="B1385" s="7652" t="s">
        <v>6605</v>
      </c>
      <c r="C1385" s="7723" t="s">
        <v>3007</v>
      </c>
      <c r="D1385" s="7563">
        <v>40000000</v>
      </c>
      <c r="E1385" s="7659">
        <v>0.05</v>
      </c>
      <c r="F1385" s="7563">
        <f t="shared" si="119"/>
        <v>2000000</v>
      </c>
      <c r="G1385" s="7563">
        <v>2185000</v>
      </c>
      <c r="H1385" s="7563" t="s">
        <v>7252</v>
      </c>
      <c r="I1385" s="7563" t="s">
        <v>7256</v>
      </c>
      <c r="J1385" s="7563">
        <f>G1385</f>
        <v>2185000</v>
      </c>
      <c r="K1385" s="7563"/>
      <c r="L1385" s="5031" t="s">
        <v>6608</v>
      </c>
      <c r="M1385" s="5040"/>
      <c r="N1385" s="5040"/>
      <c r="O1385" s="5040"/>
      <c r="P1385" s="386"/>
      <c r="Q1385" s="386"/>
    </row>
    <row r="1386" spans="1:17" s="1659" customFormat="1" ht="30" customHeight="1" x14ac:dyDescent="0.2">
      <c r="A1386" s="7704"/>
      <c r="B1386" s="7665"/>
      <c r="C1386" s="7747"/>
      <c r="D1386" s="7564"/>
      <c r="E1386" s="7660"/>
      <c r="F1386" s="7564"/>
      <c r="G1386" s="7564"/>
      <c r="H1386" s="7564"/>
      <c r="I1386" s="7564"/>
      <c r="J1386" s="7564"/>
      <c r="K1386" s="7564"/>
      <c r="L1386" s="5031" t="s">
        <v>6609</v>
      </c>
      <c r="M1386" s="5040"/>
      <c r="N1386" s="5040"/>
      <c r="O1386" s="5040"/>
      <c r="P1386" s="386"/>
      <c r="Q1386" s="386"/>
    </row>
    <row r="1387" spans="1:17" s="1659" customFormat="1" ht="30" customHeight="1" x14ac:dyDescent="0.2">
      <c r="A1387" s="7705"/>
      <c r="B1387" s="7653"/>
      <c r="C1387" s="7724"/>
      <c r="D1387" s="5376">
        <v>3000000</v>
      </c>
      <c r="E1387" s="5379">
        <v>0.05</v>
      </c>
      <c r="F1387" s="5376">
        <f t="shared" si="119"/>
        <v>150000</v>
      </c>
      <c r="G1387" s="7732" t="s">
        <v>7056</v>
      </c>
      <c r="H1387" s="7733"/>
      <c r="I1387" s="7733"/>
      <c r="J1387" s="7734"/>
      <c r="K1387" s="5376"/>
      <c r="L1387" s="5391"/>
      <c r="M1387" s="5393"/>
      <c r="N1387" s="5393"/>
      <c r="O1387" s="5393"/>
      <c r="P1387" s="386"/>
      <c r="Q1387" s="386"/>
    </row>
    <row r="1388" spans="1:17" s="1659" customFormat="1" ht="30" customHeight="1" x14ac:dyDescent="0.2">
      <c r="A1388" s="7703"/>
      <c r="B1388" s="7652" t="s">
        <v>6617</v>
      </c>
      <c r="C1388" s="7723"/>
      <c r="D1388" s="7563">
        <v>200000000</v>
      </c>
      <c r="E1388" s="7659">
        <v>6.5000000000000002E-2</v>
      </c>
      <c r="F1388" s="7563">
        <f t="shared" si="119"/>
        <v>13000000</v>
      </c>
      <c r="G1388" s="7732" t="s">
        <v>6863</v>
      </c>
      <c r="H1388" s="7733"/>
      <c r="I1388" s="7733"/>
      <c r="J1388" s="7734"/>
      <c r="K1388" s="4952"/>
      <c r="L1388" s="5031" t="s">
        <v>6619</v>
      </c>
      <c r="M1388" s="5040"/>
      <c r="N1388" s="5040"/>
      <c r="O1388" s="5040"/>
      <c r="P1388" s="386"/>
      <c r="Q1388" s="386"/>
    </row>
    <row r="1389" spans="1:17" s="1659" customFormat="1" ht="30" customHeight="1" x14ac:dyDescent="0.2">
      <c r="A1389" s="7704"/>
      <c r="B1389" s="7665"/>
      <c r="C1389" s="7747"/>
      <c r="D1389" s="7586"/>
      <c r="E1389" s="7676"/>
      <c r="F1389" s="7586"/>
      <c r="G1389" s="5497">
        <v>12000000</v>
      </c>
      <c r="H1389" s="5497" t="s">
        <v>7067</v>
      </c>
      <c r="I1389" s="5497" t="s">
        <v>7192</v>
      </c>
      <c r="J1389" s="7563">
        <f>G1389+G1390</f>
        <v>13000000</v>
      </c>
      <c r="K1389" s="7563">
        <f>F1388-J1389</f>
        <v>0</v>
      </c>
      <c r="L1389" s="5516"/>
      <c r="M1389" s="5520"/>
      <c r="N1389" s="5520"/>
      <c r="O1389" s="5520"/>
      <c r="P1389" s="386"/>
      <c r="Q1389" s="386"/>
    </row>
    <row r="1390" spans="1:17" s="1659" customFormat="1" ht="30" customHeight="1" x14ac:dyDescent="0.2">
      <c r="A1390" s="7705"/>
      <c r="B1390" s="7653"/>
      <c r="C1390" s="7724"/>
      <c r="D1390" s="7564"/>
      <c r="E1390" s="7660"/>
      <c r="F1390" s="7564"/>
      <c r="G1390" s="5497">
        <v>1000000</v>
      </c>
      <c r="H1390" s="5497" t="s">
        <v>7067</v>
      </c>
      <c r="I1390" s="5497" t="s">
        <v>7196</v>
      </c>
      <c r="J1390" s="7564"/>
      <c r="K1390" s="7564"/>
      <c r="L1390" s="5516"/>
      <c r="M1390" s="5520"/>
      <c r="N1390" s="5520"/>
      <c r="O1390" s="5520"/>
      <c r="P1390" s="386"/>
      <c r="Q1390" s="386"/>
    </row>
    <row r="1391" spans="1:17" s="1659" customFormat="1" ht="30" customHeight="1" x14ac:dyDescent="0.2">
      <c r="A1391" s="5010"/>
      <c r="B1391" s="4956" t="s">
        <v>6618</v>
      </c>
      <c r="C1391" s="4990"/>
      <c r="D1391" s="4952">
        <v>100000000</v>
      </c>
      <c r="E1391" s="4962">
        <v>6.5000000000000002E-2</v>
      </c>
      <c r="F1391" s="4952">
        <f t="shared" si="119"/>
        <v>6500000</v>
      </c>
      <c r="G1391" s="7732" t="s">
        <v>6864</v>
      </c>
      <c r="H1391" s="7733"/>
      <c r="I1391" s="7733"/>
      <c r="J1391" s="7734"/>
      <c r="K1391" s="4952"/>
      <c r="L1391" s="5031" t="s">
        <v>6620</v>
      </c>
      <c r="M1391" s="5040"/>
      <c r="N1391" s="5040"/>
      <c r="O1391" s="5040"/>
      <c r="P1391" s="386"/>
      <c r="Q1391" s="386"/>
    </row>
    <row r="1392" spans="1:17" s="1659" customFormat="1" ht="30" customHeight="1" x14ac:dyDescent="0.2">
      <c r="A1392" s="5010"/>
      <c r="B1392" s="4956" t="s">
        <v>6633</v>
      </c>
      <c r="C1392" s="4990" t="s">
        <v>1306</v>
      </c>
      <c r="D1392" s="4952">
        <v>10000000</v>
      </c>
      <c r="E1392" s="4962">
        <v>7.0000000000000007E-2</v>
      </c>
      <c r="F1392" s="4952">
        <f t="shared" si="119"/>
        <v>700000.00000000012</v>
      </c>
      <c r="G1392" s="4952">
        <v>700000</v>
      </c>
      <c r="H1392" s="4952" t="s">
        <v>7067</v>
      </c>
      <c r="I1392" s="4999" t="s">
        <v>6634</v>
      </c>
      <c r="J1392" s="4952">
        <f>G1392</f>
        <v>700000</v>
      </c>
      <c r="K1392" s="4952">
        <f>F1392-J1392</f>
        <v>0</v>
      </c>
      <c r="L1392" s="5031" t="s">
        <v>7189</v>
      </c>
      <c r="M1392" s="5040"/>
      <c r="N1392" s="5040"/>
      <c r="O1392" s="5040"/>
      <c r="P1392" s="386"/>
      <c r="Q1392" s="386"/>
    </row>
    <row r="1393" spans="1:17" s="1659" customFormat="1" ht="30" customHeight="1" x14ac:dyDescent="0.2">
      <c r="A1393" s="5010"/>
      <c r="B1393" s="4956" t="s">
        <v>6650</v>
      </c>
      <c r="C1393" s="4990"/>
      <c r="D1393" s="4952"/>
      <c r="E1393" s="4962"/>
      <c r="F1393" s="4952"/>
      <c r="G1393" s="7732" t="s">
        <v>6651</v>
      </c>
      <c r="H1393" s="7733"/>
      <c r="I1393" s="7733"/>
      <c r="J1393" s="7734"/>
      <c r="K1393" s="4952"/>
      <c r="L1393" s="5031"/>
      <c r="M1393" s="5040"/>
      <c r="N1393" s="5040"/>
      <c r="O1393" s="5040"/>
      <c r="P1393" s="386"/>
      <c r="Q1393" s="386"/>
    </row>
    <row r="1394" spans="1:17" s="1659" customFormat="1" ht="30" customHeight="1" x14ac:dyDescent="0.2">
      <c r="A1394" s="7703"/>
      <c r="B1394" s="7652" t="s">
        <v>6658</v>
      </c>
      <c r="C1394" s="7723" t="s">
        <v>990</v>
      </c>
      <c r="D1394" s="7563">
        <v>65000000</v>
      </c>
      <c r="E1394" s="7659">
        <v>0.05</v>
      </c>
      <c r="F1394" s="7563">
        <f>D1394*E1394</f>
        <v>3250000</v>
      </c>
      <c r="G1394" s="7732" t="s">
        <v>6659</v>
      </c>
      <c r="H1394" s="7733"/>
      <c r="I1394" s="7733"/>
      <c r="J1394" s="7734"/>
      <c r="K1394" s="4952"/>
      <c r="L1394" s="7674" t="s">
        <v>6675</v>
      </c>
      <c r="M1394" s="5040"/>
      <c r="N1394" s="5040"/>
      <c r="O1394" s="5040"/>
      <c r="P1394" s="386"/>
      <c r="Q1394" s="386"/>
    </row>
    <row r="1395" spans="1:17" s="1659" customFormat="1" ht="30" customHeight="1" x14ac:dyDescent="0.2">
      <c r="A1395" s="7704"/>
      <c r="B1395" s="7665"/>
      <c r="C1395" s="7747"/>
      <c r="D1395" s="7586"/>
      <c r="E1395" s="7676"/>
      <c r="F1395" s="7586"/>
      <c r="G1395" s="7732" t="s">
        <v>6660</v>
      </c>
      <c r="H1395" s="7733"/>
      <c r="I1395" s="7733"/>
      <c r="J1395" s="7734"/>
      <c r="K1395" s="4952"/>
      <c r="L1395" s="8186"/>
      <c r="M1395" s="5040"/>
      <c r="N1395" s="5040"/>
      <c r="O1395" s="5040"/>
      <c r="P1395" s="386"/>
      <c r="Q1395" s="386"/>
    </row>
    <row r="1396" spans="1:17" s="1659" customFormat="1" ht="30" customHeight="1" x14ac:dyDescent="0.2">
      <c r="A1396" s="7705"/>
      <c r="B1396" s="7653"/>
      <c r="C1396" s="7724"/>
      <c r="D1396" s="7564"/>
      <c r="E1396" s="7660"/>
      <c r="F1396" s="7564"/>
      <c r="G1396" s="7732" t="s">
        <v>6661</v>
      </c>
      <c r="H1396" s="7733"/>
      <c r="I1396" s="7733"/>
      <c r="J1396" s="7734"/>
      <c r="K1396" s="4952"/>
      <c r="L1396" s="7675"/>
      <c r="M1396" s="5040"/>
      <c r="N1396" s="5040"/>
      <c r="O1396" s="5040"/>
      <c r="P1396" s="386"/>
      <c r="Q1396" s="386"/>
    </row>
    <row r="1397" spans="1:17" s="1659" customFormat="1" ht="30" customHeight="1" x14ac:dyDescent="0.2">
      <c r="A1397" s="7703"/>
      <c r="B1397" s="7652" t="s">
        <v>6678</v>
      </c>
      <c r="C1397" s="7723"/>
      <c r="D1397" s="7563">
        <v>45000000</v>
      </c>
      <c r="E1397" s="7659">
        <v>0.05</v>
      </c>
      <c r="F1397" s="7563">
        <f>D1397*E1397</f>
        <v>2250000</v>
      </c>
      <c r="G1397" s="7732" t="s">
        <v>6682</v>
      </c>
      <c r="H1397" s="7733"/>
      <c r="I1397" s="7733"/>
      <c r="J1397" s="7734"/>
      <c r="K1397" s="4944"/>
      <c r="L1397" s="5051" t="s">
        <v>6679</v>
      </c>
      <c r="M1397" s="5040"/>
      <c r="N1397" s="5040"/>
      <c r="O1397" s="5040"/>
      <c r="P1397" s="386"/>
      <c r="Q1397" s="386"/>
    </row>
    <row r="1398" spans="1:17" s="1659" customFormat="1" ht="30" customHeight="1" x14ac:dyDescent="0.2">
      <c r="A1398" s="7704"/>
      <c r="B1398" s="7665"/>
      <c r="C1398" s="7747"/>
      <c r="D1398" s="7586"/>
      <c r="E1398" s="7676"/>
      <c r="F1398" s="7586"/>
      <c r="G1398" s="5089">
        <v>14500000</v>
      </c>
      <c r="H1398" s="5089" t="s">
        <v>6773</v>
      </c>
      <c r="I1398" s="5089" t="s">
        <v>6775</v>
      </c>
      <c r="J1398" s="5089">
        <f>G1398</f>
        <v>14500000</v>
      </c>
      <c r="K1398" s="4944">
        <f>14500000-J1398</f>
        <v>0</v>
      </c>
      <c r="L1398" s="5051" t="s">
        <v>6680</v>
      </c>
      <c r="M1398" s="5040"/>
      <c r="N1398" s="5040"/>
      <c r="O1398" s="5040"/>
      <c r="P1398" s="386"/>
      <c r="Q1398" s="386"/>
    </row>
    <row r="1399" spans="1:17" s="1659" customFormat="1" ht="30" customHeight="1" x14ac:dyDescent="0.2">
      <c r="A1399" s="7705"/>
      <c r="B1399" s="7653"/>
      <c r="C1399" s="7724"/>
      <c r="D1399" s="7564"/>
      <c r="E1399" s="7660"/>
      <c r="F1399" s="7564"/>
      <c r="G1399" s="5051"/>
      <c r="H1399" s="5051"/>
      <c r="I1399" s="5051"/>
      <c r="J1399" s="5051"/>
      <c r="K1399" s="4944"/>
      <c r="L1399" s="5051" t="s">
        <v>6681</v>
      </c>
      <c r="M1399" s="5040"/>
      <c r="N1399" s="5040"/>
      <c r="O1399" s="5040"/>
      <c r="P1399" s="386"/>
      <c r="Q1399" s="386"/>
    </row>
    <row r="1400" spans="1:17" s="1659" customFormat="1" ht="30" customHeight="1" x14ac:dyDescent="0.2">
      <c r="A1400" s="5033"/>
      <c r="B1400" s="4968" t="s">
        <v>6684</v>
      </c>
      <c r="C1400" s="5016"/>
      <c r="D1400" s="4944">
        <v>100000000</v>
      </c>
      <c r="E1400" s="5011">
        <v>7.0000000000000007E-2</v>
      </c>
      <c r="F1400" s="4944">
        <f>D1400*E1400</f>
        <v>7000000.0000000009</v>
      </c>
      <c r="G1400" s="7732" t="s">
        <v>6865</v>
      </c>
      <c r="H1400" s="7733"/>
      <c r="I1400" s="7733"/>
      <c r="J1400" s="7734"/>
      <c r="K1400" s="4944"/>
      <c r="L1400" s="5031" t="s">
        <v>6685</v>
      </c>
      <c r="M1400" s="5040"/>
      <c r="N1400" s="5040"/>
      <c r="O1400" s="5040"/>
      <c r="P1400" s="386"/>
      <c r="Q1400" s="386"/>
    </row>
    <row r="1401" spans="1:17" s="1659" customFormat="1" ht="30" customHeight="1" x14ac:dyDescent="0.2">
      <c r="A1401" s="7703"/>
      <c r="B1401" s="7652" t="s">
        <v>6710</v>
      </c>
      <c r="C1401" s="7723" t="s">
        <v>1138</v>
      </c>
      <c r="D1401" s="7563">
        <v>100000000</v>
      </c>
      <c r="E1401" s="7659">
        <v>0.05</v>
      </c>
      <c r="F1401" s="7563">
        <f>D1401*E1401</f>
        <v>5000000</v>
      </c>
      <c r="G1401" s="7991" t="s">
        <v>6712</v>
      </c>
      <c r="H1401" s="7992"/>
      <c r="I1401" s="7992"/>
      <c r="J1401" s="7993"/>
      <c r="K1401" s="7563"/>
      <c r="L1401" s="5030" t="s">
        <v>6711</v>
      </c>
      <c r="M1401" s="5040"/>
      <c r="N1401" s="5040"/>
      <c r="O1401" s="5040"/>
      <c r="P1401" s="386"/>
      <c r="Q1401" s="386"/>
    </row>
    <row r="1402" spans="1:17" s="1659" customFormat="1" ht="30" customHeight="1" x14ac:dyDescent="0.2">
      <c r="A1402" s="7704"/>
      <c r="B1402" s="7665"/>
      <c r="C1402" s="7747"/>
      <c r="D1402" s="7586"/>
      <c r="E1402" s="7676"/>
      <c r="F1402" s="7586"/>
      <c r="G1402" s="7997"/>
      <c r="H1402" s="7998"/>
      <c r="I1402" s="7998"/>
      <c r="J1402" s="7999"/>
      <c r="K1402" s="7564"/>
      <c r="L1402" s="5031" t="s">
        <v>6719</v>
      </c>
      <c r="M1402" s="5040"/>
      <c r="N1402" s="5040"/>
      <c r="O1402" s="5040"/>
      <c r="P1402" s="386"/>
      <c r="Q1402" s="386"/>
    </row>
    <row r="1403" spans="1:17" s="1659" customFormat="1" ht="30" customHeight="1" x14ac:dyDescent="0.2">
      <c r="A1403" s="7705"/>
      <c r="B1403" s="7653"/>
      <c r="C1403" s="7724"/>
      <c r="D1403" s="7564"/>
      <c r="E1403" s="7660"/>
      <c r="F1403" s="7564"/>
      <c r="G1403" s="7732" t="s">
        <v>7153</v>
      </c>
      <c r="H1403" s="7733"/>
      <c r="I1403" s="7733"/>
      <c r="J1403" s="7734"/>
      <c r="K1403" s="5472"/>
      <c r="L1403" s="5485"/>
      <c r="M1403" s="5483"/>
      <c r="N1403" s="5483"/>
      <c r="O1403" s="5483"/>
      <c r="P1403" s="386"/>
      <c r="Q1403" s="386"/>
    </row>
    <row r="1404" spans="1:17" s="1659" customFormat="1" ht="30" customHeight="1" x14ac:dyDescent="0.2">
      <c r="A1404" s="5033"/>
      <c r="B1404" s="4968" t="s">
        <v>6728</v>
      </c>
      <c r="C1404" s="5016"/>
      <c r="D1404" s="4944">
        <v>10000000</v>
      </c>
      <c r="E1404" s="5011">
        <v>0.05</v>
      </c>
      <c r="F1404" s="4944">
        <f>D1404*E1404</f>
        <v>500000</v>
      </c>
      <c r="G1404" s="5399">
        <v>500000</v>
      </c>
      <c r="H1404" s="5399" t="s">
        <v>7080</v>
      </c>
      <c r="I1404" s="5399" t="s">
        <v>7085</v>
      </c>
      <c r="J1404" s="5399">
        <f>G1404</f>
        <v>500000</v>
      </c>
      <c r="K1404" s="4944">
        <f>F1404-J1404</f>
        <v>0</v>
      </c>
      <c r="L1404" s="5030" t="s">
        <v>7084</v>
      </c>
      <c r="M1404" s="5040"/>
      <c r="N1404" s="5040"/>
      <c r="O1404" s="5040"/>
      <c r="P1404" s="386"/>
      <c r="Q1404" s="386"/>
    </row>
    <row r="1405" spans="1:17" s="1659" customFormat="1" ht="30" customHeight="1" x14ac:dyDescent="0.2">
      <c r="A1405" s="5033"/>
      <c r="B1405" s="4968" t="s">
        <v>6737</v>
      </c>
      <c r="C1405" s="5016"/>
      <c r="D1405" s="7470" t="s">
        <v>6738</v>
      </c>
      <c r="E1405" s="7493"/>
      <c r="F1405" s="7510"/>
      <c r="G1405" s="4944"/>
      <c r="H1405" s="4944"/>
      <c r="I1405" s="4944" t="s">
        <v>6739</v>
      </c>
      <c r="J1405" s="4944">
        <f>G1405</f>
        <v>0</v>
      </c>
      <c r="K1405" s="4944">
        <f>20000000-J1405</f>
        <v>20000000</v>
      </c>
      <c r="L1405" s="5030"/>
      <c r="M1405" s="5040"/>
      <c r="N1405" s="5040"/>
      <c r="O1405" s="5040"/>
      <c r="P1405" s="386"/>
      <c r="Q1405" s="386"/>
    </row>
    <row r="1406" spans="1:17" s="1659" customFormat="1" ht="30" customHeight="1" x14ac:dyDescent="0.2">
      <c r="A1406" s="7703"/>
      <c r="B1406" s="7652" t="s">
        <v>6743</v>
      </c>
      <c r="C1406" s="7723" t="s">
        <v>6745</v>
      </c>
      <c r="D1406" s="7563">
        <v>35000000</v>
      </c>
      <c r="E1406" s="7659">
        <v>5.7000000000000002E-2</v>
      </c>
      <c r="F1406" s="7563">
        <v>2000000</v>
      </c>
      <c r="G1406" s="7732" t="s">
        <v>6839</v>
      </c>
      <c r="H1406" s="7733"/>
      <c r="I1406" s="7733"/>
      <c r="J1406" s="7734"/>
      <c r="K1406" s="4944"/>
      <c r="L1406" s="5030" t="s">
        <v>6744</v>
      </c>
      <c r="M1406" s="5040"/>
      <c r="N1406" s="5040"/>
      <c r="O1406" s="5040"/>
      <c r="P1406" s="386"/>
      <c r="Q1406" s="386"/>
    </row>
    <row r="1407" spans="1:17" s="1659" customFormat="1" ht="30" customHeight="1" x14ac:dyDescent="0.2">
      <c r="A1407" s="7704"/>
      <c r="B1407" s="7665"/>
      <c r="C1407" s="7747"/>
      <c r="D1407" s="7586"/>
      <c r="E1407" s="7676"/>
      <c r="F1407" s="7586"/>
      <c r="G1407" s="7732" t="s">
        <v>6841</v>
      </c>
      <c r="H1407" s="7733"/>
      <c r="I1407" s="7733"/>
      <c r="J1407" s="7734"/>
      <c r="K1407" s="5206"/>
      <c r="L1407" s="5216"/>
      <c r="M1407" s="5224"/>
      <c r="N1407" s="5224"/>
      <c r="O1407" s="5224"/>
      <c r="P1407" s="386"/>
      <c r="Q1407" s="386"/>
    </row>
    <row r="1408" spans="1:17" s="1659" customFormat="1" ht="30" customHeight="1" x14ac:dyDescent="0.2">
      <c r="A1408" s="7705"/>
      <c r="B1408" s="7653"/>
      <c r="C1408" s="7724"/>
      <c r="D1408" s="7564"/>
      <c r="E1408" s="7660"/>
      <c r="F1408" s="7564"/>
      <c r="G1408" s="7732" t="s">
        <v>6840</v>
      </c>
      <c r="H1408" s="7733"/>
      <c r="I1408" s="7733"/>
      <c r="J1408" s="7734"/>
      <c r="K1408" s="5206"/>
      <c r="L1408" s="5216"/>
      <c r="M1408" s="5224"/>
      <c r="N1408" s="5224"/>
      <c r="O1408" s="5224"/>
      <c r="P1408" s="386"/>
      <c r="Q1408" s="386"/>
    </row>
    <row r="1409" spans="1:17" s="1659" customFormat="1" ht="30" customHeight="1" x14ac:dyDescent="0.2">
      <c r="A1409" s="7703"/>
      <c r="B1409" s="7652" t="s">
        <v>6746</v>
      </c>
      <c r="C1409" s="7723"/>
      <c r="D1409" s="7563">
        <v>40000000</v>
      </c>
      <c r="E1409" s="7659">
        <v>5.5E-2</v>
      </c>
      <c r="F1409" s="7563">
        <f>D1409*E1409</f>
        <v>2200000</v>
      </c>
      <c r="G1409" s="7732" t="s">
        <v>6842</v>
      </c>
      <c r="H1409" s="7733"/>
      <c r="I1409" s="7733"/>
      <c r="J1409" s="7734"/>
      <c r="K1409" s="4944"/>
      <c r="L1409" s="7674" t="s">
        <v>6747</v>
      </c>
      <c r="M1409" s="5040"/>
      <c r="N1409" s="5040"/>
      <c r="O1409" s="5040"/>
      <c r="P1409" s="386"/>
      <c r="Q1409" s="386"/>
    </row>
    <row r="1410" spans="1:17" s="1659" customFormat="1" ht="30" customHeight="1" x14ac:dyDescent="0.2">
      <c r="A1410" s="7704"/>
      <c r="B1410" s="7665"/>
      <c r="C1410" s="7747"/>
      <c r="D1410" s="7586"/>
      <c r="E1410" s="7676"/>
      <c r="F1410" s="7586"/>
      <c r="G1410" s="7732" t="s">
        <v>6845</v>
      </c>
      <c r="H1410" s="7733"/>
      <c r="I1410" s="7733"/>
      <c r="J1410" s="7734"/>
      <c r="K1410" s="5206"/>
      <c r="L1410" s="8186"/>
      <c r="M1410" s="5224"/>
      <c r="N1410" s="5224"/>
      <c r="O1410" s="5224"/>
      <c r="P1410" s="386"/>
      <c r="Q1410" s="386"/>
    </row>
    <row r="1411" spans="1:17" s="1659" customFormat="1" ht="30" customHeight="1" x14ac:dyDescent="0.2">
      <c r="A1411" s="7704"/>
      <c r="B1411" s="7665"/>
      <c r="C1411" s="7747"/>
      <c r="D1411" s="7586"/>
      <c r="E1411" s="7676"/>
      <c r="F1411" s="7586"/>
      <c r="G1411" s="7732" t="s">
        <v>6843</v>
      </c>
      <c r="H1411" s="7733"/>
      <c r="I1411" s="7733"/>
      <c r="J1411" s="7734"/>
      <c r="K1411" s="5206"/>
      <c r="L1411" s="8186"/>
      <c r="M1411" s="5224"/>
      <c r="N1411" s="5224"/>
      <c r="O1411" s="5224"/>
      <c r="P1411" s="386"/>
      <c r="Q1411" s="386"/>
    </row>
    <row r="1412" spans="1:17" s="1659" customFormat="1" ht="30" customHeight="1" x14ac:dyDescent="0.2">
      <c r="A1412" s="7704"/>
      <c r="B1412" s="7665"/>
      <c r="C1412" s="7747"/>
      <c r="D1412" s="7586"/>
      <c r="E1412" s="7676"/>
      <c r="F1412" s="7586"/>
      <c r="G1412" s="7732" t="s">
        <v>6844</v>
      </c>
      <c r="H1412" s="7733"/>
      <c r="I1412" s="7733"/>
      <c r="J1412" s="7734"/>
      <c r="K1412" s="5206"/>
      <c r="L1412" s="8186"/>
      <c r="M1412" s="5224"/>
      <c r="N1412" s="5224"/>
      <c r="O1412" s="5224"/>
      <c r="P1412" s="386"/>
      <c r="Q1412" s="386"/>
    </row>
    <row r="1413" spans="1:17" s="1659" customFormat="1" ht="30" customHeight="1" x14ac:dyDescent="0.2">
      <c r="A1413" s="7704"/>
      <c r="B1413" s="7665"/>
      <c r="C1413" s="7747"/>
      <c r="D1413" s="7586"/>
      <c r="E1413" s="7676"/>
      <c r="F1413" s="7586"/>
      <c r="G1413" s="7732" t="s">
        <v>6846</v>
      </c>
      <c r="H1413" s="7733"/>
      <c r="I1413" s="7733"/>
      <c r="J1413" s="7734"/>
      <c r="K1413" s="5206"/>
      <c r="L1413" s="8186"/>
      <c r="M1413" s="5224"/>
      <c r="N1413" s="5224"/>
      <c r="O1413" s="5224"/>
      <c r="P1413" s="386"/>
      <c r="Q1413" s="386"/>
    </row>
    <row r="1414" spans="1:17" s="1659" customFormat="1" ht="30" customHeight="1" x14ac:dyDescent="0.2">
      <c r="A1414" s="7705"/>
      <c r="B1414" s="7653"/>
      <c r="C1414" s="7724"/>
      <c r="D1414" s="7564"/>
      <c r="E1414" s="7660"/>
      <c r="F1414" s="7564"/>
      <c r="G1414" s="7732" t="s">
        <v>6847</v>
      </c>
      <c r="H1414" s="7733"/>
      <c r="I1414" s="7733"/>
      <c r="J1414" s="7734"/>
      <c r="K1414" s="5206"/>
      <c r="L1414" s="7675"/>
      <c r="M1414" s="5224"/>
      <c r="N1414" s="5224"/>
      <c r="O1414" s="5224"/>
      <c r="P1414" s="386"/>
      <c r="Q1414" s="386"/>
    </row>
    <row r="1415" spans="1:17" s="1659" customFormat="1" ht="30" customHeight="1" x14ac:dyDescent="0.2">
      <c r="A1415" s="5033"/>
      <c r="B1415" s="4968" t="s">
        <v>6803</v>
      </c>
      <c r="C1415" s="5016" t="s">
        <v>1718</v>
      </c>
      <c r="D1415" s="4944">
        <v>40000000</v>
      </c>
      <c r="E1415" s="5011">
        <v>0.05</v>
      </c>
      <c r="F1415" s="4944">
        <f>D1415*E1415</f>
        <v>2000000</v>
      </c>
      <c r="G1415" s="7732" t="s">
        <v>6804</v>
      </c>
      <c r="H1415" s="7733"/>
      <c r="I1415" s="7733"/>
      <c r="J1415" s="7734"/>
      <c r="K1415" s="4944"/>
      <c r="L1415" s="5030" t="s">
        <v>6806</v>
      </c>
      <c r="M1415" s="5040"/>
      <c r="N1415" s="5040"/>
      <c r="O1415" s="5040"/>
      <c r="P1415" s="386"/>
      <c r="Q1415" s="386"/>
    </row>
    <row r="1416" spans="1:17" s="1659" customFormat="1" ht="30" customHeight="1" x14ac:dyDescent="0.2">
      <c r="A1416" s="5033"/>
      <c r="B1416" s="4968" t="s">
        <v>6826</v>
      </c>
      <c r="C1416" s="5016"/>
      <c r="D1416" s="4944">
        <v>100000000</v>
      </c>
      <c r="E1416" s="5011">
        <v>0.05</v>
      </c>
      <c r="F1416" s="4944">
        <f>D1416*E1416</f>
        <v>5000000</v>
      </c>
      <c r="G1416" s="7732" t="s">
        <v>6837</v>
      </c>
      <c r="H1416" s="7733"/>
      <c r="I1416" s="7733"/>
      <c r="J1416" s="7734"/>
      <c r="K1416" s="4944"/>
      <c r="L1416" s="5171" t="s">
        <v>6827</v>
      </c>
      <c r="M1416" s="5040"/>
      <c r="N1416" s="5040"/>
      <c r="O1416" s="5040"/>
      <c r="P1416" s="386"/>
      <c r="Q1416" s="386"/>
    </row>
    <row r="1417" spans="1:17" s="1659" customFormat="1" ht="30" customHeight="1" x14ac:dyDescent="0.2">
      <c r="A1417" s="5223"/>
      <c r="B1417" s="5214" t="s">
        <v>6834</v>
      </c>
      <c r="C1417" s="5220"/>
      <c r="D1417" s="5206">
        <v>200000000</v>
      </c>
      <c r="E1417" s="5219"/>
      <c r="F1417" s="5206"/>
      <c r="G1417" s="7732" t="s">
        <v>6870</v>
      </c>
      <c r="H1417" s="7733"/>
      <c r="I1417" s="7733"/>
      <c r="J1417" s="7734"/>
      <c r="K1417" s="5206"/>
      <c r="L1417" s="5216" t="s">
        <v>6835</v>
      </c>
      <c r="M1417" s="5224"/>
      <c r="N1417" s="5224"/>
      <c r="O1417" s="5224"/>
      <c r="P1417" s="386"/>
      <c r="Q1417" s="386"/>
    </row>
    <row r="1418" spans="1:17" s="1659" customFormat="1" ht="30" customHeight="1" x14ac:dyDescent="0.2">
      <c r="A1418" s="5223"/>
      <c r="B1418" s="5214" t="s">
        <v>6848</v>
      </c>
      <c r="C1418" s="5220" t="s">
        <v>889</v>
      </c>
      <c r="D1418" s="5206">
        <v>50000000</v>
      </c>
      <c r="E1418" s="5219">
        <v>0.05</v>
      </c>
      <c r="F1418" s="5206">
        <f>D1418*E1418</f>
        <v>2500000</v>
      </c>
      <c r="G1418" s="7732" t="s">
        <v>6849</v>
      </c>
      <c r="H1418" s="7733"/>
      <c r="I1418" s="7733"/>
      <c r="J1418" s="7734"/>
      <c r="K1418" s="5206"/>
      <c r="L1418" s="5247" t="s">
        <v>6880</v>
      </c>
      <c r="M1418" s="5224"/>
      <c r="N1418" s="5224"/>
      <c r="O1418" s="5224"/>
      <c r="P1418" s="386"/>
      <c r="Q1418" s="386"/>
    </row>
    <row r="1419" spans="1:17" s="1659" customFormat="1" ht="30" customHeight="1" x14ac:dyDescent="0.2">
      <c r="A1419" s="5223"/>
      <c r="B1419" s="5214" t="s">
        <v>6871</v>
      </c>
      <c r="C1419" s="5220"/>
      <c r="D1419" s="5206">
        <v>20000000</v>
      </c>
      <c r="E1419" s="5219">
        <v>0.05</v>
      </c>
      <c r="F1419" s="5206">
        <f>D1419*E1419</f>
        <v>1000000</v>
      </c>
      <c r="G1419" s="7732" t="s">
        <v>6890</v>
      </c>
      <c r="H1419" s="7733"/>
      <c r="I1419" s="7733"/>
      <c r="J1419" s="7734"/>
      <c r="K1419" s="5206"/>
      <c r="L1419" s="5247" t="s">
        <v>6877</v>
      </c>
      <c r="M1419" s="5224"/>
      <c r="N1419" s="5224"/>
      <c r="O1419" s="5224"/>
      <c r="P1419" s="386"/>
      <c r="Q1419" s="386"/>
    </row>
    <row r="1420" spans="1:17" s="1659" customFormat="1" ht="30" customHeight="1" x14ac:dyDescent="0.2">
      <c r="A1420" s="5252"/>
      <c r="B1420" s="5245" t="s">
        <v>6873</v>
      </c>
      <c r="C1420" s="5251"/>
      <c r="D1420" s="5234">
        <v>30000000</v>
      </c>
      <c r="E1420" s="5250">
        <v>0.05</v>
      </c>
      <c r="F1420" s="5234">
        <f>D1420*E1420</f>
        <v>1500000</v>
      </c>
      <c r="G1420" s="7732" t="s">
        <v>7038</v>
      </c>
      <c r="H1420" s="7733"/>
      <c r="I1420" s="7733"/>
      <c r="J1420" s="7734"/>
      <c r="K1420" s="5234"/>
      <c r="L1420" s="5247" t="s">
        <v>6874</v>
      </c>
      <c r="M1420" s="5253"/>
      <c r="N1420" s="5253"/>
      <c r="O1420" s="5253"/>
      <c r="P1420" s="386"/>
      <c r="Q1420" s="386"/>
    </row>
    <row r="1421" spans="1:17" s="1659" customFormat="1" ht="30" customHeight="1" x14ac:dyDescent="0.2">
      <c r="A1421" s="5252"/>
      <c r="B1421" s="5245" t="s">
        <v>6912</v>
      </c>
      <c r="C1421" s="5251"/>
      <c r="D1421" s="5234">
        <v>400000000</v>
      </c>
      <c r="E1421" s="5250"/>
      <c r="F1421" s="5234"/>
      <c r="G1421" s="5242"/>
      <c r="H1421" s="5243"/>
      <c r="I1421" s="5243"/>
      <c r="J1421" s="5244"/>
      <c r="K1421" s="5234"/>
      <c r="L1421" s="5247" t="s">
        <v>6911</v>
      </c>
      <c r="M1421" s="5253"/>
      <c r="N1421" s="5253"/>
      <c r="O1421" s="5253"/>
      <c r="P1421" s="386"/>
      <c r="Q1421" s="386"/>
    </row>
    <row r="1422" spans="1:17" s="1659" customFormat="1" ht="30" customHeight="1" x14ac:dyDescent="0.2">
      <c r="A1422" s="5252"/>
      <c r="B1422" s="5245" t="s">
        <v>6914</v>
      </c>
      <c r="C1422" s="5251"/>
      <c r="D1422" s="5272"/>
      <c r="E1422" s="2519"/>
      <c r="F1422" s="5272"/>
      <c r="G1422" s="5268">
        <v>25000000</v>
      </c>
      <c r="H1422" s="5268" t="s">
        <v>6895</v>
      </c>
      <c r="I1422" s="5268" t="s">
        <v>6915</v>
      </c>
      <c r="J1422" s="5268">
        <f>G1422</f>
        <v>25000000</v>
      </c>
      <c r="K1422" s="5234"/>
      <c r="L1422" s="5247"/>
      <c r="M1422" s="5253"/>
      <c r="N1422" s="5253"/>
      <c r="O1422" s="5253"/>
      <c r="P1422" s="386"/>
      <c r="Q1422" s="386"/>
    </row>
    <row r="1423" spans="1:17" s="1659" customFormat="1" ht="30" customHeight="1" x14ac:dyDescent="0.2">
      <c r="A1423" s="5252"/>
      <c r="B1423" s="5245" t="s">
        <v>6943</v>
      </c>
      <c r="C1423" s="5251"/>
      <c r="D1423" s="5234">
        <v>900000000</v>
      </c>
      <c r="E1423" s="5250"/>
      <c r="F1423" s="5234"/>
      <c r="G1423" s="5242"/>
      <c r="H1423" s="5243"/>
      <c r="I1423" s="5243"/>
      <c r="J1423" s="5244"/>
      <c r="K1423" s="5234"/>
      <c r="L1423" s="5247" t="s">
        <v>6978</v>
      </c>
      <c r="M1423" s="5253"/>
      <c r="N1423" s="5253"/>
      <c r="O1423" s="5253"/>
      <c r="P1423" s="386"/>
      <c r="Q1423" s="386"/>
    </row>
    <row r="1424" spans="1:17" s="1659" customFormat="1" ht="30" customHeight="1" x14ac:dyDescent="0.2">
      <c r="A1424" s="7703"/>
      <c r="B1424" s="7652" t="s">
        <v>6944</v>
      </c>
      <c r="C1424" s="7723"/>
      <c r="D1424" s="5234">
        <v>14000000</v>
      </c>
      <c r="E1424" s="5309">
        <v>7.0000000000000007E-2</v>
      </c>
      <c r="F1424" s="5234">
        <f>D1424*E1424</f>
        <v>980000.00000000012</v>
      </c>
      <c r="G1424" s="5302"/>
      <c r="H1424" s="5302"/>
      <c r="I1424" s="5302"/>
      <c r="J1424" s="5302"/>
      <c r="K1424" s="5234"/>
      <c r="L1424" s="5311" t="s">
        <v>6945</v>
      </c>
      <c r="M1424" s="5253"/>
      <c r="N1424" s="5253"/>
      <c r="O1424" s="5253"/>
      <c r="P1424" s="386"/>
      <c r="Q1424" s="386"/>
    </row>
    <row r="1425" spans="1:17" s="1659" customFormat="1" ht="30" customHeight="1" x14ac:dyDescent="0.2">
      <c r="A1425" s="7705"/>
      <c r="B1425" s="7653"/>
      <c r="C1425" s="7724"/>
      <c r="D1425" s="5234">
        <v>21000000</v>
      </c>
      <c r="E1425" s="5309">
        <v>0.05</v>
      </c>
      <c r="F1425" s="5234">
        <f>D1425*E1425</f>
        <v>1050000</v>
      </c>
      <c r="G1425" s="5302"/>
      <c r="H1425" s="5302"/>
      <c r="I1425" s="5302"/>
      <c r="J1425" s="5302"/>
      <c r="K1425" s="5234"/>
      <c r="L1425" s="5312" t="s">
        <v>6946</v>
      </c>
      <c r="M1425" s="5253"/>
      <c r="N1425" s="5253"/>
      <c r="O1425" s="5253"/>
      <c r="P1425" s="386"/>
      <c r="Q1425" s="386"/>
    </row>
    <row r="1426" spans="1:17" s="1659" customFormat="1" ht="30" customHeight="1" x14ac:dyDescent="0.2">
      <c r="A1426" s="5252"/>
      <c r="B1426" s="5245" t="s">
        <v>6947</v>
      </c>
      <c r="C1426" s="5251" t="s">
        <v>1172</v>
      </c>
      <c r="D1426" s="5234">
        <v>10000000</v>
      </c>
      <c r="E1426" s="5250">
        <v>0.05</v>
      </c>
      <c r="F1426" s="5234">
        <f>D1426*E1426</f>
        <v>500000</v>
      </c>
      <c r="G1426" s="5302"/>
      <c r="H1426" s="5302"/>
      <c r="I1426" s="5302"/>
      <c r="J1426" s="5302"/>
      <c r="K1426" s="5234"/>
      <c r="L1426" s="5311" t="s">
        <v>6948</v>
      </c>
      <c r="M1426" s="5253"/>
      <c r="N1426" s="5253"/>
      <c r="O1426" s="5253"/>
      <c r="P1426" s="386"/>
      <c r="Q1426" s="386"/>
    </row>
    <row r="1427" spans="1:17" s="1659" customFormat="1" ht="30" customHeight="1" x14ac:dyDescent="0.2">
      <c r="A1427" s="5252"/>
      <c r="B1427" s="5245" t="s">
        <v>6949</v>
      </c>
      <c r="C1427" s="5251" t="s">
        <v>1172</v>
      </c>
      <c r="D1427" s="5234">
        <v>7500000</v>
      </c>
      <c r="E1427" s="5250">
        <v>0.05</v>
      </c>
      <c r="F1427" s="5234">
        <f>D1427*E1427</f>
        <v>375000</v>
      </c>
      <c r="G1427" s="5302"/>
      <c r="H1427" s="5302"/>
      <c r="I1427" s="5302"/>
      <c r="J1427" s="5302"/>
      <c r="K1427" s="5234"/>
      <c r="L1427" s="5311" t="s">
        <v>6950</v>
      </c>
      <c r="M1427" s="5253"/>
      <c r="N1427" s="5253"/>
      <c r="O1427" s="5253"/>
      <c r="P1427" s="386"/>
      <c r="Q1427" s="386"/>
    </row>
    <row r="1428" spans="1:17" s="1659" customFormat="1" ht="30" customHeight="1" x14ac:dyDescent="0.2">
      <c r="A1428" s="7703"/>
      <c r="B1428" s="7652" t="s">
        <v>6951</v>
      </c>
      <c r="C1428" s="7723"/>
      <c r="D1428" s="7563">
        <v>45000000</v>
      </c>
      <c r="E1428" s="7659">
        <v>0.05</v>
      </c>
      <c r="F1428" s="7563">
        <f>D1428*E1428</f>
        <v>2250000</v>
      </c>
      <c r="G1428" s="7732" t="s">
        <v>6952</v>
      </c>
      <c r="H1428" s="7733"/>
      <c r="I1428" s="7733"/>
      <c r="J1428" s="7734"/>
      <c r="K1428" s="5234"/>
      <c r="L1428" s="5311" t="s">
        <v>6961</v>
      </c>
      <c r="M1428" s="5253"/>
      <c r="N1428" s="5253"/>
      <c r="O1428" s="5253"/>
      <c r="P1428" s="386"/>
      <c r="Q1428" s="386"/>
    </row>
    <row r="1429" spans="1:17" s="1659" customFormat="1" ht="30" customHeight="1" x14ac:dyDescent="0.2">
      <c r="A1429" s="7705"/>
      <c r="B1429" s="7653"/>
      <c r="C1429" s="7724"/>
      <c r="D1429" s="7564"/>
      <c r="E1429" s="7660"/>
      <c r="F1429" s="7564"/>
      <c r="G1429" s="7732" t="s">
        <v>6963</v>
      </c>
      <c r="H1429" s="7733"/>
      <c r="I1429" s="7733"/>
      <c r="J1429" s="7734"/>
      <c r="K1429" s="5302"/>
      <c r="L1429" s="5311"/>
      <c r="M1429" s="5314"/>
      <c r="N1429" s="5314"/>
      <c r="O1429" s="5314"/>
      <c r="P1429" s="386"/>
      <c r="Q1429" s="386"/>
    </row>
    <row r="1430" spans="1:17" s="1659" customFormat="1" ht="30" customHeight="1" x14ac:dyDescent="0.2">
      <c r="A1430" s="5252"/>
      <c r="B1430" s="5245" t="s">
        <v>4489</v>
      </c>
      <c r="C1430" s="5251" t="s">
        <v>1306</v>
      </c>
      <c r="D1430" s="5234">
        <v>480000000</v>
      </c>
      <c r="E1430" s="5250">
        <f>F1430/D1430</f>
        <v>7.2916666666666671E-2</v>
      </c>
      <c r="F1430" s="5234">
        <v>35000000</v>
      </c>
      <c r="G1430" s="7732" t="s">
        <v>6962</v>
      </c>
      <c r="H1430" s="7733"/>
      <c r="I1430" s="7733"/>
      <c r="J1430" s="7734"/>
      <c r="K1430" s="5234"/>
      <c r="L1430" s="5311" t="s">
        <v>6960</v>
      </c>
      <c r="M1430" s="5253"/>
      <c r="N1430" s="5253"/>
      <c r="O1430" s="5253"/>
      <c r="P1430" s="386"/>
      <c r="Q1430" s="386"/>
    </row>
    <row r="1431" spans="1:17" s="1659" customFormat="1" ht="30" customHeight="1" x14ac:dyDescent="0.2">
      <c r="A1431" s="5252"/>
      <c r="B1431" s="5364" t="s">
        <v>6977</v>
      </c>
      <c r="C1431" s="5365"/>
      <c r="D1431" s="5366">
        <v>160000000</v>
      </c>
      <c r="E1431" s="5367">
        <v>0.06</v>
      </c>
      <c r="F1431" s="5366">
        <f>D1431*E1431</f>
        <v>9600000</v>
      </c>
      <c r="G1431" s="7732" t="s">
        <v>6993</v>
      </c>
      <c r="H1431" s="7733"/>
      <c r="I1431" s="7733"/>
      <c r="J1431" s="7734"/>
      <c r="K1431" s="5234"/>
      <c r="L1431" s="5334" t="s">
        <v>6979</v>
      </c>
      <c r="M1431" s="5253"/>
      <c r="N1431" s="5253"/>
      <c r="O1431" s="5253"/>
      <c r="P1431" s="386"/>
      <c r="Q1431" s="386"/>
    </row>
    <row r="1432" spans="1:17" s="1659" customFormat="1" ht="30" customHeight="1" x14ac:dyDescent="0.2">
      <c r="A1432" s="7703"/>
      <c r="B1432" s="7669" t="s">
        <v>6980</v>
      </c>
      <c r="C1432" s="5365"/>
      <c r="D1432" s="5366">
        <v>80000000</v>
      </c>
      <c r="E1432" s="5367">
        <v>0.06</v>
      </c>
      <c r="F1432" s="5366">
        <f>D1432*E1432</f>
        <v>4800000</v>
      </c>
      <c r="G1432" s="7732" t="s">
        <v>6994</v>
      </c>
      <c r="H1432" s="7733"/>
      <c r="I1432" s="7733"/>
      <c r="J1432" s="7734"/>
      <c r="K1432" s="5324"/>
      <c r="L1432" s="5334" t="s">
        <v>6981</v>
      </c>
      <c r="M1432" s="5339"/>
      <c r="N1432" s="5339"/>
      <c r="O1432" s="5339"/>
      <c r="P1432" s="386"/>
      <c r="Q1432" s="386"/>
    </row>
    <row r="1433" spans="1:17" s="1659" customFormat="1" ht="30" customHeight="1" x14ac:dyDescent="0.2">
      <c r="A1433" s="7704"/>
      <c r="B1433" s="8472"/>
      <c r="C1433" s="8478"/>
      <c r="D1433" s="8481">
        <v>500000000</v>
      </c>
      <c r="E1433" s="8484">
        <v>0.06</v>
      </c>
      <c r="F1433" s="8481">
        <f>D1433*E1433</f>
        <v>30000000</v>
      </c>
      <c r="G1433" s="7732" t="s">
        <v>6984</v>
      </c>
      <c r="H1433" s="7733"/>
      <c r="I1433" s="7733"/>
      <c r="J1433" s="7734"/>
      <c r="K1433" s="5324"/>
      <c r="L1433" s="7674" t="s">
        <v>6983</v>
      </c>
      <c r="M1433" s="5339"/>
      <c r="N1433" s="5339"/>
      <c r="O1433" s="5339"/>
      <c r="P1433" s="386"/>
      <c r="Q1433" s="386"/>
    </row>
    <row r="1434" spans="1:17" s="1659" customFormat="1" ht="30" customHeight="1" x14ac:dyDescent="0.2">
      <c r="A1434" s="7704"/>
      <c r="B1434" s="8472"/>
      <c r="C1434" s="8479"/>
      <c r="D1434" s="8482"/>
      <c r="E1434" s="8485"/>
      <c r="F1434" s="8482"/>
      <c r="G1434" s="7732" t="s">
        <v>6985</v>
      </c>
      <c r="H1434" s="7733"/>
      <c r="I1434" s="7733"/>
      <c r="J1434" s="7734"/>
      <c r="K1434" s="5324"/>
      <c r="L1434" s="8186"/>
      <c r="M1434" s="5339"/>
      <c r="N1434" s="5339"/>
      <c r="O1434" s="5339"/>
      <c r="P1434" s="386"/>
      <c r="Q1434" s="386"/>
    </row>
    <row r="1435" spans="1:17" s="1659" customFormat="1" ht="30" customHeight="1" x14ac:dyDescent="0.2">
      <c r="A1435" s="7705"/>
      <c r="B1435" s="7670"/>
      <c r="C1435" s="8480"/>
      <c r="D1435" s="8483"/>
      <c r="E1435" s="8486"/>
      <c r="F1435" s="8483"/>
      <c r="G1435" s="7732" t="s">
        <v>6986</v>
      </c>
      <c r="H1435" s="7733"/>
      <c r="I1435" s="7733"/>
      <c r="J1435" s="7734"/>
      <c r="K1435" s="5324"/>
      <c r="L1435" s="7675"/>
      <c r="M1435" s="5339"/>
      <c r="N1435" s="5339"/>
      <c r="O1435" s="5339"/>
      <c r="P1435" s="386"/>
      <c r="Q1435" s="386"/>
    </row>
    <row r="1436" spans="1:17" s="1659" customFormat="1" ht="30" customHeight="1" x14ac:dyDescent="0.2">
      <c r="A1436" s="7703"/>
      <c r="B1436" s="7669" t="s">
        <v>6971</v>
      </c>
      <c r="C1436" s="8478"/>
      <c r="D1436" s="8481">
        <v>800000000</v>
      </c>
      <c r="E1436" s="8484">
        <v>0.06</v>
      </c>
      <c r="F1436" s="8481">
        <f>D1436*E1436</f>
        <v>48000000</v>
      </c>
      <c r="G1436" s="7732" t="s">
        <v>6986</v>
      </c>
      <c r="H1436" s="7733"/>
      <c r="I1436" s="7733"/>
      <c r="J1436" s="7734"/>
      <c r="K1436" s="5324"/>
      <c r="L1436" s="7674" t="s">
        <v>6982</v>
      </c>
      <c r="M1436" s="5339"/>
      <c r="N1436" s="5339"/>
      <c r="O1436" s="5339"/>
      <c r="P1436" s="386"/>
      <c r="Q1436" s="386"/>
    </row>
    <row r="1437" spans="1:17" s="1659" customFormat="1" ht="30" customHeight="1" x14ac:dyDescent="0.2">
      <c r="A1437" s="7704"/>
      <c r="B1437" s="8472"/>
      <c r="C1437" s="8479"/>
      <c r="D1437" s="8482"/>
      <c r="E1437" s="8485"/>
      <c r="F1437" s="8482"/>
      <c r="G1437" s="7732" t="s">
        <v>6987</v>
      </c>
      <c r="H1437" s="7733"/>
      <c r="I1437" s="7733"/>
      <c r="J1437" s="7734"/>
      <c r="K1437" s="5324"/>
      <c r="L1437" s="8186"/>
      <c r="M1437" s="5339"/>
      <c r="N1437" s="5339"/>
      <c r="O1437" s="5339"/>
      <c r="P1437" s="386"/>
      <c r="Q1437" s="386"/>
    </row>
    <row r="1438" spans="1:17" s="1659" customFormat="1" ht="30" customHeight="1" x14ac:dyDescent="0.2">
      <c r="A1438" s="7704"/>
      <c r="B1438" s="8472"/>
      <c r="C1438" s="8479"/>
      <c r="D1438" s="8483"/>
      <c r="E1438" s="8486"/>
      <c r="F1438" s="8483"/>
      <c r="G1438" s="7732" t="s">
        <v>6988</v>
      </c>
      <c r="H1438" s="7733"/>
      <c r="I1438" s="7733"/>
      <c r="J1438" s="7734"/>
      <c r="K1438" s="5324"/>
      <c r="L1438" s="7675"/>
      <c r="M1438" s="5339"/>
      <c r="N1438" s="5339"/>
      <c r="O1438" s="5339"/>
      <c r="P1438" s="386"/>
      <c r="Q1438" s="386"/>
    </row>
    <row r="1439" spans="1:17" s="1659" customFormat="1" ht="30" customHeight="1" x14ac:dyDescent="0.2">
      <c r="A1439" s="7705"/>
      <c r="B1439" s="7670"/>
      <c r="C1439" s="8480"/>
      <c r="D1439" s="5368">
        <v>200000000</v>
      </c>
      <c r="E1439" s="5369">
        <v>0.06</v>
      </c>
      <c r="F1439" s="5368">
        <f>D1439*E1439</f>
        <v>12000000</v>
      </c>
      <c r="G1439" s="7732" t="s">
        <v>6992</v>
      </c>
      <c r="H1439" s="7733"/>
      <c r="I1439" s="7733"/>
      <c r="J1439" s="7734"/>
      <c r="K1439" s="5324"/>
      <c r="L1439" s="5343" t="s">
        <v>6998</v>
      </c>
      <c r="M1439" s="5339"/>
      <c r="N1439" s="5339"/>
      <c r="O1439" s="5339"/>
      <c r="P1439" s="386"/>
      <c r="Q1439" s="386"/>
    </row>
    <row r="1440" spans="1:17" s="1659" customFormat="1" ht="30" customHeight="1" x14ac:dyDescent="0.2">
      <c r="A1440" s="5338"/>
      <c r="B1440" s="5364" t="s">
        <v>6989</v>
      </c>
      <c r="C1440" s="5365"/>
      <c r="D1440" s="5366">
        <v>300000000</v>
      </c>
      <c r="E1440" s="5367">
        <v>0.06</v>
      </c>
      <c r="F1440" s="5366">
        <f>D1440*E1440</f>
        <v>18000000</v>
      </c>
      <c r="G1440" s="7732" t="s">
        <v>6991</v>
      </c>
      <c r="H1440" s="7733"/>
      <c r="I1440" s="7733"/>
      <c r="J1440" s="7734"/>
      <c r="K1440" s="5324"/>
      <c r="L1440" s="5334" t="s">
        <v>6990</v>
      </c>
      <c r="M1440" s="5339"/>
      <c r="N1440" s="5339"/>
      <c r="O1440" s="5339"/>
      <c r="P1440" s="386"/>
      <c r="Q1440" s="386"/>
    </row>
    <row r="1441" spans="1:17" s="1659" customFormat="1" ht="30" customHeight="1" x14ac:dyDescent="0.2">
      <c r="A1441" s="5338"/>
      <c r="B1441" s="5329" t="s">
        <v>139</v>
      </c>
      <c r="C1441" s="5337"/>
      <c r="D1441" s="5324">
        <v>100000000</v>
      </c>
      <c r="E1441" s="5336">
        <v>7.0000000000000007E-2</v>
      </c>
      <c r="F1441" s="5324">
        <f>D1441*E1441</f>
        <v>7000000.0000000009</v>
      </c>
      <c r="G1441" s="7732" t="s">
        <v>7367</v>
      </c>
      <c r="H1441" s="7733"/>
      <c r="I1441" s="7733"/>
      <c r="J1441" s="7734"/>
      <c r="K1441" s="5324"/>
      <c r="L1441" s="5334" t="s">
        <v>7001</v>
      </c>
      <c r="M1441" s="5339"/>
      <c r="N1441" s="5339"/>
      <c r="O1441" s="5339"/>
      <c r="P1441" s="386"/>
      <c r="Q1441" s="386"/>
    </row>
    <row r="1442" spans="1:17" s="1659" customFormat="1" ht="30" customHeight="1" x14ac:dyDescent="0.2">
      <c r="A1442" s="7703"/>
      <c r="B1442" s="7652" t="s">
        <v>7025</v>
      </c>
      <c r="C1442" s="7723"/>
      <c r="D1442" s="7563">
        <v>70000000</v>
      </c>
      <c r="E1442" s="7659"/>
      <c r="F1442" s="7563"/>
      <c r="G1442" s="7732" t="s">
        <v>7129</v>
      </c>
      <c r="H1442" s="7733"/>
      <c r="I1442" s="7733"/>
      <c r="J1442" s="7734"/>
      <c r="K1442" s="5324"/>
      <c r="L1442" s="5359" t="s">
        <v>7026</v>
      </c>
      <c r="M1442" s="5339"/>
      <c r="N1442" s="5339"/>
      <c r="O1442" s="5339"/>
      <c r="P1442" s="386"/>
      <c r="Q1442" s="386"/>
    </row>
    <row r="1443" spans="1:17" s="1659" customFormat="1" ht="30" customHeight="1" x14ac:dyDescent="0.2">
      <c r="A1443" s="7704"/>
      <c r="B1443" s="7665"/>
      <c r="C1443" s="7747"/>
      <c r="D1443" s="7586"/>
      <c r="E1443" s="7676"/>
      <c r="F1443" s="7586"/>
      <c r="G1443" s="7732" t="s">
        <v>7130</v>
      </c>
      <c r="H1443" s="7733"/>
      <c r="I1443" s="7733"/>
      <c r="J1443" s="7734"/>
      <c r="K1443" s="5448"/>
      <c r="L1443" s="5461"/>
      <c r="M1443" s="5463"/>
      <c r="N1443" s="5463"/>
      <c r="O1443" s="5463"/>
      <c r="P1443" s="386"/>
      <c r="Q1443" s="386"/>
    </row>
    <row r="1444" spans="1:17" s="1659" customFormat="1" ht="30" customHeight="1" x14ac:dyDescent="0.2">
      <c r="A1444" s="7705"/>
      <c r="B1444" s="7653"/>
      <c r="C1444" s="7724"/>
      <c r="D1444" s="7564"/>
      <c r="E1444" s="7660"/>
      <c r="F1444" s="7564"/>
      <c r="G1444" s="7732" t="s">
        <v>7131</v>
      </c>
      <c r="H1444" s="7733"/>
      <c r="I1444" s="7733"/>
      <c r="J1444" s="7734"/>
      <c r="K1444" s="5448"/>
      <c r="L1444" s="5461"/>
      <c r="M1444" s="5463"/>
      <c r="N1444" s="5463"/>
      <c r="O1444" s="5463"/>
      <c r="P1444" s="386"/>
      <c r="Q1444" s="386"/>
    </row>
    <row r="1445" spans="1:17" s="1659" customFormat="1" ht="30" customHeight="1" x14ac:dyDescent="0.2">
      <c r="A1445" s="7703"/>
      <c r="B1445" s="7652" t="s">
        <v>7030</v>
      </c>
      <c r="C1445" s="7723"/>
      <c r="D1445" s="7563">
        <v>15000000</v>
      </c>
      <c r="E1445" s="7659">
        <v>0.05</v>
      </c>
      <c r="F1445" s="7563">
        <f>D1445*E1445</f>
        <v>750000</v>
      </c>
      <c r="G1445" s="7732" t="s">
        <v>7032</v>
      </c>
      <c r="H1445" s="7733"/>
      <c r="I1445" s="7733"/>
      <c r="J1445" s="7734"/>
      <c r="K1445" s="5324"/>
      <c r="L1445" s="7674" t="s">
        <v>7031</v>
      </c>
      <c r="M1445" s="5339"/>
      <c r="N1445" s="5339"/>
      <c r="O1445" s="5339"/>
      <c r="P1445" s="386"/>
      <c r="Q1445" s="386"/>
    </row>
    <row r="1446" spans="1:17" s="1659" customFormat="1" ht="30" customHeight="1" x14ac:dyDescent="0.2">
      <c r="A1446" s="7705"/>
      <c r="B1446" s="7653"/>
      <c r="C1446" s="7724"/>
      <c r="D1446" s="7564"/>
      <c r="E1446" s="7660"/>
      <c r="F1446" s="7564"/>
      <c r="G1446" s="7732" t="s">
        <v>7033</v>
      </c>
      <c r="H1446" s="7733"/>
      <c r="I1446" s="7733"/>
      <c r="J1446" s="7734"/>
      <c r="K1446" s="5324"/>
      <c r="L1446" s="7675"/>
      <c r="M1446" s="5339"/>
      <c r="N1446" s="5339"/>
      <c r="O1446" s="5339"/>
      <c r="P1446" s="386"/>
      <c r="Q1446" s="386"/>
    </row>
    <row r="1447" spans="1:17" s="1659" customFormat="1" ht="30" customHeight="1" x14ac:dyDescent="0.2">
      <c r="A1447" s="5382"/>
      <c r="B1447" s="5380" t="s">
        <v>3006</v>
      </c>
      <c r="C1447" s="5383"/>
      <c r="D1447" s="5376">
        <v>50000000</v>
      </c>
      <c r="E1447" s="5379"/>
      <c r="F1447" s="5376"/>
      <c r="G1447" s="7732" t="s">
        <v>7057</v>
      </c>
      <c r="H1447" s="7733"/>
      <c r="I1447" s="7733"/>
      <c r="J1447" s="7734"/>
      <c r="K1447" s="5374"/>
      <c r="L1447" s="5391"/>
      <c r="M1447" s="5393"/>
      <c r="N1447" s="5393"/>
      <c r="O1447" s="5393"/>
      <c r="P1447" s="386"/>
      <c r="Q1447" s="386"/>
    </row>
    <row r="1448" spans="1:17" s="1659" customFormat="1" ht="30" customHeight="1" x14ac:dyDescent="0.2">
      <c r="A1448" s="7703"/>
      <c r="B1448" s="7652" t="s">
        <v>3073</v>
      </c>
      <c r="C1448" s="7723"/>
      <c r="D1448" s="7494" t="s">
        <v>7103</v>
      </c>
      <c r="E1448" s="7495"/>
      <c r="F1448" s="7768"/>
      <c r="G1448" s="5404">
        <v>50000000</v>
      </c>
      <c r="H1448" s="5404" t="s">
        <v>7061</v>
      </c>
      <c r="I1448" s="5404" t="s">
        <v>7062</v>
      </c>
      <c r="J1448" s="5404">
        <f>G1448</f>
        <v>50000000</v>
      </c>
      <c r="K1448" s="5374"/>
      <c r="L1448" s="5391" t="s">
        <v>7063</v>
      </c>
      <c r="M1448" s="5393"/>
      <c r="N1448" s="5393"/>
      <c r="O1448" s="5393"/>
      <c r="P1448" s="386"/>
      <c r="Q1448" s="386"/>
    </row>
    <row r="1449" spans="1:17" s="1659" customFormat="1" ht="30" customHeight="1" x14ac:dyDescent="0.2">
      <c r="A1449" s="7705"/>
      <c r="B1449" s="7653"/>
      <c r="C1449" s="7724"/>
      <c r="D1449" s="7769"/>
      <c r="E1449" s="7805"/>
      <c r="F1449" s="7770"/>
      <c r="G1449" s="5399">
        <v>50000000</v>
      </c>
      <c r="H1449" s="5399" t="s">
        <v>7065</v>
      </c>
      <c r="I1449" s="5399" t="s">
        <v>7062</v>
      </c>
      <c r="J1449" s="5399">
        <f>G1449</f>
        <v>50000000</v>
      </c>
      <c r="K1449" s="5374"/>
      <c r="L1449" s="5391"/>
      <c r="M1449" s="5393"/>
      <c r="N1449" s="5393"/>
      <c r="O1449" s="5393"/>
      <c r="P1449" s="386"/>
      <c r="Q1449" s="386"/>
    </row>
    <row r="1450" spans="1:17" s="1659" customFormat="1" ht="30" customHeight="1" x14ac:dyDescent="0.2">
      <c r="A1450" s="5431"/>
      <c r="B1450" s="5430" t="s">
        <v>7110</v>
      </c>
      <c r="C1450" s="5433"/>
      <c r="D1450" s="7470" t="s">
        <v>7109</v>
      </c>
      <c r="E1450" s="7493"/>
      <c r="F1450" s="7510"/>
      <c r="G1450" s="5427"/>
      <c r="H1450" s="5427"/>
      <c r="I1450" s="5427"/>
      <c r="J1450" s="5427"/>
      <c r="K1450" s="5427"/>
      <c r="L1450" s="5440"/>
      <c r="M1450" s="5443"/>
      <c r="N1450" s="5443"/>
      <c r="O1450" s="5443"/>
      <c r="P1450" s="386"/>
      <c r="Q1450" s="386"/>
    </row>
    <row r="1451" spans="1:17" s="1659" customFormat="1" ht="30" customHeight="1" x14ac:dyDescent="0.2">
      <c r="A1451" s="7652"/>
      <c r="B1451" s="7652" t="s">
        <v>7148</v>
      </c>
      <c r="C1451" s="7723"/>
      <c r="D1451" s="7563">
        <v>280000000</v>
      </c>
      <c r="E1451" s="7659">
        <v>0.06</v>
      </c>
      <c r="F1451" s="7563">
        <f>D1451*E1451</f>
        <v>16800000</v>
      </c>
      <c r="G1451" s="7991" t="s">
        <v>7154</v>
      </c>
      <c r="H1451" s="7992"/>
      <c r="I1451" s="7992"/>
      <c r="J1451" s="7993"/>
      <c r="K1451" s="5427"/>
      <c r="L1451" s="5484" t="s">
        <v>7163</v>
      </c>
      <c r="M1451" s="5443"/>
      <c r="N1451" s="5443"/>
      <c r="O1451" s="5443"/>
      <c r="P1451" s="386"/>
      <c r="Q1451" s="386"/>
    </row>
    <row r="1452" spans="1:17" s="1659" customFormat="1" ht="30" customHeight="1" x14ac:dyDescent="0.2">
      <c r="A1452" s="7653"/>
      <c r="B1452" s="7653"/>
      <c r="C1452" s="7724"/>
      <c r="D1452" s="7564"/>
      <c r="E1452" s="7660"/>
      <c r="F1452" s="7564"/>
      <c r="G1452" s="7997"/>
      <c r="H1452" s="7998"/>
      <c r="I1452" s="7998"/>
      <c r="J1452" s="7999"/>
      <c r="K1452" s="5470"/>
      <c r="L1452" s="5481" t="s">
        <v>7164</v>
      </c>
      <c r="M1452" s="5483"/>
      <c r="N1452" s="5483"/>
      <c r="O1452" s="5483"/>
      <c r="P1452" s="386"/>
      <c r="Q1452" s="386"/>
    </row>
    <row r="1453" spans="1:17" s="1659" customFormat="1" ht="30" customHeight="1" x14ac:dyDescent="0.2">
      <c r="A1453" s="5478"/>
      <c r="B1453" s="5476" t="s">
        <v>7159</v>
      </c>
      <c r="C1453" s="5479"/>
      <c r="D1453" s="5470">
        <v>140000000</v>
      </c>
      <c r="E1453" s="5482">
        <v>0.05</v>
      </c>
      <c r="F1453" s="5470">
        <f>D1453*E1453</f>
        <v>7000000</v>
      </c>
      <c r="G1453" s="7732" t="s">
        <v>7160</v>
      </c>
      <c r="H1453" s="7733"/>
      <c r="I1453" s="7733"/>
      <c r="J1453" s="7734"/>
      <c r="K1453" s="5470"/>
      <c r="L1453" s="5484" t="s">
        <v>7161</v>
      </c>
      <c r="M1453" s="5483"/>
      <c r="N1453" s="5483"/>
      <c r="O1453" s="5483"/>
      <c r="P1453" s="386"/>
      <c r="Q1453" s="386"/>
    </row>
    <row r="1454" spans="1:17" s="1659" customFormat="1" ht="30" customHeight="1" x14ac:dyDescent="0.2">
      <c r="A1454" s="5478"/>
      <c r="B1454" s="5476" t="s">
        <v>7182</v>
      </c>
      <c r="C1454" s="5479"/>
      <c r="D1454" s="5470">
        <v>150000000</v>
      </c>
      <c r="E1454" s="5517">
        <v>0.06</v>
      </c>
      <c r="F1454" s="5470">
        <f>D1454*E1454</f>
        <v>9000000</v>
      </c>
      <c r="G1454" s="5470"/>
      <c r="H1454" s="5470"/>
      <c r="I1454" s="5470"/>
      <c r="J1454" s="5470"/>
      <c r="K1454" s="5470"/>
      <c r="L1454" s="5521" t="s">
        <v>7183</v>
      </c>
      <c r="M1454" s="5483"/>
      <c r="N1454" s="5483"/>
      <c r="O1454" s="5483"/>
      <c r="P1454" s="386"/>
      <c r="Q1454" s="386"/>
    </row>
    <row r="1455" spans="1:17" s="1659" customFormat="1" ht="30" customHeight="1" x14ac:dyDescent="0.2">
      <c r="A1455" s="5512"/>
      <c r="B1455" s="5506" t="s">
        <v>7193</v>
      </c>
      <c r="C1455" s="5513"/>
      <c r="D1455" s="5500"/>
      <c r="E1455" s="2519"/>
      <c r="F1455" s="5500"/>
      <c r="G1455" s="5497">
        <v>1250000</v>
      </c>
      <c r="H1455" s="5497" t="s">
        <v>7067</v>
      </c>
      <c r="I1455" s="5497" t="s">
        <v>7194</v>
      </c>
      <c r="J1455" s="5497">
        <f>G1455</f>
        <v>1250000</v>
      </c>
      <c r="K1455" s="5500"/>
      <c r="L1455" s="5521"/>
      <c r="M1455" s="5520"/>
      <c r="N1455" s="5520"/>
      <c r="O1455" s="5520"/>
      <c r="P1455" s="386"/>
      <c r="Q1455" s="386"/>
    </row>
    <row r="1456" spans="1:17" s="1659" customFormat="1" ht="30" customHeight="1" x14ac:dyDescent="0.2">
      <c r="A1456" s="5512"/>
      <c r="B1456" s="5506" t="s">
        <v>7236</v>
      </c>
      <c r="C1456" s="5513"/>
      <c r="D1456" s="5497">
        <v>22000000</v>
      </c>
      <c r="E1456" s="5517">
        <v>0.05</v>
      </c>
      <c r="F1456" s="5497">
        <f>D1456*E1456</f>
        <v>1100000</v>
      </c>
      <c r="G1456" s="5497">
        <v>1100000</v>
      </c>
      <c r="H1456" s="5497" t="s">
        <v>2474</v>
      </c>
      <c r="I1456" s="5497" t="s">
        <v>5470</v>
      </c>
      <c r="J1456" s="5497">
        <f>G1456</f>
        <v>1100000</v>
      </c>
      <c r="K1456" s="5497"/>
      <c r="L1456" s="5521" t="s">
        <v>7264</v>
      </c>
      <c r="M1456" s="5520"/>
      <c r="N1456" s="5520"/>
      <c r="O1456" s="5520"/>
      <c r="P1456" s="386"/>
      <c r="Q1456" s="386"/>
    </row>
    <row r="1457" spans="1:17" s="1659" customFormat="1" ht="30" customHeight="1" x14ac:dyDescent="0.2">
      <c r="A1457" s="5512"/>
      <c r="B1457" s="5506"/>
      <c r="C1457" s="5513"/>
      <c r="D1457" s="5497"/>
      <c r="E1457" s="5517"/>
      <c r="F1457" s="5497"/>
      <c r="G1457" s="5561"/>
      <c r="H1457" s="5561"/>
      <c r="I1457" s="5561"/>
      <c r="J1457" s="5561"/>
      <c r="K1457" s="5497"/>
      <c r="L1457" s="5521"/>
      <c r="M1457" s="5520"/>
      <c r="N1457" s="5520"/>
      <c r="O1457" s="5520"/>
      <c r="P1457" s="386"/>
      <c r="Q1457" s="386"/>
    </row>
    <row r="1458" spans="1:17" s="1659" customFormat="1" ht="30" customHeight="1" x14ac:dyDescent="0.2">
      <c r="A1458" s="5512"/>
      <c r="B1458" s="5506"/>
      <c r="C1458" s="5513"/>
      <c r="D1458" s="5497"/>
      <c r="E1458" s="5517"/>
      <c r="F1458" s="5497"/>
      <c r="G1458" s="5497"/>
      <c r="H1458" s="5497"/>
      <c r="I1458" s="5497"/>
      <c r="J1458" s="5497"/>
      <c r="K1458" s="5497"/>
      <c r="L1458" s="5521"/>
      <c r="M1458" s="5520"/>
      <c r="N1458" s="5520"/>
      <c r="O1458" s="5520"/>
      <c r="P1458" s="386"/>
      <c r="Q1458" s="386"/>
    </row>
    <row r="1459" spans="1:17" s="1659" customFormat="1" ht="30" customHeight="1" x14ac:dyDescent="0.2">
      <c r="A1459" s="5033"/>
      <c r="B1459" s="4968"/>
      <c r="C1459" s="5016"/>
      <c r="D1459" s="4944"/>
      <c r="E1459" s="5011"/>
      <c r="F1459" s="4944"/>
      <c r="G1459" s="5051"/>
      <c r="H1459" s="5051"/>
      <c r="I1459" s="5051"/>
      <c r="J1459" s="5051"/>
      <c r="K1459" s="4944"/>
      <c r="L1459" s="5051"/>
      <c r="M1459" s="5040"/>
      <c r="N1459" s="5040"/>
      <c r="O1459" s="5040"/>
      <c r="P1459" s="386"/>
      <c r="Q1459" s="386"/>
    </row>
    <row r="1460" spans="1:17" ht="30" customHeight="1" x14ac:dyDescent="0.2">
      <c r="A1460" s="8013" t="s">
        <v>5338</v>
      </c>
      <c r="B1460" s="8014"/>
      <c r="C1460" s="1031"/>
      <c r="D1460" s="5073"/>
      <c r="E1460" s="4962"/>
      <c r="F1460" s="4952"/>
      <c r="G1460" s="4952"/>
      <c r="H1460" s="4952"/>
      <c r="I1460" s="5071"/>
      <c r="J1460" s="4952"/>
      <c r="K1460" s="4952"/>
      <c r="L1460" s="4956"/>
    </row>
  </sheetData>
  <mergeCells count="2427">
    <mergeCell ref="G1441:J1441"/>
    <mergeCell ref="G907:J907"/>
    <mergeCell ref="G912:J912"/>
    <mergeCell ref="D912:D913"/>
    <mergeCell ref="E912:E913"/>
    <mergeCell ref="F912:F913"/>
    <mergeCell ref="G914:J914"/>
    <mergeCell ref="G915:J915"/>
    <mergeCell ref="A149:A152"/>
    <mergeCell ref="B149:B152"/>
    <mergeCell ref="C149:C152"/>
    <mergeCell ref="G152:J152"/>
    <mergeCell ref="A1299:A1300"/>
    <mergeCell ref="B1299:B1300"/>
    <mergeCell ref="C1299:C1300"/>
    <mergeCell ref="D1299:D1300"/>
    <mergeCell ref="E1299:E1300"/>
    <mergeCell ref="F1299:F1300"/>
    <mergeCell ref="I1385:I1386"/>
    <mergeCell ref="J1385:J1386"/>
    <mergeCell ref="E1228:E1229"/>
    <mergeCell ref="F1228:F1229"/>
    <mergeCell ref="G1228:J1228"/>
    <mergeCell ref="I1159:I1160"/>
    <mergeCell ref="B1304:B1311"/>
    <mergeCell ref="G1299:J1299"/>
    <mergeCell ref="G1291:J1291"/>
    <mergeCell ref="G1203:J1203"/>
    <mergeCell ref="D1334:D1345"/>
    <mergeCell ref="E1334:E1345"/>
    <mergeCell ref="F1334:F1345"/>
    <mergeCell ref="E1159:E1160"/>
    <mergeCell ref="L393:L394"/>
    <mergeCell ref="B298:B304"/>
    <mergeCell ref="A298:A304"/>
    <mergeCell ref="C300:C304"/>
    <mergeCell ref="D300:D304"/>
    <mergeCell ref="E300:E304"/>
    <mergeCell ref="F300:F304"/>
    <mergeCell ref="G766:J766"/>
    <mergeCell ref="A711:A747"/>
    <mergeCell ref="K1020:K1021"/>
    <mergeCell ref="G913:J913"/>
    <mergeCell ref="C1129:C1131"/>
    <mergeCell ref="D1129:D1131"/>
    <mergeCell ref="E1129:E1131"/>
    <mergeCell ref="F1129:F1131"/>
    <mergeCell ref="I1097:I1099"/>
    <mergeCell ref="G1121:J1121"/>
    <mergeCell ref="H816:H817"/>
    <mergeCell ref="I816:I817"/>
    <mergeCell ref="E1064:E1065"/>
    <mergeCell ref="F1064:F1065"/>
    <mergeCell ref="J1064:J1065"/>
    <mergeCell ref="D746:E747"/>
    <mergeCell ref="F746:F747"/>
    <mergeCell ref="J746:J747"/>
    <mergeCell ref="K746:K747"/>
    <mergeCell ref="D1064:D1065"/>
    <mergeCell ref="L1076:L1077"/>
    <mergeCell ref="A1018:A1019"/>
    <mergeCell ref="B1018:B1019"/>
    <mergeCell ref="C1018:C1019"/>
    <mergeCell ref="G1019:J1019"/>
    <mergeCell ref="J1159:J1160"/>
    <mergeCell ref="C1211:C1212"/>
    <mergeCell ref="B1354:B1356"/>
    <mergeCell ref="C1354:C1356"/>
    <mergeCell ref="D1354:D1356"/>
    <mergeCell ref="K1232:K1234"/>
    <mergeCell ref="K1346:K1347"/>
    <mergeCell ref="G1336:J1336"/>
    <mergeCell ref="G1337:J1337"/>
    <mergeCell ref="D1204:D1205"/>
    <mergeCell ref="E1204:E1205"/>
    <mergeCell ref="C1247:C1248"/>
    <mergeCell ref="G1235:J1235"/>
    <mergeCell ref="C1304:C1311"/>
    <mergeCell ref="H1320:H1323"/>
    <mergeCell ref="I1320:I1323"/>
    <mergeCell ref="J1320:J1323"/>
    <mergeCell ref="G1295:J1295"/>
    <mergeCell ref="G1296:J1296"/>
    <mergeCell ref="C1329:C1330"/>
    <mergeCell ref="D1329:D1330"/>
    <mergeCell ref="E1329:E1330"/>
    <mergeCell ref="F1329:F1330"/>
    <mergeCell ref="G1332:J1332"/>
    <mergeCell ref="G1226:J1226"/>
    <mergeCell ref="D1228:D1229"/>
    <mergeCell ref="F1159:F1160"/>
    <mergeCell ref="B1329:B1330"/>
    <mergeCell ref="D1327:F1327"/>
    <mergeCell ref="D1346:D1347"/>
    <mergeCell ref="E1346:E1347"/>
    <mergeCell ref="F1346:F1347"/>
    <mergeCell ref="G22:J22"/>
    <mergeCell ref="G23:J23"/>
    <mergeCell ref="A22:A24"/>
    <mergeCell ref="B22:B24"/>
    <mergeCell ref="C22:C24"/>
    <mergeCell ref="D22:D24"/>
    <mergeCell ref="E22:E24"/>
    <mergeCell ref="F22:F24"/>
    <mergeCell ref="G24:J24"/>
    <mergeCell ref="G471:J471"/>
    <mergeCell ref="G472:J472"/>
    <mergeCell ref="A27:A28"/>
    <mergeCell ref="B27:B28"/>
    <mergeCell ref="C27:C28"/>
    <mergeCell ref="G28:J28"/>
    <mergeCell ref="A458:A459"/>
    <mergeCell ref="B458:B459"/>
    <mergeCell ref="C458:C459"/>
    <mergeCell ref="D414:D416"/>
    <mergeCell ref="E414:E416"/>
    <mergeCell ref="A293:A296"/>
    <mergeCell ref="B293:B296"/>
    <mergeCell ref="C293:C296"/>
    <mergeCell ref="F414:F416"/>
    <mergeCell ref="A433:A434"/>
    <mergeCell ref="A63:A68"/>
    <mergeCell ref="B63:B68"/>
    <mergeCell ref="C63:C68"/>
    <mergeCell ref="C286:C287"/>
    <mergeCell ref="D66:D67"/>
    <mergeCell ref="E66:E67"/>
    <mergeCell ref="B450:B453"/>
    <mergeCell ref="G1443:J1443"/>
    <mergeCell ref="B669:B671"/>
    <mergeCell ref="C669:C671"/>
    <mergeCell ref="G671:J671"/>
    <mergeCell ref="G243:J243"/>
    <mergeCell ref="G1430:J1430"/>
    <mergeCell ref="A240:A245"/>
    <mergeCell ref="B240:B245"/>
    <mergeCell ref="C240:C245"/>
    <mergeCell ref="D243:D245"/>
    <mergeCell ref="E243:E245"/>
    <mergeCell ref="F243:F245"/>
    <mergeCell ref="G245:J245"/>
    <mergeCell ref="A1428:A1429"/>
    <mergeCell ref="B1428:B1429"/>
    <mergeCell ref="C1428:C1429"/>
    <mergeCell ref="A1110:A1111"/>
    <mergeCell ref="B1110:B1111"/>
    <mergeCell ref="C1110:C1111"/>
    <mergeCell ref="D1110:D1111"/>
    <mergeCell ref="E1110:E1111"/>
    <mergeCell ref="F1110:F1111"/>
    <mergeCell ref="G616:G621"/>
    <mergeCell ref="H1354:H1356"/>
    <mergeCell ref="I1354:I1356"/>
    <mergeCell ref="I992:I993"/>
    <mergeCell ref="J992:J993"/>
    <mergeCell ref="A770:A771"/>
    <mergeCell ref="D1428:D1429"/>
    <mergeCell ref="F850:F851"/>
    <mergeCell ref="A1320:A1323"/>
    <mergeCell ref="J1015:J1016"/>
    <mergeCell ref="G1444:J1444"/>
    <mergeCell ref="A390:A391"/>
    <mergeCell ref="B390:B391"/>
    <mergeCell ref="C390:C391"/>
    <mergeCell ref="A1097:A1101"/>
    <mergeCell ref="B1097:B1101"/>
    <mergeCell ref="C1097:C1101"/>
    <mergeCell ref="G1100:J1100"/>
    <mergeCell ref="G1101:J1101"/>
    <mergeCell ref="G847:J847"/>
    <mergeCell ref="G848:J848"/>
    <mergeCell ref="G849:J849"/>
    <mergeCell ref="G1429:J1429"/>
    <mergeCell ref="F1360:F1361"/>
    <mergeCell ref="A816:A817"/>
    <mergeCell ref="B816:B817"/>
    <mergeCell ref="C816:C817"/>
    <mergeCell ref="G1393:J1393"/>
    <mergeCell ref="A1394:A1396"/>
    <mergeCell ref="C1394:C1396"/>
    <mergeCell ref="G1044:J1044"/>
    <mergeCell ref="B711:B747"/>
    <mergeCell ref="A860:A863"/>
    <mergeCell ref="B860:B863"/>
    <mergeCell ref="C860:C863"/>
    <mergeCell ref="B448:B449"/>
    <mergeCell ref="C448:C449"/>
    <mergeCell ref="A448:A449"/>
    <mergeCell ref="B1147:B1149"/>
    <mergeCell ref="A1147:A1149"/>
    <mergeCell ref="J1346:J1347"/>
    <mergeCell ref="G1442:J1442"/>
    <mergeCell ref="C1424:C1425"/>
    <mergeCell ref="G1428:J1428"/>
    <mergeCell ref="A669:A671"/>
    <mergeCell ref="G1366:J1366"/>
    <mergeCell ref="A1129:A1131"/>
    <mergeCell ref="B1129:B1131"/>
    <mergeCell ref="A1135:A1137"/>
    <mergeCell ref="B1135:B1137"/>
    <mergeCell ref="C1135:C1137"/>
    <mergeCell ref="D1135:D1136"/>
    <mergeCell ref="E1135:E1136"/>
    <mergeCell ref="F1135:F1136"/>
    <mergeCell ref="G1135:J1135"/>
    <mergeCell ref="F1220:F1221"/>
    <mergeCell ref="J1220:J1221"/>
    <mergeCell ref="E1428:E1429"/>
    <mergeCell ref="F1428:F1429"/>
    <mergeCell ref="A1350:A1352"/>
    <mergeCell ref="G1351:J1351"/>
    <mergeCell ref="D1148:D1149"/>
    <mergeCell ref="E1148:E1149"/>
    <mergeCell ref="F1148:F1149"/>
    <mergeCell ref="G1147:G1149"/>
    <mergeCell ref="H1147:H1149"/>
    <mergeCell ref="I1147:I1149"/>
    <mergeCell ref="J1147:J1149"/>
    <mergeCell ref="J1354:J1356"/>
    <mergeCell ref="G1360:J1360"/>
    <mergeCell ref="G1309:J1309"/>
    <mergeCell ref="G1310:J1310"/>
    <mergeCell ref="G1311:J1311"/>
    <mergeCell ref="B1382:B1384"/>
    <mergeCell ref="F66:F67"/>
    <mergeCell ref="J66:J67"/>
    <mergeCell ref="G417:J418"/>
    <mergeCell ref="K522:K523"/>
    <mergeCell ref="L522:L523"/>
    <mergeCell ref="A1448:A1449"/>
    <mergeCell ref="B1448:B1449"/>
    <mergeCell ref="C1448:C1449"/>
    <mergeCell ref="D1448:F1449"/>
    <mergeCell ref="C129:C133"/>
    <mergeCell ref="D129:D133"/>
    <mergeCell ref="E129:E133"/>
    <mergeCell ref="F129:F133"/>
    <mergeCell ref="A1362:A1363"/>
    <mergeCell ref="B1362:B1363"/>
    <mergeCell ref="C1362:C1363"/>
    <mergeCell ref="D1362:D1363"/>
    <mergeCell ref="E1362:E1363"/>
    <mergeCell ref="F1362:F1363"/>
    <mergeCell ref="A364:A365"/>
    <mergeCell ref="B364:B365"/>
    <mergeCell ref="C364:C365"/>
    <mergeCell ref="D364:D365"/>
    <mergeCell ref="E364:E365"/>
    <mergeCell ref="F364:F365"/>
    <mergeCell ref="B511:B517"/>
    <mergeCell ref="A511:A517"/>
    <mergeCell ref="C511:C517"/>
    <mergeCell ref="D516:F517"/>
    <mergeCell ref="C1147:C1149"/>
    <mergeCell ref="A1346:A1347"/>
    <mergeCell ref="A699:A707"/>
    <mergeCell ref="A103:A106"/>
    <mergeCell ref="B103:B106"/>
    <mergeCell ref="C103:C106"/>
    <mergeCell ref="G1150:G1151"/>
    <mergeCell ref="H1150:H1151"/>
    <mergeCell ref="I1150:I1151"/>
    <mergeCell ref="G1152:G1153"/>
    <mergeCell ref="H1152:H1153"/>
    <mergeCell ref="L1043:L1044"/>
    <mergeCell ref="A1033:A1039"/>
    <mergeCell ref="B1033:B1039"/>
    <mergeCell ref="A1040:A1041"/>
    <mergeCell ref="B1040:B1041"/>
    <mergeCell ref="G1040:G1041"/>
    <mergeCell ref="L654:L656"/>
    <mergeCell ref="A593:A600"/>
    <mergeCell ref="B593:B600"/>
    <mergeCell ref="C593:C600"/>
    <mergeCell ref="D599:F599"/>
    <mergeCell ref="A1064:A1066"/>
    <mergeCell ref="B1064:B1066"/>
    <mergeCell ref="C1064:C1066"/>
    <mergeCell ref="L816:L817"/>
    <mergeCell ref="C711:C747"/>
    <mergeCell ref="A450:A453"/>
    <mergeCell ref="B699:B707"/>
    <mergeCell ref="C699:C707"/>
    <mergeCell ref="D706:D707"/>
    <mergeCell ref="A1092:A1094"/>
    <mergeCell ref="K1015:K1016"/>
    <mergeCell ref="G992:G993"/>
    <mergeCell ref="H992:H993"/>
    <mergeCell ref="L1445:L1446"/>
    <mergeCell ref="K1358:K1359"/>
    <mergeCell ref="G699:J700"/>
    <mergeCell ref="C409:C413"/>
    <mergeCell ref="B409:B413"/>
    <mergeCell ref="A409:A413"/>
    <mergeCell ref="G409:J410"/>
    <mergeCell ref="G411:J411"/>
    <mergeCell ref="L650:L651"/>
    <mergeCell ref="A683:A684"/>
    <mergeCell ref="B683:B684"/>
    <mergeCell ref="C683:C684"/>
    <mergeCell ref="D683:D684"/>
    <mergeCell ref="E683:E684"/>
    <mergeCell ref="F683:F684"/>
    <mergeCell ref="J683:J684"/>
    <mergeCell ref="K683:K684"/>
    <mergeCell ref="G801:G803"/>
    <mergeCell ref="H801:H803"/>
    <mergeCell ref="I801:I803"/>
    <mergeCell ref="B672:B676"/>
    <mergeCell ref="A672:A676"/>
    <mergeCell ref="C672:C676"/>
    <mergeCell ref="B1424:B1425"/>
    <mergeCell ref="B1346:B1347"/>
    <mergeCell ref="D1445:D1446"/>
    <mergeCell ref="G1222:J1222"/>
    <mergeCell ref="D1211:D1212"/>
    <mergeCell ref="B1332:B1344"/>
    <mergeCell ref="G1159:G1160"/>
    <mergeCell ref="E706:E707"/>
    <mergeCell ref="H1159:H1160"/>
    <mergeCell ref="K1147:K1149"/>
    <mergeCell ref="L1313:L1314"/>
    <mergeCell ref="G1314:J1314"/>
    <mergeCell ref="G1316:J1316"/>
    <mergeCell ref="G1304:K1304"/>
    <mergeCell ref="G1305:J1305"/>
    <mergeCell ref="K1293:K1296"/>
    <mergeCell ref="L1293:L1296"/>
    <mergeCell ref="G1294:J1294"/>
    <mergeCell ref="D1385:D1386"/>
    <mergeCell ref="E1385:E1386"/>
    <mergeCell ref="C1332:C1345"/>
    <mergeCell ref="D1332:D1333"/>
    <mergeCell ref="E1332:E1333"/>
    <mergeCell ref="F1332:F1333"/>
    <mergeCell ref="G1342:J1342"/>
    <mergeCell ref="G1343:J1343"/>
    <mergeCell ref="D1350:D1352"/>
    <mergeCell ref="E1350:E1352"/>
    <mergeCell ref="F1350:F1352"/>
    <mergeCell ref="G1340:J1340"/>
    <mergeCell ref="G1341:J1341"/>
    <mergeCell ref="G1334:J1334"/>
    <mergeCell ref="G1335:J1335"/>
    <mergeCell ref="K1301:K1303"/>
    <mergeCell ref="K1320:K1323"/>
    <mergeCell ref="K1375:K1376"/>
    <mergeCell ref="L1364:L1365"/>
    <mergeCell ref="G1328:J1328"/>
    <mergeCell ref="G1329:J1329"/>
    <mergeCell ref="D1379:D1380"/>
    <mergeCell ref="K1257:K1258"/>
    <mergeCell ref="A1460:B1460"/>
    <mergeCell ref="G1400:J1400"/>
    <mergeCell ref="G1401:J1402"/>
    <mergeCell ref="A1367:A1369"/>
    <mergeCell ref="B1367:B1369"/>
    <mergeCell ref="C1367:C1369"/>
    <mergeCell ref="D1367:D1369"/>
    <mergeCell ref="E1367:E1369"/>
    <mergeCell ref="F1367:F1369"/>
    <mergeCell ref="G1367:J1367"/>
    <mergeCell ref="G1368:J1368"/>
    <mergeCell ref="G1350:J1350"/>
    <mergeCell ref="B1350:B1352"/>
    <mergeCell ref="C1350:C1352"/>
    <mergeCell ref="F1385:F1386"/>
    <mergeCell ref="G1369:J1369"/>
    <mergeCell ref="G1407:J1407"/>
    <mergeCell ref="G1408:J1408"/>
    <mergeCell ref="A1406:A1408"/>
    <mergeCell ref="B1406:B1408"/>
    <mergeCell ref="C1406:C1408"/>
    <mergeCell ref="D1406:D1408"/>
    <mergeCell ref="E1406:E1408"/>
    <mergeCell ref="F1406:F1408"/>
    <mergeCell ref="G1409:J1409"/>
    <mergeCell ref="G1445:J1445"/>
    <mergeCell ref="G1446:J1446"/>
    <mergeCell ref="E1445:E1446"/>
    <mergeCell ref="F1445:F1446"/>
    <mergeCell ref="C1445:C1446"/>
    <mergeCell ref="G1379:J1379"/>
    <mergeCell ref="A1382:A1384"/>
    <mergeCell ref="A1371:A1372"/>
    <mergeCell ref="B1445:B1446"/>
    <mergeCell ref="A1445:A1446"/>
    <mergeCell ref="A1424:A1425"/>
    <mergeCell ref="A1409:A1414"/>
    <mergeCell ref="K1064:K1065"/>
    <mergeCell ref="G1048:J1048"/>
    <mergeCell ref="B1046:B1048"/>
    <mergeCell ref="D1394:D1396"/>
    <mergeCell ref="E1394:E1396"/>
    <mergeCell ref="A1379:A1380"/>
    <mergeCell ref="B1379:B1380"/>
    <mergeCell ref="C1379:C1380"/>
    <mergeCell ref="G1416:J1416"/>
    <mergeCell ref="G1415:J1415"/>
    <mergeCell ref="G1418:J1418"/>
    <mergeCell ref="G1410:J1410"/>
    <mergeCell ref="G1411:J1411"/>
    <mergeCell ref="G1412:J1412"/>
    <mergeCell ref="G1413:J1413"/>
    <mergeCell ref="G1414:J1414"/>
    <mergeCell ref="D1409:D1414"/>
    <mergeCell ref="E1409:E1414"/>
    <mergeCell ref="F1394:F1396"/>
    <mergeCell ref="G1394:J1394"/>
    <mergeCell ref="A1401:A1403"/>
    <mergeCell ref="B1401:B1403"/>
    <mergeCell ref="C1401:C1403"/>
    <mergeCell ref="F1401:F1403"/>
    <mergeCell ref="G1403:J1403"/>
    <mergeCell ref="B1394:B1396"/>
    <mergeCell ref="G1417:J1417"/>
    <mergeCell ref="G1406:J1406"/>
    <mergeCell ref="L1394:L1396"/>
    <mergeCell ref="G1395:J1395"/>
    <mergeCell ref="G1396:J1396"/>
    <mergeCell ref="A1397:A1399"/>
    <mergeCell ref="B1397:B1399"/>
    <mergeCell ref="C1397:C1399"/>
    <mergeCell ref="D1397:D1399"/>
    <mergeCell ref="E1397:E1399"/>
    <mergeCell ref="F1397:F1399"/>
    <mergeCell ref="G1397:J1397"/>
    <mergeCell ref="C1382:C1384"/>
    <mergeCell ref="G1382:J1383"/>
    <mergeCell ref="G1385:G1386"/>
    <mergeCell ref="H1385:H1386"/>
    <mergeCell ref="F1409:F1414"/>
    <mergeCell ref="C1409:C1414"/>
    <mergeCell ref="B1409:B1414"/>
    <mergeCell ref="K1401:K1402"/>
    <mergeCell ref="D1405:F1405"/>
    <mergeCell ref="K1385:K1386"/>
    <mergeCell ref="L1409:L1414"/>
    <mergeCell ref="D1401:D1403"/>
    <mergeCell ref="E1401:E1403"/>
    <mergeCell ref="B1371:B1372"/>
    <mergeCell ref="C1371:C1372"/>
    <mergeCell ref="D1371:D1372"/>
    <mergeCell ref="E1371:E1372"/>
    <mergeCell ref="F1371:F1372"/>
    <mergeCell ref="A1364:A1365"/>
    <mergeCell ref="B1364:B1365"/>
    <mergeCell ref="C1364:C1365"/>
    <mergeCell ref="D1364:D1365"/>
    <mergeCell ref="E1364:E1365"/>
    <mergeCell ref="F1364:F1365"/>
    <mergeCell ref="G1371:J1371"/>
    <mergeCell ref="A1324:A1325"/>
    <mergeCell ref="B1324:B1325"/>
    <mergeCell ref="G1324:J1324"/>
    <mergeCell ref="B1360:B1361"/>
    <mergeCell ref="C1360:C1361"/>
    <mergeCell ref="D1360:D1361"/>
    <mergeCell ref="E1360:E1361"/>
    <mergeCell ref="A1358:A1359"/>
    <mergeCell ref="B1358:B1359"/>
    <mergeCell ref="C1358:C1359"/>
    <mergeCell ref="D1358:D1359"/>
    <mergeCell ref="E1358:E1359"/>
    <mergeCell ref="F1358:F1359"/>
    <mergeCell ref="J1358:J1359"/>
    <mergeCell ref="A1354:A1356"/>
    <mergeCell ref="G1354:G1356"/>
    <mergeCell ref="G1370:J1370"/>
    <mergeCell ref="C1324:C1325"/>
    <mergeCell ref="A1360:A1361"/>
    <mergeCell ref="D1328:F1328"/>
    <mergeCell ref="G1364:J1364"/>
    <mergeCell ref="C1346:C1347"/>
    <mergeCell ref="G1345:J1345"/>
    <mergeCell ref="G1344:J1344"/>
    <mergeCell ref="A1329:A1330"/>
    <mergeCell ref="A1304:A1311"/>
    <mergeCell ref="D1320:D1323"/>
    <mergeCell ref="E1320:E1323"/>
    <mergeCell ref="F1320:F1323"/>
    <mergeCell ref="A1313:A1315"/>
    <mergeCell ref="B1313:B1315"/>
    <mergeCell ref="C1313:C1315"/>
    <mergeCell ref="D1313:D1315"/>
    <mergeCell ref="E1313:E1315"/>
    <mergeCell ref="F1313:F1315"/>
    <mergeCell ref="B1317:B1319"/>
    <mergeCell ref="D1317:D1319"/>
    <mergeCell ref="A1317:A1319"/>
    <mergeCell ref="F1354:F1356"/>
    <mergeCell ref="G1348:J1348"/>
    <mergeCell ref="E1354:E1356"/>
    <mergeCell ref="G1313:K1313"/>
    <mergeCell ref="A1332:A1345"/>
    <mergeCell ref="K1354:K1356"/>
    <mergeCell ref="G1338:J1338"/>
    <mergeCell ref="G1339:J1339"/>
    <mergeCell ref="G1301:G1303"/>
    <mergeCell ref="H1301:H1303"/>
    <mergeCell ref="I1301:I1303"/>
    <mergeCell ref="J1301:J1303"/>
    <mergeCell ref="A1301:A1303"/>
    <mergeCell ref="B1301:B1303"/>
    <mergeCell ref="C1301:C1303"/>
    <mergeCell ref="D1301:D1303"/>
    <mergeCell ref="E1301:E1303"/>
    <mergeCell ref="F1301:F1303"/>
    <mergeCell ref="G1306:J1306"/>
    <mergeCell ref="G1307:J1307"/>
    <mergeCell ref="G1308:J1308"/>
    <mergeCell ref="G1317:J1318"/>
    <mergeCell ref="E1317:E1319"/>
    <mergeCell ref="F1317:F1319"/>
    <mergeCell ref="B1320:B1323"/>
    <mergeCell ref="C1320:C1323"/>
    <mergeCell ref="C1317:C1319"/>
    <mergeCell ref="A1287:A1289"/>
    <mergeCell ref="B1287:B1289"/>
    <mergeCell ref="C1287:C1289"/>
    <mergeCell ref="D1287:D1289"/>
    <mergeCell ref="E1287:E1289"/>
    <mergeCell ref="F1287:F1289"/>
    <mergeCell ref="G1287:J1287"/>
    <mergeCell ref="L1287:L1288"/>
    <mergeCell ref="G1288:J1288"/>
    <mergeCell ref="A1284:A1285"/>
    <mergeCell ref="B1284:B1285"/>
    <mergeCell ref="C1284:C1285"/>
    <mergeCell ref="D1284:D1285"/>
    <mergeCell ref="E1284:E1285"/>
    <mergeCell ref="F1284:F1285"/>
    <mergeCell ref="G1284:J1284"/>
    <mergeCell ref="G1293:J1293"/>
    <mergeCell ref="A1291:A1292"/>
    <mergeCell ref="B1291:B1292"/>
    <mergeCell ref="C1291:C1292"/>
    <mergeCell ref="D1291:D1292"/>
    <mergeCell ref="E1291:E1292"/>
    <mergeCell ref="F1291:F1292"/>
    <mergeCell ref="A1277:A1279"/>
    <mergeCell ref="B1277:B1279"/>
    <mergeCell ref="C1277:C1278"/>
    <mergeCell ref="D1277:D1278"/>
    <mergeCell ref="E1277:E1278"/>
    <mergeCell ref="F1277:F1278"/>
    <mergeCell ref="G1271:K1271"/>
    <mergeCell ref="A1272:A1274"/>
    <mergeCell ref="B1272:B1274"/>
    <mergeCell ref="C1272:C1274"/>
    <mergeCell ref="G1272:J1272"/>
    <mergeCell ref="K1272:K1274"/>
    <mergeCell ref="D1273:D1274"/>
    <mergeCell ref="E1273:E1274"/>
    <mergeCell ref="F1273:F1274"/>
    <mergeCell ref="G1273:J1273"/>
    <mergeCell ref="J1277:J1278"/>
    <mergeCell ref="K1277:K1278"/>
    <mergeCell ref="B1247:B1248"/>
    <mergeCell ref="L1263:L1265"/>
    <mergeCell ref="A1265:A1266"/>
    <mergeCell ref="B1265:B1266"/>
    <mergeCell ref="C1265:C1266"/>
    <mergeCell ref="D1265:D1266"/>
    <mergeCell ref="E1265:E1266"/>
    <mergeCell ref="F1265:F1266"/>
    <mergeCell ref="G1265:J1265"/>
    <mergeCell ref="F1261:F1262"/>
    <mergeCell ref="G1261:J1261"/>
    <mergeCell ref="A1263:A1264"/>
    <mergeCell ref="B1263:B1264"/>
    <mergeCell ref="C1263:C1264"/>
    <mergeCell ref="D1263:D1264"/>
    <mergeCell ref="E1263:E1264"/>
    <mergeCell ref="F1263:F1264"/>
    <mergeCell ref="G1263:J1263"/>
    <mergeCell ref="A1261:A1262"/>
    <mergeCell ref="B1261:B1262"/>
    <mergeCell ref="C1261:C1262"/>
    <mergeCell ref="D1261:D1262"/>
    <mergeCell ref="E1261:E1262"/>
    <mergeCell ref="J1232:J1234"/>
    <mergeCell ref="A1257:A1258"/>
    <mergeCell ref="B1257:B1258"/>
    <mergeCell ref="C1257:C1258"/>
    <mergeCell ref="D1257:D1258"/>
    <mergeCell ref="E1257:E1258"/>
    <mergeCell ref="F1257:F1258"/>
    <mergeCell ref="G1252:J1252"/>
    <mergeCell ref="G1253:J1253"/>
    <mergeCell ref="D1254:F1254"/>
    <mergeCell ref="A1255:A1256"/>
    <mergeCell ref="B1255:B1256"/>
    <mergeCell ref="C1255:C1256"/>
    <mergeCell ref="D1255:D1256"/>
    <mergeCell ref="E1255:E1256"/>
    <mergeCell ref="F1255:F1256"/>
    <mergeCell ref="G1255:J1255"/>
    <mergeCell ref="D1247:D1248"/>
    <mergeCell ref="E1247:E1248"/>
    <mergeCell ref="F1247:F1248"/>
    <mergeCell ref="G1247:J1247"/>
    <mergeCell ref="A1252:A1254"/>
    <mergeCell ref="B1252:B1254"/>
    <mergeCell ref="C1252:C1254"/>
    <mergeCell ref="D1252:D1253"/>
    <mergeCell ref="E1252:E1253"/>
    <mergeCell ref="F1252:F1253"/>
    <mergeCell ref="G1257:G1258"/>
    <mergeCell ref="H1257:H1258"/>
    <mergeCell ref="I1257:I1258"/>
    <mergeCell ref="J1257:J1258"/>
    <mergeCell ref="A1247:A1248"/>
    <mergeCell ref="L1220:L1221"/>
    <mergeCell ref="A1222:A1223"/>
    <mergeCell ref="B1222:B1223"/>
    <mergeCell ref="C1222:C1223"/>
    <mergeCell ref="D1222:D1223"/>
    <mergeCell ref="E1222:E1223"/>
    <mergeCell ref="F1222:F1223"/>
    <mergeCell ref="K1217:K1219"/>
    <mergeCell ref="A1220:A1221"/>
    <mergeCell ref="B1220:B1221"/>
    <mergeCell ref="C1220:C1221"/>
    <mergeCell ref="D1220:D1221"/>
    <mergeCell ref="E1220:E1221"/>
    <mergeCell ref="A1217:A1219"/>
    <mergeCell ref="B1217:B1219"/>
    <mergeCell ref="C1217:C1219"/>
    <mergeCell ref="D1217:D1218"/>
    <mergeCell ref="E1217:E1218"/>
    <mergeCell ref="F1217:F1218"/>
    <mergeCell ref="H1217:H1219"/>
    <mergeCell ref="K1220:K1221"/>
    <mergeCell ref="K1182:K1183"/>
    <mergeCell ref="F1211:F1212"/>
    <mergeCell ref="A1211:A1212"/>
    <mergeCell ref="B1211:B1212"/>
    <mergeCell ref="I1217:I1219"/>
    <mergeCell ref="J1217:J1219"/>
    <mergeCell ref="G1217:G1219"/>
    <mergeCell ref="F1204:F1205"/>
    <mergeCell ref="G1204:J1204"/>
    <mergeCell ref="A1206:A1207"/>
    <mergeCell ref="B1206:B1207"/>
    <mergeCell ref="C1206:C1207"/>
    <mergeCell ref="I1186:I1188"/>
    <mergeCell ref="J1186:J1188"/>
    <mergeCell ref="D1182:F1183"/>
    <mergeCell ref="C1181:C1183"/>
    <mergeCell ref="B1181:B1183"/>
    <mergeCell ref="A1181:A1183"/>
    <mergeCell ref="A1199:A1205"/>
    <mergeCell ref="B1199:B1205"/>
    <mergeCell ref="C1199:C1205"/>
    <mergeCell ref="D1199:D1200"/>
    <mergeCell ref="E1199:E1200"/>
    <mergeCell ref="J1182:J1183"/>
    <mergeCell ref="E1211:E1212"/>
    <mergeCell ref="G1202:J1202"/>
    <mergeCell ref="K1186:K1188"/>
    <mergeCell ref="K1150:K1153"/>
    <mergeCell ref="D1151:D1152"/>
    <mergeCell ref="E1151:E1152"/>
    <mergeCell ref="F1151:F1152"/>
    <mergeCell ref="A1154:A1156"/>
    <mergeCell ref="B1154:B1156"/>
    <mergeCell ref="C1154:C1156"/>
    <mergeCell ref="G1154:J1155"/>
    <mergeCell ref="A1150:A1153"/>
    <mergeCell ref="B1150:B1153"/>
    <mergeCell ref="C1150:C1153"/>
    <mergeCell ref="I1152:I1153"/>
    <mergeCell ref="F1174:F1175"/>
    <mergeCell ref="A1186:A1188"/>
    <mergeCell ref="B1186:B1188"/>
    <mergeCell ref="C1186:C1188"/>
    <mergeCell ref="G1186:G1188"/>
    <mergeCell ref="H1186:H1188"/>
    <mergeCell ref="G1166:G1167"/>
    <mergeCell ref="H1166:H1167"/>
    <mergeCell ref="I1166:I1167"/>
    <mergeCell ref="J1166:J1167"/>
    <mergeCell ref="K1166:K1167"/>
    <mergeCell ref="A1174:A1175"/>
    <mergeCell ref="B1174:B1175"/>
    <mergeCell ref="C1174:C1175"/>
    <mergeCell ref="D1174:D1175"/>
    <mergeCell ref="E1174:E1175"/>
    <mergeCell ref="K1159:K1160"/>
    <mergeCell ref="A1161:A1162"/>
    <mergeCell ref="E1166:E1167"/>
    <mergeCell ref="F1166:F1167"/>
    <mergeCell ref="K1078:K1079"/>
    <mergeCell ref="L1078:L1079"/>
    <mergeCell ref="L1112:O1112"/>
    <mergeCell ref="L1113:O1113"/>
    <mergeCell ref="A1117:A1123"/>
    <mergeCell ref="B1117:B1123"/>
    <mergeCell ref="C1117:C1123"/>
    <mergeCell ref="D1117:D1118"/>
    <mergeCell ref="E1117:E1118"/>
    <mergeCell ref="F1117:F1118"/>
    <mergeCell ref="G1117:J1119"/>
    <mergeCell ref="G1120:J1120"/>
    <mergeCell ref="J1097:J1099"/>
    <mergeCell ref="K1097:K1099"/>
    <mergeCell ref="A1104:A1105"/>
    <mergeCell ref="B1104:B1105"/>
    <mergeCell ref="C1104:C1105"/>
    <mergeCell ref="G1104:G1105"/>
    <mergeCell ref="H1104:H1105"/>
    <mergeCell ref="I1104:I1105"/>
    <mergeCell ref="J1104:J1105"/>
    <mergeCell ref="K1104:K1105"/>
    <mergeCell ref="G1097:G1099"/>
    <mergeCell ref="H1097:H1099"/>
    <mergeCell ref="C1092:C1094"/>
    <mergeCell ref="D1092:F1094"/>
    <mergeCell ref="J1092:J1094"/>
    <mergeCell ref="G1078:G1079"/>
    <mergeCell ref="H1078:H1079"/>
    <mergeCell ref="I1078:I1079"/>
    <mergeCell ref="J1078:J1079"/>
    <mergeCell ref="B1092:B1094"/>
    <mergeCell ref="G1076:G1077"/>
    <mergeCell ref="H1076:H1077"/>
    <mergeCell ref="K1092:K1094"/>
    <mergeCell ref="K1055:K1059"/>
    <mergeCell ref="A1055:A1059"/>
    <mergeCell ref="B1055:B1059"/>
    <mergeCell ref="C1055:C1059"/>
    <mergeCell ref="D1055:D1056"/>
    <mergeCell ref="E1055:E1056"/>
    <mergeCell ref="F1055:F1056"/>
    <mergeCell ref="G1055:G1057"/>
    <mergeCell ref="J1083:J1084"/>
    <mergeCell ref="K1083:K1084"/>
    <mergeCell ref="D1088:F1088"/>
    <mergeCell ref="A1095:A1096"/>
    <mergeCell ref="B1095:B1096"/>
    <mergeCell ref="C1095:C1096"/>
    <mergeCell ref="A1083:A1084"/>
    <mergeCell ref="B1083:B1084"/>
    <mergeCell ref="C1083:C1084"/>
    <mergeCell ref="G1083:G1084"/>
    <mergeCell ref="H1083:H1084"/>
    <mergeCell ref="I1083:I1084"/>
    <mergeCell ref="I1076:I1077"/>
    <mergeCell ref="J1076:J1077"/>
    <mergeCell ref="K1076:K1077"/>
    <mergeCell ref="A1068:A1070"/>
    <mergeCell ref="B1068:B1070"/>
    <mergeCell ref="C1068:C1070"/>
    <mergeCell ref="A1076:A1079"/>
    <mergeCell ref="B1076:B1079"/>
    <mergeCell ref="C1076:C1079"/>
    <mergeCell ref="H1055:H1057"/>
    <mergeCell ref="I1055:I1057"/>
    <mergeCell ref="J1055:J1059"/>
    <mergeCell ref="A1046:A1048"/>
    <mergeCell ref="E1046:E1048"/>
    <mergeCell ref="F1046:F1048"/>
    <mergeCell ref="G1042:J1043"/>
    <mergeCell ref="H1040:H1041"/>
    <mergeCell ref="I1040:I1041"/>
    <mergeCell ref="J1040:J1041"/>
    <mergeCell ref="G1046:J1046"/>
    <mergeCell ref="G1047:J1047"/>
    <mergeCell ref="B1020:B1022"/>
    <mergeCell ref="C1020:C1022"/>
    <mergeCell ref="D1020:F1021"/>
    <mergeCell ref="J1020:J1021"/>
    <mergeCell ref="C1040:C1041"/>
    <mergeCell ref="A1042:A1045"/>
    <mergeCell ref="B1042:B1045"/>
    <mergeCell ref="C1042:C1045"/>
    <mergeCell ref="C1046:C1048"/>
    <mergeCell ref="D1046:D1048"/>
    <mergeCell ref="C1035:C1039"/>
    <mergeCell ref="D1035:D1039"/>
    <mergeCell ref="E1035:E1039"/>
    <mergeCell ref="F1035:F1039"/>
    <mergeCell ref="J1035:J1039"/>
    <mergeCell ref="K1040:K1041"/>
    <mergeCell ref="G1001:J1001"/>
    <mergeCell ref="L1001:L1006"/>
    <mergeCell ref="G1002:J1002"/>
    <mergeCell ref="G1003:J1003"/>
    <mergeCell ref="G1004:J1004"/>
    <mergeCell ref="G1005:J1005"/>
    <mergeCell ref="G1006:J1006"/>
    <mergeCell ref="D1009:D1010"/>
    <mergeCell ref="E1009:E1010"/>
    <mergeCell ref="F1009:F1010"/>
    <mergeCell ref="J1033:J1034"/>
    <mergeCell ref="C1033:C1034"/>
    <mergeCell ref="D1033:D1034"/>
    <mergeCell ref="E1033:E1034"/>
    <mergeCell ref="F1033:F1034"/>
    <mergeCell ref="A1020:A1022"/>
    <mergeCell ref="A1009:A1012"/>
    <mergeCell ref="B1009:B1012"/>
    <mergeCell ref="C1009:C1012"/>
    <mergeCell ref="K1033:K1034"/>
    <mergeCell ref="A1001:A1007"/>
    <mergeCell ref="B1001:B1007"/>
    <mergeCell ref="E1001:E1007"/>
    <mergeCell ref="F1001:F1007"/>
    <mergeCell ref="K1035:K1039"/>
    <mergeCell ref="A1015:A1016"/>
    <mergeCell ref="B1015:B1016"/>
    <mergeCell ref="C1015:C1016"/>
    <mergeCell ref="G1015:G1016"/>
    <mergeCell ref="H1015:H1016"/>
    <mergeCell ref="I1015:I1016"/>
    <mergeCell ref="D992:D993"/>
    <mergeCell ref="E992:E993"/>
    <mergeCell ref="F992:F993"/>
    <mergeCell ref="C1001:C1007"/>
    <mergeCell ref="D1001:D1007"/>
    <mergeCell ref="K979:K980"/>
    <mergeCell ref="G982:J982"/>
    <mergeCell ref="G986:G987"/>
    <mergeCell ref="H986:H987"/>
    <mergeCell ref="I986:I987"/>
    <mergeCell ref="J986:J987"/>
    <mergeCell ref="K986:K987"/>
    <mergeCell ref="A978:A981"/>
    <mergeCell ref="B978:B981"/>
    <mergeCell ref="C979:C981"/>
    <mergeCell ref="D979:D981"/>
    <mergeCell ref="E979:E981"/>
    <mergeCell ref="F979:F981"/>
    <mergeCell ref="G979:J980"/>
    <mergeCell ref="I994:I1000"/>
    <mergeCell ref="J994:J1000"/>
    <mergeCell ref="K994:K1000"/>
    <mergeCell ref="D997:D1000"/>
    <mergeCell ref="E997:E1000"/>
    <mergeCell ref="F997:F1000"/>
    <mergeCell ref="K992:K993"/>
    <mergeCell ref="A994:A1000"/>
    <mergeCell ref="B994:B1000"/>
    <mergeCell ref="C994:C1000"/>
    <mergeCell ref="G994:G1000"/>
    <mergeCell ref="H994:H1000"/>
    <mergeCell ref="A992:A993"/>
    <mergeCell ref="A976:A977"/>
    <mergeCell ref="B976:B977"/>
    <mergeCell ref="C976:C977"/>
    <mergeCell ref="G976:G977"/>
    <mergeCell ref="H976:H977"/>
    <mergeCell ref="J962:J963"/>
    <mergeCell ref="K962:K963"/>
    <mergeCell ref="A969:A971"/>
    <mergeCell ref="B969:B971"/>
    <mergeCell ref="C969:C971"/>
    <mergeCell ref="A974:A975"/>
    <mergeCell ref="B974:B975"/>
    <mergeCell ref="C974:C975"/>
    <mergeCell ref="D974:D975"/>
    <mergeCell ref="E974:E975"/>
    <mergeCell ref="A962:A963"/>
    <mergeCell ref="B962:B963"/>
    <mergeCell ref="C962:C963"/>
    <mergeCell ref="D962:D963"/>
    <mergeCell ref="E962:E963"/>
    <mergeCell ref="F962:F963"/>
    <mergeCell ref="B992:B993"/>
    <mergeCell ref="C992:C993"/>
    <mergeCell ref="L938:L939"/>
    <mergeCell ref="D940:E940"/>
    <mergeCell ref="G940:J940"/>
    <mergeCell ref="G941:J941"/>
    <mergeCell ref="K941:K944"/>
    <mergeCell ref="D942:E944"/>
    <mergeCell ref="F942:F944"/>
    <mergeCell ref="G942:J942"/>
    <mergeCell ref="I976:I977"/>
    <mergeCell ref="J976:J977"/>
    <mergeCell ref="K976:K977"/>
    <mergeCell ref="D932:E932"/>
    <mergeCell ref="D933:E933"/>
    <mergeCell ref="D934:E934"/>
    <mergeCell ref="D935:E935"/>
    <mergeCell ref="D936:E936"/>
    <mergeCell ref="G937:J937"/>
    <mergeCell ref="G947:J947"/>
    <mergeCell ref="G948:J948"/>
    <mergeCell ref="F974:F975"/>
    <mergeCell ref="G969:G971"/>
    <mergeCell ref="H969:H971"/>
    <mergeCell ref="I969:I971"/>
    <mergeCell ref="J969:J971"/>
    <mergeCell ref="K969:K971"/>
    <mergeCell ref="J949:J950"/>
    <mergeCell ref="K947:K950"/>
    <mergeCell ref="D952:E952"/>
    <mergeCell ref="D953:E953"/>
    <mergeCell ref="K952:K953"/>
    <mergeCell ref="G925:J927"/>
    <mergeCell ref="K925:K927"/>
    <mergeCell ref="G928:J930"/>
    <mergeCell ref="K928:K930"/>
    <mergeCell ref="D931:E931"/>
    <mergeCell ref="G931:J936"/>
    <mergeCell ref="K931:K936"/>
    <mergeCell ref="A921:A923"/>
    <mergeCell ref="B921:B923"/>
    <mergeCell ref="C921:C923"/>
    <mergeCell ref="D921:D922"/>
    <mergeCell ref="E921:E922"/>
    <mergeCell ref="F921:F922"/>
    <mergeCell ref="G944:J944"/>
    <mergeCell ref="G945:J945"/>
    <mergeCell ref="D946:E946"/>
    <mergeCell ref="G946:J946"/>
    <mergeCell ref="D938:E938"/>
    <mergeCell ref="K938:K939"/>
    <mergeCell ref="K920:K923"/>
    <mergeCell ref="C925:C954"/>
    <mergeCell ref="B925:B954"/>
    <mergeCell ref="H920:H923"/>
    <mergeCell ref="I920:I923"/>
    <mergeCell ref="J920:J923"/>
    <mergeCell ref="A925:A954"/>
    <mergeCell ref="J952:J953"/>
    <mergeCell ref="G921:G923"/>
    <mergeCell ref="A918:A919"/>
    <mergeCell ref="B918:B919"/>
    <mergeCell ref="C918:C919"/>
    <mergeCell ref="L901:L902"/>
    <mergeCell ref="A903:A904"/>
    <mergeCell ref="B903:B904"/>
    <mergeCell ref="C903:C904"/>
    <mergeCell ref="G903:G904"/>
    <mergeCell ref="H903:H904"/>
    <mergeCell ref="I903:I904"/>
    <mergeCell ref="J903:J904"/>
    <mergeCell ref="K903:K904"/>
    <mergeCell ref="J895:J896"/>
    <mergeCell ref="K895:K896"/>
    <mergeCell ref="A897:A902"/>
    <mergeCell ref="B897:B902"/>
    <mergeCell ref="C897:C902"/>
    <mergeCell ref="A895:A896"/>
    <mergeCell ref="B895:B896"/>
    <mergeCell ref="C895:C896"/>
    <mergeCell ref="G895:G896"/>
    <mergeCell ref="H895:H896"/>
    <mergeCell ref="I895:I896"/>
    <mergeCell ref="G906:J906"/>
    <mergeCell ref="G908:J908"/>
    <mergeCell ref="G909:J909"/>
    <mergeCell ref="G910:J910"/>
    <mergeCell ref="K897:K902"/>
    <mergeCell ref="J897:J902"/>
    <mergeCell ref="G911:J911"/>
    <mergeCell ref="C905:C913"/>
    <mergeCell ref="J891:J892"/>
    <mergeCell ref="K891:K892"/>
    <mergeCell ref="A893:A894"/>
    <mergeCell ref="B893:B894"/>
    <mergeCell ref="C893:C894"/>
    <mergeCell ref="G893:G894"/>
    <mergeCell ref="H893:H894"/>
    <mergeCell ref="I893:I894"/>
    <mergeCell ref="J893:J894"/>
    <mergeCell ref="K893:K894"/>
    <mergeCell ref="A891:A892"/>
    <mergeCell ref="B891:B892"/>
    <mergeCell ref="C891:C892"/>
    <mergeCell ref="G891:G892"/>
    <mergeCell ref="H891:H892"/>
    <mergeCell ref="I891:I892"/>
    <mergeCell ref="A889:A890"/>
    <mergeCell ref="B889:B890"/>
    <mergeCell ref="K879:K880"/>
    <mergeCell ref="A885:A888"/>
    <mergeCell ref="B885:B888"/>
    <mergeCell ref="C885:C888"/>
    <mergeCell ref="G885:J886"/>
    <mergeCell ref="G887:J887"/>
    <mergeCell ref="J877:J878"/>
    <mergeCell ref="K877:K878"/>
    <mergeCell ref="A879:A880"/>
    <mergeCell ref="B879:B880"/>
    <mergeCell ref="C879:C880"/>
    <mergeCell ref="D879:D880"/>
    <mergeCell ref="E879:E880"/>
    <mergeCell ref="F879:F880"/>
    <mergeCell ref="J879:J880"/>
    <mergeCell ref="E873:E874"/>
    <mergeCell ref="F873:F874"/>
    <mergeCell ref="K873:K874"/>
    <mergeCell ref="G879:G880"/>
    <mergeCell ref="H879:H880"/>
    <mergeCell ref="I879:I880"/>
    <mergeCell ref="L873:L874"/>
    <mergeCell ref="A877:A878"/>
    <mergeCell ref="B877:B878"/>
    <mergeCell ref="C877:C878"/>
    <mergeCell ref="A867:A874"/>
    <mergeCell ref="C867:C871"/>
    <mergeCell ref="B873:B874"/>
    <mergeCell ref="C873:C874"/>
    <mergeCell ref="D873:D874"/>
    <mergeCell ref="G873:G874"/>
    <mergeCell ref="H873:H874"/>
    <mergeCell ref="I873:I874"/>
    <mergeCell ref="J873:J874"/>
    <mergeCell ref="G867:G872"/>
    <mergeCell ref="H867:H872"/>
    <mergeCell ref="I867:I872"/>
    <mergeCell ref="J867:J872"/>
    <mergeCell ref="K844:K846"/>
    <mergeCell ref="A852:A857"/>
    <mergeCell ref="B852:B857"/>
    <mergeCell ref="C852:C857"/>
    <mergeCell ref="D853:F857"/>
    <mergeCell ref="J853:J857"/>
    <mergeCell ref="K853:K857"/>
    <mergeCell ref="G826:J826"/>
    <mergeCell ref="G827:J827"/>
    <mergeCell ref="G844:G846"/>
    <mergeCell ref="H844:H846"/>
    <mergeCell ref="I844:I846"/>
    <mergeCell ref="J844:J846"/>
    <mergeCell ref="A825:A835"/>
    <mergeCell ref="B825:B835"/>
    <mergeCell ref="C825:C835"/>
    <mergeCell ref="D833:D835"/>
    <mergeCell ref="E833:E835"/>
    <mergeCell ref="F833:F835"/>
    <mergeCell ref="J833:J835"/>
    <mergeCell ref="K833:K835"/>
    <mergeCell ref="D828:F832"/>
    <mergeCell ref="G828:J828"/>
    <mergeCell ref="G829:J829"/>
    <mergeCell ref="G830:J830"/>
    <mergeCell ref="G831:J831"/>
    <mergeCell ref="G832:J832"/>
    <mergeCell ref="A844:A851"/>
    <mergeCell ref="B844:B851"/>
    <mergeCell ref="C844:C851"/>
    <mergeCell ref="D850:D851"/>
    <mergeCell ref="E850:E851"/>
    <mergeCell ref="J804:J807"/>
    <mergeCell ref="K804:K807"/>
    <mergeCell ref="G819:G820"/>
    <mergeCell ref="H819:H820"/>
    <mergeCell ref="I819:I820"/>
    <mergeCell ref="J819:J820"/>
    <mergeCell ref="K819:K820"/>
    <mergeCell ref="A804:A807"/>
    <mergeCell ref="B804:B807"/>
    <mergeCell ref="C804:C807"/>
    <mergeCell ref="G804:G807"/>
    <mergeCell ref="H804:H807"/>
    <mergeCell ref="I804:I807"/>
    <mergeCell ref="J797:J798"/>
    <mergeCell ref="K797:K798"/>
    <mergeCell ref="A801:A803"/>
    <mergeCell ref="B801:B803"/>
    <mergeCell ref="C801:C803"/>
    <mergeCell ref="D801:D803"/>
    <mergeCell ref="E801:E803"/>
    <mergeCell ref="F801:F803"/>
    <mergeCell ref="J801:J803"/>
    <mergeCell ref="K801:K803"/>
    <mergeCell ref="A797:A798"/>
    <mergeCell ref="B797:B798"/>
    <mergeCell ref="C797:C798"/>
    <mergeCell ref="G797:G798"/>
    <mergeCell ref="H797:H798"/>
    <mergeCell ref="I797:I798"/>
    <mergeCell ref="C819:C823"/>
    <mergeCell ref="D821:D823"/>
    <mergeCell ref="D817:F817"/>
    <mergeCell ref="A753:A755"/>
    <mergeCell ref="B753:B755"/>
    <mergeCell ref="C753:C755"/>
    <mergeCell ref="D753:D755"/>
    <mergeCell ref="A794:A795"/>
    <mergeCell ref="B794:B795"/>
    <mergeCell ref="C794:C795"/>
    <mergeCell ref="J781:J783"/>
    <mergeCell ref="K781:K783"/>
    <mergeCell ref="L781:L782"/>
    <mergeCell ref="A784:A789"/>
    <mergeCell ref="B784:B789"/>
    <mergeCell ref="C784:C789"/>
    <mergeCell ref="D784:D789"/>
    <mergeCell ref="E784:E789"/>
    <mergeCell ref="F784:F789"/>
    <mergeCell ref="H784:I784"/>
    <mergeCell ref="A781:A783"/>
    <mergeCell ref="B781:B783"/>
    <mergeCell ref="C781:C783"/>
    <mergeCell ref="G781:G783"/>
    <mergeCell ref="H781:H783"/>
    <mergeCell ref="I781:I783"/>
    <mergeCell ref="K792:K793"/>
    <mergeCell ref="A792:A793"/>
    <mergeCell ref="B792:B793"/>
    <mergeCell ref="C792:C793"/>
    <mergeCell ref="G792:G793"/>
    <mergeCell ref="H792:H793"/>
    <mergeCell ref="I792:I793"/>
    <mergeCell ref="J792:J793"/>
    <mergeCell ref="A768:A769"/>
    <mergeCell ref="B768:B769"/>
    <mergeCell ref="A774:A777"/>
    <mergeCell ref="B774:B777"/>
    <mergeCell ref="C774:C777"/>
    <mergeCell ref="G774:G775"/>
    <mergeCell ref="H774:H775"/>
    <mergeCell ref="J784:J789"/>
    <mergeCell ref="K784:K789"/>
    <mergeCell ref="A772:A773"/>
    <mergeCell ref="B772:B773"/>
    <mergeCell ref="C772:C773"/>
    <mergeCell ref="G772:G773"/>
    <mergeCell ref="K772:K773"/>
    <mergeCell ref="J772:J773"/>
    <mergeCell ref="I772:I773"/>
    <mergeCell ref="H772:H773"/>
    <mergeCell ref="K774:K775"/>
    <mergeCell ref="C770:C771"/>
    <mergeCell ref="G771:J771"/>
    <mergeCell ref="B770:B771"/>
    <mergeCell ref="J774:J775"/>
    <mergeCell ref="G787:I787"/>
    <mergeCell ref="G736:K736"/>
    <mergeCell ref="G737:K737"/>
    <mergeCell ref="G738:K738"/>
    <mergeCell ref="G739:K739"/>
    <mergeCell ref="G728:K728"/>
    <mergeCell ref="G729:K729"/>
    <mergeCell ref="G730:K730"/>
    <mergeCell ref="G731:K731"/>
    <mergeCell ref="D732:E734"/>
    <mergeCell ref="F732:F734"/>
    <mergeCell ref="G732:K732"/>
    <mergeCell ref="H733:H734"/>
    <mergeCell ref="I733:I734"/>
    <mergeCell ref="J733:J734"/>
    <mergeCell ref="D776:F777"/>
    <mergeCell ref="J776:J777"/>
    <mergeCell ref="K776:K777"/>
    <mergeCell ref="G753:J753"/>
    <mergeCell ref="E761:F761"/>
    <mergeCell ref="G763:J765"/>
    <mergeCell ref="K733:K734"/>
    <mergeCell ref="G735:K735"/>
    <mergeCell ref="I696:I697"/>
    <mergeCell ref="J696:J697"/>
    <mergeCell ref="K696:K697"/>
    <mergeCell ref="L696:L697"/>
    <mergeCell ref="K672:K673"/>
    <mergeCell ref="A696:A697"/>
    <mergeCell ref="B696:B697"/>
    <mergeCell ref="C696:C697"/>
    <mergeCell ref="G696:G697"/>
    <mergeCell ref="H696:H697"/>
    <mergeCell ref="K708:K710"/>
    <mergeCell ref="I708:I710"/>
    <mergeCell ref="J708:J710"/>
    <mergeCell ref="C685:C688"/>
    <mergeCell ref="D685:D686"/>
    <mergeCell ref="E685:E686"/>
    <mergeCell ref="F685:F686"/>
    <mergeCell ref="D687:F688"/>
    <mergeCell ref="J687:J688"/>
    <mergeCell ref="G706:G707"/>
    <mergeCell ref="H706:H707"/>
    <mergeCell ref="I706:I707"/>
    <mergeCell ref="J706:J707"/>
    <mergeCell ref="K706:K707"/>
    <mergeCell ref="G691:J692"/>
    <mergeCell ref="F706:F707"/>
    <mergeCell ref="G674:J674"/>
    <mergeCell ref="G675:J675"/>
    <mergeCell ref="I669:I670"/>
    <mergeCell ref="J669:J670"/>
    <mergeCell ref="K669:K670"/>
    <mergeCell ref="G672:G673"/>
    <mergeCell ref="H672:H673"/>
    <mergeCell ref="I672:I673"/>
    <mergeCell ref="J672:J673"/>
    <mergeCell ref="D668:E668"/>
    <mergeCell ref="G669:G670"/>
    <mergeCell ref="H669:H670"/>
    <mergeCell ref="J662:J663"/>
    <mergeCell ref="K662:K663"/>
    <mergeCell ref="A666:A668"/>
    <mergeCell ref="B666:B668"/>
    <mergeCell ref="C666:C668"/>
    <mergeCell ref="G666:G668"/>
    <mergeCell ref="H666:H668"/>
    <mergeCell ref="I666:I668"/>
    <mergeCell ref="J666:J668"/>
    <mergeCell ref="K666:K668"/>
    <mergeCell ref="A662:A663"/>
    <mergeCell ref="B662:B663"/>
    <mergeCell ref="C662:C663"/>
    <mergeCell ref="G662:G663"/>
    <mergeCell ref="H662:H663"/>
    <mergeCell ref="I662:I663"/>
    <mergeCell ref="J658:J659"/>
    <mergeCell ref="K658:K659"/>
    <mergeCell ref="A658:A659"/>
    <mergeCell ref="B658:B659"/>
    <mergeCell ref="C658:C659"/>
    <mergeCell ref="G658:G659"/>
    <mergeCell ref="H658:H659"/>
    <mergeCell ref="I658:I659"/>
    <mergeCell ref="K610:K614"/>
    <mergeCell ref="D640:F640"/>
    <mergeCell ref="G640:J640"/>
    <mergeCell ref="G641:J641"/>
    <mergeCell ref="G642:J642"/>
    <mergeCell ref="A646:A652"/>
    <mergeCell ref="B646:B652"/>
    <mergeCell ref="C646:C652"/>
    <mergeCell ref="D646:D647"/>
    <mergeCell ref="E646:E647"/>
    <mergeCell ref="G635:J635"/>
    <mergeCell ref="G636:J636"/>
    <mergeCell ref="G637:J637"/>
    <mergeCell ref="F646:F647"/>
    <mergeCell ref="G634:J634"/>
    <mergeCell ref="G638:J638"/>
    <mergeCell ref="G639:J639"/>
    <mergeCell ref="H616:H621"/>
    <mergeCell ref="I616:I621"/>
    <mergeCell ref="J616:J621"/>
    <mergeCell ref="K616:K621"/>
    <mergeCell ref="A616:A621"/>
    <mergeCell ref="B616:B621"/>
    <mergeCell ref="C616:C621"/>
    <mergeCell ref="K606:K609"/>
    <mergeCell ref="A610:A614"/>
    <mergeCell ref="B610:B614"/>
    <mergeCell ref="C610:C614"/>
    <mergeCell ref="G610:G614"/>
    <mergeCell ref="H610:H614"/>
    <mergeCell ref="I610:I614"/>
    <mergeCell ref="J610:J614"/>
    <mergeCell ref="B627:B645"/>
    <mergeCell ref="D629:D633"/>
    <mergeCell ref="D611:D613"/>
    <mergeCell ref="E611:E613"/>
    <mergeCell ref="F611:F613"/>
    <mergeCell ref="E629:E633"/>
    <mergeCell ref="F629:F633"/>
    <mergeCell ref="G629:J629"/>
    <mergeCell ref="G630:J630"/>
    <mergeCell ref="G631:J631"/>
    <mergeCell ref="G632:J632"/>
    <mergeCell ref="G633:J633"/>
    <mergeCell ref="A606:A609"/>
    <mergeCell ref="B606:B609"/>
    <mergeCell ref="C606:C609"/>
    <mergeCell ref="G606:G609"/>
    <mergeCell ref="H606:H609"/>
    <mergeCell ref="I606:I609"/>
    <mergeCell ref="G628:J628"/>
    <mergeCell ref="J606:J609"/>
    <mergeCell ref="B580:B591"/>
    <mergeCell ref="H587:H591"/>
    <mergeCell ref="I587:I591"/>
    <mergeCell ref="J587:J591"/>
    <mergeCell ref="B602:B603"/>
    <mergeCell ref="L536:L537"/>
    <mergeCell ref="A543:A545"/>
    <mergeCell ref="B543:B545"/>
    <mergeCell ref="C543:C545"/>
    <mergeCell ref="A546:A547"/>
    <mergeCell ref="B546:B547"/>
    <mergeCell ref="C546:C547"/>
    <mergeCell ref="D546:D547"/>
    <mergeCell ref="E546:E547"/>
    <mergeCell ref="L564:L566"/>
    <mergeCell ref="L567:L569"/>
    <mergeCell ref="K564:K566"/>
    <mergeCell ref="K567:K569"/>
    <mergeCell ref="K561:K563"/>
    <mergeCell ref="D562:E562"/>
    <mergeCell ref="D563:E563"/>
    <mergeCell ref="K551:K554"/>
    <mergeCell ref="L552:L553"/>
    <mergeCell ref="H536:H537"/>
    <mergeCell ref="I536:I537"/>
    <mergeCell ref="J536:J537"/>
    <mergeCell ref="K536:K537"/>
    <mergeCell ref="L561:L563"/>
    <mergeCell ref="G561:J563"/>
    <mergeCell ref="A557:A563"/>
    <mergeCell ref="B557:B563"/>
    <mergeCell ref="C557:C563"/>
    <mergeCell ref="G557:J560"/>
    <mergeCell ref="K557:K560"/>
    <mergeCell ref="A564:A569"/>
    <mergeCell ref="F546:F547"/>
    <mergeCell ref="G546:G547"/>
    <mergeCell ref="A580:A591"/>
    <mergeCell ref="C580:C591"/>
    <mergeCell ref="A527:A529"/>
    <mergeCell ref="B527:B529"/>
    <mergeCell ref="C527:C529"/>
    <mergeCell ref="D528:D529"/>
    <mergeCell ref="E528:E529"/>
    <mergeCell ref="F528:F529"/>
    <mergeCell ref="G528:G529"/>
    <mergeCell ref="H528:H529"/>
    <mergeCell ref="I528:I529"/>
    <mergeCell ref="J527:J529"/>
    <mergeCell ref="K527:K529"/>
    <mergeCell ref="A533:A534"/>
    <mergeCell ref="D560:E560"/>
    <mergeCell ref="G551:G554"/>
    <mergeCell ref="H551:H554"/>
    <mergeCell ref="I551:I554"/>
    <mergeCell ref="D566:E566"/>
    <mergeCell ref="G564:J566"/>
    <mergeCell ref="G567:J569"/>
    <mergeCell ref="C564:C569"/>
    <mergeCell ref="B564:B569"/>
    <mergeCell ref="D568:F568"/>
    <mergeCell ref="D555:F555"/>
    <mergeCell ref="B533:B534"/>
    <mergeCell ref="C533:C534"/>
    <mergeCell ref="G533:G534"/>
    <mergeCell ref="H533:H534"/>
    <mergeCell ref="I533:I534"/>
    <mergeCell ref="J533:J534"/>
    <mergeCell ref="A530:A532"/>
    <mergeCell ref="B530:B532"/>
    <mergeCell ref="C530:C532"/>
    <mergeCell ref="G530:G532"/>
    <mergeCell ref="H530:H532"/>
    <mergeCell ref="H546:H547"/>
    <mergeCell ref="I546:I547"/>
    <mergeCell ref="J546:J547"/>
    <mergeCell ref="J551:J554"/>
    <mergeCell ref="B551:B556"/>
    <mergeCell ref="A551:A556"/>
    <mergeCell ref="C551:C556"/>
    <mergeCell ref="K546:K547"/>
    <mergeCell ref="A538:A539"/>
    <mergeCell ref="C538:C539"/>
    <mergeCell ref="G539:J539"/>
    <mergeCell ref="K533:K534"/>
    <mergeCell ref="G536:G537"/>
    <mergeCell ref="G543:G545"/>
    <mergeCell ref="H543:H545"/>
    <mergeCell ref="I543:I545"/>
    <mergeCell ref="J543:J545"/>
    <mergeCell ref="K543:K545"/>
    <mergeCell ref="K518:K520"/>
    <mergeCell ref="A522:A523"/>
    <mergeCell ref="B522:B523"/>
    <mergeCell ref="C522:C523"/>
    <mergeCell ref="A518:A520"/>
    <mergeCell ref="B518:B520"/>
    <mergeCell ref="C518:C520"/>
    <mergeCell ref="G518:G520"/>
    <mergeCell ref="H518:H520"/>
    <mergeCell ref="I518:I520"/>
    <mergeCell ref="K530:K532"/>
    <mergeCell ref="I530:I532"/>
    <mergeCell ref="J530:J532"/>
    <mergeCell ref="J518:J520"/>
    <mergeCell ref="D522:D523"/>
    <mergeCell ref="E522:E523"/>
    <mergeCell ref="F522:F523"/>
    <mergeCell ref="G522:G523"/>
    <mergeCell ref="H522:H523"/>
    <mergeCell ref="I522:I523"/>
    <mergeCell ref="J522:J523"/>
    <mergeCell ref="A496:A501"/>
    <mergeCell ref="B496:B501"/>
    <mergeCell ref="C496:C501"/>
    <mergeCell ref="G499:G500"/>
    <mergeCell ref="I499:I500"/>
    <mergeCell ref="H499:H500"/>
    <mergeCell ref="J496:J498"/>
    <mergeCell ref="K496:K498"/>
    <mergeCell ref="G496:G498"/>
    <mergeCell ref="H496:H498"/>
    <mergeCell ref="C503:C504"/>
    <mergeCell ref="G503:G504"/>
    <mergeCell ref="H503:H504"/>
    <mergeCell ref="J499:J500"/>
    <mergeCell ref="G511:G515"/>
    <mergeCell ref="H511:H515"/>
    <mergeCell ref="I511:I515"/>
    <mergeCell ref="J511:J515"/>
    <mergeCell ref="J503:J504"/>
    <mergeCell ref="K503:K504"/>
    <mergeCell ref="B505:B510"/>
    <mergeCell ref="A505:A510"/>
    <mergeCell ref="C505:C510"/>
    <mergeCell ref="F458:F459"/>
    <mergeCell ref="G450:G451"/>
    <mergeCell ref="H450:H451"/>
    <mergeCell ref="I450:I451"/>
    <mergeCell ref="J450:J451"/>
    <mergeCell ref="D452:D453"/>
    <mergeCell ref="E452:E453"/>
    <mergeCell ref="F452:F453"/>
    <mergeCell ref="G452:J452"/>
    <mergeCell ref="G453:J453"/>
    <mergeCell ref="K450:K451"/>
    <mergeCell ref="K508:K509"/>
    <mergeCell ref="L503:L504"/>
    <mergeCell ref="G505:G507"/>
    <mergeCell ref="J505:J507"/>
    <mergeCell ref="I503:I504"/>
    <mergeCell ref="K511:K515"/>
    <mergeCell ref="L490:L491"/>
    <mergeCell ref="K469:K470"/>
    <mergeCell ref="G477:J477"/>
    <mergeCell ref="H482:H483"/>
    <mergeCell ref="I490:I491"/>
    <mergeCell ref="A431:A432"/>
    <mergeCell ref="B431:B432"/>
    <mergeCell ref="C431:C432"/>
    <mergeCell ref="G431:G432"/>
    <mergeCell ref="H431:H432"/>
    <mergeCell ref="I431:I432"/>
    <mergeCell ref="J431:J432"/>
    <mergeCell ref="K431:K432"/>
    <mergeCell ref="C436:C439"/>
    <mergeCell ref="A436:A439"/>
    <mergeCell ref="I427:I430"/>
    <mergeCell ref="C450:C453"/>
    <mergeCell ref="A503:A504"/>
    <mergeCell ref="B503:B504"/>
    <mergeCell ref="C490:C491"/>
    <mergeCell ref="D508:F509"/>
    <mergeCell ref="A469:A473"/>
    <mergeCell ref="B469:B473"/>
    <mergeCell ref="I448:I449"/>
    <mergeCell ref="J448:J449"/>
    <mergeCell ref="K448:K449"/>
    <mergeCell ref="G448:G449"/>
    <mergeCell ref="H448:H449"/>
    <mergeCell ref="K464:K467"/>
    <mergeCell ref="A464:A467"/>
    <mergeCell ref="B464:B467"/>
    <mergeCell ref="C464:C467"/>
    <mergeCell ref="G464:G467"/>
    <mergeCell ref="H464:H467"/>
    <mergeCell ref="I464:I467"/>
    <mergeCell ref="D458:D459"/>
    <mergeCell ref="E458:E459"/>
    <mergeCell ref="A406:A408"/>
    <mergeCell ref="B406:B408"/>
    <mergeCell ref="G406:G407"/>
    <mergeCell ref="H406:H407"/>
    <mergeCell ref="I406:I407"/>
    <mergeCell ref="J406:J407"/>
    <mergeCell ref="K406:K407"/>
    <mergeCell ref="D387:F387"/>
    <mergeCell ref="A396:A399"/>
    <mergeCell ref="B396:B399"/>
    <mergeCell ref="C396:C399"/>
    <mergeCell ref="D396:D397"/>
    <mergeCell ref="E396:E397"/>
    <mergeCell ref="F396:F397"/>
    <mergeCell ref="C393:C394"/>
    <mergeCell ref="D393:D394"/>
    <mergeCell ref="E393:E394"/>
    <mergeCell ref="F393:F394"/>
    <mergeCell ref="J393:J394"/>
    <mergeCell ref="K393:K394"/>
    <mergeCell ref="A385:A387"/>
    <mergeCell ref="B385:B387"/>
    <mergeCell ref="C385:C387"/>
    <mergeCell ref="G385:J385"/>
    <mergeCell ref="G386:J386"/>
    <mergeCell ref="A393:A394"/>
    <mergeCell ref="B393:B394"/>
    <mergeCell ref="K396:K397"/>
    <mergeCell ref="A375:A376"/>
    <mergeCell ref="B375:B376"/>
    <mergeCell ref="C375:C376"/>
    <mergeCell ref="D376:F376"/>
    <mergeCell ref="A370:A372"/>
    <mergeCell ref="B370:B372"/>
    <mergeCell ref="C370:C372"/>
    <mergeCell ref="G370:G372"/>
    <mergeCell ref="H370:H372"/>
    <mergeCell ref="I370:I372"/>
    <mergeCell ref="A377:A379"/>
    <mergeCell ref="B377:B379"/>
    <mergeCell ref="C377:C379"/>
    <mergeCell ref="G378:K378"/>
    <mergeCell ref="A368:A369"/>
    <mergeCell ref="B368:B369"/>
    <mergeCell ref="C368:C369"/>
    <mergeCell ref="G368:G369"/>
    <mergeCell ref="H368:H369"/>
    <mergeCell ref="I368:I369"/>
    <mergeCell ref="J368:J369"/>
    <mergeCell ref="K368:K369"/>
    <mergeCell ref="J370:J372"/>
    <mergeCell ref="K370:K372"/>
    <mergeCell ref="A362:A363"/>
    <mergeCell ref="B362:B363"/>
    <mergeCell ref="C362:C363"/>
    <mergeCell ref="G362:G363"/>
    <mergeCell ref="H362:H363"/>
    <mergeCell ref="I362:I363"/>
    <mergeCell ref="E360:E361"/>
    <mergeCell ref="F360:F361"/>
    <mergeCell ref="G360:J360"/>
    <mergeCell ref="A358:A361"/>
    <mergeCell ref="B358:B361"/>
    <mergeCell ref="C358:C361"/>
    <mergeCell ref="G359:J359"/>
    <mergeCell ref="D360:D361"/>
    <mergeCell ref="J362:J363"/>
    <mergeCell ref="A310:A312"/>
    <mergeCell ref="B310:B312"/>
    <mergeCell ref="C310:C312"/>
    <mergeCell ref="J343:J344"/>
    <mergeCell ref="C317:C318"/>
    <mergeCell ref="D317:D318"/>
    <mergeCell ref="A326:A327"/>
    <mergeCell ref="B326:B327"/>
    <mergeCell ref="C326:C327"/>
    <mergeCell ref="D326:D327"/>
    <mergeCell ref="E326:E327"/>
    <mergeCell ref="F326:F327"/>
    <mergeCell ref="J326:J327"/>
    <mergeCell ref="A317:A321"/>
    <mergeCell ref="B317:B321"/>
    <mergeCell ref="G319:G321"/>
    <mergeCell ref="H319:H321"/>
    <mergeCell ref="D261:D262"/>
    <mergeCell ref="E261:E262"/>
    <mergeCell ref="J267:J268"/>
    <mergeCell ref="D267:D269"/>
    <mergeCell ref="A267:A269"/>
    <mergeCell ref="B267:B269"/>
    <mergeCell ref="C267:C269"/>
    <mergeCell ref="E267:E269"/>
    <mergeCell ref="F267:F269"/>
    <mergeCell ref="A349:A353"/>
    <mergeCell ref="B349:B353"/>
    <mergeCell ref="C349:C353"/>
    <mergeCell ref="J332:J333"/>
    <mergeCell ref="K332:K333"/>
    <mergeCell ref="J334:J338"/>
    <mergeCell ref="K334:K338"/>
    <mergeCell ref="A343:A344"/>
    <mergeCell ref="B343:B344"/>
    <mergeCell ref="C343:C344"/>
    <mergeCell ref="G343:G344"/>
    <mergeCell ref="H343:H344"/>
    <mergeCell ref="I343:I344"/>
    <mergeCell ref="A332:A338"/>
    <mergeCell ref="B332:B338"/>
    <mergeCell ref="C332:C338"/>
    <mergeCell ref="D332:D338"/>
    <mergeCell ref="E332:E338"/>
    <mergeCell ref="F332:F338"/>
    <mergeCell ref="A346:A347"/>
    <mergeCell ref="B346:B347"/>
    <mergeCell ref="C346:C347"/>
    <mergeCell ref="A324:A325"/>
    <mergeCell ref="L196:L197"/>
    <mergeCell ref="L240:L242"/>
    <mergeCell ref="I251:I253"/>
    <mergeCell ref="J251:J253"/>
    <mergeCell ref="K251:K253"/>
    <mergeCell ref="B228:B233"/>
    <mergeCell ref="C228:C233"/>
    <mergeCell ref="C251:C253"/>
    <mergeCell ref="L221:L222"/>
    <mergeCell ref="I280:I282"/>
    <mergeCell ref="J280:J282"/>
    <mergeCell ref="B246:B253"/>
    <mergeCell ref="C246:C250"/>
    <mergeCell ref="K280:K282"/>
    <mergeCell ref="A281:A284"/>
    <mergeCell ref="B281:B284"/>
    <mergeCell ref="G283:J283"/>
    <mergeCell ref="A196:A202"/>
    <mergeCell ref="B196:B202"/>
    <mergeCell ref="A270:A276"/>
    <mergeCell ref="B270:B276"/>
    <mergeCell ref="C270:C276"/>
    <mergeCell ref="I196:I201"/>
    <mergeCell ref="J196:J201"/>
    <mergeCell ref="K196:K201"/>
    <mergeCell ref="A208:A215"/>
    <mergeCell ref="B208:B215"/>
    <mergeCell ref="C208:C215"/>
    <mergeCell ref="D274:F274"/>
    <mergeCell ref="I259:I260"/>
    <mergeCell ref="A228:A233"/>
    <mergeCell ref="K246:K250"/>
    <mergeCell ref="C137:C139"/>
    <mergeCell ref="D137:D139"/>
    <mergeCell ref="E137:E139"/>
    <mergeCell ref="F137:F139"/>
    <mergeCell ref="J137:J139"/>
    <mergeCell ref="K137:K139"/>
    <mergeCell ref="A140:A141"/>
    <mergeCell ref="B140:B141"/>
    <mergeCell ref="A216:A218"/>
    <mergeCell ref="B216:B218"/>
    <mergeCell ref="C142:C144"/>
    <mergeCell ref="K145:K146"/>
    <mergeCell ref="A259:A260"/>
    <mergeCell ref="B259:B260"/>
    <mergeCell ref="C259:C260"/>
    <mergeCell ref="A173:A179"/>
    <mergeCell ref="A164:A171"/>
    <mergeCell ref="B164:B171"/>
    <mergeCell ref="A185:A189"/>
    <mergeCell ref="G196:G201"/>
    <mergeCell ref="H196:H201"/>
    <mergeCell ref="A234:A239"/>
    <mergeCell ref="B234:B239"/>
    <mergeCell ref="G259:G260"/>
    <mergeCell ref="H259:H260"/>
    <mergeCell ref="G209:J209"/>
    <mergeCell ref="G210:J210"/>
    <mergeCell ref="J228:J233"/>
    <mergeCell ref="D230:E230"/>
    <mergeCell ref="C161:C163"/>
    <mergeCell ref="D162:F163"/>
    <mergeCell ref="J162:J163"/>
    <mergeCell ref="L185:L186"/>
    <mergeCell ref="C164:C171"/>
    <mergeCell ref="L168:L169"/>
    <mergeCell ref="L170:L171"/>
    <mergeCell ref="G171:J171"/>
    <mergeCell ref="C185:C189"/>
    <mergeCell ref="D185:D186"/>
    <mergeCell ref="E185:E186"/>
    <mergeCell ref="F185:F186"/>
    <mergeCell ref="J185:J186"/>
    <mergeCell ref="K182:K184"/>
    <mergeCell ref="K164:K166"/>
    <mergeCell ref="C182:C184"/>
    <mergeCell ref="G182:G184"/>
    <mergeCell ref="H182:H184"/>
    <mergeCell ref="I182:I184"/>
    <mergeCell ref="F178:F179"/>
    <mergeCell ref="J164:J166"/>
    <mergeCell ref="J173:J179"/>
    <mergeCell ref="K173:K179"/>
    <mergeCell ref="D188:D189"/>
    <mergeCell ref="E188:E189"/>
    <mergeCell ref="F188:F189"/>
    <mergeCell ref="J188:J189"/>
    <mergeCell ref="K188:K189"/>
    <mergeCell ref="D121:E121"/>
    <mergeCell ref="L87:L89"/>
    <mergeCell ref="D94:D95"/>
    <mergeCell ref="E94:E95"/>
    <mergeCell ref="F94:F95"/>
    <mergeCell ref="I142:I144"/>
    <mergeCell ref="J142:J144"/>
    <mergeCell ref="K142:K144"/>
    <mergeCell ref="D112:D114"/>
    <mergeCell ref="E112:E114"/>
    <mergeCell ref="F112:F114"/>
    <mergeCell ref="J104:J106"/>
    <mergeCell ref="D104:F106"/>
    <mergeCell ref="K104:K106"/>
    <mergeCell ref="G124:G125"/>
    <mergeCell ref="H124:H125"/>
    <mergeCell ref="I124:I125"/>
    <mergeCell ref="J124:J125"/>
    <mergeCell ref="K124:K125"/>
    <mergeCell ref="L134:L136"/>
    <mergeCell ref="L137:L139"/>
    <mergeCell ref="K87:K89"/>
    <mergeCell ref="K99:K102"/>
    <mergeCell ref="E134:E136"/>
    <mergeCell ref="G126:G128"/>
    <mergeCell ref="H126:H128"/>
    <mergeCell ref="I126:I128"/>
    <mergeCell ref="J126:J128"/>
    <mergeCell ref="K126:K128"/>
    <mergeCell ref="J129:J133"/>
    <mergeCell ref="K129:K133"/>
    <mergeCell ref="F134:F136"/>
    <mergeCell ref="A119:A123"/>
    <mergeCell ref="B119:B123"/>
    <mergeCell ref="C119:C123"/>
    <mergeCell ref="D119:D120"/>
    <mergeCell ref="E119:E120"/>
    <mergeCell ref="F119:F120"/>
    <mergeCell ref="J119:J121"/>
    <mergeCell ref="A116:A118"/>
    <mergeCell ref="B116:B118"/>
    <mergeCell ref="C116:C118"/>
    <mergeCell ref="G116:G118"/>
    <mergeCell ref="H116:H118"/>
    <mergeCell ref="I116:I118"/>
    <mergeCell ref="J108:J109"/>
    <mergeCell ref="K108:K109"/>
    <mergeCell ref="G108:G109"/>
    <mergeCell ref="G72:G74"/>
    <mergeCell ref="H72:H74"/>
    <mergeCell ref="A82:A85"/>
    <mergeCell ref="B82:B85"/>
    <mergeCell ref="C82:C85"/>
    <mergeCell ref="J87:J89"/>
    <mergeCell ref="G81:G85"/>
    <mergeCell ref="H81:H85"/>
    <mergeCell ref="I81:I85"/>
    <mergeCell ref="G112:K112"/>
    <mergeCell ref="J81:J85"/>
    <mergeCell ref="K81:K85"/>
    <mergeCell ref="A72:A75"/>
    <mergeCell ref="B72:B75"/>
    <mergeCell ref="C72:C75"/>
    <mergeCell ref="K119:K121"/>
    <mergeCell ref="C46:C48"/>
    <mergeCell ref="G46:G48"/>
    <mergeCell ref="A40:A42"/>
    <mergeCell ref="B40:B42"/>
    <mergeCell ref="C40:C42"/>
    <mergeCell ref="E40:E41"/>
    <mergeCell ref="F40:F41"/>
    <mergeCell ref="G40:G42"/>
    <mergeCell ref="H40:H42"/>
    <mergeCell ref="A56:A58"/>
    <mergeCell ref="B56:B58"/>
    <mergeCell ref="C56:C58"/>
    <mergeCell ref="D56:D58"/>
    <mergeCell ref="E56:E58"/>
    <mergeCell ref="F56:F58"/>
    <mergeCell ref="A52:A55"/>
    <mergeCell ref="B52:B55"/>
    <mergeCell ref="C52:C55"/>
    <mergeCell ref="G52:G55"/>
    <mergeCell ref="H52:H55"/>
    <mergeCell ref="A49:A50"/>
    <mergeCell ref="B49:B50"/>
    <mergeCell ref="C49:C50"/>
    <mergeCell ref="D49:D50"/>
    <mergeCell ref="E49:E50"/>
    <mergeCell ref="F49:F50"/>
    <mergeCell ref="G49:G50"/>
    <mergeCell ref="H49:H50"/>
    <mergeCell ref="G44:G45"/>
    <mergeCell ref="H44:H45"/>
    <mergeCell ref="H46:H48"/>
    <mergeCell ref="J44:J45"/>
    <mergeCell ref="K44:K45"/>
    <mergeCell ref="A32:A33"/>
    <mergeCell ref="B32:B33"/>
    <mergeCell ref="C32:C33"/>
    <mergeCell ref="A35:A38"/>
    <mergeCell ref="B35:B38"/>
    <mergeCell ref="C35:C38"/>
    <mergeCell ref="G35:G38"/>
    <mergeCell ref="H35:H38"/>
    <mergeCell ref="K46:K48"/>
    <mergeCell ref="A25:A26"/>
    <mergeCell ref="B25:B26"/>
    <mergeCell ref="C25:C26"/>
    <mergeCell ref="G25:G26"/>
    <mergeCell ref="H25:H26"/>
    <mergeCell ref="I25:I26"/>
    <mergeCell ref="J25:J26"/>
    <mergeCell ref="K25:K26"/>
    <mergeCell ref="I35:I38"/>
    <mergeCell ref="J35:J38"/>
    <mergeCell ref="K35:K38"/>
    <mergeCell ref="G32:G33"/>
    <mergeCell ref="H32:H33"/>
    <mergeCell ref="I32:I33"/>
    <mergeCell ref="J32:J33"/>
    <mergeCell ref="K32:K33"/>
    <mergeCell ref="I40:I42"/>
    <mergeCell ref="J40:J42"/>
    <mergeCell ref="K40:K42"/>
    <mergeCell ref="A46:A48"/>
    <mergeCell ref="B46:B48"/>
    <mergeCell ref="A13:A20"/>
    <mergeCell ref="B13:B20"/>
    <mergeCell ref="C14:C21"/>
    <mergeCell ref="G14:G21"/>
    <mergeCell ref="H14:H21"/>
    <mergeCell ref="I14:I21"/>
    <mergeCell ref="J3:J4"/>
    <mergeCell ref="K3:K4"/>
    <mergeCell ref="A6:A9"/>
    <mergeCell ref="B6:B9"/>
    <mergeCell ref="C6:C9"/>
    <mergeCell ref="A3:A4"/>
    <mergeCell ref="B3:B4"/>
    <mergeCell ref="C3:C4"/>
    <mergeCell ref="G3:G4"/>
    <mergeCell ref="H3:H4"/>
    <mergeCell ref="I3:I4"/>
    <mergeCell ref="G6:G9"/>
    <mergeCell ref="H6:H9"/>
    <mergeCell ref="I6:I9"/>
    <mergeCell ref="J6:J9"/>
    <mergeCell ref="K6:K9"/>
    <mergeCell ref="J14:J21"/>
    <mergeCell ref="K15:K21"/>
    <mergeCell ref="L56:L57"/>
    <mergeCell ref="K147:K148"/>
    <mergeCell ref="J72:J74"/>
    <mergeCell ref="K72:K74"/>
    <mergeCell ref="L81:L82"/>
    <mergeCell ref="J116:J118"/>
    <mergeCell ref="K116:K118"/>
    <mergeCell ref="L116:L117"/>
    <mergeCell ref="I46:I48"/>
    <mergeCell ref="J46:J48"/>
    <mergeCell ref="I52:I55"/>
    <mergeCell ref="I49:I50"/>
    <mergeCell ref="J49:J50"/>
    <mergeCell ref="K49:K50"/>
    <mergeCell ref="I145:I146"/>
    <mergeCell ref="J145:J146"/>
    <mergeCell ref="J134:J136"/>
    <mergeCell ref="L126:L128"/>
    <mergeCell ref="K66:K67"/>
    <mergeCell ref="L66:L67"/>
    <mergeCell ref="J99:J102"/>
    <mergeCell ref="G103:J103"/>
    <mergeCell ref="H108:H109"/>
    <mergeCell ref="I108:I109"/>
    <mergeCell ref="G147:G148"/>
    <mergeCell ref="H147:H148"/>
    <mergeCell ref="C124:C125"/>
    <mergeCell ref="A142:A144"/>
    <mergeCell ref="B142:B144"/>
    <mergeCell ref="A112:A114"/>
    <mergeCell ref="B112:B114"/>
    <mergeCell ref="C112:C114"/>
    <mergeCell ref="L25:L26"/>
    <mergeCell ref="L124:L125"/>
    <mergeCell ref="K134:K136"/>
    <mergeCell ref="G149:G151"/>
    <mergeCell ref="H149:H151"/>
    <mergeCell ref="I149:I151"/>
    <mergeCell ref="C145:C148"/>
    <mergeCell ref="G145:G146"/>
    <mergeCell ref="H145:H146"/>
    <mergeCell ref="C134:C136"/>
    <mergeCell ref="D134:D136"/>
    <mergeCell ref="G63:G65"/>
    <mergeCell ref="H63:H65"/>
    <mergeCell ref="I63:I65"/>
    <mergeCell ref="J63:J65"/>
    <mergeCell ref="K63:K65"/>
    <mergeCell ref="L63:L65"/>
    <mergeCell ref="J52:J55"/>
    <mergeCell ref="K52:K55"/>
    <mergeCell ref="I72:I74"/>
    <mergeCell ref="A126:A128"/>
    <mergeCell ref="B126:B128"/>
    <mergeCell ref="C126:C128"/>
    <mergeCell ref="B87:B102"/>
    <mergeCell ref="J56:J57"/>
    <mergeCell ref="K56:K57"/>
    <mergeCell ref="A87:A102"/>
    <mergeCell ref="C87:C102"/>
    <mergeCell ref="D99:D102"/>
    <mergeCell ref="E99:E102"/>
    <mergeCell ref="F99:F102"/>
    <mergeCell ref="A108:A110"/>
    <mergeCell ref="B108:B110"/>
    <mergeCell ref="C108:C110"/>
    <mergeCell ref="G110:J110"/>
    <mergeCell ref="G142:G144"/>
    <mergeCell ref="H142:H144"/>
    <mergeCell ref="A129:A139"/>
    <mergeCell ref="B129:B139"/>
    <mergeCell ref="D108:D110"/>
    <mergeCell ref="E108:E110"/>
    <mergeCell ref="F108:F110"/>
    <mergeCell ref="A191:A193"/>
    <mergeCell ref="B191:B193"/>
    <mergeCell ref="C191:C193"/>
    <mergeCell ref="G191:G193"/>
    <mergeCell ref="H191:H193"/>
    <mergeCell ref="I191:I193"/>
    <mergeCell ref="E178:E179"/>
    <mergeCell ref="D187:F187"/>
    <mergeCell ref="I147:I148"/>
    <mergeCell ref="J147:J148"/>
    <mergeCell ref="A145:A148"/>
    <mergeCell ref="B145:B148"/>
    <mergeCell ref="B185:B189"/>
    <mergeCell ref="I164:I166"/>
    <mergeCell ref="A124:A125"/>
    <mergeCell ref="B124:B125"/>
    <mergeCell ref="K228:K233"/>
    <mergeCell ref="G228:G233"/>
    <mergeCell ref="H228:H233"/>
    <mergeCell ref="D219:D220"/>
    <mergeCell ref="E219:E220"/>
    <mergeCell ref="F219:F220"/>
    <mergeCell ref="J149:J151"/>
    <mergeCell ref="K149:K151"/>
    <mergeCell ref="J182:J184"/>
    <mergeCell ref="K185:K186"/>
    <mergeCell ref="G167:J167"/>
    <mergeCell ref="I173:I179"/>
    <mergeCell ref="J191:J193"/>
    <mergeCell ref="K191:K193"/>
    <mergeCell ref="K153:K158"/>
    <mergeCell ref="H164:H166"/>
    <mergeCell ref="K234:K236"/>
    <mergeCell ref="G234:J236"/>
    <mergeCell ref="K168:K169"/>
    <mergeCell ref="I228:I233"/>
    <mergeCell ref="G170:J170"/>
    <mergeCell ref="H153:H158"/>
    <mergeCell ref="I153:I158"/>
    <mergeCell ref="G164:G166"/>
    <mergeCell ref="A219:A222"/>
    <mergeCell ref="G222:J222"/>
    <mergeCell ref="G224:J224"/>
    <mergeCell ref="B173:B179"/>
    <mergeCell ref="C173:C179"/>
    <mergeCell ref="D178:D179"/>
    <mergeCell ref="B219:B222"/>
    <mergeCell ref="I319:I321"/>
    <mergeCell ref="J319:J321"/>
    <mergeCell ref="J219:J220"/>
    <mergeCell ref="K219:K220"/>
    <mergeCell ref="H173:H179"/>
    <mergeCell ref="C234:C239"/>
    <mergeCell ref="C196:C202"/>
    <mergeCell ref="D198:D202"/>
    <mergeCell ref="E198:E202"/>
    <mergeCell ref="F198:F202"/>
    <mergeCell ref="A246:A253"/>
    <mergeCell ref="G251:G253"/>
    <mergeCell ref="H251:H253"/>
    <mergeCell ref="G264:J264"/>
    <mergeCell ref="D275:D276"/>
    <mergeCell ref="E275:E276"/>
    <mergeCell ref="F275:F276"/>
    <mergeCell ref="J275:J276"/>
    <mergeCell ref="A261:A263"/>
    <mergeCell ref="A290:A291"/>
    <mergeCell ref="G284:J284"/>
    <mergeCell ref="D311:F311"/>
    <mergeCell ref="K240:K242"/>
    <mergeCell ref="G240:G242"/>
    <mergeCell ref="H240:H242"/>
    <mergeCell ref="A1061:A1062"/>
    <mergeCell ref="C1239:C1242"/>
    <mergeCell ref="D1239:D1242"/>
    <mergeCell ref="A1239:A1242"/>
    <mergeCell ref="B1239:B1242"/>
    <mergeCell ref="E1239:E1242"/>
    <mergeCell ref="A153:A158"/>
    <mergeCell ref="B153:B158"/>
    <mergeCell ref="J153:J158"/>
    <mergeCell ref="G168:G169"/>
    <mergeCell ref="H168:H169"/>
    <mergeCell ref="I168:I169"/>
    <mergeCell ref="J168:J169"/>
    <mergeCell ref="A182:A184"/>
    <mergeCell ref="B182:B184"/>
    <mergeCell ref="C216:C218"/>
    <mergeCell ref="G217:J217"/>
    <mergeCell ref="G218:J218"/>
    <mergeCell ref="A161:A163"/>
    <mergeCell ref="B161:B163"/>
    <mergeCell ref="C153:C158"/>
    <mergeCell ref="G153:G158"/>
    <mergeCell ref="B290:B291"/>
    <mergeCell ref="G261:G262"/>
    <mergeCell ref="H261:H262"/>
    <mergeCell ref="I261:I262"/>
    <mergeCell ref="J261:J262"/>
    <mergeCell ref="B261:B263"/>
    <mergeCell ref="C261:C263"/>
    <mergeCell ref="A286:A287"/>
    <mergeCell ref="B286:B287"/>
    <mergeCell ref="G263:J263"/>
    <mergeCell ref="J1136:J1137"/>
    <mergeCell ref="A1293:A1297"/>
    <mergeCell ref="B1293:B1297"/>
    <mergeCell ref="C1293:C1297"/>
    <mergeCell ref="D1293:D1297"/>
    <mergeCell ref="A1157:A1158"/>
    <mergeCell ref="B1157:B1158"/>
    <mergeCell ref="A1159:A1160"/>
    <mergeCell ref="B1159:B1160"/>
    <mergeCell ref="C1159:C1160"/>
    <mergeCell ref="D1159:D1160"/>
    <mergeCell ref="J1150:J1153"/>
    <mergeCell ref="A1166:A1167"/>
    <mergeCell ref="B1166:B1167"/>
    <mergeCell ref="C1166:C1167"/>
    <mergeCell ref="D1166:D1167"/>
    <mergeCell ref="B1281:B1283"/>
    <mergeCell ref="A1281:A1283"/>
    <mergeCell ref="G1283:J1283"/>
    <mergeCell ref="E1293:E1297"/>
    <mergeCell ref="F1293:F1297"/>
    <mergeCell ref="F1239:F1242"/>
    <mergeCell ref="G1239:J1239"/>
    <mergeCell ref="G1240:J1240"/>
    <mergeCell ref="G1241:J1241"/>
    <mergeCell ref="D1235:D1236"/>
    <mergeCell ref="E1235:E1236"/>
    <mergeCell ref="F1235:F1236"/>
    <mergeCell ref="A1232:A1234"/>
    <mergeCell ref="B1232:B1234"/>
    <mergeCell ref="C1232:C1234"/>
    <mergeCell ref="D1232:F1234"/>
    <mergeCell ref="B433:B434"/>
    <mergeCell ref="A476:A477"/>
    <mergeCell ref="B476:B477"/>
    <mergeCell ref="C476:C477"/>
    <mergeCell ref="A482:A483"/>
    <mergeCell ref="C482:C483"/>
    <mergeCell ref="G482:G483"/>
    <mergeCell ref="J464:J467"/>
    <mergeCell ref="A490:A491"/>
    <mergeCell ref="B490:B491"/>
    <mergeCell ref="F261:F262"/>
    <mergeCell ref="H505:H508"/>
    <mergeCell ref="I505:I508"/>
    <mergeCell ref="I349:I350"/>
    <mergeCell ref="J349:J350"/>
    <mergeCell ref="G351:G353"/>
    <mergeCell ref="G173:G179"/>
    <mergeCell ref="G239:J239"/>
    <mergeCell ref="I469:I470"/>
    <mergeCell ref="J469:J470"/>
    <mergeCell ref="G476:J476"/>
    <mergeCell ref="I240:I242"/>
    <mergeCell ref="J240:J242"/>
    <mergeCell ref="G288:G289"/>
    <mergeCell ref="H288:H289"/>
    <mergeCell ref="G473:J473"/>
    <mergeCell ref="G424:J424"/>
    <mergeCell ref="G244:J244"/>
    <mergeCell ref="G246:G250"/>
    <mergeCell ref="H246:H250"/>
    <mergeCell ref="I246:I250"/>
    <mergeCell ref="J246:J250"/>
    <mergeCell ref="A571:A572"/>
    <mergeCell ref="D709:F709"/>
    <mergeCell ref="G727:K727"/>
    <mergeCell ref="G718:K718"/>
    <mergeCell ref="G719:K719"/>
    <mergeCell ref="G720:K720"/>
    <mergeCell ref="G721:K721"/>
    <mergeCell ref="D722:E722"/>
    <mergeCell ref="G722:K722"/>
    <mergeCell ref="G712:K712"/>
    <mergeCell ref="G713:K713"/>
    <mergeCell ref="A810:A815"/>
    <mergeCell ref="G714:K714"/>
    <mergeCell ref="G715:K715"/>
    <mergeCell ref="G716:K716"/>
    <mergeCell ref="D717:E717"/>
    <mergeCell ref="G740:K740"/>
    <mergeCell ref="G741:K741"/>
    <mergeCell ref="G742:K742"/>
    <mergeCell ref="D743:E743"/>
    <mergeCell ref="G723:K723"/>
    <mergeCell ref="G724:K724"/>
    <mergeCell ref="D725:E725"/>
    <mergeCell ref="G725:K725"/>
    <mergeCell ref="G814:J814"/>
    <mergeCell ref="B762:B763"/>
    <mergeCell ref="C762:C763"/>
    <mergeCell ref="G726:K726"/>
    <mergeCell ref="D727:E727"/>
    <mergeCell ref="G744:J744"/>
    <mergeCell ref="G745:K745"/>
    <mergeCell ref="K594:K598"/>
    <mergeCell ref="L301:L303"/>
    <mergeCell ref="G302:J302"/>
    <mergeCell ref="G303:J303"/>
    <mergeCell ref="J293:J295"/>
    <mergeCell ref="K293:K295"/>
    <mergeCell ref="G300:J300"/>
    <mergeCell ref="G293:G295"/>
    <mergeCell ref="H293:H295"/>
    <mergeCell ref="I293:I295"/>
    <mergeCell ref="K288:K289"/>
    <mergeCell ref="K505:K507"/>
    <mergeCell ref="J508:J509"/>
    <mergeCell ref="C1061:C1062"/>
    <mergeCell ref="G1062:J1062"/>
    <mergeCell ref="G1136:G1137"/>
    <mergeCell ref="H1136:H1137"/>
    <mergeCell ref="I1136:I1137"/>
    <mergeCell ref="G708:G710"/>
    <mergeCell ref="H708:H710"/>
    <mergeCell ref="C1133:C1134"/>
    <mergeCell ref="C986:C988"/>
    <mergeCell ref="D988:F988"/>
    <mergeCell ref="K1009:K1010"/>
    <mergeCell ref="C290:C291"/>
    <mergeCell ref="G290:J291"/>
    <mergeCell ref="I288:I289"/>
    <mergeCell ref="J288:J289"/>
    <mergeCell ref="C446:C447"/>
    <mergeCell ref="G446:G447"/>
    <mergeCell ref="H446:H447"/>
    <mergeCell ref="I446:I447"/>
    <mergeCell ref="J446:J447"/>
    <mergeCell ref="J259:J260"/>
    <mergeCell ref="K259:K260"/>
    <mergeCell ref="K446:K447"/>
    <mergeCell ref="J427:J430"/>
    <mergeCell ref="K427:K430"/>
    <mergeCell ref="K324:K325"/>
    <mergeCell ref="K319:K321"/>
    <mergeCell ref="K343:K344"/>
    <mergeCell ref="G301:J301"/>
    <mergeCell ref="G436:G437"/>
    <mergeCell ref="H436:H437"/>
    <mergeCell ref="I436:I437"/>
    <mergeCell ref="K436:K439"/>
    <mergeCell ref="J436:J439"/>
    <mergeCell ref="G438:G439"/>
    <mergeCell ref="K261:K262"/>
    <mergeCell ref="G280:G282"/>
    <mergeCell ref="K267:K268"/>
    <mergeCell ref="D1237:F1237"/>
    <mergeCell ref="L1317:L1318"/>
    <mergeCell ref="K1317:K1318"/>
    <mergeCell ref="G1268:K1268"/>
    <mergeCell ref="G1269:K1269"/>
    <mergeCell ref="G1419:J1419"/>
    <mergeCell ref="C1281:C1283"/>
    <mergeCell ref="A1243:A1244"/>
    <mergeCell ref="B1243:B1244"/>
    <mergeCell ref="C1243:C1244"/>
    <mergeCell ref="D1244:F1244"/>
    <mergeCell ref="A627:A645"/>
    <mergeCell ref="D1133:D1134"/>
    <mergeCell ref="E1133:E1134"/>
    <mergeCell ref="F1133:F1134"/>
    <mergeCell ref="G1277:G1278"/>
    <mergeCell ref="H1277:H1278"/>
    <mergeCell ref="B1133:B1134"/>
    <mergeCell ref="E764:E765"/>
    <mergeCell ref="F764:F765"/>
    <mergeCell ref="G897:G901"/>
    <mergeCell ref="H897:H901"/>
    <mergeCell ref="I897:I901"/>
    <mergeCell ref="G1061:J1061"/>
    <mergeCell ref="K1136:K1137"/>
    <mergeCell ref="G861:J861"/>
    <mergeCell ref="G862:J862"/>
    <mergeCell ref="E753:E755"/>
    <mergeCell ref="A905:A913"/>
    <mergeCell ref="C810:C815"/>
    <mergeCell ref="G812:J812"/>
    <mergeCell ref="G813:J813"/>
    <mergeCell ref="L1433:L1435"/>
    <mergeCell ref="L1436:L1438"/>
    <mergeCell ref="G1440:J1440"/>
    <mergeCell ref="B1436:B1439"/>
    <mergeCell ref="A1436:A1439"/>
    <mergeCell ref="C1436:C1439"/>
    <mergeCell ref="G1439:J1439"/>
    <mergeCell ref="G1431:J1431"/>
    <mergeCell ref="G1432:J1432"/>
    <mergeCell ref="G1086:J1087"/>
    <mergeCell ref="D1087:F1087"/>
    <mergeCell ref="B1085:B1087"/>
    <mergeCell ref="A1085:A1087"/>
    <mergeCell ref="C1085:C1087"/>
    <mergeCell ref="D1433:D1435"/>
    <mergeCell ref="E1433:E1435"/>
    <mergeCell ref="F1433:F1435"/>
    <mergeCell ref="C1433:C1435"/>
    <mergeCell ref="D1436:D1438"/>
    <mergeCell ref="E1436:E1438"/>
    <mergeCell ref="F1436:F1438"/>
    <mergeCell ref="G1433:J1433"/>
    <mergeCell ref="G1438:J1438"/>
    <mergeCell ref="E1379:E1380"/>
    <mergeCell ref="F1379:F1380"/>
    <mergeCell ref="G1388:J1388"/>
    <mergeCell ref="G1391:J1391"/>
    <mergeCell ref="G1282:J1282"/>
    <mergeCell ref="B1161:B1162"/>
    <mergeCell ref="C1161:C1162"/>
    <mergeCell ref="F1199:F1200"/>
    <mergeCell ref="G1207:J1207"/>
    <mergeCell ref="B59:B60"/>
    <mergeCell ref="A59:A60"/>
    <mergeCell ref="G60:J60"/>
    <mergeCell ref="D1450:F1450"/>
    <mergeCell ref="D417:F417"/>
    <mergeCell ref="D418:F418"/>
    <mergeCell ref="D419:F419"/>
    <mergeCell ref="B418:B419"/>
    <mergeCell ref="A414:A419"/>
    <mergeCell ref="G1447:J1447"/>
    <mergeCell ref="G1374:J1374"/>
    <mergeCell ref="D947:F950"/>
    <mergeCell ref="D951:F951"/>
    <mergeCell ref="A288:A289"/>
    <mergeCell ref="B288:B289"/>
    <mergeCell ref="C288:C289"/>
    <mergeCell ref="D288:D289"/>
    <mergeCell ref="E288:E289"/>
    <mergeCell ref="F288:F289"/>
    <mergeCell ref="H280:H282"/>
    <mergeCell ref="B436:B439"/>
    <mergeCell ref="G1420:J1420"/>
    <mergeCell ref="B678:B680"/>
    <mergeCell ref="C678:C680"/>
    <mergeCell ref="G587:G591"/>
    <mergeCell ref="G850:J850"/>
    <mergeCell ref="E821:E823"/>
    <mergeCell ref="F821:F823"/>
    <mergeCell ref="G821:J821"/>
    <mergeCell ref="G822:J822"/>
    <mergeCell ref="G823:J823"/>
    <mergeCell ref="B810:B815"/>
    <mergeCell ref="G1453:J1453"/>
    <mergeCell ref="G811:J811"/>
    <mergeCell ref="A1374:A1376"/>
    <mergeCell ref="B1374:B1376"/>
    <mergeCell ref="C1374:C1376"/>
    <mergeCell ref="D1374:D1376"/>
    <mergeCell ref="E1374:E1376"/>
    <mergeCell ref="F1374:F1376"/>
    <mergeCell ref="J1375:J1376"/>
    <mergeCell ref="B1432:B1435"/>
    <mergeCell ref="A1432:A1435"/>
    <mergeCell ref="B685:B688"/>
    <mergeCell ref="A685:A688"/>
    <mergeCell ref="G1434:J1434"/>
    <mergeCell ref="G1435:J1435"/>
    <mergeCell ref="A1385:A1387"/>
    <mergeCell ref="C1385:C1387"/>
    <mergeCell ref="B1385:B1387"/>
    <mergeCell ref="G1387:J1387"/>
    <mergeCell ref="B1442:B1444"/>
    <mergeCell ref="A1442:A1444"/>
    <mergeCell ref="A1235:A1238"/>
    <mergeCell ref="B1235:B1238"/>
    <mergeCell ref="C1235:C1238"/>
    <mergeCell ref="A1133:A1134"/>
    <mergeCell ref="I1277:I1278"/>
    <mergeCell ref="A764:A765"/>
    <mergeCell ref="B764:B765"/>
    <mergeCell ref="C764:C765"/>
    <mergeCell ref="D764:D765"/>
    <mergeCell ref="F753:F755"/>
    <mergeCell ref="C1442:C1444"/>
    <mergeCell ref="D1230:F1231"/>
    <mergeCell ref="G1231:J1231"/>
    <mergeCell ref="G1009:J1010"/>
    <mergeCell ref="L595:L598"/>
    <mergeCell ref="A602:A603"/>
    <mergeCell ref="C627:C645"/>
    <mergeCell ref="G643:J643"/>
    <mergeCell ref="G644:J644"/>
    <mergeCell ref="G645:J645"/>
    <mergeCell ref="L774:L775"/>
    <mergeCell ref="B905:B913"/>
    <mergeCell ref="I774:I775"/>
    <mergeCell ref="L602:L603"/>
    <mergeCell ref="G594:G598"/>
    <mergeCell ref="H594:H598"/>
    <mergeCell ref="B819:B823"/>
    <mergeCell ref="A819:A823"/>
    <mergeCell ref="B690:B693"/>
    <mergeCell ref="A690:A693"/>
    <mergeCell ref="I1011:J1011"/>
    <mergeCell ref="G1058:I1059"/>
    <mergeCell ref="G754:J754"/>
    <mergeCell ref="K687:K688"/>
    <mergeCell ref="B1061:B1062"/>
    <mergeCell ref="C690:C693"/>
    <mergeCell ref="L861:L863"/>
    <mergeCell ref="A986:A988"/>
    <mergeCell ref="B986:B988"/>
    <mergeCell ref="G863:J863"/>
    <mergeCell ref="A708:A710"/>
    <mergeCell ref="B708:B710"/>
    <mergeCell ref="C708:C710"/>
    <mergeCell ref="E1442:E1444"/>
    <mergeCell ref="F1442:F1444"/>
    <mergeCell ref="G1436:J1436"/>
    <mergeCell ref="G1437:J1437"/>
    <mergeCell ref="A678:A680"/>
    <mergeCell ref="L324:L325"/>
    <mergeCell ref="L380:P380"/>
    <mergeCell ref="L406:L407"/>
    <mergeCell ref="L433:L434"/>
    <mergeCell ref="I482:I483"/>
    <mergeCell ref="J482:J483"/>
    <mergeCell ref="K482:K483"/>
    <mergeCell ref="L482:L483"/>
    <mergeCell ref="I496:I498"/>
    <mergeCell ref="K490:K491"/>
    <mergeCell ref="A423:A424"/>
    <mergeCell ref="B423:B424"/>
    <mergeCell ref="C423:C424"/>
    <mergeCell ref="B414:B416"/>
    <mergeCell ref="C414:C416"/>
    <mergeCell ref="G390:G391"/>
    <mergeCell ref="H390:H391"/>
    <mergeCell ref="I390:I391"/>
    <mergeCell ref="J390:J391"/>
    <mergeCell ref="K390:K391"/>
    <mergeCell ref="A485:A488"/>
    <mergeCell ref="B485:B488"/>
    <mergeCell ref="C485:C488"/>
    <mergeCell ref="K326:K327"/>
    <mergeCell ref="J396:J397"/>
    <mergeCell ref="G469:G470"/>
    <mergeCell ref="L821:L823"/>
    <mergeCell ref="A1451:A1452"/>
    <mergeCell ref="B1451:B1452"/>
    <mergeCell ref="C1451:C1452"/>
    <mergeCell ref="D1451:D1452"/>
    <mergeCell ref="E1451:E1452"/>
    <mergeCell ref="F1451:F1452"/>
    <mergeCell ref="G1451:J1452"/>
    <mergeCell ref="K587:K591"/>
    <mergeCell ref="K764:K765"/>
    <mergeCell ref="A762:A763"/>
    <mergeCell ref="B427:B430"/>
    <mergeCell ref="C427:C430"/>
    <mergeCell ref="G427:G430"/>
    <mergeCell ref="H427:H430"/>
    <mergeCell ref="A1228:A1231"/>
    <mergeCell ref="B1228:B1231"/>
    <mergeCell ref="C1228:C1231"/>
    <mergeCell ref="A427:A430"/>
    <mergeCell ref="J654:J655"/>
    <mergeCell ref="K654:K655"/>
    <mergeCell ref="I438:I439"/>
    <mergeCell ref="C469:C473"/>
    <mergeCell ref="H438:H439"/>
    <mergeCell ref="A654:A655"/>
    <mergeCell ref="B654:B655"/>
    <mergeCell ref="C654:C655"/>
    <mergeCell ref="D654:D655"/>
    <mergeCell ref="E654:E655"/>
    <mergeCell ref="F654:F655"/>
    <mergeCell ref="G485:J486"/>
    <mergeCell ref="G487:J487"/>
    <mergeCell ref="D1442:D1444"/>
    <mergeCell ref="L22:L24"/>
    <mergeCell ref="A1388:A1390"/>
    <mergeCell ref="B1388:B1390"/>
    <mergeCell ref="C1388:C1390"/>
    <mergeCell ref="D1388:D1390"/>
    <mergeCell ref="E1388:E1390"/>
    <mergeCell ref="F1388:F1390"/>
    <mergeCell ref="J1389:J1390"/>
    <mergeCell ref="K1389:K1390"/>
    <mergeCell ref="L1092:L1094"/>
    <mergeCell ref="G223:J223"/>
    <mergeCell ref="C223:C224"/>
    <mergeCell ref="D223:D224"/>
    <mergeCell ref="E223:E224"/>
    <mergeCell ref="F223:F224"/>
    <mergeCell ref="G221:J221"/>
    <mergeCell ref="F221:F222"/>
    <mergeCell ref="E221:E222"/>
    <mergeCell ref="D221:D222"/>
    <mergeCell ref="C219:C222"/>
    <mergeCell ref="E317:E318"/>
    <mergeCell ref="F317:F318"/>
    <mergeCell ref="G349:G350"/>
    <mergeCell ref="H349:H350"/>
    <mergeCell ref="J414:J416"/>
    <mergeCell ref="K414:K416"/>
    <mergeCell ref="J490:J491"/>
    <mergeCell ref="G490:G491"/>
    <mergeCell ref="H490:H491"/>
    <mergeCell ref="B223:B225"/>
    <mergeCell ref="A223:A225"/>
    <mergeCell ref="I44:I45"/>
    <mergeCell ref="B324:B325"/>
    <mergeCell ref="C324:C325"/>
    <mergeCell ref="G324:G325"/>
    <mergeCell ref="H324:H325"/>
    <mergeCell ref="I324:I325"/>
    <mergeCell ref="J324:J325"/>
    <mergeCell ref="G580:G586"/>
    <mergeCell ref="J580:J586"/>
    <mergeCell ref="K580:K586"/>
    <mergeCell ref="H580:H586"/>
    <mergeCell ref="I580:I586"/>
    <mergeCell ref="K275:K276"/>
    <mergeCell ref="K362:K363"/>
    <mergeCell ref="H469:H470"/>
    <mergeCell ref="C602:C603"/>
    <mergeCell ref="G602:G603"/>
    <mergeCell ref="H602:H603"/>
    <mergeCell ref="I602:I603"/>
    <mergeCell ref="J602:J603"/>
    <mergeCell ref="K602:K603"/>
    <mergeCell ref="I594:I598"/>
    <mergeCell ref="J594:J598"/>
    <mergeCell ref="C571:C572"/>
    <mergeCell ref="G572:J572"/>
    <mergeCell ref="C280:C284"/>
    <mergeCell ref="G347:J347"/>
    <mergeCell ref="H351:H353"/>
    <mergeCell ref="I351:I353"/>
    <mergeCell ref="J351:J353"/>
    <mergeCell ref="K351:K353"/>
    <mergeCell ref="K349:K350"/>
    <mergeCell ref="B571:B572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3"/>
  <sheetViews>
    <sheetView rightToLeft="1" topLeftCell="B949" zoomScale="60" zoomScaleNormal="60" workbookViewId="0">
      <selection activeCell="G963" sqref="G963:J96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721"/>
      <c r="B2" s="5720" t="s">
        <v>5751</v>
      </c>
      <c r="C2" s="5634" t="s">
        <v>1300</v>
      </c>
      <c r="D2" s="5594">
        <v>6000000</v>
      </c>
      <c r="E2" s="5652">
        <v>7.0000000000000007E-2</v>
      </c>
      <c r="F2" s="5594">
        <v>450000</v>
      </c>
      <c r="G2" s="5594">
        <v>450000</v>
      </c>
      <c r="H2" s="5594" t="s">
        <v>7531</v>
      </c>
      <c r="I2" s="24" t="s">
        <v>6407</v>
      </c>
      <c r="J2" s="5594">
        <f>G2</f>
        <v>450000</v>
      </c>
      <c r="K2" s="5594">
        <f>F2-J2</f>
        <v>0</v>
      </c>
      <c r="L2" s="180"/>
    </row>
    <row r="3" spans="1:12" ht="30" customHeight="1" x14ac:dyDescent="0.2">
      <c r="A3" s="8309"/>
      <c r="B3" s="8307" t="s">
        <v>5752</v>
      </c>
      <c r="C3" s="7723" t="s">
        <v>1300</v>
      </c>
      <c r="D3" s="5594">
        <v>5000000</v>
      </c>
      <c r="E3" s="5652">
        <v>7.0000000000000007E-2</v>
      </c>
      <c r="F3" s="5594">
        <f t="shared" ref="F3:F4" si="0">D3*E3</f>
        <v>350000.00000000006</v>
      </c>
      <c r="G3" s="7563">
        <v>700000</v>
      </c>
      <c r="H3" s="7563" t="s">
        <v>7531</v>
      </c>
      <c r="I3" s="7561" t="s">
        <v>6405</v>
      </c>
      <c r="J3" s="7563">
        <f>G3</f>
        <v>700000</v>
      </c>
      <c r="K3" s="7563">
        <f>(F3+F4)-J3</f>
        <v>0</v>
      </c>
      <c r="L3" s="736"/>
    </row>
    <row r="4" spans="1:12" ht="30" customHeight="1" x14ac:dyDescent="0.2">
      <c r="A4" s="8310"/>
      <c r="B4" s="8308"/>
      <c r="C4" s="7724"/>
      <c r="D4" s="5594">
        <v>5000000</v>
      </c>
      <c r="E4" s="5652">
        <v>7.0000000000000007E-2</v>
      </c>
      <c r="F4" s="5594">
        <f t="shared" si="0"/>
        <v>350000.00000000006</v>
      </c>
      <c r="G4" s="7564"/>
      <c r="H4" s="7564"/>
      <c r="I4" s="7562"/>
      <c r="J4" s="7564"/>
      <c r="K4" s="7564"/>
      <c r="L4" s="736"/>
    </row>
    <row r="5" spans="1:12" ht="30" customHeight="1" x14ac:dyDescent="0.2">
      <c r="A5" s="5655">
        <v>3</v>
      </c>
      <c r="B5" s="19" t="s">
        <v>285</v>
      </c>
      <c r="C5" s="5634" t="s">
        <v>359</v>
      </c>
      <c r="D5" s="5594">
        <v>36000000</v>
      </c>
      <c r="E5" s="5652">
        <v>7.0000000000000007E-2</v>
      </c>
      <c r="F5" s="5594">
        <v>2500000</v>
      </c>
      <c r="G5" s="5594">
        <v>2500000</v>
      </c>
      <c r="H5" s="5594" t="s">
        <v>1975</v>
      </c>
      <c r="I5" s="24" t="s">
        <v>2026</v>
      </c>
      <c r="J5" s="5594">
        <f>G5</f>
        <v>2500000</v>
      </c>
      <c r="K5" s="5594">
        <f>F5-J5</f>
        <v>0</v>
      </c>
      <c r="L5" s="5660"/>
    </row>
    <row r="6" spans="1:12" ht="30" customHeight="1" x14ac:dyDescent="0.2">
      <c r="A6" s="7654">
        <v>4</v>
      </c>
      <c r="B6" s="7652" t="s">
        <v>310</v>
      </c>
      <c r="C6" s="7723" t="s">
        <v>2644</v>
      </c>
      <c r="D6" s="7563">
        <v>800000000</v>
      </c>
      <c r="E6" s="7659">
        <v>6.7000000000000004E-2</v>
      </c>
      <c r="F6" s="7563">
        <f>D6*E6</f>
        <v>53600000</v>
      </c>
      <c r="G6" s="6128">
        <v>23600000</v>
      </c>
      <c r="H6" s="6128" t="s">
        <v>7310</v>
      </c>
      <c r="I6" s="6163" t="s">
        <v>7317</v>
      </c>
      <c r="J6" s="7563">
        <f>G6+G7+G8</f>
        <v>53600000</v>
      </c>
      <c r="K6" s="7563">
        <f>F6-J6</f>
        <v>0</v>
      </c>
      <c r="L6" s="637"/>
    </row>
    <row r="7" spans="1:12" ht="30" customHeight="1" x14ac:dyDescent="0.2">
      <c r="A7" s="7656"/>
      <c r="B7" s="7665"/>
      <c r="C7" s="7747"/>
      <c r="D7" s="7586"/>
      <c r="E7" s="7676"/>
      <c r="F7" s="7586"/>
      <c r="G7" s="6128">
        <v>15000000</v>
      </c>
      <c r="H7" s="6128" t="s">
        <v>7614</v>
      </c>
      <c r="I7" s="6163" t="s">
        <v>7317</v>
      </c>
      <c r="J7" s="7586"/>
      <c r="K7" s="7586"/>
      <c r="L7" s="3734" t="s">
        <v>7615</v>
      </c>
    </row>
    <row r="8" spans="1:12" ht="30" customHeight="1" x14ac:dyDescent="0.2">
      <c r="A8" s="7656"/>
      <c r="B8" s="7665"/>
      <c r="C8" s="7747"/>
      <c r="D8" s="7586"/>
      <c r="E8" s="7676"/>
      <c r="F8" s="7586"/>
      <c r="G8" s="6206">
        <v>15000000</v>
      </c>
      <c r="H8" s="7563" t="s">
        <v>7709</v>
      </c>
      <c r="I8" s="8115" t="s">
        <v>7317</v>
      </c>
      <c r="J8" s="7564"/>
      <c r="K8" s="7564"/>
      <c r="L8" s="3734"/>
    </row>
    <row r="9" spans="1:12" ht="30" customHeight="1" x14ac:dyDescent="0.2">
      <c r="A9" s="7655"/>
      <c r="B9" s="7653"/>
      <c r="C9" s="7724"/>
      <c r="D9" s="7564"/>
      <c r="E9" s="7660"/>
      <c r="F9" s="7564"/>
      <c r="G9" s="6128">
        <v>5000000</v>
      </c>
      <c r="H9" s="7564"/>
      <c r="I9" s="8116"/>
      <c r="J9" s="6128"/>
      <c r="K9" s="6128"/>
      <c r="L9" s="29"/>
    </row>
    <row r="10" spans="1:12" ht="30" customHeight="1" x14ac:dyDescent="0.2">
      <c r="A10" s="5596">
        <v>6</v>
      </c>
      <c r="B10" s="5658" t="s">
        <v>407</v>
      </c>
      <c r="C10" s="5633"/>
      <c r="D10" s="5594">
        <v>15000000</v>
      </c>
      <c r="E10" s="5652">
        <v>0.05</v>
      </c>
      <c r="F10" s="5594">
        <f t="shared" ref="F10:F29" si="1">D10*E10</f>
        <v>750000</v>
      </c>
      <c r="G10" s="5594"/>
      <c r="H10" s="5594"/>
      <c r="I10" s="24"/>
      <c r="J10" s="5594">
        <f t="shared" ref="J10:J11" si="2">G10</f>
        <v>0</v>
      </c>
      <c r="K10" s="5594">
        <f t="shared" ref="K10:K11" si="3">F10-J10</f>
        <v>750000</v>
      </c>
      <c r="L10" s="637"/>
    </row>
    <row r="11" spans="1:12" ht="30" customHeight="1" x14ac:dyDescent="0.2">
      <c r="A11" s="5596">
        <v>7</v>
      </c>
      <c r="B11" s="19" t="s">
        <v>102</v>
      </c>
      <c r="C11" s="5657" t="s">
        <v>889</v>
      </c>
      <c r="D11" s="5594">
        <v>45000000</v>
      </c>
      <c r="E11" s="5652">
        <v>0.05</v>
      </c>
      <c r="F11" s="5594">
        <f t="shared" si="1"/>
        <v>2250000</v>
      </c>
      <c r="G11" s="5594">
        <v>2250000</v>
      </c>
      <c r="H11" s="5594" t="s">
        <v>7427</v>
      </c>
      <c r="I11" s="5735" t="s">
        <v>6225</v>
      </c>
      <c r="J11" s="5594">
        <f t="shared" si="2"/>
        <v>2250000</v>
      </c>
      <c r="K11" s="5594">
        <f t="shared" si="3"/>
        <v>0</v>
      </c>
      <c r="L11" s="736"/>
    </row>
    <row r="12" spans="1:12" ht="30" customHeight="1" x14ac:dyDescent="0.2">
      <c r="A12" s="7654"/>
      <c r="B12" s="7652" t="s">
        <v>349</v>
      </c>
      <c r="C12" s="7723" t="s">
        <v>1287</v>
      </c>
      <c r="D12" s="5594">
        <v>650000000</v>
      </c>
      <c r="E12" s="5606">
        <v>0.06</v>
      </c>
      <c r="F12" s="5594">
        <f t="shared" si="1"/>
        <v>39000000</v>
      </c>
      <c r="G12" s="7991" t="s">
        <v>7406</v>
      </c>
      <c r="H12" s="7992"/>
      <c r="I12" s="7992"/>
      <c r="J12" s="7993"/>
      <c r="K12" s="5594">
        <f>F12-J12</f>
        <v>39000000</v>
      </c>
      <c r="L12" s="5690" t="s">
        <v>5261</v>
      </c>
    </row>
    <row r="13" spans="1:12" ht="30" customHeight="1" x14ac:dyDescent="0.2">
      <c r="A13" s="7656"/>
      <c r="B13" s="7665"/>
      <c r="C13" s="7747"/>
      <c r="D13" s="5887">
        <v>39000000</v>
      </c>
      <c r="E13" s="5889"/>
      <c r="F13" s="5887"/>
      <c r="G13" s="7997"/>
      <c r="H13" s="7998"/>
      <c r="I13" s="7998"/>
      <c r="J13" s="7999"/>
      <c r="K13" s="5887"/>
      <c r="L13" s="5897"/>
    </row>
    <row r="14" spans="1:12" ht="30" customHeight="1" x14ac:dyDescent="0.2">
      <c r="A14" s="7656"/>
      <c r="B14" s="7665"/>
      <c r="C14" s="7747"/>
      <c r="D14" s="5887">
        <v>50000000</v>
      </c>
      <c r="E14" s="5889"/>
      <c r="F14" s="5887"/>
      <c r="G14" s="7732" t="s">
        <v>7407</v>
      </c>
      <c r="H14" s="7733"/>
      <c r="I14" s="7733"/>
      <c r="J14" s="7734"/>
      <c r="K14" s="5887"/>
      <c r="L14" s="5897" t="s">
        <v>7411</v>
      </c>
    </row>
    <row r="15" spans="1:12" ht="30" customHeight="1" x14ac:dyDescent="0.2">
      <c r="A15" s="7656"/>
      <c r="B15" s="7665"/>
      <c r="C15" s="7747"/>
      <c r="D15" s="5887">
        <v>50000000</v>
      </c>
      <c r="E15" s="5889"/>
      <c r="F15" s="5887"/>
      <c r="G15" s="7732" t="s">
        <v>7408</v>
      </c>
      <c r="H15" s="7733"/>
      <c r="I15" s="7733"/>
      <c r="J15" s="7734"/>
      <c r="K15" s="5887"/>
      <c r="L15" s="5897" t="s">
        <v>7410</v>
      </c>
    </row>
    <row r="16" spans="1:12" ht="30" customHeight="1" x14ac:dyDescent="0.2">
      <c r="A16" s="7656"/>
      <c r="B16" s="7665"/>
      <c r="C16" s="7747"/>
      <c r="D16" s="5887">
        <v>100000000</v>
      </c>
      <c r="E16" s="5889"/>
      <c r="F16" s="5887"/>
      <c r="G16" s="7732" t="s">
        <v>7412</v>
      </c>
      <c r="H16" s="7733"/>
      <c r="I16" s="7733"/>
      <c r="J16" s="7734"/>
      <c r="K16" s="5887"/>
      <c r="L16" s="5897" t="s">
        <v>7409</v>
      </c>
    </row>
    <row r="17" spans="1:12" ht="30" customHeight="1" x14ac:dyDescent="0.2">
      <c r="A17" s="7656"/>
      <c r="B17" s="7665"/>
      <c r="C17" s="7747"/>
      <c r="D17" s="5887">
        <v>50000000</v>
      </c>
      <c r="E17" s="5889"/>
      <c r="F17" s="5887"/>
      <c r="G17" s="7732" t="s">
        <v>7413</v>
      </c>
      <c r="H17" s="7733"/>
      <c r="I17" s="7733"/>
      <c r="J17" s="7734"/>
      <c r="K17" s="5887"/>
      <c r="L17" s="5897" t="s">
        <v>7410</v>
      </c>
    </row>
    <row r="18" spans="1:12" ht="30" customHeight="1" x14ac:dyDescent="0.2">
      <c r="A18" s="7656"/>
      <c r="B18" s="7665"/>
      <c r="C18" s="7747"/>
      <c r="D18" s="5887">
        <v>61000000</v>
      </c>
      <c r="E18" s="5889"/>
      <c r="F18" s="5887"/>
      <c r="G18" s="7732" t="s">
        <v>7414</v>
      </c>
      <c r="H18" s="7733"/>
      <c r="I18" s="7733"/>
      <c r="J18" s="7734"/>
      <c r="K18" s="5887"/>
      <c r="L18" s="5897" t="s">
        <v>7410</v>
      </c>
    </row>
    <row r="19" spans="1:12" ht="30" customHeight="1" x14ac:dyDescent="0.2">
      <c r="A19" s="7655"/>
      <c r="B19" s="7653"/>
      <c r="C19" s="7724"/>
      <c r="D19" s="5910">
        <f>SUM(D12:D18)</f>
        <v>1000000000</v>
      </c>
      <c r="E19" s="5911"/>
      <c r="F19" s="5910"/>
      <c r="G19" s="5907"/>
      <c r="H19" s="5908"/>
      <c r="I19" s="5908"/>
      <c r="J19" s="5909"/>
      <c r="K19" s="5887"/>
      <c r="L19" s="5897" t="s">
        <v>7415</v>
      </c>
    </row>
    <row r="20" spans="1:12" ht="30" customHeight="1" x14ac:dyDescent="0.2">
      <c r="A20" s="7879">
        <v>10</v>
      </c>
      <c r="B20" s="7717" t="s">
        <v>999</v>
      </c>
      <c r="C20" s="7723" t="s">
        <v>1796</v>
      </c>
      <c r="D20" s="5594">
        <v>180000000</v>
      </c>
      <c r="E20" s="5652">
        <v>7.0000000000000007E-2</v>
      </c>
      <c r="F20" s="5594">
        <f t="shared" si="1"/>
        <v>12600000.000000002</v>
      </c>
      <c r="G20" s="5594">
        <v>5000000</v>
      </c>
      <c r="H20" s="5594" t="s">
        <v>7718</v>
      </c>
      <c r="I20" s="24" t="s">
        <v>7527</v>
      </c>
      <c r="J20" s="7563">
        <f>G20+G21</f>
        <v>13265000</v>
      </c>
      <c r="K20" s="7482"/>
      <c r="L20" s="180"/>
    </row>
    <row r="21" spans="1:12" ht="30" customHeight="1" x14ac:dyDescent="0.2">
      <c r="A21" s="7879"/>
      <c r="B21" s="7717"/>
      <c r="C21" s="7747"/>
      <c r="D21" s="7563">
        <v>50000000</v>
      </c>
      <c r="E21" s="7659">
        <v>0.08</v>
      </c>
      <c r="F21" s="7563">
        <f>D21*E21</f>
        <v>4000000</v>
      </c>
      <c r="G21" s="6127">
        <v>8265000</v>
      </c>
      <c r="H21" s="6127" t="s">
        <v>7727</v>
      </c>
      <c r="I21" s="24" t="s">
        <v>7527</v>
      </c>
      <c r="J21" s="7564"/>
      <c r="K21" s="7482"/>
      <c r="L21" s="6140" t="s">
        <v>7737</v>
      </c>
    </row>
    <row r="22" spans="1:12" ht="30" customHeight="1" x14ac:dyDescent="0.2">
      <c r="A22" s="7879"/>
      <c r="B22" s="7717"/>
      <c r="C22" s="7724"/>
      <c r="D22" s="7564"/>
      <c r="E22" s="7660"/>
      <c r="F22" s="7564"/>
      <c r="G22" s="8000" t="s">
        <v>7664</v>
      </c>
      <c r="H22" s="8000"/>
      <c r="I22" s="8000"/>
      <c r="J22" s="8000"/>
      <c r="K22" s="6127"/>
      <c r="L22" s="6140" t="s">
        <v>7663</v>
      </c>
    </row>
    <row r="23" spans="1:12" ht="30" customHeight="1" x14ac:dyDescent="0.2">
      <c r="A23" s="7879"/>
      <c r="B23" s="7717"/>
      <c r="C23" s="5657" t="s">
        <v>371</v>
      </c>
      <c r="D23" s="5586">
        <v>60000000</v>
      </c>
      <c r="E23" s="5652">
        <v>7.0000000000000007E-2</v>
      </c>
      <c r="F23" s="5586">
        <f>D23*E23</f>
        <v>4200000</v>
      </c>
      <c r="G23" s="7563">
        <v>7350000</v>
      </c>
      <c r="H23" s="7563" t="s">
        <v>7521</v>
      </c>
      <c r="I23" s="7657" t="s">
        <v>7527</v>
      </c>
      <c r="J23" s="7563">
        <f>G23</f>
        <v>7350000</v>
      </c>
      <c r="K23" s="7563">
        <f>(F23+F24+F25)-J23</f>
        <v>0</v>
      </c>
      <c r="L23" s="180"/>
    </row>
    <row r="24" spans="1:12" ht="30" customHeight="1" x14ac:dyDescent="0.2">
      <c r="A24" s="5597"/>
      <c r="B24" s="5601" t="s">
        <v>5565</v>
      </c>
      <c r="C24" s="5657" t="s">
        <v>371</v>
      </c>
      <c r="D24" s="5592">
        <v>25000000</v>
      </c>
      <c r="E24" s="5604">
        <v>7.0000000000000007E-2</v>
      </c>
      <c r="F24" s="5592">
        <f>D24*E24</f>
        <v>1750000.0000000002</v>
      </c>
      <c r="G24" s="7586"/>
      <c r="H24" s="7586"/>
      <c r="I24" s="7664"/>
      <c r="J24" s="7586"/>
      <c r="K24" s="7586"/>
      <c r="L24" s="180"/>
    </row>
    <row r="25" spans="1:12" ht="30" customHeight="1" x14ac:dyDescent="0.2">
      <c r="A25" s="7879"/>
      <c r="B25" s="7717" t="s">
        <v>7135</v>
      </c>
      <c r="C25" s="7873" t="s">
        <v>371</v>
      </c>
      <c r="D25" s="7482">
        <v>20000000</v>
      </c>
      <c r="E25" s="7870">
        <v>7.0000000000000007E-2</v>
      </c>
      <c r="F25" s="7482">
        <f>D25*E25</f>
        <v>1400000.0000000002</v>
      </c>
      <c r="G25" s="7586"/>
      <c r="H25" s="7586"/>
      <c r="I25" s="7664"/>
      <c r="J25" s="7586"/>
      <c r="K25" s="7586"/>
      <c r="L25" s="736" t="s">
        <v>7136</v>
      </c>
    </row>
    <row r="26" spans="1:12" ht="30" customHeight="1" x14ac:dyDescent="0.2">
      <c r="A26" s="7879"/>
      <c r="B26" s="7717"/>
      <c r="C26" s="7873"/>
      <c r="D26" s="7482"/>
      <c r="E26" s="7870"/>
      <c r="F26" s="7482"/>
      <c r="G26" s="7586"/>
      <c r="H26" s="7586"/>
      <c r="I26" s="7664"/>
      <c r="J26" s="7586"/>
      <c r="K26" s="7586"/>
      <c r="L26" s="736" t="s">
        <v>7137</v>
      </c>
    </row>
    <row r="27" spans="1:12" ht="30" customHeight="1" x14ac:dyDescent="0.2">
      <c r="A27" s="7879"/>
      <c r="B27" s="7717"/>
      <c r="C27" s="7873"/>
      <c r="D27" s="7482"/>
      <c r="E27" s="7870"/>
      <c r="F27" s="7482"/>
      <c r="G27" s="7564"/>
      <c r="H27" s="7564"/>
      <c r="I27" s="7658"/>
      <c r="J27" s="7564"/>
      <c r="K27" s="7564"/>
      <c r="L27" s="736" t="s">
        <v>7297</v>
      </c>
    </row>
    <row r="28" spans="1:12" ht="30" customHeight="1" x14ac:dyDescent="0.2">
      <c r="A28" s="7654">
        <v>11</v>
      </c>
      <c r="B28" s="7717" t="s">
        <v>393</v>
      </c>
      <c r="C28" s="7723" t="s">
        <v>359</v>
      </c>
      <c r="D28" s="5586">
        <v>15000000</v>
      </c>
      <c r="E28" s="5652">
        <v>7.0000000000000007E-2</v>
      </c>
      <c r="F28" s="5586">
        <f t="shared" si="1"/>
        <v>1050000</v>
      </c>
      <c r="G28" s="7563">
        <v>1300000</v>
      </c>
      <c r="H28" s="7563" t="s">
        <v>7531</v>
      </c>
      <c r="I28" s="8115" t="s">
        <v>394</v>
      </c>
      <c r="J28" s="7563">
        <f>G28+G29</f>
        <v>1300000</v>
      </c>
      <c r="K28" s="7563">
        <v>0</v>
      </c>
      <c r="L28" s="7713"/>
    </row>
    <row r="29" spans="1:12" ht="30" customHeight="1" x14ac:dyDescent="0.2">
      <c r="A29" s="7656"/>
      <c r="B29" s="7717"/>
      <c r="C29" s="7724"/>
      <c r="D29" s="5586">
        <v>5000000</v>
      </c>
      <c r="E29" s="5652">
        <v>0.05</v>
      </c>
      <c r="F29" s="5586">
        <f t="shared" si="1"/>
        <v>250000</v>
      </c>
      <c r="G29" s="7564"/>
      <c r="H29" s="7564"/>
      <c r="I29" s="8116"/>
      <c r="J29" s="7564"/>
      <c r="K29" s="7564"/>
      <c r="L29" s="7714"/>
    </row>
    <row r="30" spans="1:12" ht="30" customHeight="1" x14ac:dyDescent="0.2">
      <c r="A30" s="7654">
        <v>12</v>
      </c>
      <c r="B30" s="7652" t="s">
        <v>399</v>
      </c>
      <c r="C30" s="7723" t="s">
        <v>1172</v>
      </c>
      <c r="D30" s="5594">
        <v>75000000</v>
      </c>
      <c r="E30" s="5606">
        <f>F30/D30</f>
        <v>5.3333333333333337E-2</v>
      </c>
      <c r="F30" s="5594">
        <v>4000000</v>
      </c>
      <c r="G30" s="5594">
        <v>4000000</v>
      </c>
      <c r="H30" s="5594" t="s">
        <v>7424</v>
      </c>
      <c r="I30" s="52" t="s">
        <v>3728</v>
      </c>
      <c r="J30" s="5594">
        <f>G30</f>
        <v>4000000</v>
      </c>
      <c r="K30" s="5594">
        <f>F30-J30</f>
        <v>0</v>
      </c>
      <c r="L30" s="5620"/>
    </row>
    <row r="31" spans="1:12" ht="30" customHeight="1" x14ac:dyDescent="0.2">
      <c r="A31" s="7655"/>
      <c r="B31" s="7653"/>
      <c r="C31" s="7724"/>
      <c r="D31" s="5594">
        <v>10000000</v>
      </c>
      <c r="E31" s="5606"/>
      <c r="F31" s="5594"/>
      <c r="G31" s="5586"/>
      <c r="H31" s="5586"/>
      <c r="I31" s="5586"/>
      <c r="J31" s="5586"/>
      <c r="K31" s="5594"/>
      <c r="L31" s="5620" t="s">
        <v>7144</v>
      </c>
    </row>
    <row r="32" spans="1:12" ht="30" customHeight="1" x14ac:dyDescent="0.2">
      <c r="A32" s="5655"/>
      <c r="B32" s="19" t="s">
        <v>420</v>
      </c>
      <c r="C32" s="5657" t="s">
        <v>359</v>
      </c>
      <c r="D32" s="5586">
        <v>100000000</v>
      </c>
      <c r="E32" s="5652">
        <v>7.0000000000000007E-2</v>
      </c>
      <c r="F32" s="5586">
        <f t="shared" ref="F32:F41" si="4">D32*E32</f>
        <v>7000000.0000000009</v>
      </c>
      <c r="G32" s="1455">
        <v>7000000</v>
      </c>
      <c r="H32" s="1455" t="s">
        <v>3879</v>
      </c>
      <c r="I32" s="1455" t="s">
        <v>1946</v>
      </c>
      <c r="J32" s="5586">
        <f>G32</f>
        <v>7000000</v>
      </c>
      <c r="K32" s="5586">
        <f>F32-J32</f>
        <v>0</v>
      </c>
      <c r="L32" s="5690"/>
    </row>
    <row r="33" spans="1:12" ht="30" customHeight="1" x14ac:dyDescent="0.2">
      <c r="A33" s="7654">
        <v>14</v>
      </c>
      <c r="B33" s="7652" t="s">
        <v>428</v>
      </c>
      <c r="C33" s="7723" t="s">
        <v>1300</v>
      </c>
      <c r="D33" s="5594">
        <v>150000000</v>
      </c>
      <c r="E33" s="5606">
        <v>0.04</v>
      </c>
      <c r="F33" s="5594">
        <f t="shared" si="4"/>
        <v>6000000</v>
      </c>
      <c r="G33" s="7563">
        <v>8200000</v>
      </c>
      <c r="H33" s="7563" t="s">
        <v>7774</v>
      </c>
      <c r="I33" s="7762" t="s">
        <v>4061</v>
      </c>
      <c r="J33" s="7563">
        <f t="shared" ref="J33:J42" si="5">G33</f>
        <v>8200000</v>
      </c>
      <c r="K33" s="7563"/>
      <c r="L33" s="5616"/>
    </row>
    <row r="34" spans="1:12" ht="30" customHeight="1" x14ac:dyDescent="0.2">
      <c r="A34" s="7655"/>
      <c r="B34" s="7653"/>
      <c r="C34" s="7724"/>
      <c r="D34" s="5851">
        <v>200000000</v>
      </c>
      <c r="E34" s="5856"/>
      <c r="F34" s="5851"/>
      <c r="G34" s="7564"/>
      <c r="H34" s="7564"/>
      <c r="I34" s="7763"/>
      <c r="J34" s="7564"/>
      <c r="K34" s="7564"/>
      <c r="L34" s="5858" t="s">
        <v>7355</v>
      </c>
    </row>
    <row r="35" spans="1:12" ht="30" customHeight="1" x14ac:dyDescent="0.2">
      <c r="A35" s="7654"/>
      <c r="B35" s="7652" t="s">
        <v>4726</v>
      </c>
      <c r="C35" s="7723" t="s">
        <v>1138</v>
      </c>
      <c r="D35" s="7563">
        <v>350000000</v>
      </c>
      <c r="E35" s="7659">
        <v>7.0000000000000007E-2</v>
      </c>
      <c r="F35" s="7563">
        <f t="shared" si="4"/>
        <v>24500000.000000004</v>
      </c>
      <c r="G35" s="5594">
        <v>15000000</v>
      </c>
      <c r="H35" s="5594" t="s">
        <v>4168</v>
      </c>
      <c r="I35" s="64" t="s">
        <v>4814</v>
      </c>
      <c r="J35" s="7563">
        <f>G35+G36</f>
        <v>24500000</v>
      </c>
      <c r="K35" s="7563">
        <f>F35-J35</f>
        <v>0</v>
      </c>
      <c r="L35" s="7713" t="s">
        <v>6807</v>
      </c>
    </row>
    <row r="36" spans="1:12" ht="30" customHeight="1" x14ac:dyDescent="0.2">
      <c r="A36" s="7656"/>
      <c r="B36" s="7665"/>
      <c r="C36" s="7747"/>
      <c r="D36" s="7564"/>
      <c r="E36" s="7660"/>
      <c r="F36" s="7564"/>
      <c r="G36" s="5959">
        <v>9500000</v>
      </c>
      <c r="H36" s="5959" t="s">
        <v>7511</v>
      </c>
      <c r="I36" s="64" t="s">
        <v>4814</v>
      </c>
      <c r="J36" s="7564"/>
      <c r="K36" s="7564"/>
      <c r="L36" s="7714"/>
    </row>
    <row r="37" spans="1:12" ht="30" customHeight="1" x14ac:dyDescent="0.2">
      <c r="A37" s="7656"/>
      <c r="B37" s="7665"/>
      <c r="C37" s="7747"/>
      <c r="D37" s="7563">
        <v>350000000</v>
      </c>
      <c r="E37" s="7659">
        <v>7.0000000000000007E-2</v>
      </c>
      <c r="F37" s="7563">
        <f>D37*E37</f>
        <v>24500000.000000004</v>
      </c>
      <c r="G37" s="6168"/>
      <c r="H37" s="6168"/>
      <c r="I37" s="64"/>
      <c r="J37" s="6168"/>
      <c r="K37" s="6168"/>
      <c r="L37" s="6175" t="s">
        <v>7677</v>
      </c>
    </row>
    <row r="38" spans="1:12" ht="30" customHeight="1" x14ac:dyDescent="0.2">
      <c r="A38" s="7655"/>
      <c r="B38" s="7653"/>
      <c r="C38" s="7724"/>
      <c r="D38" s="7564"/>
      <c r="E38" s="7660"/>
      <c r="F38" s="7564"/>
      <c r="G38" s="5959"/>
      <c r="H38" s="5959"/>
      <c r="I38" s="64"/>
      <c r="J38" s="5959"/>
      <c r="K38" s="5959"/>
      <c r="L38" s="5974" t="s">
        <v>7678</v>
      </c>
    </row>
    <row r="39" spans="1:12" ht="30" customHeight="1" x14ac:dyDescent="0.2">
      <c r="A39" s="5655">
        <v>15</v>
      </c>
      <c r="B39" s="5613" t="s">
        <v>436</v>
      </c>
      <c r="C39" s="5657" t="s">
        <v>1300</v>
      </c>
      <c r="D39" s="5594">
        <v>100000000</v>
      </c>
      <c r="E39" s="5606">
        <v>0.05</v>
      </c>
      <c r="F39" s="5594">
        <f t="shared" si="4"/>
        <v>5000000</v>
      </c>
      <c r="G39" s="5586">
        <v>5000000</v>
      </c>
      <c r="H39" s="6124" t="s">
        <v>7614</v>
      </c>
      <c r="I39" s="5694" t="s">
        <v>7630</v>
      </c>
      <c r="J39" s="5586">
        <f>G39</f>
        <v>5000000</v>
      </c>
      <c r="K39" s="5586">
        <f>F39-J39</f>
        <v>0</v>
      </c>
      <c r="L39" s="5620"/>
    </row>
    <row r="40" spans="1:12" ht="30" customHeight="1" x14ac:dyDescent="0.2">
      <c r="A40" s="5655">
        <v>16</v>
      </c>
      <c r="B40" s="19" t="s">
        <v>487</v>
      </c>
      <c r="C40" s="5657" t="s">
        <v>889</v>
      </c>
      <c r="D40" s="5586">
        <v>80000000</v>
      </c>
      <c r="E40" s="5652">
        <v>0.04</v>
      </c>
      <c r="F40" s="5586">
        <f t="shared" si="4"/>
        <v>3200000</v>
      </c>
      <c r="G40" s="5586">
        <v>3200000</v>
      </c>
      <c r="H40" s="5586" t="s">
        <v>7531</v>
      </c>
      <c r="I40" s="5694" t="s">
        <v>4000</v>
      </c>
      <c r="J40" s="5586">
        <f t="shared" si="5"/>
        <v>3200000</v>
      </c>
      <c r="K40" s="5586">
        <f t="shared" ref="K40" si="6">F40-J40</f>
        <v>0</v>
      </c>
      <c r="L40" s="5706"/>
    </row>
    <row r="41" spans="1:12" ht="30" customHeight="1" x14ac:dyDescent="0.2">
      <c r="A41" s="5655">
        <v>17</v>
      </c>
      <c r="B41" s="5613" t="s">
        <v>747</v>
      </c>
      <c r="C41" s="5657" t="s">
        <v>1289</v>
      </c>
      <c r="D41" s="5594">
        <v>150000000</v>
      </c>
      <c r="E41" s="5606">
        <v>0.06</v>
      </c>
      <c r="F41" s="5594">
        <f t="shared" si="4"/>
        <v>9000000</v>
      </c>
      <c r="G41" s="5592"/>
      <c r="H41" s="5592"/>
      <c r="I41" s="5645" t="s">
        <v>3208</v>
      </c>
      <c r="J41" s="5592">
        <f>G41</f>
        <v>0</v>
      </c>
      <c r="K41" s="5592">
        <f>F41-J41</f>
        <v>9000000</v>
      </c>
      <c r="L41" s="5616"/>
    </row>
    <row r="42" spans="1:12" ht="30" customHeight="1" x14ac:dyDescent="0.2">
      <c r="A42" s="7879">
        <v>19</v>
      </c>
      <c r="B42" s="7652" t="s">
        <v>560</v>
      </c>
      <c r="C42" s="7723" t="s">
        <v>1300</v>
      </c>
      <c r="D42" s="5594">
        <v>50000000</v>
      </c>
      <c r="E42" s="7659">
        <f>F42/(D42+D43)</f>
        <v>0.05</v>
      </c>
      <c r="F42" s="7563">
        <v>3250000</v>
      </c>
      <c r="G42" s="7563">
        <v>4750000</v>
      </c>
      <c r="H42" s="7563" t="s">
        <v>7709</v>
      </c>
      <c r="I42" s="7762" t="s">
        <v>4401</v>
      </c>
      <c r="J42" s="7563">
        <f t="shared" si="5"/>
        <v>4750000</v>
      </c>
      <c r="K42" s="7563">
        <f>(F42+F44)-G42</f>
        <v>0</v>
      </c>
      <c r="L42" s="5674"/>
    </row>
    <row r="43" spans="1:12" ht="30" customHeight="1" x14ac:dyDescent="0.2">
      <c r="A43" s="7879"/>
      <c r="B43" s="7665"/>
      <c r="C43" s="7747"/>
      <c r="D43" s="5594">
        <v>15000000</v>
      </c>
      <c r="E43" s="7660"/>
      <c r="F43" s="7564"/>
      <c r="G43" s="7586"/>
      <c r="H43" s="7586"/>
      <c r="I43" s="8114"/>
      <c r="J43" s="7586"/>
      <c r="K43" s="7586"/>
      <c r="L43" s="5674"/>
    </row>
    <row r="44" spans="1:12" ht="30" customHeight="1" x14ac:dyDescent="0.2">
      <c r="A44" s="7879"/>
      <c r="B44" s="7653"/>
      <c r="C44" s="7724"/>
      <c r="D44" s="5594">
        <v>30000000</v>
      </c>
      <c r="E44" s="5606">
        <v>0.05</v>
      </c>
      <c r="F44" s="5594">
        <f>E44*D44</f>
        <v>1500000</v>
      </c>
      <c r="G44" s="7564"/>
      <c r="H44" s="7564"/>
      <c r="I44" s="7763"/>
      <c r="J44" s="7564"/>
      <c r="K44" s="7564"/>
      <c r="L44" s="5674"/>
    </row>
    <row r="45" spans="1:12" ht="30" customHeight="1" x14ac:dyDescent="0.2">
      <c r="A45" s="7654">
        <v>22</v>
      </c>
      <c r="B45" s="7652" t="s">
        <v>658</v>
      </c>
      <c r="C45" s="7723" t="s">
        <v>1287</v>
      </c>
      <c r="D45" s="7563">
        <v>300000000</v>
      </c>
      <c r="E45" s="7659">
        <v>7.0000000000000007E-2</v>
      </c>
      <c r="F45" s="7563">
        <f>D45*E45</f>
        <v>21000000.000000004</v>
      </c>
      <c r="G45" s="5594">
        <v>10000000</v>
      </c>
      <c r="H45" s="5594" t="s">
        <v>7614</v>
      </c>
      <c r="I45" s="5594" t="s">
        <v>7624</v>
      </c>
      <c r="J45" s="7563">
        <f>G45+G46</f>
        <v>21000000</v>
      </c>
      <c r="K45" s="7563">
        <f>F45-J45</f>
        <v>0</v>
      </c>
      <c r="L45" s="5690"/>
    </row>
    <row r="46" spans="1:12" ht="30" customHeight="1" x14ac:dyDescent="0.2">
      <c r="A46" s="7655"/>
      <c r="B46" s="7653"/>
      <c r="C46" s="7724"/>
      <c r="D46" s="7564"/>
      <c r="E46" s="7660"/>
      <c r="F46" s="7564"/>
      <c r="G46" s="6224">
        <v>11000000</v>
      </c>
      <c r="H46" s="6224" t="s">
        <v>7718</v>
      </c>
      <c r="I46" s="6224" t="s">
        <v>7624</v>
      </c>
      <c r="J46" s="7564"/>
      <c r="K46" s="7564"/>
      <c r="L46" s="6228"/>
    </row>
    <row r="47" spans="1:12" ht="30" customHeight="1" x14ac:dyDescent="0.2">
      <c r="A47" s="7654"/>
      <c r="B47" s="7652" t="s">
        <v>7576</v>
      </c>
      <c r="C47" s="7723"/>
      <c r="D47" s="7563">
        <v>91000000</v>
      </c>
      <c r="E47" s="7659">
        <v>0.06</v>
      </c>
      <c r="F47" s="7563">
        <v>5500000</v>
      </c>
      <c r="G47" s="7470" t="s">
        <v>7578</v>
      </c>
      <c r="H47" s="7493"/>
      <c r="I47" s="7493"/>
      <c r="J47" s="7510"/>
      <c r="K47" s="7563"/>
      <c r="L47" s="7713" t="s">
        <v>7577</v>
      </c>
    </row>
    <row r="48" spans="1:12" ht="30" customHeight="1" x14ac:dyDescent="0.2">
      <c r="A48" s="7656"/>
      <c r="B48" s="7665"/>
      <c r="C48" s="7747"/>
      <c r="D48" s="7586"/>
      <c r="E48" s="7676"/>
      <c r="F48" s="7586"/>
      <c r="G48" s="7732" t="s">
        <v>7579</v>
      </c>
      <c r="H48" s="7733"/>
      <c r="I48" s="7733"/>
      <c r="J48" s="7734"/>
      <c r="K48" s="7586"/>
      <c r="L48" s="7797"/>
    </row>
    <row r="49" spans="1:14" ht="30" customHeight="1" x14ac:dyDescent="0.2">
      <c r="A49" s="7655"/>
      <c r="B49" s="7653"/>
      <c r="C49" s="7724"/>
      <c r="D49" s="7564"/>
      <c r="E49" s="7660"/>
      <c r="F49" s="7564"/>
      <c r="G49" s="7732" t="s">
        <v>7580</v>
      </c>
      <c r="H49" s="7733"/>
      <c r="I49" s="7733"/>
      <c r="J49" s="7734"/>
      <c r="K49" s="7564"/>
      <c r="L49" s="7714"/>
    </row>
    <row r="50" spans="1:14" ht="30" customHeight="1" x14ac:dyDescent="0.2">
      <c r="A50" s="5655">
        <v>23</v>
      </c>
      <c r="B50" s="19" t="s">
        <v>2121</v>
      </c>
      <c r="C50" s="5657" t="s">
        <v>3390</v>
      </c>
      <c r="D50" s="5594">
        <v>150000000</v>
      </c>
      <c r="E50" s="5606">
        <v>7.0000000000000007E-2</v>
      </c>
      <c r="F50" s="5594">
        <f>D50*E50</f>
        <v>10500000.000000002</v>
      </c>
      <c r="G50" s="5586">
        <v>10500000</v>
      </c>
      <c r="H50" s="5586" t="s">
        <v>7786</v>
      </c>
      <c r="I50" s="5694" t="s">
        <v>3704</v>
      </c>
      <c r="J50" s="5586">
        <f>G50</f>
        <v>10500000</v>
      </c>
      <c r="K50" s="5586">
        <f>F50-J50</f>
        <v>0</v>
      </c>
      <c r="L50" s="736"/>
    </row>
    <row r="51" spans="1:14" ht="30" customHeight="1" x14ac:dyDescent="0.2">
      <c r="A51" s="5655"/>
      <c r="B51" s="19" t="s">
        <v>3618</v>
      </c>
      <c r="C51" s="5657" t="s">
        <v>3390</v>
      </c>
      <c r="D51" s="5594">
        <v>70000000</v>
      </c>
      <c r="E51" s="5606">
        <v>0.06</v>
      </c>
      <c r="F51" s="5594">
        <f>D51*E51</f>
        <v>4200000</v>
      </c>
      <c r="G51" s="5586">
        <v>4200000</v>
      </c>
      <c r="H51" s="5586" t="s">
        <v>7727</v>
      </c>
      <c r="I51" s="5694" t="s">
        <v>7732</v>
      </c>
      <c r="J51" s="5586">
        <f>G51</f>
        <v>4200000</v>
      </c>
      <c r="K51" s="5586">
        <f>F51-J51</f>
        <v>0</v>
      </c>
      <c r="L51" s="29"/>
    </row>
    <row r="52" spans="1:14" ht="30" customHeight="1" x14ac:dyDescent="0.2">
      <c r="A52" s="7654">
        <v>25</v>
      </c>
      <c r="B52" s="7652" t="s">
        <v>718</v>
      </c>
      <c r="C52" s="7723" t="s">
        <v>1296</v>
      </c>
      <c r="D52" s="7563">
        <v>60000000</v>
      </c>
      <c r="E52" s="7659">
        <v>5.8000000000000003E-2</v>
      </c>
      <c r="F52" s="7563">
        <v>3500000</v>
      </c>
      <c r="G52" s="5592">
        <v>3500000</v>
      </c>
      <c r="H52" s="5592" t="s">
        <v>7281</v>
      </c>
      <c r="I52" s="5645" t="s">
        <v>4135</v>
      </c>
      <c r="J52" s="5592">
        <f>G52</f>
        <v>3500000</v>
      </c>
      <c r="K52" s="5592">
        <f>F52-J52</f>
        <v>0</v>
      </c>
      <c r="L52" s="5620" t="s">
        <v>6807</v>
      </c>
      <c r="M52" s="366"/>
      <c r="N52" s="366"/>
    </row>
    <row r="53" spans="1:14" ht="30" customHeight="1" x14ac:dyDescent="0.2">
      <c r="A53" s="7656"/>
      <c r="B53" s="7665"/>
      <c r="C53" s="7747"/>
      <c r="D53" s="7564"/>
      <c r="E53" s="7660"/>
      <c r="F53" s="7564"/>
      <c r="G53" s="6204">
        <v>3500000</v>
      </c>
      <c r="H53" s="6204" t="s">
        <v>7709</v>
      </c>
      <c r="I53" s="6220" t="s">
        <v>4135</v>
      </c>
      <c r="J53" s="6204">
        <f>G53</f>
        <v>3500000</v>
      </c>
      <c r="K53" s="6205">
        <f>F52-J53</f>
        <v>0</v>
      </c>
      <c r="L53" s="6210" t="s">
        <v>7501</v>
      </c>
      <c r="M53" s="366"/>
      <c r="N53" s="366"/>
    </row>
    <row r="54" spans="1:14" ht="30" customHeight="1" x14ac:dyDescent="0.2">
      <c r="A54" s="7656"/>
      <c r="B54" s="7665"/>
      <c r="C54" s="7747"/>
      <c r="D54" s="5850">
        <v>10000000</v>
      </c>
      <c r="E54" s="5855"/>
      <c r="F54" s="5850"/>
      <c r="G54" s="7732" t="s">
        <v>7349</v>
      </c>
      <c r="H54" s="7733"/>
      <c r="I54" s="7733"/>
      <c r="J54" s="7734"/>
      <c r="K54" s="5850"/>
      <c r="L54" s="5858"/>
      <c r="M54" s="366"/>
      <c r="N54" s="366"/>
    </row>
    <row r="55" spans="1:14" ht="30" customHeight="1" x14ac:dyDescent="0.2">
      <c r="A55" s="7656"/>
      <c r="B55" s="7665"/>
      <c r="C55" s="7747"/>
      <c r="D55" s="5850">
        <v>10000000</v>
      </c>
      <c r="E55" s="5855"/>
      <c r="F55" s="5850"/>
      <c r="G55" s="7732" t="s">
        <v>7350</v>
      </c>
      <c r="H55" s="7733"/>
      <c r="I55" s="7733"/>
      <c r="J55" s="7734"/>
      <c r="K55" s="5850"/>
      <c r="L55" s="5858"/>
      <c r="M55" s="366"/>
      <c r="N55" s="366"/>
    </row>
    <row r="56" spans="1:14" ht="30" customHeight="1" x14ac:dyDescent="0.2">
      <c r="A56" s="7655"/>
      <c r="B56" s="7653"/>
      <c r="C56" s="7724"/>
      <c r="D56" s="6061">
        <f>SUM(D52:D55)</f>
        <v>80000000</v>
      </c>
      <c r="E56" s="6060">
        <v>7.0000000000000007E-2</v>
      </c>
      <c r="F56" s="6061">
        <f>D56*E56</f>
        <v>5600000.0000000009</v>
      </c>
      <c r="G56" s="6057"/>
      <c r="H56" s="6058"/>
      <c r="I56" s="6058"/>
      <c r="J56" s="6059"/>
      <c r="K56" s="6049"/>
      <c r="L56" s="6056" t="s">
        <v>7560</v>
      </c>
      <c r="M56" s="366"/>
      <c r="N56" s="366"/>
    </row>
    <row r="57" spans="1:14" ht="30" customHeight="1" x14ac:dyDescent="0.2">
      <c r="A57" s="5655"/>
      <c r="B57" s="5613" t="s">
        <v>6215</v>
      </c>
      <c r="C57" s="5657"/>
      <c r="D57" s="5586">
        <v>30000000</v>
      </c>
      <c r="E57" s="5652">
        <v>0.05</v>
      </c>
      <c r="F57" s="5586">
        <f>D57*E57</f>
        <v>1500000</v>
      </c>
      <c r="G57" s="5586">
        <v>1500000</v>
      </c>
      <c r="H57" s="5586" t="s">
        <v>7460</v>
      </c>
      <c r="I57" s="5586" t="s">
        <v>7475</v>
      </c>
      <c r="J57" s="5586">
        <f>G57</f>
        <v>1500000</v>
      </c>
      <c r="K57" s="5586">
        <f>F57-J57</f>
        <v>0</v>
      </c>
      <c r="L57" s="5690"/>
      <c r="M57" s="366"/>
      <c r="N57" s="366"/>
    </row>
    <row r="58" spans="1:14" ht="30" customHeight="1" x14ac:dyDescent="0.2">
      <c r="A58" s="7879"/>
      <c r="B58" s="7717" t="s">
        <v>7351</v>
      </c>
      <c r="C58" s="7873"/>
      <c r="D58" s="7482">
        <v>30000000</v>
      </c>
      <c r="E58" s="7870">
        <v>7.0000000000000007E-2</v>
      </c>
      <c r="F58" s="7482">
        <f>D58*E58</f>
        <v>2100000</v>
      </c>
      <c r="G58" s="7732" t="s">
        <v>7352</v>
      </c>
      <c r="H58" s="7733"/>
      <c r="I58" s="7733"/>
      <c r="J58" s="7734"/>
      <c r="K58" s="5847"/>
      <c r="L58" s="7713" t="s">
        <v>7561</v>
      </c>
      <c r="M58" s="366"/>
      <c r="N58" s="366"/>
    </row>
    <row r="59" spans="1:14" ht="30" customHeight="1" x14ac:dyDescent="0.2">
      <c r="A59" s="7879"/>
      <c r="B59" s="7717"/>
      <c r="C59" s="7873"/>
      <c r="D59" s="7482"/>
      <c r="E59" s="7870"/>
      <c r="F59" s="7482"/>
      <c r="G59" s="7732" t="s">
        <v>7353</v>
      </c>
      <c r="H59" s="7733"/>
      <c r="I59" s="7733"/>
      <c r="J59" s="7734"/>
      <c r="K59" s="5847"/>
      <c r="L59" s="7797"/>
      <c r="M59" s="366"/>
      <c r="N59" s="366"/>
    </row>
    <row r="60" spans="1:14" ht="30" customHeight="1" x14ac:dyDescent="0.2">
      <c r="A60" s="7879"/>
      <c r="B60" s="7717"/>
      <c r="C60" s="7873"/>
      <c r="D60" s="7482"/>
      <c r="E60" s="7870"/>
      <c r="F60" s="7482"/>
      <c r="G60" s="7732" t="s">
        <v>7354</v>
      </c>
      <c r="H60" s="7733"/>
      <c r="I60" s="7733"/>
      <c r="J60" s="7734"/>
      <c r="K60" s="5847"/>
      <c r="L60" s="7714"/>
      <c r="M60" s="366"/>
      <c r="N60" s="366"/>
    </row>
    <row r="61" spans="1:14" ht="30" customHeight="1" x14ac:dyDescent="0.2">
      <c r="A61" s="7654"/>
      <c r="B61" s="7652" t="s">
        <v>803</v>
      </c>
      <c r="C61" s="7723" t="s">
        <v>359</v>
      </c>
      <c r="D61" s="7563">
        <v>700000000</v>
      </c>
      <c r="E61" s="7659">
        <v>0.05</v>
      </c>
      <c r="F61" s="7563">
        <f t="shared" ref="F61:F79" si="7">D61*E61</f>
        <v>35000000</v>
      </c>
      <c r="G61" s="5594">
        <v>15000000</v>
      </c>
      <c r="H61" s="5594" t="s">
        <v>1975</v>
      </c>
      <c r="I61" s="5594" t="s">
        <v>3156</v>
      </c>
      <c r="J61" s="7563">
        <f>G61+G62</f>
        <v>35000000</v>
      </c>
      <c r="K61" s="7563">
        <f>F61-J61</f>
        <v>0</v>
      </c>
      <c r="L61" s="29"/>
      <c r="M61" s="366"/>
      <c r="N61" s="366"/>
    </row>
    <row r="62" spans="1:14" ht="30" customHeight="1" x14ac:dyDescent="0.2">
      <c r="A62" s="7655"/>
      <c r="B62" s="7653"/>
      <c r="C62" s="7724"/>
      <c r="D62" s="7564"/>
      <c r="E62" s="7660"/>
      <c r="F62" s="7564"/>
      <c r="G62" s="6167">
        <v>20000000</v>
      </c>
      <c r="H62" s="6167" t="s">
        <v>7668</v>
      </c>
      <c r="I62" s="6167" t="s">
        <v>3156</v>
      </c>
      <c r="J62" s="7564"/>
      <c r="K62" s="7564"/>
      <c r="L62" s="29"/>
      <c r="M62" s="366"/>
      <c r="N62" s="366"/>
    </row>
    <row r="63" spans="1:14" ht="30" customHeight="1" x14ac:dyDescent="0.2">
      <c r="A63" s="5596">
        <v>27</v>
      </c>
      <c r="B63" s="5658" t="s">
        <v>807</v>
      </c>
      <c r="C63" s="5633" t="s">
        <v>1299</v>
      </c>
      <c r="D63" s="5592">
        <v>650000000</v>
      </c>
      <c r="E63" s="5604">
        <v>7.0000000000000007E-2</v>
      </c>
      <c r="F63" s="5592">
        <f t="shared" si="7"/>
        <v>45500000.000000007</v>
      </c>
      <c r="G63" s="5592">
        <v>45500000</v>
      </c>
      <c r="H63" s="5592" t="s">
        <v>4168</v>
      </c>
      <c r="I63" s="5645" t="s">
        <v>3034</v>
      </c>
      <c r="J63" s="5592">
        <f t="shared" ref="J63:J74" si="8">G63</f>
        <v>45500000</v>
      </c>
      <c r="K63" s="5592">
        <f>F63-J63</f>
        <v>0</v>
      </c>
      <c r="L63" s="736" t="s">
        <v>6807</v>
      </c>
      <c r="M63" s="366"/>
      <c r="N63" s="366"/>
    </row>
    <row r="64" spans="1:14" ht="30" customHeight="1" x14ac:dyDescent="0.2">
      <c r="A64" s="7654"/>
      <c r="B64" s="7717" t="s">
        <v>3369</v>
      </c>
      <c r="C64" s="7873" t="s">
        <v>1299</v>
      </c>
      <c r="D64" s="7482">
        <v>700000000</v>
      </c>
      <c r="E64" s="7870">
        <v>0.06</v>
      </c>
      <c r="F64" s="7482">
        <f t="shared" si="7"/>
        <v>42000000</v>
      </c>
      <c r="G64" s="6124">
        <v>10000000</v>
      </c>
      <c r="H64" s="6124" t="s">
        <v>3879</v>
      </c>
      <c r="I64" s="6124" t="s">
        <v>7620</v>
      </c>
      <c r="J64" s="6124">
        <f>G64</f>
        <v>10000000</v>
      </c>
      <c r="K64" s="6124"/>
      <c r="L64" s="736" t="s">
        <v>5196</v>
      </c>
      <c r="M64" s="366"/>
      <c r="N64" s="366"/>
    </row>
    <row r="65" spans="1:14" ht="30" customHeight="1" x14ac:dyDescent="0.2">
      <c r="A65" s="7656"/>
      <c r="B65" s="7717"/>
      <c r="C65" s="7873"/>
      <c r="D65" s="7482"/>
      <c r="E65" s="7870"/>
      <c r="F65" s="7482"/>
      <c r="G65" s="6124">
        <v>10000000</v>
      </c>
      <c r="H65" s="6124" t="s">
        <v>7614</v>
      </c>
      <c r="I65" s="6124" t="s">
        <v>7620</v>
      </c>
      <c r="J65" s="7563">
        <f>G65+G66+G67</f>
        <v>42000000</v>
      </c>
      <c r="K65" s="7563">
        <f>F64-J65</f>
        <v>0</v>
      </c>
      <c r="L65" s="180"/>
      <c r="M65" s="366"/>
      <c r="N65" s="366"/>
    </row>
    <row r="66" spans="1:14" ht="30" customHeight="1" x14ac:dyDescent="0.2">
      <c r="A66" s="7656"/>
      <c r="B66" s="7717"/>
      <c r="C66" s="7873"/>
      <c r="D66" s="7482"/>
      <c r="E66" s="7870"/>
      <c r="F66" s="7482"/>
      <c r="G66" s="6124">
        <v>20000000</v>
      </c>
      <c r="H66" s="6124" t="s">
        <v>2830</v>
      </c>
      <c r="I66" s="6124" t="s">
        <v>7620</v>
      </c>
      <c r="J66" s="7586"/>
      <c r="K66" s="7586"/>
      <c r="L66" s="180"/>
      <c r="M66" s="366"/>
      <c r="N66" s="366"/>
    </row>
    <row r="67" spans="1:14" ht="30" customHeight="1" x14ac:dyDescent="0.2">
      <c r="A67" s="7655"/>
      <c r="B67" s="7717"/>
      <c r="C67" s="7873"/>
      <c r="D67" s="7482"/>
      <c r="E67" s="7870"/>
      <c r="F67" s="7482"/>
      <c r="G67" s="6124">
        <v>12000000</v>
      </c>
      <c r="H67" s="6124" t="s">
        <v>2830</v>
      </c>
      <c r="I67" s="6124" t="s">
        <v>7620</v>
      </c>
      <c r="J67" s="7564"/>
      <c r="K67" s="7564"/>
      <c r="L67" s="180"/>
      <c r="M67" s="366"/>
      <c r="N67" s="366"/>
    </row>
    <row r="68" spans="1:14" ht="30" customHeight="1" x14ac:dyDescent="0.2">
      <c r="A68" s="7654">
        <v>29</v>
      </c>
      <c r="B68" s="7665" t="s">
        <v>839</v>
      </c>
      <c r="C68" s="6143" t="s">
        <v>1306</v>
      </c>
      <c r="D68" s="6004">
        <v>42000000</v>
      </c>
      <c r="E68" s="6005">
        <v>7.0000000000000007E-2</v>
      </c>
      <c r="F68" s="6004">
        <f t="shared" si="7"/>
        <v>2940000.0000000005</v>
      </c>
      <c r="G68" s="5593">
        <v>2940000</v>
      </c>
      <c r="H68" s="5654" t="s">
        <v>7293</v>
      </c>
      <c r="I68" s="1537" t="s">
        <v>5851</v>
      </c>
      <c r="J68" s="5593">
        <f t="shared" si="8"/>
        <v>2940000</v>
      </c>
      <c r="K68" s="6128">
        <f t="shared" ref="K68:K74" si="9">F68-J68</f>
        <v>0</v>
      </c>
      <c r="L68" s="6026" t="s">
        <v>7106</v>
      </c>
      <c r="M68" s="366"/>
      <c r="N68" s="366"/>
    </row>
    <row r="69" spans="1:14" ht="30" customHeight="1" x14ac:dyDescent="0.2">
      <c r="A69" s="7656"/>
      <c r="B69" s="7665"/>
      <c r="C69" s="5633" t="s">
        <v>4105</v>
      </c>
      <c r="D69" s="5960">
        <v>384000000</v>
      </c>
      <c r="E69" s="2519">
        <v>5.1999999999999998E-2</v>
      </c>
      <c r="F69" s="5960">
        <v>20000000</v>
      </c>
      <c r="G69" s="7732" t="s">
        <v>7482</v>
      </c>
      <c r="H69" s="7733"/>
      <c r="I69" s="7733"/>
      <c r="J69" s="7734"/>
      <c r="K69" s="5593"/>
      <c r="L69" s="6026" t="s">
        <v>7480</v>
      </c>
      <c r="M69" s="366"/>
      <c r="N69" s="366"/>
    </row>
    <row r="70" spans="1:14" ht="30" customHeight="1" x14ac:dyDescent="0.2">
      <c r="A70" s="7655"/>
      <c r="B70" s="7653"/>
      <c r="C70" s="5976" t="s">
        <v>1306</v>
      </c>
      <c r="D70" s="6004">
        <v>42000000</v>
      </c>
      <c r="E70" s="6005">
        <v>7.0000000000000007E-2</v>
      </c>
      <c r="F70" s="6004">
        <f t="shared" ref="F70" si="10">D70*E70</f>
        <v>2940000.0000000005</v>
      </c>
      <c r="G70" s="6364">
        <v>2940000</v>
      </c>
      <c r="H70" s="6364" t="s">
        <v>7795</v>
      </c>
      <c r="I70" s="6364" t="s">
        <v>7807</v>
      </c>
      <c r="J70" s="6364">
        <f>G70</f>
        <v>2940000</v>
      </c>
      <c r="K70" s="6364">
        <f>F70-J70</f>
        <v>0</v>
      </c>
      <c r="L70" s="6027" t="s">
        <v>7481</v>
      </c>
      <c r="M70" s="366"/>
      <c r="N70" s="366"/>
    </row>
    <row r="71" spans="1:14" s="1539" customFormat="1" ht="30" customHeight="1" x14ac:dyDescent="0.2">
      <c r="A71" s="5655">
        <v>30</v>
      </c>
      <c r="B71" s="5613" t="s">
        <v>843</v>
      </c>
      <c r="C71" s="7723" t="s">
        <v>1107</v>
      </c>
      <c r="D71" s="5586">
        <v>40000000</v>
      </c>
      <c r="E71" s="5652">
        <v>0.05</v>
      </c>
      <c r="F71" s="5586">
        <f t="shared" si="7"/>
        <v>2000000</v>
      </c>
      <c r="G71" s="5586"/>
      <c r="H71" s="5586"/>
      <c r="I71" s="5694" t="s">
        <v>7208</v>
      </c>
      <c r="J71" s="5586">
        <f>G71</f>
        <v>0</v>
      </c>
      <c r="K71" s="5586">
        <f>F71-J71</f>
        <v>2000000</v>
      </c>
      <c r="L71" s="7713" t="s">
        <v>7489</v>
      </c>
      <c r="M71" s="9"/>
      <c r="N71" s="9"/>
    </row>
    <row r="72" spans="1:14" s="184" customFormat="1" ht="30" customHeight="1" x14ac:dyDescent="0.2">
      <c r="A72" s="7654"/>
      <c r="B72" s="7652" t="s">
        <v>3006</v>
      </c>
      <c r="C72" s="7747"/>
      <c r="D72" s="5956">
        <v>50000000</v>
      </c>
      <c r="E72" s="5987"/>
      <c r="F72" s="5956"/>
      <c r="G72" s="7732" t="s">
        <v>7057</v>
      </c>
      <c r="H72" s="7733"/>
      <c r="I72" s="7733"/>
      <c r="J72" s="7734"/>
      <c r="K72" s="5957"/>
      <c r="L72" s="7714"/>
      <c r="M72" s="1659"/>
      <c r="N72" s="1659"/>
    </row>
    <row r="73" spans="1:14" s="184" customFormat="1" ht="30" customHeight="1" x14ac:dyDescent="0.2">
      <c r="A73" s="7655"/>
      <c r="B73" s="7653"/>
      <c r="C73" s="7724"/>
      <c r="D73" s="5998">
        <v>90000000</v>
      </c>
      <c r="E73" s="6006">
        <v>7.0000000000000007E-2</v>
      </c>
      <c r="F73" s="5998">
        <f>D73*E73</f>
        <v>6300000.0000000009</v>
      </c>
      <c r="G73" s="5956">
        <v>7000000</v>
      </c>
      <c r="H73" s="5956" t="s">
        <v>7691</v>
      </c>
      <c r="I73" s="5956" t="s">
        <v>3343</v>
      </c>
      <c r="J73" s="5956">
        <f>G73</f>
        <v>7000000</v>
      </c>
      <c r="K73" s="5957">
        <f>F73-J73</f>
        <v>-699999.99999999907</v>
      </c>
      <c r="L73" s="5979" t="s">
        <v>7694</v>
      </c>
      <c r="M73" s="1659"/>
      <c r="N73" s="1659"/>
    </row>
    <row r="74" spans="1:14" ht="30" customHeight="1" x14ac:dyDescent="0.2">
      <c r="A74" s="5596">
        <v>31</v>
      </c>
      <c r="B74" s="5658" t="s">
        <v>915</v>
      </c>
      <c r="C74" s="5633" t="s">
        <v>1107</v>
      </c>
      <c r="D74" s="5586">
        <v>100000000</v>
      </c>
      <c r="E74" s="5652">
        <v>7.0000000000000007E-2</v>
      </c>
      <c r="F74" s="5586">
        <f t="shared" si="7"/>
        <v>7000000.0000000009</v>
      </c>
      <c r="G74" s="5594">
        <v>7000000</v>
      </c>
      <c r="H74" s="5643" t="s">
        <v>7774</v>
      </c>
      <c r="I74" s="64" t="s">
        <v>3195</v>
      </c>
      <c r="J74" s="5592">
        <f t="shared" si="8"/>
        <v>7000000</v>
      </c>
      <c r="K74" s="5592">
        <f t="shared" si="9"/>
        <v>0</v>
      </c>
      <c r="L74" s="5615"/>
      <c r="M74" s="366"/>
      <c r="N74" s="366"/>
    </row>
    <row r="75" spans="1:14" ht="30" customHeight="1" x14ac:dyDescent="0.2">
      <c r="A75" s="7654">
        <v>32</v>
      </c>
      <c r="B75" s="7652" t="s">
        <v>982</v>
      </c>
      <c r="C75" s="7873" t="s">
        <v>1306</v>
      </c>
      <c r="D75" s="5594">
        <v>100000000</v>
      </c>
      <c r="E75" s="5606">
        <v>0.05</v>
      </c>
      <c r="F75" s="5594">
        <f t="shared" si="7"/>
        <v>5000000</v>
      </c>
      <c r="G75" s="6242">
        <v>7000000</v>
      </c>
      <c r="H75" s="6242" t="s">
        <v>7723</v>
      </c>
      <c r="I75" s="6258" t="s">
        <v>7724</v>
      </c>
      <c r="J75" s="7563">
        <f>G75+G76+G77</f>
        <v>21850000</v>
      </c>
      <c r="K75" s="7563">
        <f>(F75+F76+F77+F78)-J75</f>
        <v>0</v>
      </c>
      <c r="L75" s="7679"/>
      <c r="M75" s="366"/>
      <c r="N75" s="366"/>
    </row>
    <row r="76" spans="1:14" ht="30" customHeight="1" x14ac:dyDescent="0.2">
      <c r="A76" s="7656"/>
      <c r="B76" s="7665"/>
      <c r="C76" s="7873"/>
      <c r="D76" s="5594">
        <v>35000000</v>
      </c>
      <c r="E76" s="5606">
        <v>7.0000000000000007E-2</v>
      </c>
      <c r="F76" s="5594">
        <f t="shared" si="7"/>
        <v>2450000.0000000005</v>
      </c>
      <c r="G76" s="6242">
        <v>10000000</v>
      </c>
      <c r="H76" s="6242" t="s">
        <v>7774</v>
      </c>
      <c r="I76" s="6258" t="s">
        <v>2377</v>
      </c>
      <c r="J76" s="7586"/>
      <c r="K76" s="7586"/>
      <c r="L76" s="7801"/>
      <c r="M76" s="366"/>
      <c r="N76" s="366"/>
    </row>
    <row r="77" spans="1:14" ht="30" customHeight="1" x14ac:dyDescent="0.2">
      <c r="A77" s="7656"/>
      <c r="B77" s="7665"/>
      <c r="C77" s="7873"/>
      <c r="D77" s="5586">
        <v>20000000</v>
      </c>
      <c r="E77" s="5652">
        <v>7.0000000000000007E-2</v>
      </c>
      <c r="F77" s="5586">
        <f t="shared" si="7"/>
        <v>1400000.0000000002</v>
      </c>
      <c r="G77" s="7563">
        <v>4850000</v>
      </c>
      <c r="H77" s="7563" t="s">
        <v>7795</v>
      </c>
      <c r="I77" s="7762" t="s">
        <v>7724</v>
      </c>
      <c r="J77" s="7586"/>
      <c r="K77" s="7586"/>
      <c r="L77" s="7801"/>
      <c r="M77" s="1662"/>
      <c r="N77" s="1604"/>
    </row>
    <row r="78" spans="1:14" ht="30" customHeight="1" x14ac:dyDescent="0.2">
      <c r="A78" s="7656"/>
      <c r="B78" s="7665"/>
      <c r="C78" s="6248" t="s">
        <v>1306</v>
      </c>
      <c r="D78" s="6244">
        <v>200000000</v>
      </c>
      <c r="E78" s="6246">
        <v>6.5000000000000002E-2</v>
      </c>
      <c r="F78" s="6244">
        <f t="shared" ref="F78" si="11">D78*E78</f>
        <v>13000000</v>
      </c>
      <c r="G78" s="7564"/>
      <c r="H78" s="7564"/>
      <c r="I78" s="7763"/>
      <c r="J78" s="7564"/>
      <c r="K78" s="7564"/>
      <c r="L78" s="7680"/>
      <c r="M78" s="248"/>
      <c r="N78" s="248"/>
    </row>
    <row r="79" spans="1:14" ht="30" customHeight="1" x14ac:dyDescent="0.2">
      <c r="A79" s="7656"/>
      <c r="B79" s="7665"/>
      <c r="C79" s="7873" t="s">
        <v>371</v>
      </c>
      <c r="D79" s="7563">
        <v>180000000</v>
      </c>
      <c r="E79" s="7659">
        <v>6.5000000000000002E-2</v>
      </c>
      <c r="F79" s="7563">
        <f t="shared" si="7"/>
        <v>11700000</v>
      </c>
      <c r="G79" s="7563">
        <v>11700000</v>
      </c>
      <c r="H79" s="7563" t="s">
        <v>1975</v>
      </c>
      <c r="I79" s="7762" t="s">
        <v>2377</v>
      </c>
      <c r="J79" s="7563">
        <f>G79+G80</f>
        <v>11700000</v>
      </c>
      <c r="K79" s="7563">
        <f>F79-J79</f>
        <v>0</v>
      </c>
      <c r="L79" s="227"/>
      <c r="M79" s="248"/>
      <c r="N79" s="248"/>
    </row>
    <row r="80" spans="1:14" ht="30" customHeight="1" x14ac:dyDescent="0.2">
      <c r="A80" s="7656"/>
      <c r="B80" s="7665"/>
      <c r="C80" s="7873"/>
      <c r="D80" s="7564"/>
      <c r="E80" s="7660"/>
      <c r="F80" s="7564"/>
      <c r="G80" s="7564"/>
      <c r="H80" s="7564"/>
      <c r="I80" s="7763"/>
      <c r="J80" s="7564"/>
      <c r="K80" s="7564"/>
      <c r="L80" s="7"/>
      <c r="M80" s="248"/>
      <c r="N80" s="248"/>
    </row>
    <row r="81" spans="1:14" ht="30" customHeight="1" x14ac:dyDescent="0.2">
      <c r="A81" s="6255">
        <v>33</v>
      </c>
      <c r="B81" s="6247" t="s">
        <v>993</v>
      </c>
      <c r="C81" s="5634" t="s">
        <v>1287</v>
      </c>
      <c r="D81" s="5594">
        <v>63580000</v>
      </c>
      <c r="E81" s="5606">
        <v>7.0000000000000007E-2</v>
      </c>
      <c r="F81" s="5594">
        <v>4450000</v>
      </c>
      <c r="G81" s="5594">
        <v>4450000</v>
      </c>
      <c r="H81" s="5594" t="s">
        <v>7614</v>
      </c>
      <c r="I81" s="64" t="s">
        <v>484</v>
      </c>
      <c r="J81" s="5594">
        <f>G81</f>
        <v>4450000</v>
      </c>
      <c r="K81" s="5594">
        <f t="shared" ref="K81:K91" si="12">F81-J81</f>
        <v>0</v>
      </c>
      <c r="L81" s="5620"/>
      <c r="M81" s="366"/>
      <c r="N81" s="366"/>
    </row>
    <row r="82" spans="1:14" ht="30" customHeight="1" x14ac:dyDescent="0.2">
      <c r="A82" s="5597">
        <v>34</v>
      </c>
      <c r="B82" s="5601" t="s">
        <v>1110</v>
      </c>
      <c r="C82" s="5634" t="s">
        <v>1306</v>
      </c>
      <c r="D82" s="5594">
        <v>20000000</v>
      </c>
      <c r="E82" s="5606">
        <v>0.04</v>
      </c>
      <c r="F82" s="5594">
        <f t="shared" ref="F82:F86" si="13">D82*E82</f>
        <v>800000</v>
      </c>
      <c r="G82" s="5594">
        <v>800000</v>
      </c>
      <c r="H82" s="5594" t="s">
        <v>7293</v>
      </c>
      <c r="I82" s="64" t="s">
        <v>1112</v>
      </c>
      <c r="J82" s="5594">
        <f>G82</f>
        <v>800000</v>
      </c>
      <c r="K82" s="5594">
        <f t="shared" si="12"/>
        <v>0</v>
      </c>
      <c r="L82" s="5620"/>
      <c r="M82" s="366"/>
      <c r="N82" s="366"/>
    </row>
    <row r="83" spans="1:14" ht="30" customHeight="1" x14ac:dyDescent="0.2">
      <c r="A83" s="7654">
        <v>35</v>
      </c>
      <c r="B83" s="7652" t="s">
        <v>1150</v>
      </c>
      <c r="C83" s="7723" t="s">
        <v>1138</v>
      </c>
      <c r="D83" s="7563">
        <v>175000000</v>
      </c>
      <c r="E83" s="7659">
        <v>0.06</v>
      </c>
      <c r="F83" s="7563">
        <f t="shared" si="13"/>
        <v>10500000</v>
      </c>
      <c r="G83" s="5586">
        <v>10500000</v>
      </c>
      <c r="H83" s="5586" t="s">
        <v>7310</v>
      </c>
      <c r="I83" s="5586" t="s">
        <v>1720</v>
      </c>
      <c r="J83" s="5586">
        <f>G83</f>
        <v>10500000</v>
      </c>
      <c r="K83" s="5586">
        <f>F83-J83</f>
        <v>0</v>
      </c>
      <c r="L83" s="5690" t="s">
        <v>6807</v>
      </c>
      <c r="M83" s="366"/>
      <c r="N83" s="366"/>
    </row>
    <row r="84" spans="1:14" ht="30" customHeight="1" x14ac:dyDescent="0.2">
      <c r="A84" s="7655"/>
      <c r="B84" s="7653"/>
      <c r="C84" s="7724"/>
      <c r="D84" s="7564"/>
      <c r="E84" s="7660"/>
      <c r="F84" s="7564"/>
      <c r="G84" s="6364">
        <v>10500000</v>
      </c>
      <c r="H84" s="6364" t="s">
        <v>7810</v>
      </c>
      <c r="I84" s="6364" t="s">
        <v>1720</v>
      </c>
      <c r="J84" s="6364">
        <f>G84</f>
        <v>10500000</v>
      </c>
      <c r="K84" s="6364">
        <f>F83-J84</f>
        <v>0</v>
      </c>
      <c r="L84" s="6378" t="s">
        <v>7711</v>
      </c>
      <c r="M84" s="366"/>
      <c r="N84" s="366"/>
    </row>
    <row r="85" spans="1:14" ht="30" customHeight="1" x14ac:dyDescent="0.2">
      <c r="A85" s="7654">
        <v>36</v>
      </c>
      <c r="B85" s="7652" t="s">
        <v>3370</v>
      </c>
      <c r="C85" s="7723" t="s">
        <v>1081</v>
      </c>
      <c r="D85" s="5586">
        <v>350000000</v>
      </c>
      <c r="E85" s="5652">
        <v>7.0000000000000007E-2</v>
      </c>
      <c r="F85" s="5586">
        <f t="shared" si="13"/>
        <v>24500000.000000004</v>
      </c>
      <c r="G85" s="5586">
        <v>24500000</v>
      </c>
      <c r="H85" s="5586" t="s">
        <v>7310</v>
      </c>
      <c r="I85" s="5734" t="s">
        <v>4264</v>
      </c>
      <c r="J85" s="5586">
        <f>G85</f>
        <v>24500000</v>
      </c>
      <c r="K85" s="5586">
        <f>F85-J85</f>
        <v>0</v>
      </c>
      <c r="L85" s="5690"/>
      <c r="M85" s="366"/>
      <c r="N85" s="366"/>
    </row>
    <row r="86" spans="1:14" ht="30" customHeight="1" x14ac:dyDescent="0.2">
      <c r="A86" s="7655"/>
      <c r="B86" s="7653"/>
      <c r="C86" s="7724"/>
      <c r="D86" s="5586">
        <v>350000000</v>
      </c>
      <c r="E86" s="5652">
        <v>7.0000000000000007E-2</v>
      </c>
      <c r="F86" s="5586">
        <f t="shared" si="13"/>
        <v>24500000.000000004</v>
      </c>
      <c r="G86" s="5586"/>
      <c r="H86" s="5586"/>
      <c r="I86" s="5734"/>
      <c r="J86" s="5586"/>
      <c r="K86" s="5586">
        <f>F86-J86</f>
        <v>24500000.000000004</v>
      </c>
      <c r="L86" s="5690"/>
      <c r="M86" s="366"/>
      <c r="N86" s="366"/>
    </row>
    <row r="87" spans="1:14" ht="30" customHeight="1" x14ac:dyDescent="0.2">
      <c r="A87" s="5597"/>
      <c r="B87" s="5602" t="s">
        <v>4965</v>
      </c>
      <c r="C87" s="5634" t="s">
        <v>3216</v>
      </c>
      <c r="D87" s="5594">
        <v>20000000</v>
      </c>
      <c r="E87" s="5606">
        <v>0.05</v>
      </c>
      <c r="F87" s="5594">
        <f>D87*E87</f>
        <v>1000000</v>
      </c>
      <c r="G87" s="5594">
        <v>1000000</v>
      </c>
      <c r="H87" s="5594" t="s">
        <v>7723</v>
      </c>
      <c r="I87" s="5643" t="s">
        <v>6580</v>
      </c>
      <c r="J87" s="5594">
        <f>G87</f>
        <v>1000000</v>
      </c>
      <c r="K87" s="5594">
        <f>F87-J87</f>
        <v>0</v>
      </c>
      <c r="L87" s="5620"/>
      <c r="M87" s="366"/>
      <c r="N87" s="366"/>
    </row>
    <row r="88" spans="1:14" ht="30" customHeight="1" x14ac:dyDescent="0.2">
      <c r="A88" s="5597">
        <v>38</v>
      </c>
      <c r="B88" s="5600" t="s">
        <v>1254</v>
      </c>
      <c r="C88" s="5634"/>
      <c r="D88" s="298"/>
      <c r="E88" s="299"/>
      <c r="F88" s="298"/>
      <c r="G88" s="5594"/>
      <c r="H88" s="5594"/>
      <c r="I88" s="64"/>
      <c r="J88" s="5594"/>
      <c r="K88" s="5611">
        <f t="shared" si="12"/>
        <v>0</v>
      </c>
      <c r="L88" s="5620"/>
    </row>
    <row r="89" spans="1:14" ht="30" customHeight="1" x14ac:dyDescent="0.2">
      <c r="A89" s="5597">
        <v>39</v>
      </c>
      <c r="B89" s="5600" t="s">
        <v>1213</v>
      </c>
      <c r="C89" s="5634" t="s">
        <v>4105</v>
      </c>
      <c r="D89" s="5676">
        <v>100000000</v>
      </c>
      <c r="E89" s="300">
        <v>0.05</v>
      </c>
      <c r="F89" s="5676">
        <f>D89*E89</f>
        <v>5000000</v>
      </c>
      <c r="G89" s="5594">
        <v>5000000</v>
      </c>
      <c r="H89" s="5594" t="s">
        <v>7427</v>
      </c>
      <c r="I89" s="64" t="s">
        <v>6530</v>
      </c>
      <c r="J89" s="5594">
        <f>G89</f>
        <v>5000000</v>
      </c>
      <c r="K89" s="5594">
        <f t="shared" si="12"/>
        <v>0</v>
      </c>
      <c r="L89" s="5620"/>
    </row>
    <row r="90" spans="1:14" ht="30" customHeight="1" x14ac:dyDescent="0.2">
      <c r="A90" s="5597">
        <v>40</v>
      </c>
      <c r="B90" s="5600" t="s">
        <v>1265</v>
      </c>
      <c r="C90" s="5634" t="s">
        <v>1289</v>
      </c>
      <c r="D90" s="5676">
        <v>16000000</v>
      </c>
      <c r="E90" s="300">
        <v>0.05</v>
      </c>
      <c r="F90" s="5676">
        <f>D90*E90</f>
        <v>800000</v>
      </c>
      <c r="G90" s="6226">
        <v>800000</v>
      </c>
      <c r="H90" s="6226" t="s">
        <v>7718</v>
      </c>
      <c r="I90" s="64" t="s">
        <v>3149</v>
      </c>
      <c r="J90" s="6226">
        <f>G90</f>
        <v>800000</v>
      </c>
      <c r="K90" s="6226">
        <f t="shared" si="12"/>
        <v>0</v>
      </c>
      <c r="L90" s="5620"/>
    </row>
    <row r="91" spans="1:14" ht="30" customHeight="1" x14ac:dyDescent="0.2">
      <c r="A91" s="5597">
        <v>41</v>
      </c>
      <c r="B91" s="5600" t="s">
        <v>1285</v>
      </c>
      <c r="C91" s="5634"/>
      <c r="D91" s="298"/>
      <c r="E91" s="299"/>
      <c r="F91" s="298"/>
      <c r="G91" s="5594"/>
      <c r="H91" s="5594"/>
      <c r="I91" s="64"/>
      <c r="J91" s="5594"/>
      <c r="K91" s="5611">
        <f t="shared" si="12"/>
        <v>0</v>
      </c>
      <c r="L91" s="5620"/>
    </row>
    <row r="92" spans="1:14" ht="30" customHeight="1" x14ac:dyDescent="0.2">
      <c r="A92" s="5597">
        <v>42</v>
      </c>
      <c r="B92" s="5658" t="s">
        <v>183</v>
      </c>
      <c r="C92" s="5634"/>
      <c r="D92" s="5594">
        <v>110000000</v>
      </c>
      <c r="E92" s="5652">
        <v>5.5E-2</v>
      </c>
      <c r="F92" s="5594">
        <f t="shared" ref="F92:F259" si="14">D92*E92</f>
        <v>6050000</v>
      </c>
      <c r="G92" s="5586">
        <v>6050000</v>
      </c>
      <c r="H92" s="5678" t="s">
        <v>7424</v>
      </c>
      <c r="I92" s="5678" t="s">
        <v>2820</v>
      </c>
      <c r="J92" s="5586">
        <f>G92</f>
        <v>6050000</v>
      </c>
      <c r="K92" s="5586">
        <f>F92-J92</f>
        <v>0</v>
      </c>
      <c r="L92" s="5646"/>
    </row>
    <row r="93" spans="1:14" ht="30" customHeight="1" x14ac:dyDescent="0.2">
      <c r="A93" s="5597">
        <v>44</v>
      </c>
      <c r="B93" s="5613" t="s">
        <v>184</v>
      </c>
      <c r="C93" s="5634" t="s">
        <v>889</v>
      </c>
      <c r="D93" s="5594">
        <v>150000000</v>
      </c>
      <c r="E93" s="5652">
        <v>0.05</v>
      </c>
      <c r="F93" s="5594">
        <f t="shared" si="14"/>
        <v>7500000</v>
      </c>
      <c r="G93" s="5594">
        <v>7500000</v>
      </c>
      <c r="H93" s="5594" t="s">
        <v>7424</v>
      </c>
      <c r="I93" s="5594" t="s">
        <v>1339</v>
      </c>
      <c r="J93" s="5594">
        <f>G93</f>
        <v>7500000</v>
      </c>
      <c r="K93" s="5594">
        <f>F93-J93</f>
        <v>0</v>
      </c>
      <c r="L93" s="5613"/>
    </row>
    <row r="94" spans="1:14" ht="30" customHeight="1" x14ac:dyDescent="0.2">
      <c r="A94" s="7654">
        <v>45</v>
      </c>
      <c r="B94" s="7652" t="s">
        <v>185</v>
      </c>
      <c r="C94" s="7723" t="s">
        <v>1295</v>
      </c>
      <c r="D94" s="7563">
        <v>2270000000</v>
      </c>
      <c r="E94" s="7659">
        <v>7.0000000000000007E-2</v>
      </c>
      <c r="F94" s="7563">
        <f>D94*E94</f>
        <v>158900000.00000003</v>
      </c>
      <c r="G94" s="5586">
        <v>45000000</v>
      </c>
      <c r="H94" s="5586" t="s">
        <v>7424</v>
      </c>
      <c r="I94" s="5586" t="s">
        <v>2696</v>
      </c>
      <c r="J94" s="7482">
        <f>G94+G95+G97+G96</f>
        <v>158900000</v>
      </c>
      <c r="K94" s="7482">
        <f>F94-J94</f>
        <v>0</v>
      </c>
      <c r="L94" s="5723"/>
    </row>
    <row r="95" spans="1:14" ht="30" customHeight="1" x14ac:dyDescent="0.2">
      <c r="A95" s="7656"/>
      <c r="B95" s="7665"/>
      <c r="C95" s="7747"/>
      <c r="D95" s="7586"/>
      <c r="E95" s="7676"/>
      <c r="F95" s="7586"/>
      <c r="G95" s="5592">
        <v>50000000</v>
      </c>
      <c r="H95" s="5592" t="s">
        <v>7460</v>
      </c>
      <c r="I95" s="5592" t="s">
        <v>2696</v>
      </c>
      <c r="J95" s="7482"/>
      <c r="K95" s="7482"/>
      <c r="L95" s="5723"/>
    </row>
    <row r="96" spans="1:14" ht="30" customHeight="1" x14ac:dyDescent="0.2">
      <c r="A96" s="7656"/>
      <c r="B96" s="7665"/>
      <c r="C96" s="7747"/>
      <c r="D96" s="7586"/>
      <c r="E96" s="7676"/>
      <c r="F96" s="7586"/>
      <c r="G96" s="5592">
        <v>50000000</v>
      </c>
      <c r="H96" s="5592" t="s">
        <v>7521</v>
      </c>
      <c r="I96" s="5592" t="s">
        <v>2696</v>
      </c>
      <c r="J96" s="7482"/>
      <c r="K96" s="7482"/>
      <c r="L96" s="5723"/>
    </row>
    <row r="97" spans="1:12" ht="30" customHeight="1" x14ac:dyDescent="0.2">
      <c r="A97" s="7655"/>
      <c r="B97" s="7653"/>
      <c r="C97" s="7724"/>
      <c r="D97" s="7564"/>
      <c r="E97" s="7660"/>
      <c r="F97" s="7564"/>
      <c r="G97" s="5592">
        <v>13900000</v>
      </c>
      <c r="H97" s="5592" t="s">
        <v>7550</v>
      </c>
      <c r="I97" s="5592" t="s">
        <v>2696</v>
      </c>
      <c r="J97" s="7482"/>
      <c r="K97" s="7482"/>
      <c r="L97" s="5723"/>
    </row>
    <row r="98" spans="1:12" ht="30" customHeight="1" x14ac:dyDescent="0.2">
      <c r="A98" s="7654">
        <v>46</v>
      </c>
      <c r="B98" s="7652" t="s">
        <v>186</v>
      </c>
      <c r="C98" s="7723" t="s">
        <v>4105</v>
      </c>
      <c r="D98" s="7563">
        <v>1240000000</v>
      </c>
      <c r="E98" s="7659">
        <v>0.09</v>
      </c>
      <c r="F98" s="7846">
        <f>D98*E98</f>
        <v>111600000</v>
      </c>
      <c r="G98" s="7954" t="s">
        <v>6929</v>
      </c>
      <c r="H98" s="7955"/>
      <c r="I98" s="7955"/>
      <c r="J98" s="7956"/>
      <c r="K98" s="7"/>
      <c r="L98" s="5666"/>
    </row>
    <row r="99" spans="1:12" ht="30" customHeight="1" x14ac:dyDescent="0.2">
      <c r="A99" s="7656"/>
      <c r="B99" s="7665"/>
      <c r="C99" s="7747"/>
      <c r="D99" s="7586"/>
      <c r="E99" s="7676"/>
      <c r="F99" s="7847"/>
      <c r="G99" s="6028">
        <v>54000000</v>
      </c>
      <c r="H99" s="6028" t="s">
        <v>7531</v>
      </c>
      <c r="I99" s="6042" t="s">
        <v>1076</v>
      </c>
      <c r="J99" s="7563">
        <f>G99+G100</f>
        <v>94000000</v>
      </c>
      <c r="K99" s="7563"/>
      <c r="L99" s="6035"/>
    </row>
    <row r="100" spans="1:12" ht="30" customHeight="1" x14ac:dyDescent="0.2">
      <c r="A100" s="7655"/>
      <c r="B100" s="7653"/>
      <c r="C100" s="7724"/>
      <c r="D100" s="7564"/>
      <c r="E100" s="7660"/>
      <c r="F100" s="7848"/>
      <c r="G100" s="6301">
        <v>40000000</v>
      </c>
      <c r="H100" s="6301" t="s">
        <v>7795</v>
      </c>
      <c r="I100" s="6340" t="s">
        <v>1076</v>
      </c>
      <c r="J100" s="7564"/>
      <c r="K100" s="7564"/>
      <c r="L100" s="6328"/>
    </row>
    <row r="101" spans="1:12" ht="30" customHeight="1" x14ac:dyDescent="0.2">
      <c r="A101" s="5655">
        <v>47</v>
      </c>
      <c r="B101" s="5613" t="s">
        <v>187</v>
      </c>
      <c r="C101" s="5657" t="s">
        <v>1080</v>
      </c>
      <c r="D101" s="5586">
        <v>20000000</v>
      </c>
      <c r="E101" s="5652">
        <v>0.05</v>
      </c>
      <c r="F101" s="5586">
        <f t="shared" si="14"/>
        <v>1000000</v>
      </c>
      <c r="G101" s="5586">
        <v>1000000</v>
      </c>
      <c r="H101" s="5586" t="s">
        <v>7427</v>
      </c>
      <c r="I101" s="5677" t="s">
        <v>4309</v>
      </c>
      <c r="J101" s="5586">
        <f>G101</f>
        <v>1000000</v>
      </c>
      <c r="K101" s="5586">
        <f>F101-J101</f>
        <v>0</v>
      </c>
      <c r="L101" s="5736"/>
    </row>
    <row r="102" spans="1:12" ht="30" customHeight="1" x14ac:dyDescent="0.2">
      <c r="A102" s="5655">
        <v>48</v>
      </c>
      <c r="B102" s="5613" t="s">
        <v>1615</v>
      </c>
      <c r="C102" s="5657" t="s">
        <v>2849</v>
      </c>
      <c r="D102" s="5586">
        <v>400000000</v>
      </c>
      <c r="E102" s="5652">
        <v>0.06</v>
      </c>
      <c r="F102" s="5586">
        <f>D102*E102</f>
        <v>24000000</v>
      </c>
      <c r="G102" s="5586">
        <v>24000000</v>
      </c>
      <c r="H102" s="5586" t="s">
        <v>7718</v>
      </c>
      <c r="I102" s="5677" t="s">
        <v>6419</v>
      </c>
      <c r="J102" s="5586">
        <f>G102</f>
        <v>24000000</v>
      </c>
      <c r="K102" s="5734">
        <f>F102-J102</f>
        <v>0</v>
      </c>
      <c r="L102" s="5690"/>
    </row>
    <row r="103" spans="1:12" ht="30" customHeight="1" x14ac:dyDescent="0.2">
      <c r="A103" s="5655">
        <v>49</v>
      </c>
      <c r="B103" s="19" t="s">
        <v>189</v>
      </c>
      <c r="C103" s="5657" t="s">
        <v>1295</v>
      </c>
      <c r="D103" s="5586">
        <v>230000000</v>
      </c>
      <c r="E103" s="5652">
        <v>0.05</v>
      </c>
      <c r="F103" s="5586">
        <f t="shared" si="14"/>
        <v>11500000</v>
      </c>
      <c r="G103" s="5586">
        <v>11500000</v>
      </c>
      <c r="H103" s="5586" t="s">
        <v>7427</v>
      </c>
      <c r="I103" s="5662" t="s">
        <v>1052</v>
      </c>
      <c r="J103" s="5586">
        <f>G103</f>
        <v>11500000</v>
      </c>
      <c r="K103" s="5586">
        <f>F103-J103</f>
        <v>0</v>
      </c>
      <c r="L103" s="5723"/>
    </row>
    <row r="104" spans="1:12" ht="30" customHeight="1" x14ac:dyDescent="0.2">
      <c r="A104" s="5596">
        <v>50</v>
      </c>
      <c r="B104" s="5658" t="s">
        <v>190</v>
      </c>
      <c r="C104" s="5633" t="s">
        <v>889</v>
      </c>
      <c r="D104" s="5592">
        <v>350000000</v>
      </c>
      <c r="E104" s="5604">
        <v>0.05</v>
      </c>
      <c r="F104" s="5592">
        <f t="shared" si="14"/>
        <v>17500000</v>
      </c>
      <c r="G104" s="5586"/>
      <c r="H104" s="5586"/>
      <c r="I104" s="5586"/>
      <c r="J104" s="5586"/>
      <c r="K104" s="5586"/>
      <c r="L104" s="5690"/>
    </row>
    <row r="105" spans="1:12" ht="30" customHeight="1" x14ac:dyDescent="0.2">
      <c r="A105" s="7654">
        <v>51</v>
      </c>
      <c r="B105" s="7665" t="s">
        <v>191</v>
      </c>
      <c r="C105" s="7723" t="s">
        <v>889</v>
      </c>
      <c r="D105" s="7563">
        <v>260000000</v>
      </c>
      <c r="E105" s="7659">
        <f>F105/D105</f>
        <v>5.5769230769230772E-2</v>
      </c>
      <c r="F105" s="7563">
        <v>14500000</v>
      </c>
      <c r="G105" s="5586">
        <v>13500000</v>
      </c>
      <c r="H105" s="5586" t="s">
        <v>7460</v>
      </c>
      <c r="I105" s="5586" t="s">
        <v>3500</v>
      </c>
      <c r="J105" s="7563">
        <f>G105+G106</f>
        <v>14500000</v>
      </c>
      <c r="K105" s="7563">
        <f>F105-J105</f>
        <v>0</v>
      </c>
      <c r="L105" s="1388"/>
    </row>
    <row r="106" spans="1:12" ht="30" customHeight="1" x14ac:dyDescent="0.2">
      <c r="A106" s="7655"/>
      <c r="B106" s="7653"/>
      <c r="C106" s="7724"/>
      <c r="D106" s="7564"/>
      <c r="E106" s="7660"/>
      <c r="F106" s="7564"/>
      <c r="G106" s="5957">
        <v>1000000</v>
      </c>
      <c r="H106" s="5957" t="s">
        <v>7460</v>
      </c>
      <c r="I106" s="5957" t="s">
        <v>3500</v>
      </c>
      <c r="J106" s="7564"/>
      <c r="K106" s="7564"/>
      <c r="L106" s="6000"/>
    </row>
    <row r="107" spans="1:12" ht="30" customHeight="1" x14ac:dyDescent="0.2">
      <c r="A107" s="8123"/>
      <c r="B107" s="7652" t="s">
        <v>192</v>
      </c>
      <c r="C107" s="7723" t="s">
        <v>889</v>
      </c>
      <c r="D107" s="5592">
        <v>100000000</v>
      </c>
      <c r="E107" s="5604">
        <v>7.0000000000000007E-2</v>
      </c>
      <c r="F107" s="5592">
        <f>D107*E107</f>
        <v>7000000.0000000009</v>
      </c>
      <c r="G107" s="7563">
        <v>9500000</v>
      </c>
      <c r="H107" s="7563" t="s">
        <v>7511</v>
      </c>
      <c r="I107" s="7563" t="s">
        <v>2540</v>
      </c>
      <c r="J107" s="7563">
        <f>G107</f>
        <v>9500000</v>
      </c>
      <c r="K107" s="7563">
        <f>(F107+F108)-J107</f>
        <v>0</v>
      </c>
      <c r="L107" s="7757"/>
    </row>
    <row r="108" spans="1:12" ht="30" customHeight="1" x14ac:dyDescent="0.2">
      <c r="A108" s="8124"/>
      <c r="B108" s="7653"/>
      <c r="C108" s="7724"/>
      <c r="D108" s="5592">
        <v>50000000</v>
      </c>
      <c r="E108" s="5604">
        <v>0.05</v>
      </c>
      <c r="F108" s="5592">
        <f>D108*E108</f>
        <v>2500000</v>
      </c>
      <c r="G108" s="7586"/>
      <c r="H108" s="7586"/>
      <c r="I108" s="7586"/>
      <c r="J108" s="7586"/>
      <c r="K108" s="7586"/>
      <c r="L108" s="8037"/>
    </row>
    <row r="109" spans="1:12" ht="30" customHeight="1" x14ac:dyDescent="0.2">
      <c r="A109" s="7654"/>
      <c r="B109" s="7703" t="s">
        <v>193</v>
      </c>
      <c r="C109" s="7873" t="s">
        <v>1287</v>
      </c>
      <c r="D109" s="7482">
        <v>1050000000</v>
      </c>
      <c r="E109" s="7870">
        <v>7.0000000000000007E-2</v>
      </c>
      <c r="F109" s="7482">
        <f>D109*E109</f>
        <v>73500000</v>
      </c>
      <c r="G109" s="7470" t="s">
        <v>7490</v>
      </c>
      <c r="H109" s="7493"/>
      <c r="I109" s="7510"/>
      <c r="J109" s="7482">
        <f>G110+G111+G112</f>
        <v>33500000</v>
      </c>
      <c r="K109" s="7482">
        <f>33500000-J109</f>
        <v>0</v>
      </c>
      <c r="L109" s="8494" t="s">
        <v>7647</v>
      </c>
    </row>
    <row r="110" spans="1:12" ht="30" customHeight="1" x14ac:dyDescent="0.2">
      <c r="A110" s="7656"/>
      <c r="B110" s="7704"/>
      <c r="C110" s="7873"/>
      <c r="D110" s="7482"/>
      <c r="E110" s="7870"/>
      <c r="F110" s="7482"/>
      <c r="G110" s="5586">
        <v>20000000</v>
      </c>
      <c r="H110" s="5586" t="s">
        <v>7528</v>
      </c>
      <c r="I110" s="5586" t="s">
        <v>6520</v>
      </c>
      <c r="J110" s="7482"/>
      <c r="K110" s="7482"/>
      <c r="L110" s="8494"/>
    </row>
    <row r="111" spans="1:12" ht="30" customHeight="1" x14ac:dyDescent="0.2">
      <c r="A111" s="7656"/>
      <c r="B111" s="7704"/>
      <c r="C111" s="7873"/>
      <c r="D111" s="7482" t="s">
        <v>6087</v>
      </c>
      <c r="E111" s="7482"/>
      <c r="F111" s="7482">
        <v>2000000</v>
      </c>
      <c r="G111" s="5586">
        <v>10000000</v>
      </c>
      <c r="H111" s="5586" t="s">
        <v>1975</v>
      </c>
      <c r="I111" s="5586" t="s">
        <v>5017</v>
      </c>
      <c r="J111" s="7482"/>
      <c r="K111" s="7482"/>
      <c r="L111" s="8494"/>
    </row>
    <row r="112" spans="1:12" ht="30" customHeight="1" x14ac:dyDescent="0.2">
      <c r="A112" s="7656"/>
      <c r="B112" s="7704"/>
      <c r="C112" s="7873"/>
      <c r="D112" s="7482"/>
      <c r="E112" s="7482"/>
      <c r="F112" s="7482"/>
      <c r="G112" s="6126">
        <v>3500000</v>
      </c>
      <c r="H112" s="7846" t="s">
        <v>2830</v>
      </c>
      <c r="I112" s="7563" t="s">
        <v>7646</v>
      </c>
      <c r="J112" s="7482"/>
      <c r="K112" s="7482"/>
      <c r="L112" s="8494"/>
    </row>
    <row r="113" spans="1:12" ht="30" customHeight="1" x14ac:dyDescent="0.2">
      <c r="A113" s="7656"/>
      <c r="B113" s="7704"/>
      <c r="C113" s="7873" t="s">
        <v>1287</v>
      </c>
      <c r="D113" s="7482">
        <v>1050000000</v>
      </c>
      <c r="E113" s="7870">
        <v>7.0000000000000007E-2</v>
      </c>
      <c r="F113" s="7482">
        <f>D113*E113</f>
        <v>73500000</v>
      </c>
      <c r="G113" s="6126">
        <v>6500000</v>
      </c>
      <c r="H113" s="7848"/>
      <c r="I113" s="7564"/>
      <c r="J113" s="7563">
        <f>G113+G114+G115+G117+G116</f>
        <v>36500000</v>
      </c>
      <c r="K113" s="7563">
        <f>(F113+F115)-J113</f>
        <v>39000000</v>
      </c>
      <c r="L113" s="6159"/>
    </row>
    <row r="114" spans="1:12" ht="30" customHeight="1" x14ac:dyDescent="0.2">
      <c r="A114" s="7656"/>
      <c r="B114" s="7704"/>
      <c r="C114" s="7873"/>
      <c r="D114" s="7482"/>
      <c r="E114" s="7870"/>
      <c r="F114" s="7482"/>
      <c r="G114" s="6126">
        <v>10000000</v>
      </c>
      <c r="H114" s="6145" t="s">
        <v>7709</v>
      </c>
      <c r="I114" s="6204" t="s">
        <v>6520</v>
      </c>
      <c r="J114" s="7586"/>
      <c r="K114" s="7586"/>
      <c r="L114" s="6159"/>
    </row>
    <row r="115" spans="1:12" ht="30" customHeight="1" x14ac:dyDescent="0.2">
      <c r="A115" s="7656"/>
      <c r="B115" s="7704"/>
      <c r="C115" s="7873"/>
      <c r="D115" s="7482" t="s">
        <v>6087</v>
      </c>
      <c r="E115" s="7482"/>
      <c r="F115" s="7482">
        <v>2000000</v>
      </c>
      <c r="G115" s="6126">
        <v>10000000</v>
      </c>
      <c r="H115" s="6145" t="s">
        <v>7723</v>
      </c>
      <c r="I115" s="6204" t="s">
        <v>6520</v>
      </c>
      <c r="J115" s="7586"/>
      <c r="K115" s="7586"/>
      <c r="L115" s="6159"/>
    </row>
    <row r="116" spans="1:12" ht="30" customHeight="1" x14ac:dyDescent="0.2">
      <c r="A116" s="7656"/>
      <c r="B116" s="7704"/>
      <c r="C116" s="7873"/>
      <c r="D116" s="7482"/>
      <c r="E116" s="7482"/>
      <c r="F116" s="7482"/>
      <c r="G116" s="6303">
        <v>10000000</v>
      </c>
      <c r="H116" s="6327" t="s">
        <v>7795</v>
      </c>
      <c r="I116" s="6301" t="s">
        <v>6520</v>
      </c>
      <c r="J116" s="7586"/>
      <c r="K116" s="7586"/>
      <c r="L116" s="6345"/>
    </row>
    <row r="117" spans="1:12" ht="30" customHeight="1" x14ac:dyDescent="0.2">
      <c r="A117" s="7655"/>
      <c r="B117" s="7705"/>
      <c r="C117" s="7873"/>
      <c r="D117" s="7482"/>
      <c r="E117" s="7482"/>
      <c r="F117" s="7482"/>
      <c r="G117" s="6126"/>
      <c r="H117" s="6124"/>
      <c r="I117" s="6204"/>
      <c r="J117" s="7564"/>
      <c r="K117" s="7564"/>
      <c r="L117" s="6159"/>
    </row>
    <row r="118" spans="1:12" ht="30" customHeight="1" x14ac:dyDescent="0.2">
      <c r="A118" s="7654">
        <v>54</v>
      </c>
      <c r="B118" s="7652" t="s">
        <v>1060</v>
      </c>
      <c r="C118" s="7723" t="s">
        <v>889</v>
      </c>
      <c r="D118" s="5594">
        <v>35000000</v>
      </c>
      <c r="E118" s="5606">
        <v>7.1999999999999995E-2</v>
      </c>
      <c r="F118" s="5594">
        <v>2500000</v>
      </c>
      <c r="G118" s="7924">
        <v>3500000</v>
      </c>
      <c r="H118" s="7924" t="s">
        <v>7424</v>
      </c>
      <c r="I118" s="7926" t="s">
        <v>2501</v>
      </c>
      <c r="J118" s="7924">
        <f>G118</f>
        <v>3500000</v>
      </c>
      <c r="K118" s="7924">
        <f>(F118+F119)-J118</f>
        <v>0</v>
      </c>
      <c r="L118" s="7703"/>
    </row>
    <row r="119" spans="1:12" ht="30" customHeight="1" x14ac:dyDescent="0.2">
      <c r="A119" s="7656"/>
      <c r="B119" s="7653"/>
      <c r="C119" s="7724"/>
      <c r="D119" s="5594">
        <v>13000000</v>
      </c>
      <c r="E119" s="5652">
        <v>7.6999999999999999E-2</v>
      </c>
      <c r="F119" s="5594">
        <v>1000000</v>
      </c>
      <c r="G119" s="7925"/>
      <c r="H119" s="7925"/>
      <c r="I119" s="7927"/>
      <c r="J119" s="7925"/>
      <c r="K119" s="7925"/>
      <c r="L119" s="7705"/>
    </row>
    <row r="120" spans="1:12" ht="30" customHeight="1" x14ac:dyDescent="0.2">
      <c r="A120" s="7654">
        <v>55</v>
      </c>
      <c r="B120" s="7652" t="s">
        <v>1247</v>
      </c>
      <c r="C120" s="7723" t="s">
        <v>1295</v>
      </c>
      <c r="D120" s="5586">
        <v>175000000</v>
      </c>
      <c r="E120" s="5652">
        <v>0.52</v>
      </c>
      <c r="F120" s="5586">
        <v>9000000</v>
      </c>
      <c r="G120" s="7482">
        <v>3250000</v>
      </c>
      <c r="H120" s="7857" t="s">
        <v>7460</v>
      </c>
      <c r="I120" s="7857" t="s">
        <v>1063</v>
      </c>
      <c r="J120" s="7563">
        <f>G120+G122</f>
        <v>18250000</v>
      </c>
      <c r="K120" s="7563">
        <f>(F120+F121+F122)-J120</f>
        <v>0</v>
      </c>
      <c r="L120" s="7713"/>
    </row>
    <row r="121" spans="1:12" ht="30" customHeight="1" x14ac:dyDescent="0.2">
      <c r="A121" s="7656"/>
      <c r="B121" s="7665"/>
      <c r="C121" s="7747"/>
      <c r="D121" s="5592">
        <f>85000000+20000000</f>
        <v>105000000</v>
      </c>
      <c r="E121" s="5604">
        <v>7.0000000000000007E-2</v>
      </c>
      <c r="F121" s="5592">
        <v>7500000</v>
      </c>
      <c r="G121" s="7482"/>
      <c r="H121" s="7857"/>
      <c r="I121" s="7857"/>
      <c r="J121" s="7586"/>
      <c r="K121" s="7586"/>
      <c r="L121" s="7797"/>
    </row>
    <row r="122" spans="1:12" ht="30" customHeight="1" x14ac:dyDescent="0.2">
      <c r="A122" s="7655"/>
      <c r="B122" s="7653"/>
      <c r="C122" s="7724"/>
      <c r="D122" s="5586">
        <v>35000000</v>
      </c>
      <c r="E122" s="5652">
        <v>0.05</v>
      </c>
      <c r="F122" s="5586">
        <f>D122*E122</f>
        <v>1750000</v>
      </c>
      <c r="G122" s="5959">
        <v>15000000</v>
      </c>
      <c r="H122" s="5966" t="s">
        <v>7460</v>
      </c>
      <c r="I122" s="5966" t="s">
        <v>1063</v>
      </c>
      <c r="J122" s="7564"/>
      <c r="K122" s="7564"/>
      <c r="L122" s="7714"/>
    </row>
    <row r="123" spans="1:12" ht="30" customHeight="1" x14ac:dyDescent="0.2">
      <c r="A123" s="7654">
        <v>56</v>
      </c>
      <c r="B123" s="7652" t="s">
        <v>35</v>
      </c>
      <c r="C123" s="7723" t="s">
        <v>1295</v>
      </c>
      <c r="D123" s="7563">
        <v>3284000000</v>
      </c>
      <c r="E123" s="7659">
        <v>7.0000000000000007E-2</v>
      </c>
      <c r="F123" s="7563">
        <v>229880000</v>
      </c>
      <c r="G123" s="7461" t="s">
        <v>7472</v>
      </c>
      <c r="H123" s="7481"/>
      <c r="I123" s="7520"/>
      <c r="J123" s="7924">
        <f>G124+G125+G126+G127</f>
        <v>83000000</v>
      </c>
      <c r="K123" s="7563">
        <f>83000000-J123</f>
        <v>0</v>
      </c>
      <c r="L123" s="7713" t="s">
        <v>7471</v>
      </c>
    </row>
    <row r="124" spans="1:12" ht="30" customHeight="1" x14ac:dyDescent="0.2">
      <c r="A124" s="7656"/>
      <c r="B124" s="7665"/>
      <c r="C124" s="7747"/>
      <c r="D124" s="7586"/>
      <c r="E124" s="7676"/>
      <c r="F124" s="7586"/>
      <c r="G124" s="5586">
        <v>20000000</v>
      </c>
      <c r="H124" s="5586" t="s">
        <v>7460</v>
      </c>
      <c r="I124" s="5586" t="s">
        <v>7473</v>
      </c>
      <c r="J124" s="8234"/>
      <c r="K124" s="7586"/>
      <c r="L124" s="7797"/>
    </row>
    <row r="125" spans="1:12" ht="30" customHeight="1" x14ac:dyDescent="0.2">
      <c r="A125" s="7656"/>
      <c r="B125" s="7665"/>
      <c r="C125" s="7747"/>
      <c r="D125" s="7586"/>
      <c r="E125" s="7676"/>
      <c r="F125" s="7586"/>
      <c r="G125" s="5586">
        <v>50000000</v>
      </c>
      <c r="H125" s="5586" t="s">
        <v>4168</v>
      </c>
      <c r="I125" s="5586" t="s">
        <v>7473</v>
      </c>
      <c r="J125" s="8234"/>
      <c r="K125" s="7586"/>
      <c r="L125" s="7797"/>
    </row>
    <row r="126" spans="1:12" ht="30" customHeight="1" x14ac:dyDescent="0.2">
      <c r="A126" s="7656"/>
      <c r="B126" s="7665"/>
      <c r="C126" s="7747"/>
      <c r="D126" s="7586"/>
      <c r="E126" s="7676"/>
      <c r="F126" s="7586"/>
      <c r="G126" s="6122">
        <v>13000000</v>
      </c>
      <c r="H126" s="6122" t="s">
        <v>1975</v>
      </c>
      <c r="I126" s="6122" t="s">
        <v>4945</v>
      </c>
      <c r="J126" s="8234"/>
      <c r="K126" s="7586"/>
      <c r="L126" s="7797"/>
    </row>
    <row r="127" spans="1:12" ht="30" customHeight="1" x14ac:dyDescent="0.2">
      <c r="A127" s="7656"/>
      <c r="B127" s="7665"/>
      <c r="C127" s="7724"/>
      <c r="D127" s="7564"/>
      <c r="E127" s="7660"/>
      <c r="F127" s="7564"/>
      <c r="G127" s="5586"/>
      <c r="H127" s="5586"/>
      <c r="I127" s="5586"/>
      <c r="J127" s="7925"/>
      <c r="K127" s="7564"/>
      <c r="L127" s="7714"/>
    </row>
    <row r="128" spans="1:12" ht="30" customHeight="1" x14ac:dyDescent="0.2">
      <c r="A128" s="7656"/>
      <c r="B128" s="7665"/>
      <c r="C128" s="7723" t="s">
        <v>889</v>
      </c>
      <c r="D128" s="7563"/>
      <c r="E128" s="7659"/>
      <c r="F128" s="7563"/>
      <c r="G128" s="5956"/>
      <c r="H128" s="5956"/>
      <c r="I128" s="5956"/>
      <c r="J128" s="5991"/>
      <c r="K128" s="5959"/>
      <c r="L128" s="8072" t="s">
        <v>7470</v>
      </c>
    </row>
    <row r="129" spans="1:12" ht="30" customHeight="1" x14ac:dyDescent="0.2">
      <c r="A129" s="7656"/>
      <c r="B129" s="7665"/>
      <c r="C129" s="7747"/>
      <c r="D129" s="7586"/>
      <c r="E129" s="7676"/>
      <c r="F129" s="7586"/>
      <c r="G129" s="5956"/>
      <c r="H129" s="5956"/>
      <c r="I129" s="5956"/>
      <c r="J129" s="5991"/>
      <c r="K129" s="5959"/>
      <c r="L129" s="8072"/>
    </row>
    <row r="130" spans="1:12" ht="30" customHeight="1" x14ac:dyDescent="0.2">
      <c r="A130" s="7656"/>
      <c r="B130" s="7665"/>
      <c r="C130" s="7724"/>
      <c r="D130" s="7564"/>
      <c r="E130" s="7660"/>
      <c r="F130" s="7564"/>
      <c r="G130" s="5956"/>
      <c r="H130" s="5956"/>
      <c r="I130" s="5956"/>
      <c r="J130" s="5991"/>
      <c r="K130" s="5959"/>
      <c r="L130" s="8072"/>
    </row>
    <row r="131" spans="1:12" ht="30" customHeight="1" x14ac:dyDescent="0.2">
      <c r="A131" s="7656"/>
      <c r="B131" s="7665"/>
      <c r="C131" s="7873" t="s">
        <v>1306</v>
      </c>
      <c r="D131" s="7563">
        <v>2451198840</v>
      </c>
      <c r="E131" s="7659">
        <v>0.08</v>
      </c>
      <c r="F131" s="7563">
        <f t="shared" ref="F131:F137" si="15">D131*E131</f>
        <v>196095907.20000002</v>
      </c>
      <c r="G131" s="6122">
        <v>12000000</v>
      </c>
      <c r="H131" s="6122" t="s">
        <v>1975</v>
      </c>
      <c r="I131" s="6122" t="s">
        <v>4945</v>
      </c>
      <c r="J131" s="7482">
        <f>G131+G132+G133</f>
        <v>12000000</v>
      </c>
      <c r="K131" s="7482">
        <f>F131-J131</f>
        <v>184095907.20000002</v>
      </c>
      <c r="L131" s="7919" t="s">
        <v>7272</v>
      </c>
    </row>
    <row r="132" spans="1:12" ht="30" customHeight="1" x14ac:dyDescent="0.2">
      <c r="A132" s="7656"/>
      <c r="B132" s="7665"/>
      <c r="C132" s="7873"/>
      <c r="D132" s="7586"/>
      <c r="E132" s="7676"/>
      <c r="F132" s="7586"/>
      <c r="G132" s="5586"/>
      <c r="H132" s="5586"/>
      <c r="I132" s="5586" t="s">
        <v>4945</v>
      </c>
      <c r="J132" s="7482"/>
      <c r="K132" s="7482"/>
      <c r="L132" s="7920"/>
    </row>
    <row r="133" spans="1:12" ht="30" customHeight="1" x14ac:dyDescent="0.2">
      <c r="A133" s="7656"/>
      <c r="B133" s="7665"/>
      <c r="C133" s="7873"/>
      <c r="D133" s="7564"/>
      <c r="E133" s="7660"/>
      <c r="F133" s="7564"/>
      <c r="G133" s="5586"/>
      <c r="H133" s="5586"/>
      <c r="I133" s="5586" t="s">
        <v>4945</v>
      </c>
      <c r="J133" s="7482"/>
      <c r="K133" s="7482"/>
      <c r="L133" s="7921"/>
    </row>
    <row r="134" spans="1:12" ht="30" customHeight="1" x14ac:dyDescent="0.2">
      <c r="A134" s="7656"/>
      <c r="B134" s="7665"/>
      <c r="C134" s="7873" t="s">
        <v>1306</v>
      </c>
      <c r="D134" s="7563">
        <v>2451198840</v>
      </c>
      <c r="E134" s="7659">
        <v>0.08</v>
      </c>
      <c r="F134" s="7563">
        <f>D134*E134</f>
        <v>196095907.20000002</v>
      </c>
      <c r="G134" s="5586"/>
      <c r="H134" s="5586"/>
      <c r="I134" s="5586"/>
      <c r="J134" s="7563"/>
      <c r="K134" s="7563"/>
      <c r="L134" s="7919" t="s">
        <v>7273</v>
      </c>
    </row>
    <row r="135" spans="1:12" ht="30" customHeight="1" x14ac:dyDescent="0.2">
      <c r="A135" s="7656"/>
      <c r="B135" s="7665"/>
      <c r="C135" s="7873"/>
      <c r="D135" s="7586"/>
      <c r="E135" s="7676"/>
      <c r="F135" s="7586"/>
      <c r="G135" s="5586"/>
      <c r="H135" s="5586"/>
      <c r="I135" s="5586"/>
      <c r="J135" s="7586"/>
      <c r="K135" s="7586"/>
      <c r="L135" s="7920"/>
    </row>
    <row r="136" spans="1:12" ht="30" customHeight="1" x14ac:dyDescent="0.2">
      <c r="A136" s="7656"/>
      <c r="B136" s="7653"/>
      <c r="C136" s="7873"/>
      <c r="D136" s="7564"/>
      <c r="E136" s="7660"/>
      <c r="F136" s="7564"/>
      <c r="G136" s="5586"/>
      <c r="H136" s="5586"/>
      <c r="I136" s="5586"/>
      <c r="J136" s="7564"/>
      <c r="K136" s="7564"/>
      <c r="L136" s="7921"/>
    </row>
    <row r="137" spans="1:12" ht="30" customHeight="1" x14ac:dyDescent="0.2">
      <c r="A137" s="7654">
        <v>57</v>
      </c>
      <c r="B137" s="7652" t="s">
        <v>1077</v>
      </c>
      <c r="C137" s="5657" t="s">
        <v>1298</v>
      </c>
      <c r="D137" s="5586">
        <v>317000000</v>
      </c>
      <c r="E137" s="5652">
        <v>7.0000000000000007E-2</v>
      </c>
      <c r="F137" s="5586">
        <f t="shared" si="15"/>
        <v>22190000.000000004</v>
      </c>
      <c r="G137" s="5586"/>
      <c r="H137" s="5586"/>
      <c r="I137" s="5586" t="s">
        <v>4945</v>
      </c>
      <c r="J137" s="5586">
        <f>G137</f>
        <v>0</v>
      </c>
      <c r="K137" s="5586">
        <v>0</v>
      </c>
      <c r="L137" s="5690" t="s">
        <v>7272</v>
      </c>
    </row>
    <row r="138" spans="1:12" ht="30" customHeight="1" x14ac:dyDescent="0.2">
      <c r="A138" s="7655"/>
      <c r="B138" s="7653"/>
      <c r="C138" s="5657" t="s">
        <v>1298</v>
      </c>
      <c r="D138" s="5586">
        <v>317000000</v>
      </c>
      <c r="E138" s="5652">
        <v>7.0000000000000007E-2</v>
      </c>
      <c r="F138" s="5586">
        <f t="shared" ref="F138" si="16">D138*E138</f>
        <v>22190000.000000004</v>
      </c>
      <c r="G138" s="5592"/>
      <c r="H138" s="5592"/>
      <c r="I138" s="5592"/>
      <c r="J138" s="5592"/>
      <c r="K138" s="5592"/>
      <c r="L138" s="162" t="s">
        <v>7273</v>
      </c>
    </row>
    <row r="139" spans="1:12" ht="30" customHeight="1" x14ac:dyDescent="0.2">
      <c r="A139" s="5614"/>
      <c r="B139" s="5658" t="s">
        <v>5903</v>
      </c>
      <c r="C139" s="345"/>
      <c r="D139" s="5594">
        <v>50000000</v>
      </c>
      <c r="E139" s="5606">
        <v>0.08</v>
      </c>
      <c r="F139" s="5594">
        <f>D139*E139</f>
        <v>4000000</v>
      </c>
      <c r="G139" s="5592"/>
      <c r="H139" s="5592"/>
      <c r="I139" s="5592" t="s">
        <v>6391</v>
      </c>
      <c r="J139" s="5592">
        <f>G139</f>
        <v>0</v>
      </c>
      <c r="K139" s="5592">
        <f>F139-J139</f>
        <v>4000000</v>
      </c>
      <c r="L139" s="1611"/>
    </row>
    <row r="140" spans="1:12" ht="30" customHeight="1" x14ac:dyDescent="0.2">
      <c r="A140" s="7879"/>
      <c r="B140" s="7717" t="s">
        <v>6673</v>
      </c>
      <c r="C140" s="7873" t="s">
        <v>1796</v>
      </c>
      <c r="D140" s="5586">
        <v>56000000</v>
      </c>
      <c r="E140" s="5652">
        <v>7.0000000000000007E-2</v>
      </c>
      <c r="F140" s="5586">
        <f>D140*E140</f>
        <v>3920000.0000000005</v>
      </c>
      <c r="G140" s="7482"/>
      <c r="H140" s="7482"/>
      <c r="I140" s="7482" t="s">
        <v>4263</v>
      </c>
      <c r="J140" s="7482">
        <f>G140</f>
        <v>0</v>
      </c>
      <c r="K140" s="7482">
        <f>(F140+F141)-J140</f>
        <v>10920000.000000002</v>
      </c>
      <c r="L140" s="7713" t="s">
        <v>7275</v>
      </c>
    </row>
    <row r="141" spans="1:12" ht="30" customHeight="1" x14ac:dyDescent="0.2">
      <c r="A141" s="7879"/>
      <c r="B141" s="7717"/>
      <c r="C141" s="7873"/>
      <c r="D141" s="5586">
        <v>100000000</v>
      </c>
      <c r="E141" s="5652">
        <v>7.0000000000000007E-2</v>
      </c>
      <c r="F141" s="5586">
        <f>D141*E141</f>
        <v>7000000.0000000009</v>
      </c>
      <c r="G141" s="7482"/>
      <c r="H141" s="7482"/>
      <c r="I141" s="7482"/>
      <c r="J141" s="7482"/>
      <c r="K141" s="7482"/>
      <c r="L141" s="7714"/>
    </row>
    <row r="142" spans="1:12" ht="30" customHeight="1" x14ac:dyDescent="0.2">
      <c r="A142" s="7654"/>
      <c r="B142" s="7717" t="s">
        <v>6673</v>
      </c>
      <c r="C142" s="7873" t="s">
        <v>1796</v>
      </c>
      <c r="D142" s="5594">
        <v>56000000</v>
      </c>
      <c r="E142" s="5606">
        <v>7.0000000000000007E-2</v>
      </c>
      <c r="F142" s="5594">
        <f>D142*E142</f>
        <v>3920000.0000000005</v>
      </c>
      <c r="G142" s="7586"/>
      <c r="H142" s="7586"/>
      <c r="I142" s="7586" t="s">
        <v>4263</v>
      </c>
      <c r="J142" s="7586">
        <f>G142</f>
        <v>0</v>
      </c>
      <c r="K142" s="7586">
        <f>(F142+F143)-J142</f>
        <v>10920000.000000002</v>
      </c>
      <c r="L142" s="7809" t="s">
        <v>7276</v>
      </c>
    </row>
    <row r="143" spans="1:12" ht="30" customHeight="1" x14ac:dyDescent="0.2">
      <c r="A143" s="7655"/>
      <c r="B143" s="7717"/>
      <c r="C143" s="7873"/>
      <c r="D143" s="5586">
        <v>100000000</v>
      </c>
      <c r="E143" s="5652">
        <v>7.0000000000000007E-2</v>
      </c>
      <c r="F143" s="5586">
        <f>D143*E143</f>
        <v>7000000.0000000009</v>
      </c>
      <c r="G143" s="7564"/>
      <c r="H143" s="7564"/>
      <c r="I143" s="7564"/>
      <c r="J143" s="7564"/>
      <c r="K143" s="7564"/>
      <c r="L143" s="7810"/>
    </row>
    <row r="144" spans="1:12" ht="30" customHeight="1" x14ac:dyDescent="0.2">
      <c r="A144" s="7654">
        <v>58</v>
      </c>
      <c r="B144" s="7652" t="s">
        <v>1064</v>
      </c>
      <c r="C144" s="7723" t="s">
        <v>889</v>
      </c>
      <c r="D144" s="5594">
        <v>11000000</v>
      </c>
      <c r="E144" s="5652">
        <v>7.0000000000000007E-2</v>
      </c>
      <c r="F144" s="5594">
        <v>700000</v>
      </c>
      <c r="G144" s="7563">
        <v>4500000</v>
      </c>
      <c r="H144" s="7563" t="s">
        <v>7310</v>
      </c>
      <c r="I144" s="7775" t="s">
        <v>7322</v>
      </c>
      <c r="J144" s="7563">
        <f>G144</f>
        <v>4500000</v>
      </c>
      <c r="K144" s="7563"/>
      <c r="L144" s="5613"/>
    </row>
    <row r="145" spans="1:12" ht="30" customHeight="1" x14ac:dyDescent="0.2">
      <c r="A145" s="7656"/>
      <c r="B145" s="7665"/>
      <c r="C145" s="7747"/>
      <c r="D145" s="5594">
        <v>20000000</v>
      </c>
      <c r="E145" s="5652">
        <v>7.0000000000000007E-2</v>
      </c>
      <c r="F145" s="5594">
        <f>D145*E145</f>
        <v>1400000.0000000002</v>
      </c>
      <c r="G145" s="7586"/>
      <c r="H145" s="7586"/>
      <c r="I145" s="7776"/>
      <c r="J145" s="7586"/>
      <c r="K145" s="7586"/>
      <c r="L145" s="5690" t="s">
        <v>7428</v>
      </c>
    </row>
    <row r="146" spans="1:12" ht="30" customHeight="1" x14ac:dyDescent="0.2">
      <c r="A146" s="7656"/>
      <c r="B146" s="7665"/>
      <c r="C146" s="7747"/>
      <c r="D146" s="5594">
        <v>30000000</v>
      </c>
      <c r="E146" s="5652">
        <v>7.0000000000000007E-2</v>
      </c>
      <c r="F146" s="5594">
        <f>D146*E146</f>
        <v>2100000</v>
      </c>
      <c r="G146" s="7586"/>
      <c r="H146" s="7586"/>
      <c r="I146" s="7776"/>
      <c r="J146" s="7586"/>
      <c r="K146" s="7586"/>
      <c r="L146" s="5619"/>
    </row>
    <row r="147" spans="1:12" ht="30" customHeight="1" x14ac:dyDescent="0.2">
      <c r="A147" s="7655"/>
      <c r="B147" s="7653"/>
      <c r="C147" s="7724"/>
      <c r="D147" s="5827">
        <v>10000000</v>
      </c>
      <c r="E147" s="5838">
        <v>7.0000000000000007E-2</v>
      </c>
      <c r="F147" s="5827">
        <f>D147*E147</f>
        <v>700000.00000000012</v>
      </c>
      <c r="G147" s="7564"/>
      <c r="H147" s="7564"/>
      <c r="I147" s="7777"/>
      <c r="J147" s="7564"/>
      <c r="K147" s="7564"/>
      <c r="L147" s="5833" t="s">
        <v>7323</v>
      </c>
    </row>
    <row r="148" spans="1:12" ht="30" customHeight="1" x14ac:dyDescent="0.2">
      <c r="A148" s="6132"/>
      <c r="B148" s="6133" t="s">
        <v>7665</v>
      </c>
      <c r="C148" s="6142"/>
      <c r="D148" s="6128">
        <v>20000000</v>
      </c>
      <c r="E148" s="6148">
        <v>0.08</v>
      </c>
      <c r="F148" s="6128">
        <f>D148*E148</f>
        <v>1600000</v>
      </c>
      <c r="G148" s="7732" t="s">
        <v>7666</v>
      </c>
      <c r="H148" s="7733"/>
      <c r="I148" s="7733"/>
      <c r="J148" s="7734"/>
      <c r="K148" s="6128"/>
      <c r="L148" s="736" t="s">
        <v>7667</v>
      </c>
    </row>
    <row r="149" spans="1:12" ht="30" customHeight="1" x14ac:dyDescent="0.2">
      <c r="A149" s="5614"/>
      <c r="B149" s="5658" t="s">
        <v>194</v>
      </c>
      <c r="C149" s="5657" t="s">
        <v>1295</v>
      </c>
      <c r="D149" s="5594">
        <v>160000000</v>
      </c>
      <c r="E149" s="5652">
        <v>5.1999999999999998E-2</v>
      </c>
      <c r="F149" s="5594">
        <v>8300000</v>
      </c>
      <c r="G149" s="5586">
        <v>8300000</v>
      </c>
      <c r="H149" s="5586" t="s">
        <v>7424</v>
      </c>
      <c r="I149" s="5586" t="s">
        <v>6193</v>
      </c>
      <c r="J149" s="5586">
        <f>G149</f>
        <v>8300000</v>
      </c>
      <c r="K149" s="5586">
        <f>F149-J149</f>
        <v>0</v>
      </c>
      <c r="L149" s="637" t="s">
        <v>6336</v>
      </c>
    </row>
    <row r="150" spans="1:12" ht="30" customHeight="1" x14ac:dyDescent="0.2">
      <c r="A150" s="5655">
        <v>60</v>
      </c>
      <c r="B150" s="5613" t="s">
        <v>1498</v>
      </c>
      <c r="C150" s="5634" t="s">
        <v>889</v>
      </c>
      <c r="D150" s="5594"/>
      <c r="E150" s="5652"/>
      <c r="F150" s="5594">
        <f t="shared" si="14"/>
        <v>0</v>
      </c>
      <c r="G150" s="5594">
        <v>10000000</v>
      </c>
      <c r="H150" s="5594" t="s">
        <v>7306</v>
      </c>
      <c r="I150" s="5714" t="s">
        <v>1810</v>
      </c>
      <c r="J150" s="5594">
        <f>G150</f>
        <v>10000000</v>
      </c>
      <c r="K150" s="5594">
        <f>F150-J150</f>
        <v>-10000000</v>
      </c>
      <c r="L150" s="5613"/>
    </row>
    <row r="151" spans="1:12" ht="30" customHeight="1" x14ac:dyDescent="0.2">
      <c r="A151" s="5597">
        <v>61</v>
      </c>
      <c r="B151" s="5613" t="s">
        <v>196</v>
      </c>
      <c r="C151" s="5634"/>
      <c r="D151" s="5594">
        <v>100000000</v>
      </c>
      <c r="E151" s="5652">
        <v>7.0000000000000007E-2</v>
      </c>
      <c r="F151" s="5594">
        <f t="shared" si="14"/>
        <v>7000000.0000000009</v>
      </c>
      <c r="G151" s="5594">
        <v>7000000</v>
      </c>
      <c r="H151" s="5594" t="s">
        <v>7424</v>
      </c>
      <c r="I151" s="5714" t="s">
        <v>3466</v>
      </c>
      <c r="J151" s="5594">
        <f>G151</f>
        <v>7000000</v>
      </c>
      <c r="K151" s="5594">
        <f>F151-J151</f>
        <v>0</v>
      </c>
      <c r="L151" s="5613"/>
    </row>
    <row r="152" spans="1:12" ht="30" customHeight="1" x14ac:dyDescent="0.2">
      <c r="A152" s="7703">
        <v>62</v>
      </c>
      <c r="B152" s="7652" t="s">
        <v>197</v>
      </c>
      <c r="C152" s="7723"/>
      <c r="D152" s="5825">
        <v>125000000</v>
      </c>
      <c r="E152" s="5829">
        <v>5.1999999999999998E-2</v>
      </c>
      <c r="F152" s="5825">
        <f t="shared" si="14"/>
        <v>6500000</v>
      </c>
      <c r="G152" s="5956"/>
      <c r="H152" s="5956"/>
      <c r="I152" s="5956"/>
      <c r="J152" s="5956"/>
      <c r="K152" s="5823"/>
      <c r="L152" s="5620"/>
    </row>
    <row r="153" spans="1:12" ht="30" customHeight="1" x14ac:dyDescent="0.2">
      <c r="A153" s="7704"/>
      <c r="B153" s="7665"/>
      <c r="C153" s="7747"/>
      <c r="D153" s="7494" t="s">
        <v>6674</v>
      </c>
      <c r="E153" s="7495"/>
      <c r="F153" s="7768"/>
      <c r="G153" s="7991" t="s">
        <v>7329</v>
      </c>
      <c r="H153" s="7992"/>
      <c r="I153" s="7992"/>
      <c r="J153" s="7993"/>
      <c r="K153" s="7563"/>
      <c r="L153" s="5674" t="s">
        <v>7330</v>
      </c>
    </row>
    <row r="154" spans="1:12" ht="30" customHeight="1" x14ac:dyDescent="0.2">
      <c r="A154" s="7704"/>
      <c r="B154" s="7665"/>
      <c r="C154" s="7747"/>
      <c r="D154" s="7877"/>
      <c r="E154" s="7524"/>
      <c r="F154" s="7878"/>
      <c r="G154" s="7994" t="s">
        <v>7333</v>
      </c>
      <c r="H154" s="7995"/>
      <c r="I154" s="7995"/>
      <c r="J154" s="7996"/>
      <c r="K154" s="7586"/>
      <c r="L154" s="5674" t="s">
        <v>7331</v>
      </c>
    </row>
    <row r="155" spans="1:12" ht="30" customHeight="1" x14ac:dyDescent="0.2">
      <c r="A155" s="7704"/>
      <c r="B155" s="7665"/>
      <c r="C155" s="7747"/>
      <c r="D155" s="7877"/>
      <c r="E155" s="7524"/>
      <c r="F155" s="7878"/>
      <c r="G155" s="7997" t="s">
        <v>7338</v>
      </c>
      <c r="H155" s="7998"/>
      <c r="I155" s="7998"/>
      <c r="J155" s="7999"/>
      <c r="K155" s="7564"/>
      <c r="L155" s="5842" t="s">
        <v>7332</v>
      </c>
    </row>
    <row r="156" spans="1:12" ht="30" customHeight="1" x14ac:dyDescent="0.2">
      <c r="A156" s="7704"/>
      <c r="B156" s="7665"/>
      <c r="C156" s="7747"/>
      <c r="D156" s="7769"/>
      <c r="E156" s="7805"/>
      <c r="F156" s="7770"/>
      <c r="G156" s="7997" t="s">
        <v>7337</v>
      </c>
      <c r="H156" s="7998"/>
      <c r="I156" s="7998"/>
      <c r="J156" s="7999"/>
      <c r="K156" s="5827"/>
      <c r="L156" s="5842"/>
    </row>
    <row r="157" spans="1:12" ht="30" customHeight="1" x14ac:dyDescent="0.2">
      <c r="A157" s="7704"/>
      <c r="B157" s="7665"/>
      <c r="C157" s="7747"/>
      <c r="D157" s="7494" t="s">
        <v>7494</v>
      </c>
      <c r="E157" s="7495"/>
      <c r="F157" s="7768"/>
      <c r="G157" s="5956">
        <v>4000000</v>
      </c>
      <c r="H157" s="5956" t="s">
        <v>7424</v>
      </c>
      <c r="I157" s="5956" t="s">
        <v>1251</v>
      </c>
      <c r="J157" s="5956">
        <f>G157</f>
        <v>4000000</v>
      </c>
      <c r="K157" s="5958"/>
      <c r="L157" s="5979"/>
    </row>
    <row r="158" spans="1:12" ht="30" customHeight="1" x14ac:dyDescent="0.2">
      <c r="A158" s="7704"/>
      <c r="B158" s="7665"/>
      <c r="C158" s="7747"/>
      <c r="D158" s="7769"/>
      <c r="E158" s="7805"/>
      <c r="F158" s="7770"/>
      <c r="G158" s="5956">
        <v>70000000</v>
      </c>
      <c r="H158" s="5956" t="s">
        <v>4168</v>
      </c>
      <c r="I158" s="5956" t="s">
        <v>7222</v>
      </c>
      <c r="J158" s="5956">
        <f>G158</f>
        <v>70000000</v>
      </c>
      <c r="K158" s="5958"/>
      <c r="L158" s="5979"/>
    </row>
    <row r="159" spans="1:12" ht="30" customHeight="1" x14ac:dyDescent="0.2">
      <c r="A159" s="7704"/>
      <c r="B159" s="7665"/>
      <c r="C159" s="7747"/>
      <c r="D159" s="7494"/>
      <c r="E159" s="7495"/>
      <c r="F159" s="7768"/>
      <c r="G159" s="6010">
        <v>17000000</v>
      </c>
      <c r="H159" s="6010" t="s">
        <v>7528</v>
      </c>
      <c r="I159" s="6010" t="s">
        <v>7222</v>
      </c>
      <c r="J159" s="6010">
        <f>G159</f>
        <v>17000000</v>
      </c>
      <c r="K159" s="6011"/>
      <c r="L159" s="6019"/>
    </row>
    <row r="160" spans="1:12" ht="30" customHeight="1" x14ac:dyDescent="0.2">
      <c r="A160" s="6117"/>
      <c r="B160" s="6110" t="s">
        <v>7594</v>
      </c>
      <c r="C160" s="6115"/>
      <c r="D160" s="6104">
        <v>5000000</v>
      </c>
      <c r="E160" s="6104"/>
      <c r="F160" s="6104"/>
      <c r="G160" s="6104"/>
      <c r="H160" s="6104"/>
      <c r="I160" s="6104"/>
      <c r="J160" s="6104"/>
      <c r="K160" s="6104"/>
      <c r="L160" s="736" t="s">
        <v>7595</v>
      </c>
    </row>
    <row r="161" spans="1:12" ht="30" customHeight="1" x14ac:dyDescent="0.2">
      <c r="A161" s="6117"/>
      <c r="B161" s="6110" t="s">
        <v>7596</v>
      </c>
      <c r="C161" s="6115"/>
      <c r="D161" s="6104">
        <v>50000000</v>
      </c>
      <c r="E161" s="6104"/>
      <c r="F161" s="6104"/>
      <c r="G161" s="6104"/>
      <c r="H161" s="6104"/>
      <c r="I161" s="6104"/>
      <c r="J161" s="6104"/>
      <c r="K161" s="6104"/>
      <c r="L161" s="736" t="s">
        <v>7602</v>
      </c>
    </row>
    <row r="162" spans="1:12" ht="30" customHeight="1" x14ac:dyDescent="0.2">
      <c r="A162" s="7703"/>
      <c r="B162" s="7652" t="s">
        <v>4139</v>
      </c>
      <c r="C162" s="7723"/>
      <c r="D162" s="6104">
        <v>5000000</v>
      </c>
      <c r="E162" s="6104"/>
      <c r="F162" s="6104"/>
      <c r="G162" s="6104"/>
      <c r="H162" s="6104"/>
      <c r="I162" s="6104"/>
      <c r="J162" s="6104"/>
      <c r="K162" s="6104"/>
      <c r="L162" s="736" t="s">
        <v>7597</v>
      </c>
    </row>
    <row r="163" spans="1:12" ht="30" customHeight="1" x14ac:dyDescent="0.2">
      <c r="A163" s="7705"/>
      <c r="B163" s="7653"/>
      <c r="C163" s="7724"/>
      <c r="D163" s="6104">
        <v>5000000</v>
      </c>
      <c r="E163" s="6104"/>
      <c r="F163" s="6104"/>
      <c r="G163" s="6104"/>
      <c r="H163" s="6104"/>
      <c r="I163" s="6104"/>
      <c r="J163" s="6104"/>
      <c r="K163" s="6104"/>
      <c r="L163" s="736" t="s">
        <v>7598</v>
      </c>
    </row>
    <row r="164" spans="1:12" ht="30" customHeight="1" x14ac:dyDescent="0.2">
      <c r="A164" s="6318"/>
      <c r="B164" s="6311" t="s">
        <v>7791</v>
      </c>
      <c r="C164" s="6322"/>
      <c r="D164" s="7470" t="s">
        <v>7793</v>
      </c>
      <c r="E164" s="7493"/>
      <c r="F164" s="7510"/>
      <c r="G164" s="6303">
        <v>800000</v>
      </c>
      <c r="H164" s="6303" t="s">
        <v>7786</v>
      </c>
      <c r="I164" s="6303" t="s">
        <v>7792</v>
      </c>
      <c r="J164" s="6303">
        <f>G164</f>
        <v>800000</v>
      </c>
      <c r="K164" s="6303"/>
      <c r="L164" s="637"/>
    </row>
    <row r="165" spans="1:12" ht="30" customHeight="1" x14ac:dyDescent="0.2">
      <c r="A165" s="7654"/>
      <c r="B165" s="7652" t="s">
        <v>198</v>
      </c>
      <c r="C165" s="7723" t="s">
        <v>889</v>
      </c>
      <c r="D165" s="3829">
        <v>2000000000</v>
      </c>
      <c r="E165" s="5652">
        <v>7.0000000000000007E-2</v>
      </c>
      <c r="F165" s="5586">
        <f t="shared" ref="F165:F171" si="17">D165*E165</f>
        <v>140000000</v>
      </c>
      <c r="G165" s="7563">
        <v>61000000</v>
      </c>
      <c r="H165" s="7563" t="s">
        <v>7460</v>
      </c>
      <c r="I165" s="8428" t="s">
        <v>3724</v>
      </c>
      <c r="J165" s="7563">
        <f>G165</f>
        <v>61000000</v>
      </c>
      <c r="K165" s="7563">
        <f>(F165+F166+F167+F168)-J165</f>
        <v>100000000</v>
      </c>
      <c r="L165" s="637" t="s">
        <v>6749</v>
      </c>
    </row>
    <row r="166" spans="1:12" ht="30" customHeight="1" x14ac:dyDescent="0.2">
      <c r="A166" s="7656"/>
      <c r="B166" s="7665"/>
      <c r="C166" s="7747"/>
      <c r="D166" s="3829">
        <v>100000000</v>
      </c>
      <c r="E166" s="5606">
        <v>7.0000000000000007E-2</v>
      </c>
      <c r="F166" s="5586">
        <f t="shared" si="17"/>
        <v>7000000.0000000009</v>
      </c>
      <c r="G166" s="7586"/>
      <c r="H166" s="7586"/>
      <c r="I166" s="8496"/>
      <c r="J166" s="7586"/>
      <c r="K166" s="7586"/>
      <c r="L166" s="180"/>
    </row>
    <row r="167" spans="1:12" ht="30" customHeight="1" x14ac:dyDescent="0.2">
      <c r="A167" s="7656"/>
      <c r="B167" s="7665"/>
      <c r="C167" s="7747"/>
      <c r="D167" s="940">
        <v>100000000</v>
      </c>
      <c r="E167" s="5606">
        <v>7.0000000000000007E-2</v>
      </c>
      <c r="F167" s="5594">
        <f t="shared" si="17"/>
        <v>7000000.0000000009</v>
      </c>
      <c r="G167" s="7586"/>
      <c r="H167" s="7586"/>
      <c r="I167" s="8496"/>
      <c r="J167" s="7586"/>
      <c r="K167" s="7586"/>
      <c r="L167" s="5674"/>
    </row>
    <row r="168" spans="1:12" ht="30" customHeight="1" x14ac:dyDescent="0.2">
      <c r="A168" s="7656"/>
      <c r="B168" s="7665"/>
      <c r="C168" s="7747"/>
      <c r="D168" s="940">
        <v>100000000</v>
      </c>
      <c r="E168" s="5606">
        <v>7.0000000000000007E-2</v>
      </c>
      <c r="F168" s="5594">
        <f t="shared" si="17"/>
        <v>7000000.0000000009</v>
      </c>
      <c r="G168" s="7564"/>
      <c r="H168" s="7564"/>
      <c r="I168" s="8429"/>
      <c r="J168" s="7564"/>
      <c r="K168" s="7564"/>
      <c r="L168" s="5674"/>
    </row>
    <row r="169" spans="1:12" ht="30" customHeight="1" x14ac:dyDescent="0.2">
      <c r="A169" s="7656"/>
      <c r="B169" s="7665"/>
      <c r="C169" s="7747"/>
      <c r="D169" s="940">
        <v>100000000</v>
      </c>
      <c r="E169" s="5965">
        <v>7.0000000000000007E-2</v>
      </c>
      <c r="F169" s="5959">
        <f t="shared" si="17"/>
        <v>7000000.0000000009</v>
      </c>
      <c r="G169" s="7732" t="s">
        <v>7447</v>
      </c>
      <c r="H169" s="7733"/>
      <c r="I169" s="7733"/>
      <c r="J169" s="7734"/>
      <c r="K169" s="5959"/>
      <c r="L169" s="5979"/>
    </row>
    <row r="170" spans="1:12" ht="30" customHeight="1" x14ac:dyDescent="0.2">
      <c r="A170" s="7656"/>
      <c r="B170" s="7665"/>
      <c r="C170" s="7747"/>
      <c r="D170" s="5697">
        <v>300000000</v>
      </c>
      <c r="E170" s="5606">
        <v>7.0000000000000007E-2</v>
      </c>
      <c r="F170" s="5594">
        <f t="shared" si="17"/>
        <v>21000000.000000004</v>
      </c>
      <c r="G170" s="7563">
        <v>31500000</v>
      </c>
      <c r="H170" s="7563" t="s">
        <v>7511</v>
      </c>
      <c r="I170" s="8180" t="s">
        <v>6196</v>
      </c>
      <c r="J170" s="7563">
        <f>G170</f>
        <v>31500000</v>
      </c>
      <c r="K170" s="7563">
        <f>(F170+F171)-J170</f>
        <v>0</v>
      </c>
      <c r="L170" s="7797" t="s">
        <v>5581</v>
      </c>
    </row>
    <row r="171" spans="1:12" ht="30" customHeight="1" x14ac:dyDescent="0.2">
      <c r="A171" s="7656"/>
      <c r="B171" s="7665"/>
      <c r="C171" s="7747"/>
      <c r="D171" s="5710">
        <v>150000000</v>
      </c>
      <c r="E171" s="5652">
        <v>7.0000000000000007E-2</v>
      </c>
      <c r="F171" s="5586">
        <f t="shared" si="17"/>
        <v>10500000.000000002</v>
      </c>
      <c r="G171" s="7564"/>
      <c r="H171" s="7564"/>
      <c r="I171" s="8183"/>
      <c r="J171" s="7564"/>
      <c r="K171" s="7564"/>
      <c r="L171" s="7714"/>
    </row>
    <row r="172" spans="1:12" ht="30" customHeight="1" x14ac:dyDescent="0.2">
      <c r="A172" s="7656"/>
      <c r="B172" s="7665"/>
      <c r="C172" s="7747"/>
      <c r="D172" s="5710">
        <v>50000000</v>
      </c>
      <c r="E172" s="5652">
        <v>7.0000000000000007E-2</v>
      </c>
      <c r="F172" s="5586">
        <f>D172*E172</f>
        <v>3500000.0000000005</v>
      </c>
      <c r="G172" s="7563">
        <v>12017000</v>
      </c>
      <c r="H172" s="7563" t="s">
        <v>7718</v>
      </c>
      <c r="I172" s="7563" t="s">
        <v>6196</v>
      </c>
      <c r="J172" s="7563">
        <f>G172</f>
        <v>12017000</v>
      </c>
      <c r="K172" s="7563"/>
      <c r="L172" s="8505" t="s">
        <v>6751</v>
      </c>
    </row>
    <row r="173" spans="1:12" ht="30" customHeight="1" x14ac:dyDescent="0.2">
      <c r="A173" s="7655"/>
      <c r="B173" s="7653"/>
      <c r="C173" s="7724"/>
      <c r="D173" s="5710">
        <v>150000000</v>
      </c>
      <c r="E173" s="5652">
        <v>7.0000000000000007E-2</v>
      </c>
      <c r="F173" s="5586">
        <f>D173*E173</f>
        <v>10500000.000000002</v>
      </c>
      <c r="G173" s="7564"/>
      <c r="H173" s="7564"/>
      <c r="I173" s="7564"/>
      <c r="J173" s="7564"/>
      <c r="K173" s="7564"/>
      <c r="L173" s="7702"/>
    </row>
    <row r="174" spans="1:12" ht="30" customHeight="1" x14ac:dyDescent="0.2">
      <c r="A174" s="5597">
        <v>64</v>
      </c>
      <c r="B174" s="5613" t="s">
        <v>1336</v>
      </c>
      <c r="C174" s="5657" t="s">
        <v>889</v>
      </c>
      <c r="D174" s="5586">
        <v>200000000</v>
      </c>
      <c r="E174" s="5652">
        <v>5.5E-2</v>
      </c>
      <c r="F174" s="5586">
        <f t="shared" si="14"/>
        <v>11000000</v>
      </c>
      <c r="G174" s="5594">
        <v>11000000</v>
      </c>
      <c r="H174" s="5594" t="s">
        <v>7460</v>
      </c>
      <c r="I174" s="5714" t="s">
        <v>7466</v>
      </c>
      <c r="J174" s="5594">
        <f>G174</f>
        <v>11000000</v>
      </c>
      <c r="K174" s="5594">
        <f t="shared" ref="K174:K187" si="18">F174-J174</f>
        <v>0</v>
      </c>
      <c r="L174" s="5690" t="s">
        <v>7467</v>
      </c>
    </row>
    <row r="175" spans="1:12" ht="30" customHeight="1" x14ac:dyDescent="0.2">
      <c r="A175" s="7654"/>
      <c r="B175" s="7652" t="s">
        <v>4816</v>
      </c>
      <c r="C175" s="7723" t="s">
        <v>262</v>
      </c>
      <c r="D175" s="5586">
        <v>534000000</v>
      </c>
      <c r="E175" s="5652">
        <v>6.2E-2</v>
      </c>
      <c r="F175" s="5586">
        <v>32880000</v>
      </c>
      <c r="G175" s="7482">
        <v>20000000</v>
      </c>
      <c r="H175" s="7563" t="s">
        <v>7511</v>
      </c>
      <c r="I175" s="7561" t="s">
        <v>7513</v>
      </c>
      <c r="J175" s="7563">
        <f>G175+G178</f>
        <v>39500000</v>
      </c>
      <c r="K175" s="7563">
        <f>F180-J175</f>
        <v>-320000</v>
      </c>
      <c r="L175" s="7713" t="s">
        <v>7514</v>
      </c>
    </row>
    <row r="176" spans="1:12" ht="30" customHeight="1" x14ac:dyDescent="0.2">
      <c r="A176" s="7656"/>
      <c r="B176" s="7665"/>
      <c r="C176" s="7747"/>
      <c r="D176" s="5586">
        <v>20000000</v>
      </c>
      <c r="E176" s="5652">
        <v>7.0000000000000007E-2</v>
      </c>
      <c r="F176" s="5586">
        <f>D176*E176</f>
        <v>1400000.0000000002</v>
      </c>
      <c r="G176" s="7482"/>
      <c r="H176" s="7586"/>
      <c r="I176" s="7672"/>
      <c r="J176" s="7586"/>
      <c r="K176" s="7586"/>
      <c r="L176" s="7797"/>
    </row>
    <row r="177" spans="1:12" ht="30" customHeight="1" x14ac:dyDescent="0.2">
      <c r="A177" s="7656"/>
      <c r="B177" s="7665"/>
      <c r="C177" s="7747"/>
      <c r="D177" s="5586">
        <v>30000000</v>
      </c>
      <c r="E177" s="5652">
        <v>7.0000000000000007E-2</v>
      </c>
      <c r="F177" s="5586">
        <f>D177*E177</f>
        <v>2100000</v>
      </c>
      <c r="G177" s="7482"/>
      <c r="H177" s="7564"/>
      <c r="I177" s="7562"/>
      <c r="J177" s="7586"/>
      <c r="K177" s="7586"/>
      <c r="L177" s="7714"/>
    </row>
    <row r="178" spans="1:12" ht="30" customHeight="1" x14ac:dyDescent="0.2">
      <c r="A178" s="7656"/>
      <c r="B178" s="7665"/>
      <c r="C178" s="7747"/>
      <c r="D178" s="5586">
        <v>20000000</v>
      </c>
      <c r="E178" s="5652">
        <v>7.0000000000000007E-2</v>
      </c>
      <c r="F178" s="5586">
        <f>D178*E178</f>
        <v>1400000.0000000002</v>
      </c>
      <c r="G178" s="7563">
        <v>19500000</v>
      </c>
      <c r="H178" s="7563" t="s">
        <v>7528</v>
      </c>
      <c r="I178" s="7561" t="s">
        <v>7513</v>
      </c>
      <c r="J178" s="7586"/>
      <c r="K178" s="7586"/>
      <c r="L178" s="637" t="s">
        <v>7514</v>
      </c>
    </row>
    <row r="179" spans="1:12" ht="30" customHeight="1" x14ac:dyDescent="0.2">
      <c r="A179" s="7656"/>
      <c r="B179" s="7665"/>
      <c r="C179" s="7747"/>
      <c r="D179" s="5586">
        <v>20000000</v>
      </c>
      <c r="E179" s="5652">
        <v>7.0000000000000007E-2</v>
      </c>
      <c r="F179" s="5586">
        <f>D179*E179</f>
        <v>1400000.0000000002</v>
      </c>
      <c r="G179" s="7586"/>
      <c r="H179" s="7586"/>
      <c r="I179" s="7672"/>
      <c r="J179" s="7586"/>
      <c r="K179" s="7586"/>
      <c r="L179" s="180" t="s">
        <v>7530</v>
      </c>
    </row>
    <row r="180" spans="1:12" ht="30" customHeight="1" x14ac:dyDescent="0.2">
      <c r="A180" s="7656"/>
      <c r="B180" s="7665"/>
      <c r="C180" s="7747"/>
      <c r="D180" s="8026">
        <f>SUM(D175:D179)</f>
        <v>624000000</v>
      </c>
      <c r="E180" s="8028"/>
      <c r="F180" s="8026">
        <f>SUM(F175:F179)</f>
        <v>39180000</v>
      </c>
      <c r="G180" s="7586"/>
      <c r="H180" s="7586"/>
      <c r="I180" s="7672"/>
      <c r="J180" s="7586"/>
      <c r="K180" s="7586"/>
      <c r="L180" s="180"/>
    </row>
    <row r="181" spans="1:12" ht="30" customHeight="1" x14ac:dyDescent="0.2">
      <c r="A181" s="7655"/>
      <c r="B181" s="7653"/>
      <c r="C181" s="7724"/>
      <c r="D181" s="8027"/>
      <c r="E181" s="8029"/>
      <c r="F181" s="8027"/>
      <c r="G181" s="7564"/>
      <c r="H181" s="7564"/>
      <c r="I181" s="7562"/>
      <c r="J181" s="7564"/>
      <c r="K181" s="7564"/>
      <c r="L181" s="29"/>
    </row>
    <row r="182" spans="1:12" ht="30" customHeight="1" x14ac:dyDescent="0.2">
      <c r="A182" s="5655">
        <v>68</v>
      </c>
      <c r="B182" s="5613" t="s">
        <v>202</v>
      </c>
      <c r="C182" s="5657" t="s">
        <v>1295</v>
      </c>
      <c r="D182" s="5586">
        <v>150000000</v>
      </c>
      <c r="E182" s="5652">
        <v>0.05</v>
      </c>
      <c r="F182" s="5586">
        <f t="shared" si="14"/>
        <v>7500000</v>
      </c>
      <c r="G182" s="5586">
        <v>7500000</v>
      </c>
      <c r="H182" s="5586" t="s">
        <v>7427</v>
      </c>
      <c r="I182" s="5734" t="s">
        <v>2538</v>
      </c>
      <c r="J182" s="5586">
        <f t="shared" ref="J182:J184" si="19">G182</f>
        <v>7500000</v>
      </c>
      <c r="K182" s="5586">
        <f t="shared" si="18"/>
        <v>0</v>
      </c>
      <c r="L182" s="5607"/>
    </row>
    <row r="183" spans="1:12" ht="30" customHeight="1" x14ac:dyDescent="0.2">
      <c r="A183" s="5655"/>
      <c r="B183" s="5601" t="s">
        <v>5399</v>
      </c>
      <c r="C183" s="5635" t="s">
        <v>392</v>
      </c>
      <c r="D183" s="5586">
        <v>450000000</v>
      </c>
      <c r="E183" s="5606">
        <v>7.0000000000000007E-2</v>
      </c>
      <c r="F183" s="5586">
        <f>D183*E183</f>
        <v>31500000.000000004</v>
      </c>
      <c r="G183" s="5592">
        <v>31500000</v>
      </c>
      <c r="H183" s="5592" t="s">
        <v>7511</v>
      </c>
      <c r="I183" s="5640" t="s">
        <v>6224</v>
      </c>
      <c r="J183" s="5592">
        <f>G183</f>
        <v>31500000</v>
      </c>
      <c r="K183" s="5592">
        <f>F183-J183</f>
        <v>0</v>
      </c>
      <c r="L183" s="736"/>
    </row>
    <row r="184" spans="1:12" ht="30" customHeight="1" x14ac:dyDescent="0.2">
      <c r="A184" s="7654"/>
      <c r="B184" s="7652" t="s">
        <v>205</v>
      </c>
      <c r="C184" s="7723" t="s">
        <v>889</v>
      </c>
      <c r="D184" s="5594">
        <v>30000000</v>
      </c>
      <c r="E184" s="5606">
        <v>0.05</v>
      </c>
      <c r="F184" s="5594">
        <f t="shared" si="14"/>
        <v>1500000</v>
      </c>
      <c r="G184" s="7563">
        <v>3000000</v>
      </c>
      <c r="H184" s="7563" t="s">
        <v>7424</v>
      </c>
      <c r="I184" s="7563" t="s">
        <v>1407</v>
      </c>
      <c r="J184" s="7563">
        <f t="shared" si="19"/>
        <v>3000000</v>
      </c>
      <c r="K184" s="7563">
        <f>(F184+F185+F186)-J184</f>
        <v>0</v>
      </c>
      <c r="L184" s="5616"/>
    </row>
    <row r="185" spans="1:12" ht="30" customHeight="1" x14ac:dyDescent="0.2">
      <c r="A185" s="7656"/>
      <c r="B185" s="7665"/>
      <c r="C185" s="7747"/>
      <c r="D185" s="5593">
        <v>10000000</v>
      </c>
      <c r="E185" s="5605">
        <v>0.05</v>
      </c>
      <c r="F185" s="5593">
        <f t="shared" si="14"/>
        <v>500000</v>
      </c>
      <c r="G185" s="7586"/>
      <c r="H185" s="7586"/>
      <c r="I185" s="7586"/>
      <c r="J185" s="7586"/>
      <c r="K185" s="7586"/>
      <c r="L185" s="5674"/>
    </row>
    <row r="186" spans="1:12" ht="30" customHeight="1" x14ac:dyDescent="0.2">
      <c r="A186" s="7655"/>
      <c r="B186" s="7653"/>
      <c r="C186" s="7724"/>
      <c r="D186" s="5586">
        <v>20000000</v>
      </c>
      <c r="E186" s="5652">
        <v>0.05</v>
      </c>
      <c r="F186" s="5586">
        <f t="shared" si="14"/>
        <v>1000000</v>
      </c>
      <c r="G186" s="7564"/>
      <c r="H186" s="7564"/>
      <c r="I186" s="7564"/>
      <c r="J186" s="7564"/>
      <c r="K186" s="7564"/>
      <c r="L186" s="5674"/>
    </row>
    <row r="187" spans="1:12" ht="30" customHeight="1" x14ac:dyDescent="0.2">
      <c r="A187" s="7990">
        <v>72</v>
      </c>
      <c r="B187" s="7717" t="s">
        <v>1023</v>
      </c>
      <c r="C187" s="7873" t="s">
        <v>1718</v>
      </c>
      <c r="D187" s="7563">
        <v>900000000</v>
      </c>
      <c r="E187" s="7659">
        <v>0.06</v>
      </c>
      <c r="F187" s="7563">
        <f t="shared" si="14"/>
        <v>54000000</v>
      </c>
      <c r="G187" s="6124">
        <v>12000000</v>
      </c>
      <c r="H187" s="6124" t="s">
        <v>7718</v>
      </c>
      <c r="I187" s="6147" t="s">
        <v>7721</v>
      </c>
      <c r="J187" s="7563">
        <f>G187+G188</f>
        <v>37000000</v>
      </c>
      <c r="K187" s="7563">
        <f t="shared" si="18"/>
        <v>17000000</v>
      </c>
      <c r="L187" s="8558"/>
    </row>
    <row r="188" spans="1:12" ht="30" customHeight="1" x14ac:dyDescent="0.2">
      <c r="A188" s="7990"/>
      <c r="B188" s="7717"/>
      <c r="C188" s="7873"/>
      <c r="D188" s="7586"/>
      <c r="E188" s="7676"/>
      <c r="F188" s="7586"/>
      <c r="G188" s="6124">
        <v>25000000</v>
      </c>
      <c r="H188" s="6124" t="s">
        <v>7727</v>
      </c>
      <c r="I188" s="6147" t="s">
        <v>7721</v>
      </c>
      <c r="J188" s="7586"/>
      <c r="K188" s="7586"/>
      <c r="L188" s="8559"/>
    </row>
    <row r="189" spans="1:12" ht="30" customHeight="1" x14ac:dyDescent="0.2">
      <c r="A189" s="7990"/>
      <c r="B189" s="7717"/>
      <c r="C189" s="7873"/>
      <c r="D189" s="7564"/>
      <c r="E189" s="7660"/>
      <c r="F189" s="7564"/>
      <c r="G189" s="6124"/>
      <c r="H189" s="6124"/>
      <c r="I189" s="6147"/>
      <c r="J189" s="7564"/>
      <c r="K189" s="7564"/>
      <c r="L189" s="8560"/>
    </row>
    <row r="190" spans="1:12" ht="30" customHeight="1" x14ac:dyDescent="0.2">
      <c r="A190" s="5597">
        <v>73</v>
      </c>
      <c r="B190" s="5602" t="s">
        <v>206</v>
      </c>
      <c r="C190" s="5634" t="s">
        <v>1293</v>
      </c>
      <c r="D190" s="5594">
        <v>20000000</v>
      </c>
      <c r="E190" s="5606">
        <v>0.05</v>
      </c>
      <c r="F190" s="5594">
        <f t="shared" si="14"/>
        <v>1000000</v>
      </c>
      <c r="G190" s="5594">
        <v>1000000</v>
      </c>
      <c r="H190" s="5594" t="s">
        <v>7531</v>
      </c>
      <c r="I190" s="5714" t="s">
        <v>4899</v>
      </c>
      <c r="J190" s="5594">
        <f>G190</f>
        <v>1000000</v>
      </c>
      <c r="K190" s="5594">
        <f>F190-J190</f>
        <v>0</v>
      </c>
      <c r="L190" s="5613"/>
    </row>
    <row r="191" spans="1:12" ht="30" customHeight="1" x14ac:dyDescent="0.2">
      <c r="A191" s="7654">
        <v>74</v>
      </c>
      <c r="B191" s="7652" t="s">
        <v>4203</v>
      </c>
      <c r="C191" s="7723" t="s">
        <v>2644</v>
      </c>
      <c r="D191" s="5594">
        <v>125000000</v>
      </c>
      <c r="E191" s="5652">
        <v>0.04</v>
      </c>
      <c r="F191" s="5594">
        <f t="shared" si="14"/>
        <v>5000000</v>
      </c>
      <c r="G191" s="7563">
        <v>10000000</v>
      </c>
      <c r="H191" s="7563" t="s">
        <v>7668</v>
      </c>
      <c r="I191" s="7563" t="s">
        <v>7676</v>
      </c>
      <c r="J191" s="7563">
        <f>G191</f>
        <v>10000000</v>
      </c>
      <c r="K191" s="7563">
        <f>(F191+F192+F193)-J191</f>
        <v>0</v>
      </c>
      <c r="L191" s="637"/>
    </row>
    <row r="192" spans="1:12" ht="30" customHeight="1" x14ac:dyDescent="0.2">
      <c r="A192" s="7656"/>
      <c r="B192" s="7665"/>
      <c r="C192" s="7747"/>
      <c r="D192" s="5594">
        <v>90000000</v>
      </c>
      <c r="E192" s="5652">
        <v>0.05</v>
      </c>
      <c r="F192" s="5594">
        <f t="shared" si="14"/>
        <v>4500000</v>
      </c>
      <c r="G192" s="7586"/>
      <c r="H192" s="7586"/>
      <c r="I192" s="7586"/>
      <c r="J192" s="7586"/>
      <c r="K192" s="7586"/>
      <c r="L192" s="180" t="s">
        <v>7456</v>
      </c>
    </row>
    <row r="193" spans="1:16" ht="30" customHeight="1" x14ac:dyDescent="0.2">
      <c r="A193" s="7655"/>
      <c r="B193" s="7653"/>
      <c r="C193" s="7724"/>
      <c r="D193" s="5594">
        <v>10000000</v>
      </c>
      <c r="E193" s="5652">
        <v>0.05</v>
      </c>
      <c r="F193" s="5594">
        <f t="shared" si="14"/>
        <v>500000</v>
      </c>
      <c r="G193" s="7564"/>
      <c r="H193" s="7564"/>
      <c r="I193" s="7564"/>
      <c r="J193" s="7564"/>
      <c r="K193" s="7564"/>
      <c r="L193" s="29"/>
    </row>
    <row r="194" spans="1:16" ht="30" customHeight="1" x14ac:dyDescent="0.2">
      <c r="A194" s="5655"/>
      <c r="B194" s="5613" t="s">
        <v>4205</v>
      </c>
      <c r="C194" s="5634" t="s">
        <v>262</v>
      </c>
      <c r="D194" s="5594">
        <v>200000000</v>
      </c>
      <c r="E194" s="5652">
        <v>0.05</v>
      </c>
      <c r="F194" s="5594">
        <f t="shared" si="14"/>
        <v>10000000</v>
      </c>
      <c r="G194" s="5594">
        <v>10000000</v>
      </c>
      <c r="H194" s="5594" t="s">
        <v>7668</v>
      </c>
      <c r="I194" s="5643" t="s">
        <v>4461</v>
      </c>
      <c r="J194" s="5594">
        <f>G194</f>
        <v>10000000</v>
      </c>
      <c r="K194" s="5594">
        <f>F194-J194</f>
        <v>0</v>
      </c>
      <c r="L194" s="736" t="s">
        <v>7455</v>
      </c>
    </row>
    <row r="195" spans="1:16" ht="30" customHeight="1" x14ac:dyDescent="0.2">
      <c r="A195" s="5596"/>
      <c r="B195" s="5613" t="s">
        <v>208</v>
      </c>
      <c r="C195" s="5634" t="s">
        <v>392</v>
      </c>
      <c r="D195" s="5594">
        <v>50000000</v>
      </c>
      <c r="E195" s="5652">
        <v>0.05</v>
      </c>
      <c r="F195" s="5594">
        <f t="shared" si="14"/>
        <v>2500000</v>
      </c>
      <c r="G195" s="5594">
        <v>2500000</v>
      </c>
      <c r="H195" s="5594" t="s">
        <v>7424</v>
      </c>
      <c r="I195" s="5643" t="s">
        <v>5417</v>
      </c>
      <c r="J195" s="5594">
        <f>G195</f>
        <v>2500000</v>
      </c>
      <c r="K195" s="5594">
        <f>F195-J195</f>
        <v>0</v>
      </c>
      <c r="L195" s="180"/>
    </row>
    <row r="196" spans="1:16" ht="30" customHeight="1" x14ac:dyDescent="0.2">
      <c r="A196" s="7879">
        <v>77</v>
      </c>
      <c r="B196" s="7717" t="s">
        <v>210</v>
      </c>
      <c r="C196" s="7873" t="s">
        <v>392</v>
      </c>
      <c r="D196" s="5586">
        <v>30000000</v>
      </c>
      <c r="E196" s="5652">
        <v>7.0000000000000007E-2</v>
      </c>
      <c r="F196" s="5586">
        <f t="shared" si="14"/>
        <v>2100000</v>
      </c>
      <c r="G196" s="7482">
        <v>6975000</v>
      </c>
      <c r="H196" s="7482" t="s">
        <v>7424</v>
      </c>
      <c r="I196" s="7857" t="s">
        <v>4871</v>
      </c>
      <c r="J196" s="7482">
        <f>G196</f>
        <v>6975000</v>
      </c>
      <c r="K196" s="7482">
        <f>(F196+F197+F198)-J196</f>
        <v>0</v>
      </c>
      <c r="L196" s="7679"/>
    </row>
    <row r="197" spans="1:16" ht="30" customHeight="1" x14ac:dyDescent="0.2">
      <c r="A197" s="7879"/>
      <c r="B197" s="7717"/>
      <c r="C197" s="7873"/>
      <c r="D197" s="5586">
        <v>35000000</v>
      </c>
      <c r="E197" s="5652">
        <v>4.4999999999999998E-2</v>
      </c>
      <c r="F197" s="5586">
        <f t="shared" si="14"/>
        <v>1575000</v>
      </c>
      <c r="G197" s="7482"/>
      <c r="H197" s="7482"/>
      <c r="I197" s="7857"/>
      <c r="J197" s="7482"/>
      <c r="K197" s="7482"/>
      <c r="L197" s="7801"/>
    </row>
    <row r="198" spans="1:16" ht="30" customHeight="1" x14ac:dyDescent="0.2">
      <c r="A198" s="7879"/>
      <c r="B198" s="7717"/>
      <c r="C198" s="7873"/>
      <c r="D198" s="5586">
        <v>60000000</v>
      </c>
      <c r="E198" s="5652">
        <v>5.5E-2</v>
      </c>
      <c r="F198" s="5586">
        <f t="shared" si="14"/>
        <v>3300000</v>
      </c>
      <c r="G198" s="7482"/>
      <c r="H198" s="7482"/>
      <c r="I198" s="7857"/>
      <c r="J198" s="7482"/>
      <c r="K198" s="7482"/>
      <c r="L198" s="7680"/>
    </row>
    <row r="199" spans="1:16" ht="30" customHeight="1" x14ac:dyDescent="0.2">
      <c r="A199" s="5597">
        <v>78</v>
      </c>
      <c r="B199" s="5602" t="s">
        <v>211</v>
      </c>
      <c r="C199" s="5634" t="s">
        <v>2644</v>
      </c>
      <c r="D199" s="5594">
        <v>45000000</v>
      </c>
      <c r="E199" s="5606">
        <v>4.2000000000000003E-2</v>
      </c>
      <c r="F199" s="5594">
        <v>1900000</v>
      </c>
      <c r="G199" s="5594">
        <v>1900000</v>
      </c>
      <c r="H199" s="5594" t="s">
        <v>7424</v>
      </c>
      <c r="I199" s="5641" t="s">
        <v>1259</v>
      </c>
      <c r="J199" s="5594">
        <f t="shared" ref="J199:J203" si="20">G199</f>
        <v>1900000</v>
      </c>
      <c r="K199" s="5594">
        <f t="shared" ref="K199:K203" si="21">F199-J199</f>
        <v>0</v>
      </c>
      <c r="L199" s="5613"/>
    </row>
    <row r="200" spans="1:16" ht="30" customHeight="1" x14ac:dyDescent="0.2">
      <c r="A200" s="5655">
        <v>80</v>
      </c>
      <c r="B200" s="5613" t="s">
        <v>182</v>
      </c>
      <c r="C200" s="5657" t="s">
        <v>1293</v>
      </c>
      <c r="D200" s="5594">
        <v>100000000</v>
      </c>
      <c r="E200" s="5652">
        <v>0.05</v>
      </c>
      <c r="F200" s="5594">
        <f>D200*E200</f>
        <v>5000000</v>
      </c>
      <c r="G200" s="5594">
        <v>5000000</v>
      </c>
      <c r="H200" s="5594" t="s">
        <v>7424</v>
      </c>
      <c r="I200" s="5586" t="s">
        <v>3928</v>
      </c>
      <c r="J200" s="5594">
        <f t="shared" si="20"/>
        <v>5000000</v>
      </c>
      <c r="K200" s="5594">
        <f t="shared" si="21"/>
        <v>0</v>
      </c>
      <c r="L200" s="5665"/>
      <c r="M200" s="366"/>
      <c r="N200" s="366"/>
      <c r="O200" s="366"/>
      <c r="P200" s="366"/>
    </row>
    <row r="201" spans="1:16" ht="30" customHeight="1" x14ac:dyDescent="0.2">
      <c r="A201" s="5655">
        <v>81</v>
      </c>
      <c r="B201" s="5613" t="s">
        <v>213</v>
      </c>
      <c r="C201" s="5634" t="s">
        <v>392</v>
      </c>
      <c r="D201" s="5594">
        <v>5000000</v>
      </c>
      <c r="E201" s="5652">
        <v>0.04</v>
      </c>
      <c r="F201" s="5594">
        <f t="shared" si="14"/>
        <v>200000</v>
      </c>
      <c r="G201" s="5594">
        <v>200000</v>
      </c>
      <c r="H201" s="5594" t="s">
        <v>7424</v>
      </c>
      <c r="I201" s="5714" t="s">
        <v>1363</v>
      </c>
      <c r="J201" s="5594">
        <f t="shared" si="20"/>
        <v>200000</v>
      </c>
      <c r="K201" s="5594">
        <f t="shared" si="21"/>
        <v>0</v>
      </c>
      <c r="L201" s="5613"/>
      <c r="M201" s="366"/>
      <c r="N201" s="366"/>
      <c r="O201" s="366"/>
      <c r="P201" s="366"/>
    </row>
    <row r="202" spans="1:16" ht="30" customHeight="1" x14ac:dyDescent="0.2">
      <c r="A202" s="5655">
        <v>83</v>
      </c>
      <c r="B202" s="5613" t="s">
        <v>215</v>
      </c>
      <c r="C202" s="5657" t="s">
        <v>889</v>
      </c>
      <c r="D202" s="5586">
        <v>160000000</v>
      </c>
      <c r="E202" s="5652">
        <v>0.05</v>
      </c>
      <c r="F202" s="5586">
        <f>D202*E202</f>
        <v>8000000</v>
      </c>
      <c r="G202" s="5586">
        <v>8000000</v>
      </c>
      <c r="H202" s="5586" t="s">
        <v>7511</v>
      </c>
      <c r="I202" s="5586" t="s">
        <v>3982</v>
      </c>
      <c r="J202" s="5586">
        <f t="shared" si="20"/>
        <v>8000000</v>
      </c>
      <c r="K202" s="5586">
        <f t="shared" si="21"/>
        <v>0</v>
      </c>
      <c r="L202" s="29"/>
      <c r="M202" s="366"/>
      <c r="N202" s="366"/>
      <c r="O202" s="366"/>
      <c r="P202" s="366"/>
    </row>
    <row r="203" spans="1:16" ht="30" customHeight="1" x14ac:dyDescent="0.2">
      <c r="A203" s="5655">
        <v>84</v>
      </c>
      <c r="B203" s="5613" t="s">
        <v>216</v>
      </c>
      <c r="C203" s="5634"/>
      <c r="D203" s="5594">
        <v>400000000</v>
      </c>
      <c r="E203" s="5652">
        <v>6.0999999999999999E-2</v>
      </c>
      <c r="F203" s="5594">
        <f t="shared" si="14"/>
        <v>24400000</v>
      </c>
      <c r="G203" s="5594">
        <v>24400000</v>
      </c>
      <c r="H203" s="5594" t="s">
        <v>7424</v>
      </c>
      <c r="I203" s="5678" t="s">
        <v>1553</v>
      </c>
      <c r="J203" s="5594">
        <f t="shared" si="20"/>
        <v>24400000</v>
      </c>
      <c r="K203" s="5594">
        <f t="shared" si="21"/>
        <v>0</v>
      </c>
      <c r="L203" s="5613"/>
      <c r="M203" s="366"/>
      <c r="N203" s="366"/>
      <c r="O203" s="366"/>
      <c r="P203" s="366"/>
    </row>
    <row r="204" spans="1:16" ht="30" customHeight="1" x14ac:dyDescent="0.2">
      <c r="A204" s="7654"/>
      <c r="B204" s="7652" t="s">
        <v>975</v>
      </c>
      <c r="C204" s="7723" t="s">
        <v>889</v>
      </c>
      <c r="D204" s="7846">
        <v>1080000000</v>
      </c>
      <c r="E204" s="7659">
        <v>7.0000000000000007E-2</v>
      </c>
      <c r="F204" s="7563">
        <f>D204*E204</f>
        <v>75600000</v>
      </c>
      <c r="G204" s="5586">
        <v>20000000</v>
      </c>
      <c r="H204" s="5586" t="s">
        <v>7298</v>
      </c>
      <c r="I204" s="5586" t="s">
        <v>7302</v>
      </c>
      <c r="J204" s="7563">
        <f>G204+G205+G206</f>
        <v>55000000</v>
      </c>
      <c r="K204" s="7563">
        <f>F204-J204</f>
        <v>20600000</v>
      </c>
      <c r="L204" s="5839" t="s">
        <v>7303</v>
      </c>
      <c r="M204" s="366"/>
      <c r="N204" s="366"/>
      <c r="O204" s="366"/>
      <c r="P204" s="366"/>
    </row>
    <row r="205" spans="1:16" ht="30" customHeight="1" x14ac:dyDescent="0.2">
      <c r="A205" s="7656"/>
      <c r="B205" s="7665"/>
      <c r="C205" s="7747"/>
      <c r="D205" s="7847"/>
      <c r="E205" s="7676"/>
      <c r="F205" s="7586"/>
      <c r="G205" s="5586">
        <v>15000000</v>
      </c>
      <c r="H205" s="5586" t="s">
        <v>7424</v>
      </c>
      <c r="I205" s="5941" t="s">
        <v>7302</v>
      </c>
      <c r="J205" s="7586"/>
      <c r="K205" s="7586"/>
      <c r="L205" s="5951" t="s">
        <v>7303</v>
      </c>
      <c r="M205" s="366"/>
      <c r="N205" s="366"/>
      <c r="O205" s="366"/>
      <c r="P205" s="366"/>
    </row>
    <row r="206" spans="1:16" ht="30" customHeight="1" x14ac:dyDescent="0.2">
      <c r="A206" s="7656"/>
      <c r="B206" s="7665"/>
      <c r="C206" s="7747"/>
      <c r="D206" s="7848"/>
      <c r="E206" s="7660"/>
      <c r="F206" s="7564"/>
      <c r="G206" s="5941">
        <v>20000000</v>
      </c>
      <c r="H206" s="5941" t="s">
        <v>7460</v>
      </c>
      <c r="I206" s="5941" t="s">
        <v>7484</v>
      </c>
      <c r="J206" s="7564"/>
      <c r="K206" s="7564"/>
      <c r="L206" s="735" t="s">
        <v>7319</v>
      </c>
      <c r="M206" s="366"/>
      <c r="N206" s="366"/>
      <c r="O206" s="366"/>
      <c r="P206" s="366"/>
    </row>
    <row r="207" spans="1:16" ht="30" customHeight="1" x14ac:dyDescent="0.2">
      <c r="A207" s="7656"/>
      <c r="B207" s="7665"/>
      <c r="C207" s="7747"/>
      <c r="D207" s="5986">
        <v>20000000</v>
      </c>
      <c r="E207" s="5965">
        <v>7.0000000000000007E-2</v>
      </c>
      <c r="F207" s="5959">
        <f>D207*E207</f>
        <v>1400000.0000000002</v>
      </c>
      <c r="G207" s="7732" t="s">
        <v>7447</v>
      </c>
      <c r="H207" s="7733"/>
      <c r="I207" s="7733"/>
      <c r="J207" s="7734"/>
      <c r="K207" s="5959"/>
      <c r="L207" s="735" t="s">
        <v>7485</v>
      </c>
      <c r="M207" s="366"/>
      <c r="N207" s="366"/>
      <c r="O207" s="366"/>
      <c r="P207" s="366"/>
    </row>
    <row r="208" spans="1:16" ht="30" customHeight="1" x14ac:dyDescent="0.2">
      <c r="A208" s="7655"/>
      <c r="B208" s="7653"/>
      <c r="C208" s="7724"/>
      <c r="D208" s="5999">
        <f>D204+D207</f>
        <v>1100000000</v>
      </c>
      <c r="E208" s="5995">
        <v>7.0000000000000007E-2</v>
      </c>
      <c r="F208" s="5994">
        <f>D208*E208</f>
        <v>77000000</v>
      </c>
      <c r="G208" s="5971"/>
      <c r="H208" s="5972"/>
      <c r="I208" s="5972"/>
      <c r="J208" s="5973"/>
      <c r="K208" s="5959"/>
      <c r="L208" s="735" t="s">
        <v>7448</v>
      </c>
      <c r="M208" s="366"/>
      <c r="N208" s="366"/>
      <c r="O208" s="366"/>
      <c r="P208" s="366"/>
    </row>
    <row r="209" spans="1:16" ht="30" customHeight="1" x14ac:dyDescent="0.2">
      <c r="A209" s="7654">
        <v>86</v>
      </c>
      <c r="B209" s="7652" t="s">
        <v>217</v>
      </c>
      <c r="C209" s="7723" t="s">
        <v>889</v>
      </c>
      <c r="D209" s="5943">
        <v>136000000</v>
      </c>
      <c r="E209" s="5945">
        <v>0.05</v>
      </c>
      <c r="F209" s="5943">
        <f>D209*E209</f>
        <v>6800000</v>
      </c>
      <c r="G209" s="5586">
        <v>2800000</v>
      </c>
      <c r="H209" s="5586" t="s">
        <v>7424</v>
      </c>
      <c r="I209" s="5586" t="s">
        <v>3971</v>
      </c>
      <c r="J209" s="5586">
        <f>G209</f>
        <v>2800000</v>
      </c>
      <c r="K209" s="5586"/>
      <c r="L209" s="5690" t="s">
        <v>6787</v>
      </c>
      <c r="M209" s="366"/>
      <c r="N209" s="366"/>
      <c r="O209" s="366"/>
      <c r="P209" s="366"/>
    </row>
    <row r="210" spans="1:16" ht="30" customHeight="1" x14ac:dyDescent="0.2">
      <c r="A210" s="7656"/>
      <c r="B210" s="7665"/>
      <c r="C210" s="7747"/>
      <c r="D210" s="5941">
        <v>4000000</v>
      </c>
      <c r="E210" s="5950">
        <v>0.05</v>
      </c>
      <c r="F210" s="5941">
        <f>D210*E210</f>
        <v>200000</v>
      </c>
      <c r="G210" s="7732" t="s">
        <v>7447</v>
      </c>
      <c r="H210" s="7733"/>
      <c r="I210" s="7733"/>
      <c r="J210" s="7734"/>
      <c r="K210" s="5942"/>
      <c r="L210" s="6008"/>
      <c r="M210" s="366"/>
      <c r="N210" s="366"/>
      <c r="O210" s="366"/>
      <c r="P210" s="366"/>
    </row>
    <row r="211" spans="1:16" ht="30" customHeight="1" x14ac:dyDescent="0.2">
      <c r="A211" s="7655"/>
      <c r="B211" s="7653"/>
      <c r="C211" s="7724"/>
      <c r="D211" s="5999">
        <v>140000000</v>
      </c>
      <c r="E211" s="5995">
        <v>0.05</v>
      </c>
      <c r="F211" s="5994">
        <f>D211*E211</f>
        <v>7000000</v>
      </c>
      <c r="G211" s="7732" t="s">
        <v>7448</v>
      </c>
      <c r="H211" s="7733"/>
      <c r="I211" s="7733"/>
      <c r="J211" s="7734"/>
      <c r="K211" s="5942"/>
      <c r="L211" s="6008"/>
      <c r="M211" s="366"/>
      <c r="N211" s="366"/>
      <c r="O211" s="366"/>
      <c r="P211" s="366"/>
    </row>
    <row r="212" spans="1:16" ht="30" customHeight="1" x14ac:dyDescent="0.2">
      <c r="A212" s="7654"/>
      <c r="B212" s="7652" t="s">
        <v>174</v>
      </c>
      <c r="C212" s="7723" t="s">
        <v>889</v>
      </c>
      <c r="D212" s="6166">
        <v>793000000</v>
      </c>
      <c r="E212" s="6173">
        <v>6.6000000000000003E-2</v>
      </c>
      <c r="F212" s="6166">
        <v>52300000</v>
      </c>
      <c r="G212" s="5586">
        <v>32300000</v>
      </c>
      <c r="H212" s="5586" t="s">
        <v>7668</v>
      </c>
      <c r="I212" s="5586" t="s">
        <v>3061</v>
      </c>
      <c r="J212" s="6166">
        <f>G212</f>
        <v>32300000</v>
      </c>
      <c r="K212" s="6166"/>
      <c r="L212" s="5656" t="s">
        <v>7501</v>
      </c>
      <c r="M212" s="2927"/>
      <c r="N212" s="2927"/>
      <c r="O212" s="2927"/>
      <c r="P212" s="2299"/>
    </row>
    <row r="213" spans="1:16" ht="30" customHeight="1" x14ac:dyDescent="0.2">
      <c r="A213" s="7656"/>
      <c r="B213" s="7665"/>
      <c r="C213" s="7747"/>
      <c r="D213" s="7563">
        <v>80000000</v>
      </c>
      <c r="E213" s="7659">
        <v>7.0000000000000007E-2</v>
      </c>
      <c r="F213" s="7563">
        <f>D213*E213</f>
        <v>5600000.0000000009</v>
      </c>
      <c r="G213" s="7991" t="s">
        <v>7207</v>
      </c>
      <c r="H213" s="7992"/>
      <c r="I213" s="7992"/>
      <c r="J213" s="7993"/>
      <c r="K213" s="5594"/>
      <c r="L213" s="7991" t="s">
        <v>7206</v>
      </c>
      <c r="M213" s="5147"/>
      <c r="N213" s="5147"/>
      <c r="O213" s="5147"/>
      <c r="P213" s="5147"/>
    </row>
    <row r="214" spans="1:16" ht="30" customHeight="1" x14ac:dyDescent="0.2">
      <c r="A214" s="7655"/>
      <c r="B214" s="7653"/>
      <c r="C214" s="7724"/>
      <c r="D214" s="7564"/>
      <c r="E214" s="7660"/>
      <c r="F214" s="7564"/>
      <c r="G214" s="7997" t="s">
        <v>7318</v>
      </c>
      <c r="H214" s="7998"/>
      <c r="I214" s="7998"/>
      <c r="J214" s="7999"/>
      <c r="K214" s="5594"/>
      <c r="L214" s="7997"/>
      <c r="M214" s="5147"/>
      <c r="N214" s="5147"/>
      <c r="O214" s="5147"/>
      <c r="P214" s="5147"/>
    </row>
    <row r="215" spans="1:16" ht="30" customHeight="1" x14ac:dyDescent="0.2">
      <c r="A215" s="7654"/>
      <c r="B215" s="7652" t="s">
        <v>6035</v>
      </c>
      <c r="C215" s="7723" t="s">
        <v>1796</v>
      </c>
      <c r="D215" s="7563">
        <v>80000000</v>
      </c>
      <c r="E215" s="7659">
        <v>0.06</v>
      </c>
      <c r="F215" s="7563">
        <f>D215*E215</f>
        <v>4800000</v>
      </c>
      <c r="G215" s="7732" t="s">
        <v>7205</v>
      </c>
      <c r="H215" s="7733"/>
      <c r="I215" s="7733"/>
      <c r="J215" s="7734"/>
      <c r="K215" s="5586"/>
      <c r="L215" s="5693" t="s">
        <v>7203</v>
      </c>
      <c r="M215" s="5147"/>
      <c r="N215" s="5147"/>
      <c r="O215" s="5147"/>
      <c r="P215" s="5147"/>
    </row>
    <row r="216" spans="1:16" ht="30" customHeight="1" x14ac:dyDescent="0.2">
      <c r="A216" s="7656"/>
      <c r="B216" s="7665"/>
      <c r="C216" s="7724"/>
      <c r="D216" s="7564"/>
      <c r="E216" s="7660"/>
      <c r="F216" s="7564"/>
      <c r="G216" s="7732" t="s">
        <v>7621</v>
      </c>
      <c r="H216" s="7733"/>
      <c r="I216" s="7733"/>
      <c r="J216" s="7734"/>
      <c r="K216" s="5594"/>
      <c r="L216" s="5656"/>
      <c r="M216" s="5147"/>
      <c r="N216" s="5147"/>
      <c r="O216" s="5147"/>
      <c r="P216" s="5147"/>
    </row>
    <row r="217" spans="1:16" ht="30" customHeight="1" x14ac:dyDescent="0.2">
      <c r="A217" s="7655"/>
      <c r="B217" s="7653"/>
      <c r="C217" s="6164" t="s">
        <v>942</v>
      </c>
      <c r="D217" s="6157">
        <v>80000000</v>
      </c>
      <c r="E217" s="6158">
        <v>5.5E-2</v>
      </c>
      <c r="F217" s="6157">
        <f>D217*E217</f>
        <v>4400000</v>
      </c>
      <c r="G217" s="5823">
        <v>4400000</v>
      </c>
      <c r="H217" s="5586" t="s">
        <v>7298</v>
      </c>
      <c r="I217" s="5586" t="s">
        <v>2409</v>
      </c>
      <c r="J217" s="5586">
        <f>G217</f>
        <v>4400000</v>
      </c>
      <c r="K217" s="5594">
        <f>F217-J217</f>
        <v>0</v>
      </c>
      <c r="L217" s="5656"/>
      <c r="M217" s="5147"/>
      <c r="N217" s="5147"/>
      <c r="O217" s="5147"/>
      <c r="P217" s="5147"/>
    </row>
    <row r="218" spans="1:16" ht="30" customHeight="1" x14ac:dyDescent="0.2">
      <c r="A218" s="5597"/>
      <c r="B218" s="5602" t="s">
        <v>7201</v>
      </c>
      <c r="C218" s="5634"/>
      <c r="D218" s="5586">
        <v>10000000</v>
      </c>
      <c r="E218" s="5652">
        <v>0.08</v>
      </c>
      <c r="F218" s="5586">
        <f>D218*E218</f>
        <v>800000</v>
      </c>
      <c r="G218" s="5586">
        <v>800000</v>
      </c>
      <c r="H218" s="5586" t="s">
        <v>7795</v>
      </c>
      <c r="I218" s="5586" t="s">
        <v>7799</v>
      </c>
      <c r="J218" s="5586">
        <f>G218</f>
        <v>800000</v>
      </c>
      <c r="K218" s="5586">
        <f>F218-J218</f>
        <v>0</v>
      </c>
      <c r="L218" s="5693" t="s">
        <v>7202</v>
      </c>
      <c r="M218" s="5147"/>
      <c r="N218" s="5147"/>
      <c r="O218" s="5147"/>
      <c r="P218" s="5147"/>
    </row>
    <row r="219" spans="1:16" ht="30" customHeight="1" x14ac:dyDescent="0.2">
      <c r="A219" s="5655">
        <v>88</v>
      </c>
      <c r="B219" s="5613" t="s">
        <v>218</v>
      </c>
      <c r="C219" s="5634" t="s">
        <v>1295</v>
      </c>
      <c r="D219" s="5594">
        <v>100000000</v>
      </c>
      <c r="E219" s="5652">
        <v>0.06</v>
      </c>
      <c r="F219" s="5594">
        <f>D219*E219</f>
        <v>6000000</v>
      </c>
      <c r="G219" s="5594">
        <v>6000000</v>
      </c>
      <c r="H219" s="5594" t="s">
        <v>7427</v>
      </c>
      <c r="I219" s="18" t="s">
        <v>4866</v>
      </c>
      <c r="J219" s="5594">
        <f>G219</f>
        <v>6000000</v>
      </c>
      <c r="K219" s="5594">
        <f>F219-J219</f>
        <v>0</v>
      </c>
      <c r="L219" s="5613"/>
      <c r="M219" s="366"/>
      <c r="N219" s="366"/>
      <c r="O219" s="366"/>
      <c r="P219" s="366"/>
    </row>
    <row r="220" spans="1:16" ht="30" customHeight="1" x14ac:dyDescent="0.2">
      <c r="A220" s="7654">
        <v>89</v>
      </c>
      <c r="B220" s="7652" t="s">
        <v>219</v>
      </c>
      <c r="C220" s="7723" t="s">
        <v>1293</v>
      </c>
      <c r="D220" s="5586">
        <v>93000000</v>
      </c>
      <c r="E220" s="5652">
        <v>7.0000000000000007E-2</v>
      </c>
      <c r="F220" s="5586">
        <v>6500000</v>
      </c>
      <c r="G220" s="7924"/>
      <c r="H220" s="7924"/>
      <c r="I220" s="7924" t="s">
        <v>2666</v>
      </c>
      <c r="J220" s="7924">
        <f>G220</f>
        <v>0</v>
      </c>
      <c r="K220" s="7563">
        <f>F225-J220</f>
        <v>40200000</v>
      </c>
      <c r="L220" s="29"/>
      <c r="M220" s="366"/>
      <c r="N220" s="366"/>
      <c r="O220" s="366"/>
      <c r="P220" s="366"/>
    </row>
    <row r="221" spans="1:16" ht="30" customHeight="1" x14ac:dyDescent="0.2">
      <c r="A221" s="7656"/>
      <c r="B221" s="7665"/>
      <c r="C221" s="7747"/>
      <c r="D221" s="5586">
        <v>450000000</v>
      </c>
      <c r="E221" s="5652">
        <v>5.1999999999999998E-2</v>
      </c>
      <c r="F221" s="5594">
        <v>23500000</v>
      </c>
      <c r="G221" s="8234"/>
      <c r="H221" s="8234"/>
      <c r="I221" s="8234"/>
      <c r="J221" s="8234"/>
      <c r="K221" s="7586"/>
      <c r="L221" s="29"/>
      <c r="M221" s="366"/>
      <c r="N221" s="366"/>
      <c r="O221" s="366"/>
      <c r="P221" s="366"/>
    </row>
    <row r="222" spans="1:16" ht="30" customHeight="1" x14ac:dyDescent="0.2">
      <c r="A222" s="7656"/>
      <c r="B222" s="7665"/>
      <c r="C222" s="7747"/>
      <c r="D222" s="7470" t="s">
        <v>5866</v>
      </c>
      <c r="E222" s="7510"/>
      <c r="F222" s="5594">
        <v>1200000</v>
      </c>
      <c r="G222" s="8234"/>
      <c r="H222" s="8234"/>
      <c r="I222" s="8234"/>
      <c r="J222" s="8234"/>
      <c r="K222" s="7586"/>
      <c r="L222" s="29"/>
      <c r="M222" s="366"/>
      <c r="N222" s="366"/>
      <c r="O222" s="366"/>
      <c r="P222" s="366"/>
    </row>
    <row r="223" spans="1:16" ht="30" customHeight="1" x14ac:dyDescent="0.2">
      <c r="A223" s="7656"/>
      <c r="B223" s="7665"/>
      <c r="C223" s="7747"/>
      <c r="D223" s="5594">
        <v>100000000</v>
      </c>
      <c r="E223" s="5652">
        <v>0.06</v>
      </c>
      <c r="F223" s="5594">
        <f>D223*E223</f>
        <v>6000000</v>
      </c>
      <c r="G223" s="8234"/>
      <c r="H223" s="8234"/>
      <c r="I223" s="8234"/>
      <c r="J223" s="8234"/>
      <c r="K223" s="7586"/>
      <c r="L223" s="29"/>
      <c r="M223" s="366"/>
      <c r="N223" s="366"/>
      <c r="O223" s="366"/>
      <c r="P223" s="366"/>
    </row>
    <row r="224" spans="1:16" ht="30" customHeight="1" x14ac:dyDescent="0.2">
      <c r="A224" s="7656"/>
      <c r="B224" s="7665"/>
      <c r="C224" s="7747"/>
      <c r="D224" s="5594">
        <v>50000000</v>
      </c>
      <c r="E224" s="5652">
        <v>0.06</v>
      </c>
      <c r="F224" s="5594">
        <f>D224*E224</f>
        <v>3000000</v>
      </c>
      <c r="G224" s="8234"/>
      <c r="H224" s="8234"/>
      <c r="I224" s="8234"/>
      <c r="J224" s="8234"/>
      <c r="K224" s="7586"/>
      <c r="L224" s="180"/>
      <c r="M224" s="366"/>
      <c r="N224" s="366"/>
      <c r="O224" s="366"/>
      <c r="P224" s="366"/>
    </row>
    <row r="225" spans="1:16" ht="30" customHeight="1" x14ac:dyDescent="0.2">
      <c r="A225" s="7655"/>
      <c r="B225" s="7653"/>
      <c r="C225" s="7724"/>
      <c r="D225" s="5699">
        <f>D220+D221+D223+D224</f>
        <v>693000000</v>
      </c>
      <c r="E225" s="5729"/>
      <c r="F225" s="5699">
        <f>SUM(F220:F224)</f>
        <v>40200000</v>
      </c>
      <c r="G225" s="7925"/>
      <c r="H225" s="7925"/>
      <c r="I225" s="7925"/>
      <c r="J225" s="7925"/>
      <c r="K225" s="7564"/>
      <c r="L225" s="180"/>
      <c r="M225" s="366"/>
      <c r="N225" s="366"/>
      <c r="O225" s="366"/>
      <c r="P225" s="366"/>
    </row>
    <row r="226" spans="1:16" ht="30" customHeight="1" x14ac:dyDescent="0.2">
      <c r="A226" s="7654">
        <v>90</v>
      </c>
      <c r="B226" s="7652" t="s">
        <v>220</v>
      </c>
      <c r="C226" s="7723" t="s">
        <v>1172</v>
      </c>
      <c r="D226" s="5594">
        <v>130000000</v>
      </c>
      <c r="E226" s="5652">
        <v>7.0000000000000007E-2</v>
      </c>
      <c r="F226" s="5594">
        <f>D226*E226</f>
        <v>9100000</v>
      </c>
      <c r="G226" s="8494" t="s">
        <v>6812</v>
      </c>
      <c r="H226" s="8494"/>
      <c r="I226" s="8494"/>
      <c r="J226" s="8494"/>
      <c r="K226" s="7482">
        <f>F226+F227+F228</f>
        <v>15327600</v>
      </c>
      <c r="L226" s="345" t="s">
        <v>6741</v>
      </c>
      <c r="M226" s="366"/>
      <c r="N226" s="366"/>
      <c r="O226" s="366"/>
      <c r="P226" s="366"/>
    </row>
    <row r="227" spans="1:16" ht="30" customHeight="1" x14ac:dyDescent="0.2">
      <c r="A227" s="7656"/>
      <c r="B227" s="7665"/>
      <c r="C227" s="7747"/>
      <c r="D227" s="5594">
        <v>100000000</v>
      </c>
      <c r="E227" s="5652">
        <v>5.3999999999999999E-2</v>
      </c>
      <c r="F227" s="5594">
        <v>5360000</v>
      </c>
      <c r="G227" s="8494"/>
      <c r="H227" s="8494"/>
      <c r="I227" s="8494"/>
      <c r="J227" s="8494"/>
      <c r="K227" s="7482"/>
      <c r="L227" s="710" t="s">
        <v>6742</v>
      </c>
      <c r="M227" s="366"/>
      <c r="N227" s="366"/>
      <c r="O227" s="366"/>
      <c r="P227" s="366"/>
    </row>
    <row r="228" spans="1:16" ht="30" customHeight="1" x14ac:dyDescent="0.2">
      <c r="A228" s="7656"/>
      <c r="B228" s="7665"/>
      <c r="C228" s="7747"/>
      <c r="D228" s="5594">
        <v>14460000</v>
      </c>
      <c r="E228" s="5652">
        <v>0.06</v>
      </c>
      <c r="F228" s="5594">
        <f>D228*E228</f>
        <v>867600</v>
      </c>
      <c r="G228" s="8494"/>
      <c r="H228" s="8494"/>
      <c r="I228" s="8494"/>
      <c r="J228" s="8494"/>
      <c r="K228" s="7482"/>
      <c r="L228" s="735"/>
      <c r="M228" s="366"/>
      <c r="N228" s="366"/>
      <c r="O228" s="366"/>
      <c r="P228" s="366"/>
    </row>
    <row r="229" spans="1:16" ht="30" customHeight="1" x14ac:dyDescent="0.2">
      <c r="A229" s="7656"/>
      <c r="B229" s="7665"/>
      <c r="C229" s="7747"/>
      <c r="D229" s="5594">
        <v>15327600</v>
      </c>
      <c r="E229" s="5652">
        <v>0.06</v>
      </c>
      <c r="F229" s="5594">
        <f>D229*E229</f>
        <v>919656</v>
      </c>
      <c r="G229" s="233"/>
      <c r="H229" s="233"/>
      <c r="I229" s="233"/>
      <c r="J229" s="233"/>
      <c r="K229" s="233"/>
      <c r="L229" s="735"/>
      <c r="M229" s="366"/>
      <c r="N229" s="366"/>
      <c r="O229" s="366"/>
      <c r="P229" s="366"/>
    </row>
    <row r="230" spans="1:16" ht="30" customHeight="1" x14ac:dyDescent="0.2">
      <c r="A230" s="7656"/>
      <c r="B230" s="7665"/>
      <c r="C230" s="7747"/>
      <c r="D230" s="5594">
        <v>100000000</v>
      </c>
      <c r="E230" s="5652">
        <v>0.06</v>
      </c>
      <c r="F230" s="5594">
        <f>D230*E230</f>
        <v>6000000</v>
      </c>
      <c r="G230" s="1539"/>
      <c r="H230" s="5586"/>
      <c r="I230" s="5662"/>
      <c r="J230" s="5586"/>
      <c r="K230" s="233"/>
      <c r="L230" s="735" t="s">
        <v>6811</v>
      </c>
      <c r="M230" s="366"/>
      <c r="N230" s="366"/>
      <c r="O230" s="366"/>
      <c r="P230" s="366"/>
    </row>
    <row r="231" spans="1:16" ht="30" customHeight="1" x14ac:dyDescent="0.2">
      <c r="A231" s="7655"/>
      <c r="B231" s="7653"/>
      <c r="C231" s="7724"/>
      <c r="D231" s="5630">
        <v>360000000</v>
      </c>
      <c r="E231" s="5719">
        <f>F231/D231</f>
        <v>6.183333333333333E-2</v>
      </c>
      <c r="F231" s="5630">
        <v>22260000</v>
      </c>
      <c r="G231" s="5956">
        <v>22260000</v>
      </c>
      <c r="H231" s="5956" t="s">
        <v>4168</v>
      </c>
      <c r="I231" s="5956" t="s">
        <v>1808</v>
      </c>
      <c r="J231" s="5956">
        <f>G231</f>
        <v>22260000</v>
      </c>
      <c r="K231" s="5956">
        <f>F231-J231</f>
        <v>0</v>
      </c>
      <c r="L231" s="735" t="s">
        <v>7496</v>
      </c>
      <c r="M231" s="366"/>
      <c r="N231" s="366"/>
      <c r="O231" s="366"/>
      <c r="P231" s="366"/>
    </row>
    <row r="232" spans="1:16" ht="30" customHeight="1" x14ac:dyDescent="0.2">
      <c r="A232" s="7654">
        <v>91</v>
      </c>
      <c r="B232" s="7652" t="s">
        <v>4466</v>
      </c>
      <c r="C232" s="7723"/>
      <c r="D232" s="5594">
        <v>50000000</v>
      </c>
      <c r="E232" s="5652">
        <v>0.05</v>
      </c>
      <c r="F232" s="5594">
        <f t="shared" si="14"/>
        <v>2500000</v>
      </c>
      <c r="G232" s="7563">
        <v>16500000</v>
      </c>
      <c r="H232" s="7563" t="s">
        <v>4168</v>
      </c>
      <c r="I232" s="7772" t="s">
        <v>4464</v>
      </c>
      <c r="J232" s="7563">
        <f>G232</f>
        <v>16500000</v>
      </c>
      <c r="K232" s="7563">
        <f>(F232+F233+F234+F235)-J232</f>
        <v>0</v>
      </c>
      <c r="L232" s="7713"/>
      <c r="M232" s="366"/>
      <c r="N232" s="366"/>
      <c r="O232" s="366"/>
      <c r="P232" s="366"/>
    </row>
    <row r="233" spans="1:16" ht="30" customHeight="1" x14ac:dyDescent="0.2">
      <c r="A233" s="7656"/>
      <c r="B233" s="7665"/>
      <c r="C233" s="7747"/>
      <c r="D233" s="5594">
        <v>30000000</v>
      </c>
      <c r="E233" s="5652">
        <v>0.05</v>
      </c>
      <c r="F233" s="5594">
        <f t="shared" si="14"/>
        <v>1500000</v>
      </c>
      <c r="G233" s="7586"/>
      <c r="H233" s="7586"/>
      <c r="I233" s="8185"/>
      <c r="J233" s="7586"/>
      <c r="K233" s="7586"/>
      <c r="L233" s="7797"/>
      <c r="M233" s="366"/>
      <c r="N233" s="366"/>
      <c r="O233" s="366"/>
      <c r="P233" s="366"/>
    </row>
    <row r="234" spans="1:16" ht="30" customHeight="1" x14ac:dyDescent="0.2">
      <c r="A234" s="7656"/>
      <c r="B234" s="7665"/>
      <c r="C234" s="7747"/>
      <c r="D234" s="5594">
        <v>200000000</v>
      </c>
      <c r="E234" s="5652">
        <v>0.05</v>
      </c>
      <c r="F234" s="5594">
        <f t="shared" si="14"/>
        <v>10000000</v>
      </c>
      <c r="G234" s="7564"/>
      <c r="H234" s="7564"/>
      <c r="I234" s="7773"/>
      <c r="J234" s="7564"/>
      <c r="K234" s="7564"/>
      <c r="L234" s="7714"/>
      <c r="M234" s="366"/>
      <c r="N234" s="366"/>
      <c r="O234" s="366"/>
      <c r="P234" s="366"/>
    </row>
    <row r="235" spans="1:16" ht="30" customHeight="1" x14ac:dyDescent="0.2">
      <c r="A235" s="7656"/>
      <c r="B235" s="7665"/>
      <c r="C235" s="7747"/>
      <c r="D235" s="7563">
        <v>50000000</v>
      </c>
      <c r="E235" s="7659">
        <v>0.05</v>
      </c>
      <c r="F235" s="7563">
        <f t="shared" si="14"/>
        <v>2500000</v>
      </c>
      <c r="G235" s="7732" t="s">
        <v>6957</v>
      </c>
      <c r="H235" s="7733"/>
      <c r="I235" s="7733"/>
      <c r="J235" s="7734"/>
      <c r="K235" s="5593"/>
      <c r="L235" s="5620" t="s">
        <v>6958</v>
      </c>
      <c r="M235" s="366"/>
      <c r="N235" s="366"/>
      <c r="O235" s="366"/>
      <c r="P235" s="366"/>
    </row>
    <row r="236" spans="1:16" ht="30" customHeight="1" x14ac:dyDescent="0.2">
      <c r="A236" s="7656"/>
      <c r="B236" s="7665"/>
      <c r="C236" s="7747"/>
      <c r="D236" s="7586"/>
      <c r="E236" s="7676"/>
      <c r="F236" s="7586"/>
      <c r="G236" s="7732" t="s">
        <v>7045</v>
      </c>
      <c r="H236" s="7733"/>
      <c r="I236" s="7733"/>
      <c r="J236" s="7734"/>
      <c r="K236" s="5593"/>
      <c r="L236" s="5674"/>
      <c r="M236" s="366"/>
      <c r="N236" s="366"/>
      <c r="O236" s="366"/>
      <c r="P236" s="366"/>
    </row>
    <row r="237" spans="1:16" ht="30" customHeight="1" x14ac:dyDescent="0.2">
      <c r="A237" s="7655"/>
      <c r="B237" s="7653"/>
      <c r="C237" s="7724"/>
      <c r="D237" s="7564"/>
      <c r="E237" s="7660"/>
      <c r="F237" s="7564"/>
      <c r="G237" s="7732" t="s">
        <v>6964</v>
      </c>
      <c r="H237" s="7733"/>
      <c r="I237" s="7733"/>
      <c r="J237" s="7734"/>
      <c r="K237" s="5593"/>
      <c r="L237" s="5674"/>
      <c r="M237" s="366"/>
      <c r="N237" s="366"/>
      <c r="O237" s="366"/>
      <c r="P237" s="366"/>
    </row>
    <row r="238" spans="1:16" ht="30" customHeight="1" x14ac:dyDescent="0.2">
      <c r="A238" s="7654">
        <v>92</v>
      </c>
      <c r="B238" s="7652" t="s">
        <v>749</v>
      </c>
      <c r="C238" s="7723" t="s">
        <v>889</v>
      </c>
      <c r="D238" s="5586">
        <v>50000000</v>
      </c>
      <c r="E238" s="5652">
        <v>7.0000000000000007E-2</v>
      </c>
      <c r="F238" s="5586">
        <f t="shared" si="14"/>
        <v>3500000.0000000005</v>
      </c>
      <c r="G238" s="7563">
        <v>25500000</v>
      </c>
      <c r="H238" s="7563" t="s">
        <v>7460</v>
      </c>
      <c r="I238" s="7561" t="s">
        <v>3009</v>
      </c>
      <c r="J238" s="7563">
        <f>G238</f>
        <v>25500000</v>
      </c>
      <c r="K238" s="7563">
        <f>(F238+F239+F240+F241)-J238</f>
        <v>0</v>
      </c>
      <c r="L238" s="5658"/>
      <c r="M238" s="366"/>
      <c r="N238" s="366"/>
      <c r="O238" s="366"/>
      <c r="P238" s="366"/>
    </row>
    <row r="239" spans="1:16" ht="30" customHeight="1" x14ac:dyDescent="0.2">
      <c r="A239" s="7656"/>
      <c r="B239" s="7665"/>
      <c r="C239" s="7747"/>
      <c r="D239" s="5594">
        <v>270000000</v>
      </c>
      <c r="E239" s="5606">
        <v>0.05</v>
      </c>
      <c r="F239" s="5586">
        <f t="shared" si="14"/>
        <v>13500000</v>
      </c>
      <c r="G239" s="7586"/>
      <c r="H239" s="7586"/>
      <c r="I239" s="7672"/>
      <c r="J239" s="7586"/>
      <c r="K239" s="7586"/>
      <c r="L239" s="5658"/>
      <c r="M239" s="366"/>
      <c r="N239" s="366"/>
      <c r="O239" s="366"/>
      <c r="P239" s="366"/>
    </row>
    <row r="240" spans="1:16" ht="30" customHeight="1" x14ac:dyDescent="0.2">
      <c r="A240" s="7656"/>
      <c r="B240" s="7665"/>
      <c r="C240" s="7747"/>
      <c r="D240" s="5594">
        <v>20000000</v>
      </c>
      <c r="E240" s="5606">
        <v>0.05</v>
      </c>
      <c r="F240" s="5594">
        <f t="shared" si="14"/>
        <v>1000000</v>
      </c>
      <c r="G240" s="7586"/>
      <c r="H240" s="7586"/>
      <c r="I240" s="7672"/>
      <c r="J240" s="7586"/>
      <c r="K240" s="7586"/>
      <c r="L240" s="5725"/>
      <c r="M240" s="366"/>
      <c r="N240" s="366"/>
      <c r="O240" s="366"/>
      <c r="P240" s="366"/>
    </row>
    <row r="241" spans="1:16" ht="30" customHeight="1" x14ac:dyDescent="0.2">
      <c r="A241" s="7656"/>
      <c r="B241" s="7665"/>
      <c r="C241" s="7724"/>
      <c r="D241" s="5594">
        <v>150000000</v>
      </c>
      <c r="E241" s="5606">
        <v>0.05</v>
      </c>
      <c r="F241" s="5594">
        <f t="shared" si="14"/>
        <v>7500000</v>
      </c>
      <c r="G241" s="7564"/>
      <c r="H241" s="7564"/>
      <c r="I241" s="7562"/>
      <c r="J241" s="7564"/>
      <c r="K241" s="7564"/>
      <c r="L241" s="5725"/>
      <c r="M241" s="366"/>
      <c r="N241" s="366"/>
      <c r="O241" s="366"/>
      <c r="P241" s="366"/>
    </row>
    <row r="242" spans="1:16" ht="30" customHeight="1" x14ac:dyDescent="0.2">
      <c r="A242" s="7656"/>
      <c r="B242" s="7665"/>
      <c r="C242" s="7723" t="s">
        <v>1287</v>
      </c>
      <c r="D242" s="5594">
        <v>273000000</v>
      </c>
      <c r="E242" s="5606">
        <f>F242/D242</f>
        <v>5.4615384615384614E-2</v>
      </c>
      <c r="F242" s="5594">
        <v>14910000</v>
      </c>
      <c r="G242" s="7482">
        <v>10000000</v>
      </c>
      <c r="H242" s="7482" t="s">
        <v>7691</v>
      </c>
      <c r="I242" s="7482" t="s">
        <v>3009</v>
      </c>
      <c r="J242" s="7563">
        <f>G242+G244</f>
        <v>20410000</v>
      </c>
      <c r="K242" s="7563">
        <f>(F242+F243+F244)-J242</f>
        <v>0</v>
      </c>
      <c r="L242" s="180"/>
      <c r="M242" s="366"/>
      <c r="N242" s="366"/>
      <c r="O242" s="366"/>
      <c r="P242" s="366"/>
    </row>
    <row r="243" spans="1:16" ht="30" customHeight="1" x14ac:dyDescent="0.2">
      <c r="A243" s="7656"/>
      <c r="B243" s="7665"/>
      <c r="C243" s="7747"/>
      <c r="D243" s="5586">
        <v>100000000</v>
      </c>
      <c r="E243" s="5652">
        <v>0.05</v>
      </c>
      <c r="F243" s="5586">
        <f>D243*E243</f>
        <v>5000000</v>
      </c>
      <c r="G243" s="7482"/>
      <c r="H243" s="7482"/>
      <c r="I243" s="7482"/>
      <c r="J243" s="7586"/>
      <c r="K243" s="7586"/>
      <c r="L243" s="180"/>
      <c r="M243" s="366"/>
      <c r="N243" s="366"/>
      <c r="O243" s="366"/>
      <c r="P243" s="366"/>
    </row>
    <row r="244" spans="1:16" ht="30" customHeight="1" x14ac:dyDescent="0.2">
      <c r="A244" s="7655"/>
      <c r="B244" s="7653"/>
      <c r="C244" s="7724"/>
      <c r="D244" s="5654">
        <v>10000000</v>
      </c>
      <c r="E244" s="5605">
        <v>0.05</v>
      </c>
      <c r="F244" s="5593">
        <f>D244*E244</f>
        <v>500000</v>
      </c>
      <c r="G244" s="6226">
        <v>10410000</v>
      </c>
      <c r="H244" s="6226" t="s">
        <v>7718</v>
      </c>
      <c r="I244" s="6226" t="s">
        <v>3009</v>
      </c>
      <c r="J244" s="7564"/>
      <c r="K244" s="7564"/>
      <c r="L244" s="180"/>
      <c r="M244" s="366"/>
      <c r="N244" s="366"/>
      <c r="O244" s="366"/>
      <c r="P244" s="366"/>
    </row>
    <row r="245" spans="1:16" ht="30" customHeight="1" x14ac:dyDescent="0.2">
      <c r="A245" s="5596"/>
      <c r="B245" s="5600" t="s">
        <v>222</v>
      </c>
      <c r="C245" s="5657" t="s">
        <v>889</v>
      </c>
      <c r="D245" s="5586">
        <v>40000000</v>
      </c>
      <c r="E245" s="5652">
        <v>5.5E-2</v>
      </c>
      <c r="F245" s="5586">
        <f>D245*E245</f>
        <v>2200000</v>
      </c>
      <c r="G245" s="5586">
        <v>2200000</v>
      </c>
      <c r="H245" s="5586" t="s">
        <v>7531</v>
      </c>
      <c r="I245" s="5586" t="s">
        <v>4582</v>
      </c>
      <c r="J245" s="5586">
        <f>F245</f>
        <v>2200000</v>
      </c>
      <c r="K245" s="5586">
        <f>F245-J245</f>
        <v>0</v>
      </c>
      <c r="L245" s="5725"/>
      <c r="M245" s="366"/>
      <c r="N245" s="366"/>
      <c r="O245" s="366"/>
      <c r="P245" s="366"/>
    </row>
    <row r="246" spans="1:16" ht="30" customHeight="1" x14ac:dyDescent="0.2">
      <c r="A246" s="5655">
        <v>94</v>
      </c>
      <c r="B246" s="5613" t="s">
        <v>1144</v>
      </c>
      <c r="C246" s="5634"/>
      <c r="D246" s="5594">
        <v>25000000</v>
      </c>
      <c r="E246" s="5652">
        <v>0.04</v>
      </c>
      <c r="F246" s="5594">
        <f>D246*E246</f>
        <v>1000000</v>
      </c>
      <c r="G246" s="5594">
        <v>1000000</v>
      </c>
      <c r="H246" s="5594" t="s">
        <v>7424</v>
      </c>
      <c r="I246" s="5714" t="s">
        <v>1146</v>
      </c>
      <c r="J246" s="5594">
        <f>G246</f>
        <v>1000000</v>
      </c>
      <c r="K246" s="5594">
        <f t="shared" ref="K246:K249" si="22">F246-J246</f>
        <v>0</v>
      </c>
      <c r="L246" s="5613"/>
      <c r="M246" s="366"/>
      <c r="N246" s="366"/>
      <c r="O246" s="366"/>
      <c r="P246" s="366"/>
    </row>
    <row r="247" spans="1:16" ht="30" customHeight="1" x14ac:dyDescent="0.2">
      <c r="A247" s="5597"/>
      <c r="B247" s="19" t="s">
        <v>223</v>
      </c>
      <c r="C247" s="5657" t="s">
        <v>1172</v>
      </c>
      <c r="D247" s="5586">
        <v>355000000</v>
      </c>
      <c r="E247" s="5652">
        <v>0.05</v>
      </c>
      <c r="F247" s="5586">
        <v>17800000</v>
      </c>
      <c r="G247" s="5586">
        <v>17800000</v>
      </c>
      <c r="H247" s="5586" t="s">
        <v>7460</v>
      </c>
      <c r="I247" s="5662" t="s">
        <v>3431</v>
      </c>
      <c r="J247" s="5586">
        <f>G247</f>
        <v>17800000</v>
      </c>
      <c r="K247" s="5586">
        <f t="shared" si="22"/>
        <v>0</v>
      </c>
      <c r="L247" s="378" t="s">
        <v>6887</v>
      </c>
      <c r="M247" s="366"/>
      <c r="N247" s="366"/>
      <c r="O247" s="366"/>
      <c r="P247" s="366"/>
    </row>
    <row r="248" spans="1:16" ht="30" customHeight="1" x14ac:dyDescent="0.2">
      <c r="A248" s="5655">
        <v>99</v>
      </c>
      <c r="B248" s="5613" t="s">
        <v>227</v>
      </c>
      <c r="C248" s="5634" t="s">
        <v>1297</v>
      </c>
      <c r="D248" s="5594">
        <v>100000000</v>
      </c>
      <c r="E248" s="5652">
        <v>0.04</v>
      </c>
      <c r="F248" s="5594">
        <f>D248*E248</f>
        <v>4000000</v>
      </c>
      <c r="G248" s="5594">
        <v>4000000</v>
      </c>
      <c r="H248" s="5594" t="s">
        <v>7427</v>
      </c>
      <c r="I248" s="5678" t="s">
        <v>4847</v>
      </c>
      <c r="J248" s="5594">
        <f>G248</f>
        <v>4000000</v>
      </c>
      <c r="K248" s="5594">
        <f t="shared" si="22"/>
        <v>0</v>
      </c>
      <c r="L248" s="5613"/>
      <c r="M248" s="366"/>
      <c r="N248" s="366"/>
      <c r="O248" s="366"/>
      <c r="P248" s="366"/>
    </row>
    <row r="249" spans="1:16" ht="30" customHeight="1" x14ac:dyDescent="0.2">
      <c r="A249" s="5655">
        <v>100</v>
      </c>
      <c r="B249" s="5613" t="s">
        <v>228</v>
      </c>
      <c r="C249" s="5634" t="s">
        <v>392</v>
      </c>
      <c r="D249" s="5594">
        <v>101000000</v>
      </c>
      <c r="E249" s="5652">
        <v>5.0999999999999997E-2</v>
      </c>
      <c r="F249" s="5594">
        <v>5100000</v>
      </c>
      <c r="G249" s="5594">
        <v>5100000</v>
      </c>
      <c r="H249" s="5594" t="s">
        <v>1975</v>
      </c>
      <c r="I249" s="5714" t="s">
        <v>7581</v>
      </c>
      <c r="J249" s="5594">
        <f>G249</f>
        <v>5100000</v>
      </c>
      <c r="K249" s="5594">
        <f t="shared" si="22"/>
        <v>0</v>
      </c>
      <c r="L249" s="5613"/>
      <c r="M249" s="366"/>
      <c r="N249" s="366"/>
      <c r="O249" s="366"/>
      <c r="P249" s="366"/>
    </row>
    <row r="250" spans="1:16" ht="30" customHeight="1" x14ac:dyDescent="0.2">
      <c r="A250" s="7795"/>
      <c r="B250" s="7652" t="s">
        <v>177</v>
      </c>
      <c r="C250" s="7723" t="s">
        <v>1080</v>
      </c>
      <c r="D250" s="5586">
        <v>100000000</v>
      </c>
      <c r="E250" s="5652">
        <v>0.06</v>
      </c>
      <c r="F250" s="5586">
        <f>D250*E250</f>
        <v>6000000</v>
      </c>
      <c r="G250" s="7563">
        <v>8100000</v>
      </c>
      <c r="H250" s="7563" t="s">
        <v>7427</v>
      </c>
      <c r="I250" s="7563" t="s">
        <v>3345</v>
      </c>
      <c r="J250" s="7563">
        <f>G250</f>
        <v>8100000</v>
      </c>
      <c r="K250" s="7563">
        <f>(F250+F251)-J250</f>
        <v>0</v>
      </c>
      <c r="L250" s="5657" t="s">
        <v>5350</v>
      </c>
      <c r="M250" s="366"/>
      <c r="N250" s="366"/>
      <c r="O250" s="366"/>
      <c r="P250" s="366"/>
    </row>
    <row r="251" spans="1:16" ht="30" customHeight="1" x14ac:dyDescent="0.2">
      <c r="A251" s="7796"/>
      <c r="B251" s="7653"/>
      <c r="C251" s="7724"/>
      <c r="D251" s="5592">
        <v>35000000</v>
      </c>
      <c r="E251" s="5604">
        <v>0.06</v>
      </c>
      <c r="F251" s="5592">
        <f>D251*E251</f>
        <v>2100000</v>
      </c>
      <c r="G251" s="7564"/>
      <c r="H251" s="7564"/>
      <c r="I251" s="7564"/>
      <c r="J251" s="7564"/>
      <c r="K251" s="7564"/>
      <c r="L251" s="5725"/>
      <c r="M251" s="366"/>
      <c r="N251" s="366"/>
      <c r="O251" s="366"/>
      <c r="P251" s="366"/>
    </row>
    <row r="252" spans="1:16" ht="30" customHeight="1" x14ac:dyDescent="0.2">
      <c r="A252" s="7703"/>
      <c r="B252" s="8291" t="s">
        <v>6067</v>
      </c>
      <c r="C252" s="8341"/>
      <c r="D252" s="7563">
        <v>350000000</v>
      </c>
      <c r="E252" s="7659">
        <v>0.05</v>
      </c>
      <c r="F252" s="7563">
        <f>D252*E252</f>
        <v>17500000</v>
      </c>
      <c r="G252" s="7563">
        <v>17500000</v>
      </c>
      <c r="H252" s="7563" t="s">
        <v>7614</v>
      </c>
      <c r="I252" s="7563" t="s">
        <v>6791</v>
      </c>
      <c r="J252" s="7563">
        <f>G252</f>
        <v>17500000</v>
      </c>
      <c r="K252" s="7563">
        <f>F252-J252</f>
        <v>0</v>
      </c>
      <c r="L252" s="5725"/>
      <c r="M252" s="366"/>
      <c r="N252" s="366"/>
      <c r="O252" s="366"/>
      <c r="P252" s="366"/>
    </row>
    <row r="253" spans="1:16" ht="30" customHeight="1" x14ac:dyDescent="0.2">
      <c r="A253" s="7704"/>
      <c r="B253" s="8292"/>
      <c r="C253" s="8342"/>
      <c r="D253" s="7564"/>
      <c r="E253" s="7660"/>
      <c r="F253" s="7564"/>
      <c r="G253" s="7564"/>
      <c r="H253" s="7564"/>
      <c r="I253" s="7564"/>
      <c r="J253" s="7564"/>
      <c r="K253" s="7564"/>
      <c r="L253" s="5725"/>
      <c r="M253" s="366"/>
      <c r="N253" s="366"/>
      <c r="O253" s="366"/>
      <c r="P253" s="366"/>
    </row>
    <row r="254" spans="1:16" ht="30" customHeight="1" x14ac:dyDescent="0.2">
      <c r="A254" s="7704"/>
      <c r="B254" s="8292"/>
      <c r="C254" s="8342"/>
      <c r="D254" s="5594">
        <v>110000000</v>
      </c>
      <c r="E254" s="5606">
        <v>0.05</v>
      </c>
      <c r="F254" s="5594">
        <f>D254*E254</f>
        <v>5500000</v>
      </c>
      <c r="G254" s="233"/>
      <c r="H254" s="233"/>
      <c r="I254" s="233"/>
      <c r="J254" s="233"/>
      <c r="K254" s="5594"/>
      <c r="L254" s="5767" t="s">
        <v>7039</v>
      </c>
      <c r="M254" s="366"/>
      <c r="N254" s="366"/>
      <c r="O254" s="366"/>
      <c r="P254" s="366"/>
    </row>
    <row r="255" spans="1:16" ht="30" customHeight="1" x14ac:dyDescent="0.2">
      <c r="A255" s="7704"/>
      <c r="B255" s="8292"/>
      <c r="C255" s="8342"/>
      <c r="D255" s="5594">
        <v>40000000</v>
      </c>
      <c r="E255" s="5606">
        <v>0.05</v>
      </c>
      <c r="F255" s="5594">
        <f>D255*E255</f>
        <v>2000000</v>
      </c>
      <c r="G255" s="233"/>
      <c r="H255" s="233"/>
      <c r="I255" s="233"/>
      <c r="J255" s="233"/>
      <c r="K255" s="5594"/>
      <c r="L255" s="5767" t="s">
        <v>7040</v>
      </c>
      <c r="M255" s="366"/>
      <c r="N255" s="366"/>
      <c r="O255" s="366"/>
      <c r="P255" s="366"/>
    </row>
    <row r="256" spans="1:16" ht="30" customHeight="1" x14ac:dyDescent="0.2">
      <c r="A256" s="7704"/>
      <c r="B256" s="8292"/>
      <c r="C256" s="8342"/>
      <c r="D256" s="6076">
        <v>200000000</v>
      </c>
      <c r="E256" s="6076"/>
      <c r="F256" s="6076"/>
      <c r="G256" s="233"/>
      <c r="H256" s="233"/>
      <c r="I256" s="233"/>
      <c r="J256" s="233"/>
      <c r="K256" s="6078"/>
      <c r="L256" s="6099" t="s">
        <v>7569</v>
      </c>
      <c r="M256" s="366"/>
      <c r="N256" s="366"/>
      <c r="O256" s="366"/>
      <c r="P256" s="366"/>
    </row>
    <row r="257" spans="1:16" ht="30" customHeight="1" x14ac:dyDescent="0.2">
      <c r="A257" s="7705"/>
      <c r="B257" s="8293"/>
      <c r="C257" s="8343"/>
      <c r="D257" s="6084">
        <v>700000000</v>
      </c>
      <c r="E257" s="6083">
        <v>0.05</v>
      </c>
      <c r="F257" s="6084">
        <f>D257*E257</f>
        <v>35000000</v>
      </c>
      <c r="G257" s="233"/>
      <c r="H257" s="233"/>
      <c r="I257" s="233"/>
      <c r="J257" s="233"/>
      <c r="K257" s="6078"/>
      <c r="L257" s="6099" t="s">
        <v>7568</v>
      </c>
      <c r="M257" s="366"/>
      <c r="N257" s="366"/>
      <c r="O257" s="366"/>
      <c r="P257" s="366"/>
    </row>
    <row r="258" spans="1:16" s="1539" customFormat="1" ht="30" customHeight="1" x14ac:dyDescent="0.2">
      <c r="A258" s="5655"/>
      <c r="B258" s="5613" t="s">
        <v>230</v>
      </c>
      <c r="C258" s="5657" t="s">
        <v>1172</v>
      </c>
      <c r="D258" s="5586">
        <v>37000000</v>
      </c>
      <c r="E258" s="5652">
        <v>5.5E-2</v>
      </c>
      <c r="F258" s="5586">
        <v>2000000</v>
      </c>
      <c r="G258" s="5586">
        <v>2000000</v>
      </c>
      <c r="H258" s="5586" t="s">
        <v>7531</v>
      </c>
      <c r="I258" s="5586" t="s">
        <v>1551</v>
      </c>
      <c r="J258" s="5586">
        <f>G258</f>
        <v>2000000</v>
      </c>
      <c r="K258" s="5586">
        <f>F258-J258</f>
        <v>0</v>
      </c>
      <c r="L258" s="5725"/>
      <c r="M258" s="9"/>
      <c r="N258" s="9"/>
      <c r="O258" s="9"/>
      <c r="P258" s="9"/>
    </row>
    <row r="259" spans="1:16" ht="30" customHeight="1" x14ac:dyDescent="0.2">
      <c r="A259" s="5597">
        <v>104</v>
      </c>
      <c r="B259" s="5602" t="s">
        <v>231</v>
      </c>
      <c r="C259" s="5634" t="s">
        <v>1172</v>
      </c>
      <c r="D259" s="5594">
        <v>20000000</v>
      </c>
      <c r="E259" s="5606">
        <v>0.05</v>
      </c>
      <c r="F259" s="5594">
        <f t="shared" si="14"/>
        <v>1000000</v>
      </c>
      <c r="G259" s="5594">
        <v>1000000</v>
      </c>
      <c r="H259" s="5594" t="s">
        <v>7531</v>
      </c>
      <c r="I259" s="5714" t="s">
        <v>3437</v>
      </c>
      <c r="J259" s="5594">
        <f>G259</f>
        <v>1000000</v>
      </c>
      <c r="K259" s="5594">
        <f>F259-J259</f>
        <v>0</v>
      </c>
      <c r="L259" s="5602"/>
      <c r="M259" s="366"/>
      <c r="N259" s="366"/>
      <c r="O259" s="366"/>
      <c r="P259" s="366"/>
    </row>
    <row r="260" spans="1:16" ht="30" customHeight="1" x14ac:dyDescent="0.2">
      <c r="A260" s="7654">
        <v>105</v>
      </c>
      <c r="B260" s="7710" t="s">
        <v>232</v>
      </c>
      <c r="C260" s="7813"/>
      <c r="D260" s="7677"/>
      <c r="E260" s="7691"/>
      <c r="F260" s="7677">
        <f t="shared" ref="F260:F296" si="23">D260*E260</f>
        <v>0</v>
      </c>
      <c r="G260" s="5745"/>
      <c r="H260" s="5745"/>
      <c r="I260" s="909" t="s">
        <v>6797</v>
      </c>
      <c r="J260" s="7677">
        <f>G260+G261</f>
        <v>0</v>
      </c>
      <c r="K260" s="7677">
        <f>F260-J260</f>
        <v>0</v>
      </c>
      <c r="L260" s="5753"/>
    </row>
    <row r="261" spans="1:16" ht="30" customHeight="1" x14ac:dyDescent="0.2">
      <c r="A261" s="7656"/>
      <c r="B261" s="7711"/>
      <c r="C261" s="7814"/>
      <c r="D261" s="7690"/>
      <c r="E261" s="7692"/>
      <c r="F261" s="7690"/>
      <c r="G261" s="5745"/>
      <c r="H261" s="5745"/>
      <c r="I261" s="909"/>
      <c r="J261" s="7678"/>
      <c r="K261" s="7678"/>
      <c r="L261" s="5753"/>
    </row>
    <row r="262" spans="1:16" ht="30" customHeight="1" x14ac:dyDescent="0.2">
      <c r="A262" s="7655"/>
      <c r="B262" s="7712"/>
      <c r="C262" s="7815"/>
      <c r="D262" s="7678"/>
      <c r="E262" s="7693"/>
      <c r="F262" s="7678"/>
      <c r="G262" s="5745"/>
      <c r="H262" s="5745"/>
      <c r="I262" s="909" t="s">
        <v>7240</v>
      </c>
      <c r="J262" s="5751">
        <f>G262</f>
        <v>0</v>
      </c>
      <c r="K262" s="5751"/>
      <c r="L262" s="5753"/>
    </row>
    <row r="263" spans="1:16" ht="30" customHeight="1" x14ac:dyDescent="0.2">
      <c r="A263" s="5746">
        <v>108</v>
      </c>
      <c r="B263" s="5759" t="s">
        <v>235</v>
      </c>
      <c r="C263" s="5756" t="s">
        <v>1172</v>
      </c>
      <c r="D263" s="5586">
        <v>1410000000</v>
      </c>
      <c r="E263" s="5652">
        <v>5.5E-2</v>
      </c>
      <c r="F263" s="5586">
        <f t="shared" si="23"/>
        <v>77550000</v>
      </c>
      <c r="G263" s="5662"/>
      <c r="H263" s="5662"/>
      <c r="I263" s="5662"/>
      <c r="J263" s="5662"/>
      <c r="K263" s="5586">
        <v>0</v>
      </c>
      <c r="L263" s="5657"/>
    </row>
    <row r="264" spans="1:16" ht="30" customHeight="1" x14ac:dyDescent="0.2">
      <c r="A264" s="5655">
        <v>109</v>
      </c>
      <c r="B264" s="5613" t="s">
        <v>236</v>
      </c>
      <c r="C264" s="5657"/>
      <c r="D264" s="5586">
        <v>1000000000</v>
      </c>
      <c r="E264" s="5652">
        <v>0.05</v>
      </c>
      <c r="F264" s="5586">
        <f t="shared" si="23"/>
        <v>50000000</v>
      </c>
      <c r="G264" s="5594">
        <v>50000000</v>
      </c>
      <c r="H264" s="5594" t="s">
        <v>7614</v>
      </c>
      <c r="I264" s="5714" t="s">
        <v>4427</v>
      </c>
      <c r="J264" s="5594">
        <f t="shared" ref="J264:J267" si="24">G264</f>
        <v>50000000</v>
      </c>
      <c r="K264" s="5594">
        <f t="shared" ref="K264:K266" si="25">F264-J264</f>
        <v>0</v>
      </c>
      <c r="L264" s="5620"/>
    </row>
    <row r="265" spans="1:16" ht="30" customHeight="1" x14ac:dyDescent="0.2">
      <c r="A265" s="5597"/>
      <c r="B265" s="19" t="s">
        <v>237</v>
      </c>
      <c r="C265" s="5657" t="s">
        <v>392</v>
      </c>
      <c r="D265" s="5586">
        <v>30000000</v>
      </c>
      <c r="E265" s="5652">
        <v>0.05</v>
      </c>
      <c r="F265" s="5594">
        <f>D265*E265</f>
        <v>1500000</v>
      </c>
      <c r="G265" s="5586">
        <v>1500000</v>
      </c>
      <c r="H265" s="5586" t="s">
        <v>7460</v>
      </c>
      <c r="I265" s="5586" t="s">
        <v>550</v>
      </c>
      <c r="J265" s="5586">
        <f t="shared" si="24"/>
        <v>1500000</v>
      </c>
      <c r="K265" s="5594">
        <f t="shared" si="25"/>
        <v>0</v>
      </c>
      <c r="L265" s="5620"/>
    </row>
    <row r="266" spans="1:16" ht="30" customHeight="1" x14ac:dyDescent="0.2">
      <c r="A266" s="5655">
        <v>112</v>
      </c>
      <c r="B266" s="5613" t="s">
        <v>238</v>
      </c>
      <c r="C266" s="5657" t="s">
        <v>889</v>
      </c>
      <c r="D266" s="5594">
        <v>45000000</v>
      </c>
      <c r="E266" s="5652">
        <v>0.05</v>
      </c>
      <c r="F266" s="5594">
        <f t="shared" si="23"/>
        <v>2250000</v>
      </c>
      <c r="G266" s="5594">
        <v>2250000</v>
      </c>
      <c r="H266" s="5678" t="s">
        <v>7531</v>
      </c>
      <c r="I266" s="5678" t="s">
        <v>781</v>
      </c>
      <c r="J266" s="5586">
        <f>G266</f>
        <v>2250000</v>
      </c>
      <c r="K266" s="5594">
        <f t="shared" si="25"/>
        <v>0</v>
      </c>
      <c r="L266" s="5725"/>
    </row>
    <row r="267" spans="1:16" ht="30" customHeight="1" x14ac:dyDescent="0.2">
      <c r="A267" s="5597"/>
      <c r="B267" s="5600" t="s">
        <v>6160</v>
      </c>
      <c r="C267" s="7723" t="s">
        <v>1176</v>
      </c>
      <c r="D267" s="5594">
        <v>250000000</v>
      </c>
      <c r="E267" s="5652">
        <v>0.05</v>
      </c>
      <c r="F267" s="5594">
        <f>D267*E267</f>
        <v>12500000</v>
      </c>
      <c r="G267" s="7563"/>
      <c r="H267" s="7563"/>
      <c r="I267" s="7563" t="s">
        <v>6264</v>
      </c>
      <c r="J267" s="7563">
        <f t="shared" si="24"/>
        <v>0</v>
      </c>
      <c r="K267" s="7563"/>
      <c r="L267" s="5620" t="s">
        <v>5469</v>
      </c>
    </row>
    <row r="268" spans="1:16" ht="30" customHeight="1" x14ac:dyDescent="0.2">
      <c r="A268" s="7654"/>
      <c r="B268" s="7652" t="s">
        <v>5469</v>
      </c>
      <c r="C268" s="7747"/>
      <c r="D268" s="5594">
        <v>120000000</v>
      </c>
      <c r="E268" s="5652">
        <v>0.05</v>
      </c>
      <c r="F268" s="5594">
        <f>D268*E268</f>
        <v>6000000</v>
      </c>
      <c r="G268" s="7586"/>
      <c r="H268" s="7586"/>
      <c r="I268" s="7586"/>
      <c r="J268" s="7586"/>
      <c r="K268" s="7586"/>
      <c r="L268" s="5620" t="s">
        <v>5560</v>
      </c>
    </row>
    <row r="269" spans="1:16" ht="30" customHeight="1" x14ac:dyDescent="0.2">
      <c r="A269" s="7656"/>
      <c r="B269" s="7665"/>
      <c r="C269" s="7747"/>
      <c r="D269" s="5594">
        <v>460000000</v>
      </c>
      <c r="E269" s="5652">
        <v>0.05</v>
      </c>
      <c r="F269" s="5594">
        <f>D269*E269</f>
        <v>23000000</v>
      </c>
      <c r="G269" s="7564"/>
      <c r="H269" s="7564"/>
      <c r="I269" s="7564"/>
      <c r="J269" s="7564"/>
      <c r="K269" s="7564"/>
      <c r="L269" s="5620" t="s">
        <v>5802</v>
      </c>
    </row>
    <row r="270" spans="1:16" ht="30" customHeight="1" x14ac:dyDescent="0.2">
      <c r="A270" s="7656"/>
      <c r="B270" s="7665"/>
      <c r="C270" s="7747"/>
      <c r="D270" s="5699">
        <f>SUM(D267:D269)</f>
        <v>830000000</v>
      </c>
      <c r="E270" s="5729">
        <v>0.08</v>
      </c>
      <c r="F270" s="5699">
        <f>D270*E270</f>
        <v>66400000</v>
      </c>
      <c r="G270" s="7732" t="s">
        <v>6159</v>
      </c>
      <c r="H270" s="7733"/>
      <c r="I270" s="7733"/>
      <c r="J270" s="7734"/>
      <c r="K270" s="5594"/>
      <c r="L270" s="5620" t="s">
        <v>6263</v>
      </c>
    </row>
    <row r="271" spans="1:16" ht="30" customHeight="1" x14ac:dyDescent="0.2">
      <c r="A271" s="7655"/>
      <c r="B271" s="7653"/>
      <c r="C271" s="7724"/>
      <c r="D271" s="5611">
        <v>1170000000</v>
      </c>
      <c r="E271" s="2519"/>
      <c r="F271" s="5611"/>
      <c r="G271" s="7850" t="s">
        <v>6165</v>
      </c>
      <c r="H271" s="7851"/>
      <c r="I271" s="7851"/>
      <c r="J271" s="7852"/>
      <c r="K271" s="5611"/>
      <c r="L271" s="5620" t="s">
        <v>6560</v>
      </c>
    </row>
    <row r="272" spans="1:16" ht="30" customHeight="1" x14ac:dyDescent="0.2">
      <c r="A272" s="5655">
        <v>114</v>
      </c>
      <c r="B272" s="5613" t="s">
        <v>240</v>
      </c>
      <c r="C272" s="5634"/>
      <c r="D272" s="5594">
        <v>100000000</v>
      </c>
      <c r="E272" s="5652">
        <v>4.4999999999999998E-2</v>
      </c>
      <c r="F272" s="5594">
        <f t="shared" si="23"/>
        <v>4500000</v>
      </c>
      <c r="G272" s="5594"/>
      <c r="H272" s="5594"/>
      <c r="I272" s="84"/>
      <c r="J272" s="5594">
        <f>G272</f>
        <v>0</v>
      </c>
      <c r="K272" s="5594">
        <f>F272-J272</f>
        <v>4500000</v>
      </c>
      <c r="L272" s="5613"/>
    </row>
    <row r="273" spans="1:12" ht="30" customHeight="1" x14ac:dyDescent="0.2">
      <c r="A273" s="7654"/>
      <c r="B273" s="7652" t="s">
        <v>243</v>
      </c>
      <c r="C273" s="7723" t="s">
        <v>889</v>
      </c>
      <c r="D273" s="5586">
        <v>445000000</v>
      </c>
      <c r="E273" s="5652">
        <v>4.4999999999999998E-2</v>
      </c>
      <c r="F273" s="5586">
        <v>20000000</v>
      </c>
      <c r="G273" s="5594"/>
      <c r="H273" s="5594"/>
      <c r="I273" s="84" t="s">
        <v>2646</v>
      </c>
      <c r="J273" s="5594">
        <f>G273</f>
        <v>0</v>
      </c>
      <c r="K273" s="5594">
        <f>F273-J273</f>
        <v>20000000</v>
      </c>
      <c r="L273" s="5690"/>
    </row>
    <row r="274" spans="1:12" ht="30" customHeight="1" x14ac:dyDescent="0.2">
      <c r="A274" s="7655"/>
      <c r="B274" s="7653"/>
      <c r="C274" s="7724"/>
      <c r="D274" s="5610">
        <v>500000000</v>
      </c>
      <c r="E274" s="5617">
        <v>4.4999999999999998E-2</v>
      </c>
      <c r="F274" s="5610">
        <f>D274*E274</f>
        <v>22500000</v>
      </c>
      <c r="G274" s="5593"/>
      <c r="H274" s="5593"/>
      <c r="I274" s="5705"/>
      <c r="J274" s="5593"/>
      <c r="K274" s="5593"/>
      <c r="L274" s="5725" t="s">
        <v>7216</v>
      </c>
    </row>
    <row r="275" spans="1:12" ht="30" customHeight="1" x14ac:dyDescent="0.2">
      <c r="A275" s="7654">
        <v>118</v>
      </c>
      <c r="B275" s="7652" t="s">
        <v>244</v>
      </c>
      <c r="C275" s="7723" t="s">
        <v>4223</v>
      </c>
      <c r="D275" s="7563">
        <v>33000000</v>
      </c>
      <c r="E275" s="7659">
        <v>0.05</v>
      </c>
      <c r="F275" s="7563">
        <f>D275*E275</f>
        <v>1650000</v>
      </c>
      <c r="G275" s="7563">
        <v>1650000</v>
      </c>
      <c r="H275" s="7563" t="s">
        <v>3879</v>
      </c>
      <c r="I275" s="8148" t="s">
        <v>611</v>
      </c>
      <c r="J275" s="7563">
        <f>G275</f>
        <v>1650000</v>
      </c>
      <c r="K275" s="7563">
        <f>F275-J275</f>
        <v>0</v>
      </c>
      <c r="L275" s="5690"/>
    </row>
    <row r="276" spans="1:12" ht="30" customHeight="1" x14ac:dyDescent="0.2">
      <c r="A276" s="7656"/>
      <c r="B276" s="7665"/>
      <c r="C276" s="7724"/>
      <c r="D276" s="7564"/>
      <c r="E276" s="7660"/>
      <c r="F276" s="7564"/>
      <c r="G276" s="7564"/>
      <c r="H276" s="7564"/>
      <c r="I276" s="8149"/>
      <c r="J276" s="7564"/>
      <c r="K276" s="7564"/>
      <c r="L276" s="5690"/>
    </row>
    <row r="277" spans="1:12" ht="30" customHeight="1" x14ac:dyDescent="0.2">
      <c r="A277" s="7654">
        <v>120</v>
      </c>
      <c r="B277" s="7652" t="s">
        <v>246</v>
      </c>
      <c r="C277" s="7723" t="s">
        <v>371</v>
      </c>
      <c r="D277" s="5586">
        <v>617000000</v>
      </c>
      <c r="E277" s="5652">
        <v>7.0000000000000007E-2</v>
      </c>
      <c r="F277" s="5586">
        <v>43200000</v>
      </c>
      <c r="G277" s="6128">
        <v>10000000</v>
      </c>
      <c r="H277" s="6154" t="s">
        <v>2830</v>
      </c>
      <c r="I277" s="6154" t="s">
        <v>2866</v>
      </c>
      <c r="J277" s="6124">
        <f>G277</f>
        <v>10000000</v>
      </c>
      <c r="K277" s="5586"/>
      <c r="L277" s="5725"/>
    </row>
    <row r="278" spans="1:12" ht="30" customHeight="1" x14ac:dyDescent="0.2">
      <c r="A278" s="7655"/>
      <c r="B278" s="7653"/>
      <c r="C278" s="7724"/>
      <c r="D278" s="5594"/>
      <c r="E278" s="5606"/>
      <c r="F278" s="5594"/>
      <c r="G278" s="6147"/>
      <c r="H278" s="6147"/>
      <c r="I278" s="6147"/>
      <c r="J278" s="6147"/>
      <c r="K278" s="5594"/>
      <c r="L278" s="5658"/>
    </row>
    <row r="279" spans="1:12" ht="30" customHeight="1" x14ac:dyDescent="0.2">
      <c r="A279" s="7654">
        <v>123</v>
      </c>
      <c r="B279" s="7652" t="s">
        <v>1650</v>
      </c>
      <c r="C279" s="7723" t="s">
        <v>1176</v>
      </c>
      <c r="D279" s="5586">
        <v>60000000</v>
      </c>
      <c r="E279" s="5652">
        <v>0.05</v>
      </c>
      <c r="F279" s="5586">
        <f t="shared" si="23"/>
        <v>3000000</v>
      </c>
      <c r="G279" s="7563">
        <v>12400000</v>
      </c>
      <c r="H279" s="7563" t="s">
        <v>7727</v>
      </c>
      <c r="I279" s="7561" t="s">
        <v>7734</v>
      </c>
      <c r="J279" s="7563">
        <f>G279</f>
        <v>12400000</v>
      </c>
      <c r="K279" s="7563"/>
      <c r="L279" s="345"/>
    </row>
    <row r="280" spans="1:12" ht="30" customHeight="1" x14ac:dyDescent="0.2">
      <c r="A280" s="7656"/>
      <c r="B280" s="7665"/>
      <c r="C280" s="7747"/>
      <c r="D280" s="5849">
        <v>20000000</v>
      </c>
      <c r="E280" s="5652">
        <v>7.0000000000000007E-2</v>
      </c>
      <c r="F280" s="5586">
        <f t="shared" si="23"/>
        <v>1400000.0000000002</v>
      </c>
      <c r="G280" s="7586"/>
      <c r="H280" s="7586"/>
      <c r="I280" s="7672"/>
      <c r="J280" s="7586"/>
      <c r="K280" s="7586"/>
      <c r="L280" s="5879" t="s">
        <v>7377</v>
      </c>
    </row>
    <row r="281" spans="1:12" ht="30" customHeight="1" x14ac:dyDescent="0.2">
      <c r="A281" s="7656"/>
      <c r="B281" s="7665"/>
      <c r="C281" s="7747"/>
      <c r="D281" s="5849">
        <v>52000000</v>
      </c>
      <c r="E281" s="5652">
        <v>0.05</v>
      </c>
      <c r="F281" s="5586">
        <f>D281*E281</f>
        <v>2600000</v>
      </c>
      <c r="G281" s="7564"/>
      <c r="H281" s="7564"/>
      <c r="I281" s="7562"/>
      <c r="J281" s="7564"/>
      <c r="K281" s="7564"/>
      <c r="L281" s="5879" t="s">
        <v>7378</v>
      </c>
    </row>
    <row r="282" spans="1:12" ht="30" customHeight="1" x14ac:dyDescent="0.2">
      <c r="A282" s="7655"/>
      <c r="B282" s="7653"/>
      <c r="C282" s="7724"/>
      <c r="D282" s="5849">
        <v>120000000</v>
      </c>
      <c r="E282" s="5652"/>
      <c r="F282" s="5586"/>
      <c r="G282" s="7732" t="s">
        <v>7733</v>
      </c>
      <c r="H282" s="7733"/>
      <c r="I282" s="7733"/>
      <c r="J282" s="7734"/>
      <c r="K282" s="5593"/>
      <c r="L282" s="5725" t="s">
        <v>7266</v>
      </c>
    </row>
    <row r="283" spans="1:12" ht="30" customHeight="1" x14ac:dyDescent="0.2">
      <c r="A283" s="5596">
        <v>124</v>
      </c>
      <c r="B283" s="5658" t="s">
        <v>250</v>
      </c>
      <c r="C283" s="5633" t="s">
        <v>392</v>
      </c>
      <c r="D283" s="5593">
        <v>800000000</v>
      </c>
      <c r="E283" s="5605">
        <v>6.2E-2</v>
      </c>
      <c r="F283" s="5593">
        <v>50000000</v>
      </c>
      <c r="G283" s="5592">
        <v>25000000</v>
      </c>
      <c r="H283" s="5592" t="s">
        <v>7795</v>
      </c>
      <c r="I283" s="5637" t="s">
        <v>5605</v>
      </c>
      <c r="J283" s="5592">
        <f t="shared" ref="J283:J308" si="26">G283</f>
        <v>25000000</v>
      </c>
      <c r="K283" s="5592">
        <f>F283-J283</f>
        <v>25000000</v>
      </c>
      <c r="L283" s="5663"/>
    </row>
    <row r="284" spans="1:12" ht="30" customHeight="1" x14ac:dyDescent="0.2">
      <c r="A284" s="7654">
        <v>125</v>
      </c>
      <c r="B284" s="7652" t="s">
        <v>251</v>
      </c>
      <c r="C284" s="5657" t="s">
        <v>392</v>
      </c>
      <c r="D284" s="5586">
        <v>200000000</v>
      </c>
      <c r="E284" s="5652">
        <v>0.06</v>
      </c>
      <c r="F284" s="5586">
        <f>D284*E284</f>
        <v>12000000</v>
      </c>
      <c r="G284" s="5586">
        <v>12000000</v>
      </c>
      <c r="H284" s="5586" t="s">
        <v>7427</v>
      </c>
      <c r="I284" s="5662" t="s">
        <v>7430</v>
      </c>
      <c r="J284" s="5586">
        <f t="shared" si="26"/>
        <v>12000000</v>
      </c>
      <c r="K284" s="5586">
        <f t="shared" ref="K284:K301" si="27">F284-J284</f>
        <v>0</v>
      </c>
      <c r="L284" s="5725"/>
    </row>
    <row r="285" spans="1:12" ht="30" customHeight="1" x14ac:dyDescent="0.2">
      <c r="A285" s="7656"/>
      <c r="B285" s="7665"/>
      <c r="C285" s="5657" t="s">
        <v>1287</v>
      </c>
      <c r="D285" s="5586">
        <v>100000000</v>
      </c>
      <c r="E285" s="5652">
        <v>0.06</v>
      </c>
      <c r="F285" s="5586">
        <f>D285*E285</f>
        <v>6000000</v>
      </c>
      <c r="G285" s="5586"/>
      <c r="H285" s="5586"/>
      <c r="I285" s="5662" t="s">
        <v>1630</v>
      </c>
      <c r="J285" s="5586">
        <f>G285</f>
        <v>0</v>
      </c>
      <c r="K285" s="5586">
        <f>F285-J285</f>
        <v>6000000</v>
      </c>
      <c r="L285" s="5613"/>
    </row>
    <row r="286" spans="1:12" ht="30" customHeight="1" x14ac:dyDescent="0.2">
      <c r="A286" s="7656"/>
      <c r="B286" s="7665"/>
      <c r="C286" s="7723" t="s">
        <v>1081</v>
      </c>
      <c r="D286" s="7563">
        <v>1500000000</v>
      </c>
      <c r="E286" s="7659">
        <v>0.08</v>
      </c>
      <c r="F286" s="7563">
        <f>D286*E286</f>
        <v>120000000</v>
      </c>
      <c r="G286" s="6301">
        <v>50000000</v>
      </c>
      <c r="H286" s="6301" t="s">
        <v>7757</v>
      </c>
      <c r="I286" s="6301" t="s">
        <v>3525</v>
      </c>
      <c r="J286" s="7563">
        <f>G286+G287+G288+G289</f>
        <v>120000000</v>
      </c>
      <c r="K286" s="7563">
        <f>F286-J286</f>
        <v>0</v>
      </c>
      <c r="L286" s="5725" t="s">
        <v>4927</v>
      </c>
    </row>
    <row r="287" spans="1:12" ht="30" customHeight="1" x14ac:dyDescent="0.2">
      <c r="A287" s="7656"/>
      <c r="B287" s="7665"/>
      <c r="C287" s="7747"/>
      <c r="D287" s="7586"/>
      <c r="E287" s="7676"/>
      <c r="F287" s="7586"/>
      <c r="G287" s="6301">
        <v>50000000</v>
      </c>
      <c r="H287" s="6301" t="s">
        <v>7757</v>
      </c>
      <c r="I287" s="6301" t="s">
        <v>2805</v>
      </c>
      <c r="J287" s="7586"/>
      <c r="K287" s="7586"/>
      <c r="L287" s="378" t="s">
        <v>7760</v>
      </c>
    </row>
    <row r="288" spans="1:12" ht="30" customHeight="1" x14ac:dyDescent="0.2">
      <c r="A288" s="7656"/>
      <c r="B288" s="7665"/>
      <c r="C288" s="7747"/>
      <c r="D288" s="7586"/>
      <c r="E288" s="7676"/>
      <c r="F288" s="7586"/>
      <c r="G288" s="6301">
        <v>3000000</v>
      </c>
      <c r="H288" s="6301" t="s">
        <v>7795</v>
      </c>
      <c r="I288" s="6301" t="s">
        <v>7796</v>
      </c>
      <c r="J288" s="7586"/>
      <c r="K288" s="7586"/>
      <c r="L288" s="6353" t="s">
        <v>4927</v>
      </c>
    </row>
    <row r="289" spans="1:12" ht="30" customHeight="1" x14ac:dyDescent="0.2">
      <c r="A289" s="7656"/>
      <c r="B289" s="7665"/>
      <c r="C289" s="7747"/>
      <c r="D289" s="7586"/>
      <c r="E289" s="7676"/>
      <c r="F289" s="7586"/>
      <c r="G289" s="6301">
        <v>17000000</v>
      </c>
      <c r="H289" s="6301" t="s">
        <v>7795</v>
      </c>
      <c r="I289" s="6301" t="s">
        <v>3525</v>
      </c>
      <c r="J289" s="7564"/>
      <c r="K289" s="7564"/>
      <c r="L289" s="6353" t="s">
        <v>4927</v>
      </c>
    </row>
    <row r="290" spans="1:12" ht="30" customHeight="1" x14ac:dyDescent="0.2">
      <c r="A290" s="7655"/>
      <c r="B290" s="7653"/>
      <c r="C290" s="7724"/>
      <c r="D290" s="7564"/>
      <c r="E290" s="7660"/>
      <c r="F290" s="7564"/>
      <c r="G290" s="5586"/>
      <c r="H290" s="5586"/>
      <c r="I290" s="5586" t="s">
        <v>7221</v>
      </c>
      <c r="J290" s="5586">
        <f>G290</f>
        <v>0</v>
      </c>
      <c r="K290" s="5594">
        <f>F286-J290</f>
        <v>120000000</v>
      </c>
      <c r="L290" s="345" t="s">
        <v>6687</v>
      </c>
    </row>
    <row r="291" spans="1:12" ht="30" customHeight="1" x14ac:dyDescent="0.2">
      <c r="A291" s="5597"/>
      <c r="B291" s="5660" t="s">
        <v>4853</v>
      </c>
      <c r="C291" s="5634"/>
      <c r="D291" s="5611">
        <v>100000000</v>
      </c>
      <c r="E291" s="5618"/>
      <c r="F291" s="5611"/>
      <c r="G291" s="233"/>
      <c r="H291" s="233"/>
      <c r="I291" s="233"/>
      <c r="J291" s="233"/>
      <c r="K291" s="5594"/>
      <c r="L291" s="5664"/>
    </row>
    <row r="292" spans="1:12" ht="30" customHeight="1" x14ac:dyDescent="0.2">
      <c r="A292" s="7654"/>
      <c r="B292" s="7652" t="s">
        <v>5492</v>
      </c>
      <c r="C292" s="7723" t="s">
        <v>1176</v>
      </c>
      <c r="D292" s="7563">
        <v>250000000</v>
      </c>
      <c r="E292" s="7659">
        <v>0.06</v>
      </c>
      <c r="F292" s="7563">
        <f>D292*E292</f>
        <v>15000000</v>
      </c>
      <c r="G292" s="5586">
        <v>8000000</v>
      </c>
      <c r="H292" s="5586" t="s">
        <v>7521</v>
      </c>
      <c r="I292" s="5586" t="s">
        <v>7525</v>
      </c>
      <c r="J292" s="7563">
        <f>G292+G293</f>
        <v>15100000</v>
      </c>
      <c r="K292" s="7563">
        <f>F292-J292</f>
        <v>-100000</v>
      </c>
      <c r="L292" s="5663"/>
    </row>
    <row r="293" spans="1:12" ht="30" customHeight="1" x14ac:dyDescent="0.2">
      <c r="A293" s="7655"/>
      <c r="B293" s="7653"/>
      <c r="C293" s="7724"/>
      <c r="D293" s="7564"/>
      <c r="E293" s="7660"/>
      <c r="F293" s="7564"/>
      <c r="G293" s="6047">
        <v>7100000</v>
      </c>
      <c r="H293" s="6047" t="s">
        <v>7550</v>
      </c>
      <c r="I293" s="6047" t="s">
        <v>4926</v>
      </c>
      <c r="J293" s="7564"/>
      <c r="K293" s="7564"/>
      <c r="L293" s="6066"/>
    </row>
    <row r="294" spans="1:12" ht="30" customHeight="1" x14ac:dyDescent="0.2">
      <c r="A294" s="7654">
        <v>127</v>
      </c>
      <c r="B294" s="7652" t="s">
        <v>253</v>
      </c>
      <c r="C294" s="7723" t="s">
        <v>889</v>
      </c>
      <c r="D294" s="7563">
        <v>800000000</v>
      </c>
      <c r="E294" s="7659">
        <v>0.05</v>
      </c>
      <c r="F294" s="7563">
        <f t="shared" si="23"/>
        <v>40000000</v>
      </c>
      <c r="G294" s="5586">
        <v>18000000</v>
      </c>
      <c r="H294" s="5586" t="s">
        <v>1975</v>
      </c>
      <c r="I294" s="5662" t="s">
        <v>7565</v>
      </c>
      <c r="J294" s="7563">
        <f>G294+G295</f>
        <v>40000000</v>
      </c>
      <c r="K294" s="7563">
        <f t="shared" si="27"/>
        <v>0</v>
      </c>
      <c r="L294" s="5674" t="s">
        <v>6198</v>
      </c>
    </row>
    <row r="295" spans="1:12" ht="30" customHeight="1" x14ac:dyDescent="0.2">
      <c r="A295" s="7655"/>
      <c r="B295" s="7653"/>
      <c r="C295" s="7724"/>
      <c r="D295" s="7564"/>
      <c r="E295" s="7660"/>
      <c r="F295" s="7564"/>
      <c r="G295" s="6190">
        <v>22000000</v>
      </c>
      <c r="H295" s="6190" t="s">
        <v>7691</v>
      </c>
      <c r="I295" s="6198" t="s">
        <v>2540</v>
      </c>
      <c r="J295" s="7564"/>
      <c r="K295" s="7564"/>
      <c r="L295" s="6194"/>
    </row>
    <row r="296" spans="1:12" ht="30" customHeight="1" x14ac:dyDescent="0.2">
      <c r="A296" s="5655">
        <v>128</v>
      </c>
      <c r="B296" s="5613" t="s">
        <v>254</v>
      </c>
      <c r="C296" s="5634"/>
      <c r="D296" s="5611"/>
      <c r="E296" s="5618"/>
      <c r="F296" s="5611">
        <f t="shared" si="23"/>
        <v>0</v>
      </c>
      <c r="G296" s="5594"/>
      <c r="H296" s="5594"/>
      <c r="I296" s="5714"/>
      <c r="J296" s="5594">
        <f t="shared" si="26"/>
        <v>0</v>
      </c>
      <c r="K296" s="5611">
        <f t="shared" si="27"/>
        <v>0</v>
      </c>
      <c r="L296" s="5613"/>
    </row>
    <row r="297" spans="1:12" ht="30" customHeight="1" x14ac:dyDescent="0.2">
      <c r="A297" s="7654"/>
      <c r="B297" s="7652" t="s">
        <v>5214</v>
      </c>
      <c r="C297" s="7723"/>
      <c r="D297" s="7563">
        <v>270000000</v>
      </c>
      <c r="E297" s="7659">
        <v>0.06</v>
      </c>
      <c r="F297" s="7563">
        <v>16000000</v>
      </c>
      <c r="G297" s="5592">
        <v>16000000</v>
      </c>
      <c r="H297" s="5592" t="s">
        <v>7310</v>
      </c>
      <c r="I297" s="5621" t="s">
        <v>7320</v>
      </c>
      <c r="J297" s="5592">
        <f>G297</f>
        <v>16000000</v>
      </c>
      <c r="K297" s="5592">
        <f>F297-J297</f>
        <v>0</v>
      </c>
      <c r="L297" s="5619" t="s">
        <v>7321</v>
      </c>
    </row>
    <row r="298" spans="1:12" ht="30" customHeight="1" x14ac:dyDescent="0.2">
      <c r="A298" s="7655"/>
      <c r="B298" s="7653"/>
      <c r="C298" s="7724"/>
      <c r="D298" s="7564"/>
      <c r="E298" s="7660"/>
      <c r="F298" s="7564"/>
      <c r="G298" s="6303">
        <v>16000000</v>
      </c>
      <c r="H298" s="6303" t="s">
        <v>7786</v>
      </c>
      <c r="I298" s="6309" t="s">
        <v>5314</v>
      </c>
      <c r="J298" s="6303">
        <f>G298</f>
        <v>16000000</v>
      </c>
      <c r="K298" s="6303">
        <f>F297-J298</f>
        <v>0</v>
      </c>
      <c r="L298" s="6317" t="s">
        <v>7501</v>
      </c>
    </row>
    <row r="299" spans="1:12" ht="30" customHeight="1" x14ac:dyDescent="0.2">
      <c r="A299" s="7885"/>
      <c r="B299" s="7652" t="s">
        <v>1171</v>
      </c>
      <c r="C299" s="7723" t="s">
        <v>1299</v>
      </c>
      <c r="D299" s="7563">
        <v>90000000</v>
      </c>
      <c r="E299" s="7659">
        <v>0.05</v>
      </c>
      <c r="F299" s="7563">
        <f>D299*E299</f>
        <v>4500000</v>
      </c>
      <c r="G299" s="5586">
        <v>5000000</v>
      </c>
      <c r="H299" s="5586" t="s">
        <v>7614</v>
      </c>
      <c r="I299" s="5586" t="s">
        <v>7622</v>
      </c>
      <c r="J299" s="5586">
        <f t="shared" si="26"/>
        <v>5000000</v>
      </c>
      <c r="K299" s="5586">
        <f t="shared" si="27"/>
        <v>-500000</v>
      </c>
      <c r="L299" s="6160" t="s">
        <v>7623</v>
      </c>
    </row>
    <row r="300" spans="1:12" ht="30" customHeight="1" x14ac:dyDescent="0.2">
      <c r="A300" s="7886"/>
      <c r="B300" s="7653"/>
      <c r="C300" s="7724"/>
      <c r="D300" s="7564"/>
      <c r="E300" s="7660"/>
      <c r="F300" s="7564"/>
      <c r="G300" s="6166">
        <v>1000000</v>
      </c>
      <c r="H300" s="6166" t="s">
        <v>7668</v>
      </c>
      <c r="I300" s="6166" t="s">
        <v>6757</v>
      </c>
      <c r="J300" s="6166">
        <f t="shared" si="26"/>
        <v>1000000</v>
      </c>
      <c r="K300" s="6166"/>
      <c r="L300" s="6178" t="s">
        <v>7670</v>
      </c>
    </row>
    <row r="301" spans="1:12" ht="30" customHeight="1" x14ac:dyDescent="0.2">
      <c r="A301" s="7654">
        <v>131</v>
      </c>
      <c r="B301" s="7652" t="s">
        <v>256</v>
      </c>
      <c r="C301" s="7723"/>
      <c r="D301" s="7563">
        <v>400000000</v>
      </c>
      <c r="E301" s="7659">
        <v>0.05</v>
      </c>
      <c r="F301" s="7563">
        <f>D301*E301</f>
        <v>20000000</v>
      </c>
      <c r="G301" s="5592">
        <v>15000000</v>
      </c>
      <c r="H301" s="5592" t="s">
        <v>7325</v>
      </c>
      <c r="I301" s="5592" t="s">
        <v>3436</v>
      </c>
      <c r="J301" s="7563">
        <f>G301+G302</f>
        <v>20000000</v>
      </c>
      <c r="K301" s="7563">
        <f t="shared" si="27"/>
        <v>0</v>
      </c>
      <c r="L301" s="5674"/>
    </row>
    <row r="302" spans="1:12" ht="30" customHeight="1" x14ac:dyDescent="0.2">
      <c r="A302" s="7655"/>
      <c r="B302" s="7653"/>
      <c r="C302" s="7724"/>
      <c r="D302" s="7564"/>
      <c r="E302" s="7660"/>
      <c r="F302" s="7564"/>
      <c r="G302" s="5920">
        <v>5000000</v>
      </c>
      <c r="H302" s="5920" t="s">
        <v>7427</v>
      </c>
      <c r="I302" s="5920" t="s">
        <v>3436</v>
      </c>
      <c r="J302" s="7564"/>
      <c r="K302" s="7564"/>
      <c r="L302" s="5932"/>
    </row>
    <row r="303" spans="1:12" ht="30" customHeight="1" x14ac:dyDescent="0.2">
      <c r="A303" s="7654"/>
      <c r="B303" s="7652" t="s">
        <v>1218</v>
      </c>
      <c r="C303" s="7723" t="s">
        <v>1652</v>
      </c>
      <c r="D303" s="7563">
        <v>490000000</v>
      </c>
      <c r="E303" s="7659">
        <v>0.06</v>
      </c>
      <c r="F303" s="7563">
        <f>D303*E303</f>
        <v>29400000</v>
      </c>
      <c r="G303" s="5586">
        <v>15000000</v>
      </c>
      <c r="H303" s="5586" t="s">
        <v>7424</v>
      </c>
      <c r="I303" s="5586" t="s">
        <v>4897</v>
      </c>
      <c r="J303" s="7563">
        <f>G303+G304</f>
        <v>29500000</v>
      </c>
      <c r="K303" s="7563">
        <f t="shared" ref="K303:K310" si="28">F303-J303</f>
        <v>-100000</v>
      </c>
      <c r="L303" s="5619"/>
    </row>
    <row r="304" spans="1:12" ht="30" customHeight="1" x14ac:dyDescent="0.2">
      <c r="A304" s="7655"/>
      <c r="B304" s="7653"/>
      <c r="C304" s="7724"/>
      <c r="D304" s="7564"/>
      <c r="E304" s="7660"/>
      <c r="F304" s="7564"/>
      <c r="G304" s="6078">
        <v>14500000</v>
      </c>
      <c r="H304" s="6078" t="s">
        <v>1975</v>
      </c>
      <c r="I304" s="6076" t="s">
        <v>4897</v>
      </c>
      <c r="J304" s="7564"/>
      <c r="K304" s="7564"/>
      <c r="L304" s="6085"/>
    </row>
    <row r="305" spans="1:12" ht="30" customHeight="1" x14ac:dyDescent="0.2">
      <c r="A305" s="5655">
        <v>133</v>
      </c>
      <c r="B305" s="5602" t="s">
        <v>175</v>
      </c>
      <c r="C305" s="5634" t="s">
        <v>1718</v>
      </c>
      <c r="D305" s="5594">
        <v>100000000</v>
      </c>
      <c r="E305" s="5606">
        <v>0.05</v>
      </c>
      <c r="F305" s="5594">
        <f t="shared" ref="F305:F411" si="29">D305*E305</f>
        <v>5000000</v>
      </c>
      <c r="G305" s="5594">
        <v>5000000</v>
      </c>
      <c r="H305" s="5594" t="s">
        <v>7521</v>
      </c>
      <c r="I305" s="5714" t="s">
        <v>7524</v>
      </c>
      <c r="J305" s="5594">
        <f t="shared" si="26"/>
        <v>5000000</v>
      </c>
      <c r="K305" s="5594">
        <f t="shared" si="28"/>
        <v>0</v>
      </c>
      <c r="L305" s="5619"/>
    </row>
    <row r="306" spans="1:12" ht="30" customHeight="1" x14ac:dyDescent="0.2">
      <c r="A306" s="5596">
        <v>134</v>
      </c>
      <c r="B306" s="5658" t="s">
        <v>166</v>
      </c>
      <c r="C306" s="5657" t="s">
        <v>1652</v>
      </c>
      <c r="D306" s="5586">
        <v>110000000</v>
      </c>
      <c r="E306" s="5652">
        <v>0.04</v>
      </c>
      <c r="F306" s="5586">
        <f t="shared" si="29"/>
        <v>4400000</v>
      </c>
      <c r="G306" s="5594">
        <v>4400000</v>
      </c>
      <c r="H306" s="5594" t="s">
        <v>7550</v>
      </c>
      <c r="I306" s="5714" t="s">
        <v>4099</v>
      </c>
      <c r="J306" s="5586">
        <f t="shared" si="26"/>
        <v>4400000</v>
      </c>
      <c r="K306" s="5592">
        <f t="shared" si="28"/>
        <v>0</v>
      </c>
      <c r="L306" s="5607"/>
    </row>
    <row r="307" spans="1:12" ht="30" customHeight="1" x14ac:dyDescent="0.2">
      <c r="A307" s="7654">
        <v>135</v>
      </c>
      <c r="B307" s="7652" t="s">
        <v>4363</v>
      </c>
      <c r="C307" s="5756" t="s">
        <v>1299</v>
      </c>
      <c r="D307" s="5942">
        <v>124000000</v>
      </c>
      <c r="E307" s="5944">
        <v>4.9000000000000002E-2</v>
      </c>
      <c r="F307" s="5942">
        <v>6000000</v>
      </c>
      <c r="G307" s="5941">
        <v>6000000</v>
      </c>
      <c r="H307" s="5941" t="s">
        <v>7718</v>
      </c>
      <c r="I307" s="5947" t="s">
        <v>1549</v>
      </c>
      <c r="J307" s="5941">
        <f t="shared" si="26"/>
        <v>6000000</v>
      </c>
      <c r="K307" s="5941">
        <f t="shared" si="28"/>
        <v>0</v>
      </c>
      <c r="L307" s="5674"/>
    </row>
    <row r="308" spans="1:12" ht="30" customHeight="1" x14ac:dyDescent="0.2">
      <c r="A308" s="7655"/>
      <c r="B308" s="7653"/>
      <c r="C308" s="5657" t="s">
        <v>392</v>
      </c>
      <c r="D308" s="5586">
        <v>250000000</v>
      </c>
      <c r="E308" s="5652">
        <v>0.05</v>
      </c>
      <c r="F308" s="5586">
        <f>D308*E308</f>
        <v>12500000</v>
      </c>
      <c r="G308" s="5741">
        <v>12500000</v>
      </c>
      <c r="H308" s="5741" t="s">
        <v>7424</v>
      </c>
      <c r="I308" s="5769" t="s">
        <v>1549</v>
      </c>
      <c r="J308" s="5741">
        <f t="shared" si="26"/>
        <v>12500000</v>
      </c>
      <c r="K308" s="5741">
        <f t="shared" si="28"/>
        <v>0</v>
      </c>
      <c r="L308" s="5674"/>
    </row>
    <row r="309" spans="1:12" ht="30" customHeight="1" x14ac:dyDescent="0.2">
      <c r="A309" s="5596">
        <v>136</v>
      </c>
      <c r="B309" s="5613" t="s">
        <v>4002</v>
      </c>
      <c r="C309" s="5657"/>
      <c r="D309" s="5595"/>
      <c r="E309" s="2519"/>
      <c r="F309" s="5595">
        <f t="shared" si="29"/>
        <v>0</v>
      </c>
      <c r="G309" s="5586"/>
      <c r="H309" s="5586"/>
      <c r="I309" s="5626" t="s">
        <v>3968</v>
      </c>
      <c r="J309" s="5586">
        <f>G309</f>
        <v>0</v>
      </c>
      <c r="K309" s="5595">
        <f t="shared" si="28"/>
        <v>0</v>
      </c>
      <c r="L309" s="5619"/>
    </row>
    <row r="310" spans="1:12" ht="30" customHeight="1" x14ac:dyDescent="0.2">
      <c r="A310" s="5596"/>
      <c r="B310" s="5600" t="s">
        <v>257</v>
      </c>
      <c r="C310" s="5635" t="s">
        <v>1652</v>
      </c>
      <c r="D310" s="5594">
        <v>100000000</v>
      </c>
      <c r="E310" s="5652">
        <v>0.05</v>
      </c>
      <c r="F310" s="5594">
        <f>D310*E310</f>
        <v>5000000</v>
      </c>
      <c r="G310" s="5593">
        <v>5000000</v>
      </c>
      <c r="H310" s="5593" t="s">
        <v>7550</v>
      </c>
      <c r="I310" s="1610" t="s">
        <v>4003</v>
      </c>
      <c r="J310" s="5593">
        <f>G310</f>
        <v>5000000</v>
      </c>
      <c r="K310" s="5593">
        <f t="shared" si="28"/>
        <v>0</v>
      </c>
      <c r="L310" s="5674"/>
    </row>
    <row r="311" spans="1:12" ht="30" customHeight="1" x14ac:dyDescent="0.2">
      <c r="A311" s="7654"/>
      <c r="B311" s="7652" t="s">
        <v>179</v>
      </c>
      <c r="C311" s="7723" t="s">
        <v>1176</v>
      </c>
      <c r="D311" s="5586">
        <v>80000000</v>
      </c>
      <c r="E311" s="5652">
        <v>0.05</v>
      </c>
      <c r="F311" s="5586">
        <f>D311*E311</f>
        <v>4000000</v>
      </c>
      <c r="G311" s="7563">
        <v>6100000</v>
      </c>
      <c r="H311" s="7563" t="s">
        <v>7550</v>
      </c>
      <c r="I311" s="7563" t="s">
        <v>1711</v>
      </c>
      <c r="J311" s="7563">
        <f>G311</f>
        <v>6100000</v>
      </c>
      <c r="K311" s="7563">
        <f>(F311+F312)-J311</f>
        <v>0</v>
      </c>
      <c r="L311" s="7713"/>
    </row>
    <row r="312" spans="1:12" ht="30" customHeight="1" x14ac:dyDescent="0.2">
      <c r="A312" s="7655"/>
      <c r="B312" s="7653"/>
      <c r="C312" s="7724"/>
      <c r="D312" s="5592">
        <v>30000000</v>
      </c>
      <c r="E312" s="5604">
        <v>7.0000000000000007E-2</v>
      </c>
      <c r="F312" s="5592">
        <f>D312*E312</f>
        <v>2100000</v>
      </c>
      <c r="G312" s="7564"/>
      <c r="H312" s="7564"/>
      <c r="I312" s="7564"/>
      <c r="J312" s="7564"/>
      <c r="K312" s="7564"/>
      <c r="L312" s="7714"/>
    </row>
    <row r="313" spans="1:12" ht="30" customHeight="1" x14ac:dyDescent="0.2">
      <c r="A313" s="7654">
        <v>138</v>
      </c>
      <c r="B313" s="7652" t="s">
        <v>259</v>
      </c>
      <c r="C313" s="7723" t="s">
        <v>1172</v>
      </c>
      <c r="D313" s="7563">
        <v>1500000000</v>
      </c>
      <c r="E313" s="7659">
        <v>7.0000000000000007E-2</v>
      </c>
      <c r="F313" s="7563">
        <f>D313*E313</f>
        <v>105000000.00000001</v>
      </c>
      <c r="G313" s="5586">
        <v>40000000</v>
      </c>
      <c r="H313" s="5586" t="s">
        <v>7531</v>
      </c>
      <c r="I313" s="5586" t="s">
        <v>7535</v>
      </c>
      <c r="J313" s="7563">
        <f>G313+G314+G315</f>
        <v>105000000</v>
      </c>
      <c r="K313" s="7563">
        <f>F313-J313</f>
        <v>0</v>
      </c>
      <c r="L313" s="180"/>
    </row>
    <row r="314" spans="1:12" ht="30" customHeight="1" x14ac:dyDescent="0.2">
      <c r="A314" s="7656"/>
      <c r="B314" s="7665"/>
      <c r="C314" s="7747"/>
      <c r="D314" s="7586"/>
      <c r="E314" s="7676"/>
      <c r="F314" s="7586"/>
      <c r="G314" s="5586">
        <v>25000000</v>
      </c>
      <c r="H314" s="5586" t="s">
        <v>3879</v>
      </c>
      <c r="I314" s="5586" t="s">
        <v>7535</v>
      </c>
      <c r="J314" s="7586"/>
      <c r="K314" s="7586"/>
      <c r="L314" s="180"/>
    </row>
    <row r="315" spans="1:12" ht="30" customHeight="1" x14ac:dyDescent="0.2">
      <c r="A315" s="7655"/>
      <c r="B315" s="7653"/>
      <c r="C315" s="7724"/>
      <c r="D315" s="7564"/>
      <c r="E315" s="7660"/>
      <c r="F315" s="7564"/>
      <c r="G315" s="6106">
        <v>40000000</v>
      </c>
      <c r="H315" s="6106" t="s">
        <v>3879</v>
      </c>
      <c r="I315" s="6104" t="s">
        <v>7535</v>
      </c>
      <c r="J315" s="7564"/>
      <c r="K315" s="7564"/>
      <c r="L315" s="180"/>
    </row>
    <row r="316" spans="1:12" ht="30" customHeight="1" x14ac:dyDescent="0.2">
      <c r="A316" s="5655">
        <v>139</v>
      </c>
      <c r="B316" s="19" t="s">
        <v>160</v>
      </c>
      <c r="C316" s="5634" t="s">
        <v>1718</v>
      </c>
      <c r="D316" s="5586">
        <v>110000000</v>
      </c>
      <c r="E316" s="5652">
        <v>0.05</v>
      </c>
      <c r="F316" s="5586">
        <f t="shared" si="29"/>
        <v>5500000</v>
      </c>
      <c r="G316" s="5594">
        <v>5500000</v>
      </c>
      <c r="H316" s="5594" t="s">
        <v>7550</v>
      </c>
      <c r="I316" s="5735" t="s">
        <v>2757</v>
      </c>
      <c r="J316" s="5586">
        <f>G316</f>
        <v>5500000</v>
      </c>
      <c r="K316" s="5586">
        <f>F316-J316</f>
        <v>0</v>
      </c>
      <c r="L316" s="19"/>
    </row>
    <row r="317" spans="1:12" ht="30" customHeight="1" x14ac:dyDescent="0.2">
      <c r="A317" s="5655"/>
      <c r="B317" s="19" t="s">
        <v>2270</v>
      </c>
      <c r="C317" s="5634" t="s">
        <v>262</v>
      </c>
      <c r="D317" s="5586">
        <v>50000000</v>
      </c>
      <c r="E317" s="5652">
        <v>0.05</v>
      </c>
      <c r="F317" s="5586">
        <f>D317*E317</f>
        <v>2500000</v>
      </c>
      <c r="G317" s="5594">
        <v>2500000</v>
      </c>
      <c r="H317" s="5594" t="s">
        <v>7550</v>
      </c>
      <c r="I317" s="5735" t="s">
        <v>2757</v>
      </c>
      <c r="J317" s="5586">
        <f>G317</f>
        <v>2500000</v>
      </c>
      <c r="K317" s="5586">
        <f>F317-J317</f>
        <v>0</v>
      </c>
      <c r="L317" s="19"/>
    </row>
    <row r="318" spans="1:12" ht="30" customHeight="1" x14ac:dyDescent="0.2">
      <c r="A318" s="5655">
        <v>140</v>
      </c>
      <c r="B318" s="19" t="s">
        <v>533</v>
      </c>
      <c r="C318" s="5657" t="s">
        <v>372</v>
      </c>
      <c r="D318" s="5586">
        <v>150000000</v>
      </c>
      <c r="E318" s="5652">
        <v>0.04</v>
      </c>
      <c r="F318" s="5586">
        <f t="shared" si="29"/>
        <v>6000000</v>
      </c>
      <c r="G318" s="5594">
        <v>6000000</v>
      </c>
      <c r="H318" s="5594" t="s">
        <v>7550</v>
      </c>
      <c r="I318" s="18" t="s">
        <v>2682</v>
      </c>
      <c r="J318" s="5594">
        <f>G318</f>
        <v>6000000</v>
      </c>
      <c r="K318" s="5594">
        <f>F318-J318</f>
        <v>0</v>
      </c>
      <c r="L318" s="5690"/>
    </row>
    <row r="319" spans="1:12" ht="30" customHeight="1" x14ac:dyDescent="0.2">
      <c r="A319" s="5655">
        <v>141</v>
      </c>
      <c r="B319" s="19" t="s">
        <v>7</v>
      </c>
      <c r="C319" s="5657"/>
      <c r="D319" s="5586">
        <v>30000000</v>
      </c>
      <c r="E319" s="5652">
        <v>0.05</v>
      </c>
      <c r="F319" s="5586">
        <f t="shared" si="29"/>
        <v>1500000</v>
      </c>
      <c r="G319" s="5594"/>
      <c r="H319" s="5594"/>
      <c r="I319" s="5714" t="s">
        <v>535</v>
      </c>
      <c r="J319" s="5594">
        <f>G319</f>
        <v>0</v>
      </c>
      <c r="K319" s="5594">
        <f>F319-J319</f>
        <v>1500000</v>
      </c>
      <c r="L319" s="5619"/>
    </row>
    <row r="320" spans="1:12" ht="30" customHeight="1" x14ac:dyDescent="0.2">
      <c r="A320" s="7654">
        <v>142</v>
      </c>
      <c r="B320" s="7652" t="s">
        <v>8</v>
      </c>
      <c r="C320" s="7723"/>
      <c r="D320" s="7563">
        <v>2000000000</v>
      </c>
      <c r="E320" s="7659">
        <v>0.08</v>
      </c>
      <c r="F320" s="7563">
        <f>D320*E320</f>
        <v>160000000</v>
      </c>
      <c r="G320" s="5586">
        <v>15000000</v>
      </c>
      <c r="H320" s="5586" t="s">
        <v>7325</v>
      </c>
      <c r="I320" s="5586" t="s">
        <v>1937</v>
      </c>
      <c r="J320" s="7482">
        <f>G320+G321</f>
        <v>25000000</v>
      </c>
      <c r="K320" s="7482">
        <f>F320-J320</f>
        <v>135000000</v>
      </c>
      <c r="L320" s="637"/>
    </row>
    <row r="321" spans="1:12" ht="30" customHeight="1" x14ac:dyDescent="0.2">
      <c r="A321" s="7656"/>
      <c r="B321" s="7665"/>
      <c r="C321" s="7747"/>
      <c r="D321" s="7586"/>
      <c r="E321" s="7676"/>
      <c r="F321" s="7586"/>
      <c r="G321" s="5586">
        <v>10000000</v>
      </c>
      <c r="H321" s="5586" t="s">
        <v>2830</v>
      </c>
      <c r="I321" s="5586" t="s">
        <v>1937</v>
      </c>
      <c r="J321" s="7482"/>
      <c r="K321" s="7482"/>
      <c r="L321" s="180"/>
    </row>
    <row r="322" spans="1:12" ht="30" customHeight="1" x14ac:dyDescent="0.2">
      <c r="A322" s="7656"/>
      <c r="B322" s="7665"/>
      <c r="C322" s="7747"/>
      <c r="D322" s="7586"/>
      <c r="E322" s="7676"/>
      <c r="F322" s="7586"/>
      <c r="G322" s="5676"/>
      <c r="H322" s="5676"/>
      <c r="I322" s="4841"/>
      <c r="J322" s="7563"/>
      <c r="K322" s="7563"/>
      <c r="L322" s="180"/>
    </row>
    <row r="323" spans="1:12" ht="30" customHeight="1" x14ac:dyDescent="0.2">
      <c r="A323" s="7656"/>
      <c r="B323" s="7665"/>
      <c r="C323" s="7747"/>
      <c r="D323" s="7586"/>
      <c r="E323" s="7676"/>
      <c r="F323" s="7586"/>
      <c r="G323" s="5676"/>
      <c r="H323" s="5676"/>
      <c r="I323" s="4858"/>
      <c r="J323" s="7586"/>
      <c r="K323" s="7586"/>
      <c r="L323" s="180"/>
    </row>
    <row r="324" spans="1:12" ht="30" customHeight="1" x14ac:dyDescent="0.2">
      <c r="A324" s="7656"/>
      <c r="B324" s="7665"/>
      <c r="C324" s="7747"/>
      <c r="D324" s="7586"/>
      <c r="E324" s="7676"/>
      <c r="F324" s="7586"/>
      <c r="G324" s="5676"/>
      <c r="H324" s="5676"/>
      <c r="I324" s="1455"/>
      <c r="J324" s="7586"/>
      <c r="K324" s="7586"/>
      <c r="L324" s="180"/>
    </row>
    <row r="325" spans="1:12" ht="30" customHeight="1" x14ac:dyDescent="0.2">
      <c r="A325" s="7656"/>
      <c r="B325" s="7665"/>
      <c r="C325" s="7747"/>
      <c r="D325" s="7586"/>
      <c r="E325" s="7676"/>
      <c r="F325" s="7586"/>
      <c r="G325" s="5676"/>
      <c r="H325" s="5676"/>
      <c r="I325" s="1455"/>
      <c r="J325" s="7586"/>
      <c r="K325" s="7586"/>
      <c r="L325" s="5674"/>
    </row>
    <row r="326" spans="1:12" ht="30" customHeight="1" x14ac:dyDescent="0.2">
      <c r="A326" s="7655"/>
      <c r="B326" s="7653"/>
      <c r="C326" s="7724"/>
      <c r="D326" s="7564"/>
      <c r="E326" s="7660"/>
      <c r="F326" s="7564"/>
      <c r="G326" s="5676"/>
      <c r="H326" s="5676"/>
      <c r="I326" s="1455"/>
      <c r="J326" s="7564"/>
      <c r="K326" s="7564"/>
      <c r="L326" s="5674"/>
    </row>
    <row r="327" spans="1:12" ht="30" customHeight="1" x14ac:dyDescent="0.2">
      <c r="A327" s="5655">
        <v>143</v>
      </c>
      <c r="B327" s="5975" t="s">
        <v>4146</v>
      </c>
      <c r="C327" s="5988"/>
      <c r="D327" s="5956">
        <v>50000000</v>
      </c>
      <c r="E327" s="5987">
        <v>0.04</v>
      </c>
      <c r="F327" s="5956">
        <f t="shared" si="29"/>
        <v>2000000</v>
      </c>
      <c r="G327" s="5956">
        <v>2000000</v>
      </c>
      <c r="H327" s="5956" t="s">
        <v>7460</v>
      </c>
      <c r="I327" s="6003" t="s">
        <v>6231</v>
      </c>
      <c r="J327" s="5956">
        <f>G327</f>
        <v>2000000</v>
      </c>
      <c r="K327" s="5956">
        <f>F327-J327</f>
        <v>0</v>
      </c>
      <c r="L327" s="5996" t="s">
        <v>4925</v>
      </c>
    </row>
    <row r="328" spans="1:12" ht="30" customHeight="1" x14ac:dyDescent="0.2">
      <c r="A328" s="7654"/>
      <c r="B328" s="7652" t="s">
        <v>7462</v>
      </c>
      <c r="C328" s="7723"/>
      <c r="D328" s="7494" t="s">
        <v>7592</v>
      </c>
      <c r="E328" s="7495"/>
      <c r="F328" s="7768"/>
      <c r="G328" s="5956">
        <v>50000000</v>
      </c>
      <c r="H328" s="5956" t="s">
        <v>7424</v>
      </c>
      <c r="I328" s="6003" t="s">
        <v>7450</v>
      </c>
      <c r="J328" s="5956">
        <f>G328</f>
        <v>50000000</v>
      </c>
      <c r="K328" s="5959"/>
      <c r="L328" s="5996"/>
    </row>
    <row r="329" spans="1:12" ht="30" customHeight="1" x14ac:dyDescent="0.2">
      <c r="A329" s="7655"/>
      <c r="B329" s="7653"/>
      <c r="C329" s="7724"/>
      <c r="D329" s="7769"/>
      <c r="E329" s="7805"/>
      <c r="F329" s="7770"/>
      <c r="G329" s="6078">
        <v>30000000</v>
      </c>
      <c r="H329" s="6078" t="s">
        <v>1975</v>
      </c>
      <c r="I329" s="52" t="s">
        <v>4815</v>
      </c>
      <c r="J329" s="6078">
        <f>G329</f>
        <v>30000000</v>
      </c>
      <c r="K329" s="6078"/>
      <c r="L329" s="6096"/>
    </row>
    <row r="330" spans="1:12" ht="30" customHeight="1" x14ac:dyDescent="0.2">
      <c r="A330" s="5655">
        <v>144</v>
      </c>
      <c r="B330" s="5613" t="s">
        <v>514</v>
      </c>
      <c r="C330" s="5634"/>
      <c r="D330" s="5594">
        <v>5000000</v>
      </c>
      <c r="E330" s="5652">
        <v>0.05</v>
      </c>
      <c r="F330" s="5594">
        <f t="shared" si="29"/>
        <v>250000</v>
      </c>
      <c r="G330" s="5594">
        <v>250000</v>
      </c>
      <c r="H330" s="5594" t="s">
        <v>4168</v>
      </c>
      <c r="I330" s="5714" t="s">
        <v>516</v>
      </c>
      <c r="J330" s="5594">
        <f>G330</f>
        <v>250000</v>
      </c>
      <c r="K330" s="5594">
        <f t="shared" ref="K330:K344" si="30">F330-J330</f>
        <v>0</v>
      </c>
      <c r="L330" s="5690" t="s">
        <v>7501</v>
      </c>
    </row>
    <row r="331" spans="1:12" ht="30" customHeight="1" x14ac:dyDescent="0.2">
      <c r="A331" s="5655">
        <v>145</v>
      </c>
      <c r="B331" s="5613" t="s">
        <v>10</v>
      </c>
      <c r="C331" s="5634" t="s">
        <v>1172</v>
      </c>
      <c r="D331" s="5594">
        <v>100000000</v>
      </c>
      <c r="E331" s="5652">
        <v>0.05</v>
      </c>
      <c r="F331" s="5594">
        <f t="shared" si="29"/>
        <v>5000000</v>
      </c>
      <c r="G331" s="5594">
        <v>5000000</v>
      </c>
      <c r="H331" s="5594" t="s">
        <v>7511</v>
      </c>
      <c r="I331" s="18" t="s">
        <v>3525</v>
      </c>
      <c r="J331" s="5594">
        <f>G331</f>
        <v>5000000</v>
      </c>
      <c r="K331" s="5594">
        <f t="shared" si="30"/>
        <v>0</v>
      </c>
      <c r="L331" s="5613"/>
    </row>
    <row r="332" spans="1:12" ht="30" customHeight="1" x14ac:dyDescent="0.2">
      <c r="A332" s="5655">
        <v>146</v>
      </c>
      <c r="B332" s="5613" t="s">
        <v>11</v>
      </c>
      <c r="C332" s="5634"/>
      <c r="D332" s="5594">
        <v>50000000</v>
      </c>
      <c r="E332" s="5652">
        <v>4.4999999999999998E-2</v>
      </c>
      <c r="F332" s="5594">
        <f t="shared" si="29"/>
        <v>2250000</v>
      </c>
      <c r="G332" s="5594"/>
      <c r="H332" s="5594"/>
      <c r="I332" s="5714"/>
      <c r="J332" s="5594"/>
      <c r="K332" s="5594">
        <f t="shared" si="30"/>
        <v>2250000</v>
      </c>
      <c r="L332" s="5613"/>
    </row>
    <row r="333" spans="1:12" ht="30" customHeight="1" x14ac:dyDescent="0.2">
      <c r="A333" s="7654">
        <v>147</v>
      </c>
      <c r="B333" s="7652" t="s">
        <v>12</v>
      </c>
      <c r="C333" s="7723" t="s">
        <v>1295</v>
      </c>
      <c r="D333" s="5594">
        <v>60000000</v>
      </c>
      <c r="E333" s="5652">
        <v>0.05</v>
      </c>
      <c r="F333" s="5594">
        <f t="shared" si="29"/>
        <v>3000000</v>
      </c>
      <c r="G333" s="7563">
        <v>6500000</v>
      </c>
      <c r="H333" s="7563" t="s">
        <v>7298</v>
      </c>
      <c r="I333" s="8115" t="s">
        <v>4843</v>
      </c>
      <c r="J333" s="7563">
        <f>G333</f>
        <v>6500000</v>
      </c>
      <c r="K333" s="7563">
        <f>(F333+F334)-G333</f>
        <v>0</v>
      </c>
      <c r="L333" s="5689"/>
    </row>
    <row r="334" spans="1:12" ht="30" customHeight="1" x14ac:dyDescent="0.2">
      <c r="A334" s="7655"/>
      <c r="B334" s="7653"/>
      <c r="C334" s="7724"/>
      <c r="D334" s="5594">
        <v>70000000</v>
      </c>
      <c r="E334" s="5652">
        <v>0.05</v>
      </c>
      <c r="F334" s="5594">
        <f t="shared" si="29"/>
        <v>3500000</v>
      </c>
      <c r="G334" s="7564"/>
      <c r="H334" s="7564"/>
      <c r="I334" s="8116"/>
      <c r="J334" s="7564"/>
      <c r="K334" s="7564"/>
      <c r="L334" s="5725"/>
    </row>
    <row r="335" spans="1:12" ht="30" customHeight="1" x14ac:dyDescent="0.2">
      <c r="A335" s="5596">
        <v>148</v>
      </c>
      <c r="B335" s="5658" t="s">
        <v>13</v>
      </c>
      <c r="C335" s="5657" t="s">
        <v>371</v>
      </c>
      <c r="D335" s="5586">
        <v>50000000</v>
      </c>
      <c r="E335" s="5652">
        <v>0.05</v>
      </c>
      <c r="F335" s="5586">
        <f t="shared" si="29"/>
        <v>2500000</v>
      </c>
      <c r="G335" s="5586">
        <v>2500000</v>
      </c>
      <c r="H335" s="5586" t="s">
        <v>3879</v>
      </c>
      <c r="I335" s="5662" t="s">
        <v>1401</v>
      </c>
      <c r="J335" s="5586">
        <f t="shared" ref="J335:J342" si="31">G335</f>
        <v>2500000</v>
      </c>
      <c r="K335" s="5586">
        <f t="shared" si="30"/>
        <v>0</v>
      </c>
      <c r="L335" s="5725"/>
    </row>
    <row r="336" spans="1:12" ht="30" customHeight="1" x14ac:dyDescent="0.2">
      <c r="A336" s="7654">
        <v>149</v>
      </c>
      <c r="B336" s="7652" t="s">
        <v>14</v>
      </c>
      <c r="C336" s="7723" t="s">
        <v>1291</v>
      </c>
      <c r="D336" s="5586">
        <v>80000000</v>
      </c>
      <c r="E336" s="5652">
        <v>0.05</v>
      </c>
      <c r="F336" s="5586">
        <f t="shared" si="29"/>
        <v>4000000</v>
      </c>
      <c r="G336" s="5586"/>
      <c r="H336" s="5586"/>
      <c r="I336" s="5735" t="s">
        <v>2580</v>
      </c>
      <c r="J336" s="5586">
        <f t="shared" si="31"/>
        <v>0</v>
      </c>
      <c r="K336" s="5586">
        <f t="shared" si="30"/>
        <v>4000000</v>
      </c>
      <c r="L336" s="5725" t="s">
        <v>7157</v>
      </c>
    </row>
    <row r="337" spans="1:16" ht="30" customHeight="1" x14ac:dyDescent="0.2">
      <c r="A337" s="7655"/>
      <c r="B337" s="7653"/>
      <c r="C337" s="7724"/>
      <c r="D337" s="5630">
        <v>30000000</v>
      </c>
      <c r="E337" s="5719">
        <v>0.05</v>
      </c>
      <c r="F337" s="5630">
        <f t="shared" si="29"/>
        <v>1500000</v>
      </c>
      <c r="G337" s="7732" t="s">
        <v>7155</v>
      </c>
      <c r="H337" s="7733"/>
      <c r="I337" s="7733"/>
      <c r="J337" s="7734"/>
      <c r="K337" s="5594"/>
      <c r="L337" s="5663" t="s">
        <v>7156</v>
      </c>
    </row>
    <row r="338" spans="1:16" ht="30" customHeight="1" x14ac:dyDescent="0.2">
      <c r="A338" s="5655">
        <v>150</v>
      </c>
      <c r="B338" s="5613" t="s">
        <v>15</v>
      </c>
      <c r="C338" s="5634" t="s">
        <v>1294</v>
      </c>
      <c r="D338" s="5594">
        <v>160000000</v>
      </c>
      <c r="E338" s="5652">
        <v>0.04</v>
      </c>
      <c r="F338" s="5594">
        <f t="shared" si="29"/>
        <v>6400000</v>
      </c>
      <c r="G338" s="5594">
        <v>6400000</v>
      </c>
      <c r="H338" s="5594" t="s">
        <v>7718</v>
      </c>
      <c r="I338" s="5714" t="s">
        <v>2986</v>
      </c>
      <c r="J338" s="5594">
        <f t="shared" si="31"/>
        <v>6400000</v>
      </c>
      <c r="K338" s="5594">
        <f t="shared" si="30"/>
        <v>0</v>
      </c>
      <c r="L338" s="5619"/>
    </row>
    <row r="339" spans="1:16" ht="30" customHeight="1" x14ac:dyDescent="0.2">
      <c r="A339" s="7654">
        <v>151</v>
      </c>
      <c r="B339" s="7652" t="s">
        <v>16</v>
      </c>
      <c r="C339" s="7723" t="s">
        <v>3390</v>
      </c>
      <c r="D339" s="7563">
        <v>200000000</v>
      </c>
      <c r="E339" s="7659">
        <v>0.05</v>
      </c>
      <c r="F339" s="7563">
        <f t="shared" si="29"/>
        <v>10000000</v>
      </c>
      <c r="G339" s="5741">
        <v>2000000</v>
      </c>
      <c r="H339" s="5741" t="s">
        <v>2830</v>
      </c>
      <c r="I339" s="18" t="s">
        <v>7645</v>
      </c>
      <c r="J339" s="7563">
        <f>G339+G340</f>
        <v>10000000</v>
      </c>
      <c r="K339" s="7563">
        <f>F339-J339</f>
        <v>0</v>
      </c>
      <c r="L339" s="5725"/>
    </row>
    <row r="340" spans="1:16" ht="30" customHeight="1" x14ac:dyDescent="0.2">
      <c r="A340" s="7655"/>
      <c r="B340" s="7653"/>
      <c r="C340" s="7724"/>
      <c r="D340" s="7564"/>
      <c r="E340" s="7660"/>
      <c r="F340" s="7564"/>
      <c r="G340" s="6226">
        <v>8000000</v>
      </c>
      <c r="H340" s="6226" t="s">
        <v>7718</v>
      </c>
      <c r="I340" s="96" t="s">
        <v>2149</v>
      </c>
      <c r="J340" s="7564"/>
      <c r="K340" s="7564"/>
      <c r="L340" s="6241"/>
    </row>
    <row r="341" spans="1:16" ht="30" customHeight="1" x14ac:dyDescent="0.2">
      <c r="A341" s="5655">
        <v>153</v>
      </c>
      <c r="B341" s="5613" t="s">
        <v>17</v>
      </c>
      <c r="C341" s="5634" t="s">
        <v>1299</v>
      </c>
      <c r="D341" s="5594">
        <v>30000000</v>
      </c>
      <c r="E341" s="5652">
        <v>0.05</v>
      </c>
      <c r="F341" s="5594">
        <f t="shared" si="29"/>
        <v>1500000</v>
      </c>
      <c r="G341" s="5594">
        <v>1500000</v>
      </c>
      <c r="H341" s="5594" t="s">
        <v>7709</v>
      </c>
      <c r="I341" s="5714" t="s">
        <v>1143</v>
      </c>
      <c r="J341" s="5594">
        <f t="shared" si="31"/>
        <v>1500000</v>
      </c>
      <c r="K341" s="5594">
        <f t="shared" si="30"/>
        <v>0</v>
      </c>
      <c r="L341" s="5613"/>
    </row>
    <row r="342" spans="1:16" ht="30" customHeight="1" x14ac:dyDescent="0.2">
      <c r="A342" s="7654">
        <v>154</v>
      </c>
      <c r="B342" s="7652" t="s">
        <v>18</v>
      </c>
      <c r="C342" s="7723" t="s">
        <v>1796</v>
      </c>
      <c r="D342" s="7563">
        <v>15000000</v>
      </c>
      <c r="E342" s="7659">
        <v>7.0000000000000007E-2</v>
      </c>
      <c r="F342" s="7563">
        <f t="shared" si="29"/>
        <v>1050000</v>
      </c>
      <c r="G342" s="5594">
        <v>1050000</v>
      </c>
      <c r="H342" s="5594" t="s">
        <v>7310</v>
      </c>
      <c r="I342" s="5714" t="s">
        <v>1278</v>
      </c>
      <c r="J342" s="5594">
        <f t="shared" si="31"/>
        <v>1050000</v>
      </c>
      <c r="K342" s="5594">
        <f t="shared" si="30"/>
        <v>0</v>
      </c>
      <c r="L342" s="6264" t="s">
        <v>6807</v>
      </c>
    </row>
    <row r="343" spans="1:16" ht="30" customHeight="1" x14ac:dyDescent="0.2">
      <c r="A343" s="7655"/>
      <c r="B343" s="7653"/>
      <c r="C343" s="7724"/>
      <c r="D343" s="7564"/>
      <c r="E343" s="7660"/>
      <c r="F343" s="7564"/>
      <c r="G343" s="6262">
        <v>1050000</v>
      </c>
      <c r="H343" s="6262" t="s">
        <v>7727</v>
      </c>
      <c r="I343" s="6266" t="s">
        <v>1278</v>
      </c>
      <c r="J343" s="6262">
        <f>G343</f>
        <v>1050000</v>
      </c>
      <c r="K343" s="6262">
        <f>F342-J343</f>
        <v>0</v>
      </c>
      <c r="L343" s="6264" t="s">
        <v>7501</v>
      </c>
    </row>
    <row r="344" spans="1:16" ht="30" customHeight="1" x14ac:dyDescent="0.2">
      <c r="A344" s="5655">
        <v>155</v>
      </c>
      <c r="B344" s="5613" t="s">
        <v>19</v>
      </c>
      <c r="C344" s="5634"/>
      <c r="D344" s="5611"/>
      <c r="E344" s="2519"/>
      <c r="F344" s="5611">
        <f t="shared" si="29"/>
        <v>0</v>
      </c>
      <c r="G344" s="5594"/>
      <c r="H344" s="5594"/>
      <c r="I344" s="5714"/>
      <c r="J344" s="5594"/>
      <c r="K344" s="5611">
        <f t="shared" si="30"/>
        <v>0</v>
      </c>
      <c r="L344" s="5613"/>
    </row>
    <row r="345" spans="1:16" ht="30" customHeight="1" x14ac:dyDescent="0.2">
      <c r="A345" s="5596">
        <v>156</v>
      </c>
      <c r="B345" s="5658" t="s">
        <v>20</v>
      </c>
      <c r="C345" s="5634" t="s">
        <v>1287</v>
      </c>
      <c r="D345" s="5586">
        <v>50000000</v>
      </c>
      <c r="E345" s="5652">
        <v>0.04</v>
      </c>
      <c r="F345" s="5586">
        <f t="shared" si="29"/>
        <v>2000000</v>
      </c>
      <c r="G345" s="5594">
        <v>2000000</v>
      </c>
      <c r="H345" s="5594" t="s">
        <v>2830</v>
      </c>
      <c r="I345" s="18" t="s">
        <v>5120</v>
      </c>
      <c r="J345" s="5586">
        <f>G345</f>
        <v>2000000</v>
      </c>
      <c r="K345" s="5586">
        <f>F345-J345</f>
        <v>0</v>
      </c>
      <c r="L345" s="5619"/>
      <c r="M345" s="366"/>
      <c r="N345" s="366"/>
      <c r="O345" s="366"/>
      <c r="P345" s="366"/>
    </row>
    <row r="346" spans="1:16" ht="30" customHeight="1" x14ac:dyDescent="0.2">
      <c r="A346" s="7703">
        <v>157</v>
      </c>
      <c r="B346" s="7652" t="s">
        <v>21</v>
      </c>
      <c r="C346" s="7723" t="s">
        <v>1294</v>
      </c>
      <c r="D346" s="5594">
        <v>20000000</v>
      </c>
      <c r="E346" s="5606">
        <v>0.05</v>
      </c>
      <c r="F346" s="5594">
        <f t="shared" si="29"/>
        <v>1000000</v>
      </c>
      <c r="G346" s="7563">
        <v>3000000</v>
      </c>
      <c r="H346" s="7563" t="s">
        <v>7668</v>
      </c>
      <c r="I346" s="7563" t="s">
        <v>4523</v>
      </c>
      <c r="J346" s="7563">
        <f>G346</f>
        <v>3000000</v>
      </c>
      <c r="K346" s="7563">
        <f>(F346+F347+F348)-J346</f>
        <v>0</v>
      </c>
      <c r="L346" s="5726"/>
      <c r="M346" s="366"/>
      <c r="N346" s="366"/>
      <c r="O346" s="366"/>
      <c r="P346" s="366"/>
    </row>
    <row r="347" spans="1:16" ht="30" customHeight="1" x14ac:dyDescent="0.2">
      <c r="A347" s="7704"/>
      <c r="B347" s="7665"/>
      <c r="C347" s="7747"/>
      <c r="D347" s="5594">
        <v>30000000</v>
      </c>
      <c r="E347" s="5606">
        <v>0.05</v>
      </c>
      <c r="F347" s="5594">
        <f t="shared" si="29"/>
        <v>1500000</v>
      </c>
      <c r="G347" s="7586"/>
      <c r="H347" s="7586"/>
      <c r="I347" s="7586"/>
      <c r="J347" s="7586"/>
      <c r="K347" s="7586"/>
      <c r="L347" s="5726"/>
      <c r="M347" s="366"/>
      <c r="N347" s="366"/>
      <c r="O347" s="366"/>
      <c r="P347" s="366"/>
    </row>
    <row r="348" spans="1:16" ht="30" customHeight="1" x14ac:dyDescent="0.2">
      <c r="A348" s="7704"/>
      <c r="B348" s="7665"/>
      <c r="C348" s="7747"/>
      <c r="D348" s="5741">
        <v>10000000</v>
      </c>
      <c r="E348" s="5760">
        <v>0.05</v>
      </c>
      <c r="F348" s="5741">
        <f>D348*E348</f>
        <v>500000</v>
      </c>
      <c r="G348" s="7564"/>
      <c r="H348" s="7564"/>
      <c r="I348" s="7564"/>
      <c r="J348" s="7564"/>
      <c r="K348" s="7564"/>
      <c r="L348" s="5726"/>
      <c r="M348" s="366"/>
      <c r="N348" s="366"/>
      <c r="O348" s="366"/>
      <c r="P348" s="366"/>
    </row>
    <row r="349" spans="1:16" ht="30" customHeight="1" x14ac:dyDescent="0.2">
      <c r="A349" s="7654"/>
      <c r="B349" s="7652" t="s">
        <v>822</v>
      </c>
      <c r="C349" s="7723" t="s">
        <v>1306</v>
      </c>
      <c r="D349" s="5594">
        <v>160000000</v>
      </c>
      <c r="E349" s="5749">
        <v>0.05</v>
      </c>
      <c r="F349" s="5594">
        <f>D349*E349</f>
        <v>8000000</v>
      </c>
      <c r="G349" s="6364">
        <v>10700000</v>
      </c>
      <c r="H349" s="6364" t="s">
        <v>7298</v>
      </c>
      <c r="I349" s="6364" t="s">
        <v>3129</v>
      </c>
      <c r="J349" s="6364">
        <f>G349</f>
        <v>10700000</v>
      </c>
      <c r="K349" s="6364">
        <f>(F349+F350)-J349</f>
        <v>0</v>
      </c>
      <c r="L349" s="6379" t="s">
        <v>6807</v>
      </c>
      <c r="M349" s="233"/>
      <c r="N349" s="233"/>
      <c r="O349" s="233"/>
      <c r="P349" s="233"/>
    </row>
    <row r="350" spans="1:16" ht="30" customHeight="1" x14ac:dyDescent="0.2">
      <c r="A350" s="7656"/>
      <c r="B350" s="7653"/>
      <c r="C350" s="7724"/>
      <c r="D350" s="5594">
        <f>22000000+9200000+13800000</f>
        <v>45000000</v>
      </c>
      <c r="E350" s="5652">
        <v>0.06</v>
      </c>
      <c r="F350" s="5594">
        <f>D350*E350</f>
        <v>2700000</v>
      </c>
      <c r="G350" s="6364">
        <v>10700000</v>
      </c>
      <c r="H350" s="6364" t="s">
        <v>7795</v>
      </c>
      <c r="I350" s="6364" t="s">
        <v>7805</v>
      </c>
      <c r="J350" s="6364">
        <f>G350</f>
        <v>10700000</v>
      </c>
      <c r="K350" s="6364">
        <f>(F349+F350)-J350</f>
        <v>0</v>
      </c>
      <c r="L350" s="6379" t="s">
        <v>7501</v>
      </c>
      <c r="M350" s="366"/>
      <c r="N350" s="366"/>
      <c r="O350" s="366"/>
      <c r="P350" s="366"/>
    </row>
    <row r="351" spans="1:16" ht="30" customHeight="1" x14ac:dyDescent="0.2">
      <c r="A351" s="5655">
        <v>160</v>
      </c>
      <c r="B351" s="5613" t="s">
        <v>23</v>
      </c>
      <c r="C351" s="5634"/>
      <c r="D351" s="5594">
        <v>55000000</v>
      </c>
      <c r="E351" s="5652">
        <v>0.05</v>
      </c>
      <c r="F351" s="5594">
        <f t="shared" si="29"/>
        <v>2750000</v>
      </c>
      <c r="G351" s="5594"/>
      <c r="H351" s="5594"/>
      <c r="I351" s="5714"/>
      <c r="J351" s="5594">
        <f t="shared" ref="J351:J352" si="32">G351</f>
        <v>0</v>
      </c>
      <c r="K351" s="5594">
        <f t="shared" ref="K351:K366" si="33">F351-J351</f>
        <v>2750000</v>
      </c>
      <c r="L351" s="5613"/>
      <c r="M351" s="366"/>
      <c r="N351" s="366"/>
      <c r="O351" s="366"/>
      <c r="P351" s="366"/>
    </row>
    <row r="352" spans="1:16" ht="30" customHeight="1" x14ac:dyDescent="0.2">
      <c r="A352" s="7654">
        <v>161</v>
      </c>
      <c r="B352" s="7652" t="s">
        <v>24</v>
      </c>
      <c r="C352" s="7723" t="s">
        <v>1306</v>
      </c>
      <c r="D352" s="7563">
        <v>20000000</v>
      </c>
      <c r="E352" s="7659">
        <v>4.4999999999999998E-2</v>
      </c>
      <c r="F352" s="7563">
        <f t="shared" si="29"/>
        <v>900000</v>
      </c>
      <c r="G352" s="5594">
        <v>900000</v>
      </c>
      <c r="H352" s="5594" t="s">
        <v>7293</v>
      </c>
      <c r="I352" s="5714" t="s">
        <v>721</v>
      </c>
      <c r="J352" s="5594">
        <f t="shared" si="32"/>
        <v>900000</v>
      </c>
      <c r="K352" s="5594">
        <f t="shared" si="33"/>
        <v>0</v>
      </c>
      <c r="L352" s="5613"/>
      <c r="M352" s="366"/>
      <c r="N352" s="366"/>
      <c r="O352" s="366"/>
      <c r="P352" s="366"/>
    </row>
    <row r="353" spans="1:16" ht="30" customHeight="1" x14ac:dyDescent="0.2">
      <c r="A353" s="7655"/>
      <c r="B353" s="7653"/>
      <c r="C353" s="7724"/>
      <c r="D353" s="7564"/>
      <c r="E353" s="7660"/>
      <c r="F353" s="7564"/>
      <c r="G353" s="6225">
        <v>900000</v>
      </c>
      <c r="H353" s="6225" t="s">
        <v>7718</v>
      </c>
      <c r="I353" s="6240" t="s">
        <v>721</v>
      </c>
      <c r="J353" s="6225">
        <f>G353</f>
        <v>900000</v>
      </c>
      <c r="K353" s="6225">
        <f>F352-J353</f>
        <v>0</v>
      </c>
      <c r="L353" s="6227"/>
      <c r="M353" s="366"/>
      <c r="N353" s="366"/>
      <c r="O353" s="366"/>
      <c r="P353" s="366"/>
    </row>
    <row r="354" spans="1:16" ht="30" customHeight="1" x14ac:dyDescent="0.2">
      <c r="A354" s="5762">
        <v>162</v>
      </c>
      <c r="B354" s="5755" t="s">
        <v>25</v>
      </c>
      <c r="C354" s="5761" t="s">
        <v>262</v>
      </c>
      <c r="D354" s="5594">
        <v>270000000</v>
      </c>
      <c r="E354" s="5652">
        <v>0.05</v>
      </c>
      <c r="F354" s="5594">
        <f t="shared" si="29"/>
        <v>13500000</v>
      </c>
      <c r="G354" s="5742">
        <v>13500000</v>
      </c>
      <c r="H354" s="5742" t="s">
        <v>2830</v>
      </c>
      <c r="I354" s="5750" t="s">
        <v>4576</v>
      </c>
      <c r="J354" s="5742">
        <f>G354</f>
        <v>13500000</v>
      </c>
      <c r="K354" s="5742">
        <f>F354-J354</f>
        <v>0</v>
      </c>
      <c r="L354" s="5726"/>
      <c r="M354" s="366"/>
      <c r="N354" s="366"/>
      <c r="O354" s="366"/>
      <c r="P354" s="366"/>
    </row>
    <row r="355" spans="1:16" ht="30" customHeight="1" x14ac:dyDescent="0.2">
      <c r="A355" s="7654">
        <v>163</v>
      </c>
      <c r="B355" s="7652" t="s">
        <v>828</v>
      </c>
      <c r="C355" s="7723" t="s">
        <v>1306</v>
      </c>
      <c r="D355" s="5630">
        <v>200000000</v>
      </c>
      <c r="E355" s="5719">
        <v>0.06</v>
      </c>
      <c r="F355" s="5630">
        <f t="shared" si="29"/>
        <v>12000000</v>
      </c>
      <c r="G355" s="7563">
        <v>15000000</v>
      </c>
      <c r="H355" s="7563" t="s">
        <v>7691</v>
      </c>
      <c r="I355" s="7561" t="s">
        <v>3732</v>
      </c>
      <c r="J355" s="7563">
        <f>G355</f>
        <v>15000000</v>
      </c>
      <c r="K355" s="7563">
        <f>(F355+F356+F357)-J355</f>
        <v>7500000</v>
      </c>
      <c r="L355" s="5726"/>
      <c r="M355" s="366"/>
      <c r="N355" s="366"/>
      <c r="O355" s="366"/>
      <c r="P355" s="366"/>
    </row>
    <row r="356" spans="1:16" ht="30" customHeight="1" x14ac:dyDescent="0.2">
      <c r="A356" s="7656"/>
      <c r="B356" s="7665"/>
      <c r="C356" s="7747"/>
      <c r="D356" s="5630">
        <v>50000000</v>
      </c>
      <c r="E356" s="5719">
        <v>7.0000000000000007E-2</v>
      </c>
      <c r="F356" s="5630">
        <f t="shared" si="29"/>
        <v>3500000.0000000005</v>
      </c>
      <c r="G356" s="7586"/>
      <c r="H356" s="7586"/>
      <c r="I356" s="7672"/>
      <c r="J356" s="7586"/>
      <c r="K356" s="7586"/>
      <c r="L356" s="5726"/>
      <c r="M356" s="366"/>
      <c r="N356" s="366"/>
      <c r="O356" s="366"/>
      <c r="P356" s="366"/>
    </row>
    <row r="357" spans="1:16" ht="30" customHeight="1" x14ac:dyDescent="0.2">
      <c r="A357" s="7655"/>
      <c r="B357" s="7653"/>
      <c r="C357" s="7724"/>
      <c r="D357" s="5630">
        <v>100000000</v>
      </c>
      <c r="E357" s="5719">
        <v>7.0000000000000007E-2</v>
      </c>
      <c r="F357" s="5630">
        <f t="shared" si="29"/>
        <v>7000000.0000000009</v>
      </c>
      <c r="G357" s="7564"/>
      <c r="H357" s="7564"/>
      <c r="I357" s="7562"/>
      <c r="J357" s="7564"/>
      <c r="K357" s="7564"/>
      <c r="L357" s="5726"/>
      <c r="M357" s="366"/>
      <c r="N357" s="366"/>
      <c r="O357" s="366"/>
      <c r="P357" s="366"/>
    </row>
    <row r="358" spans="1:16" ht="30" customHeight="1" x14ac:dyDescent="0.2">
      <c r="A358" s="5655">
        <v>164</v>
      </c>
      <c r="B358" s="5613" t="s">
        <v>26</v>
      </c>
      <c r="C358" s="5634" t="s">
        <v>1306</v>
      </c>
      <c r="D358" s="5594">
        <v>50000000</v>
      </c>
      <c r="E358" s="5652">
        <v>0.05</v>
      </c>
      <c r="F358" s="5594">
        <f t="shared" si="29"/>
        <v>2500000</v>
      </c>
      <c r="G358" s="5594">
        <v>2500000</v>
      </c>
      <c r="H358" s="5594" t="s">
        <v>7709</v>
      </c>
      <c r="I358" s="5714" t="s">
        <v>7715</v>
      </c>
      <c r="J358" s="5594">
        <f t="shared" ref="J358:J372" si="34">G358</f>
        <v>2500000</v>
      </c>
      <c r="K358" s="5594">
        <f t="shared" si="33"/>
        <v>0</v>
      </c>
      <c r="L358" s="5613"/>
      <c r="M358" s="366"/>
      <c r="N358" s="366"/>
      <c r="O358" s="366"/>
      <c r="P358" s="366"/>
    </row>
    <row r="359" spans="1:16" ht="30" customHeight="1" x14ac:dyDescent="0.2">
      <c r="A359" s="7654">
        <v>166</v>
      </c>
      <c r="B359" s="7652" t="s">
        <v>28</v>
      </c>
      <c r="C359" s="7723" t="s">
        <v>551</v>
      </c>
      <c r="D359" s="7563">
        <v>100000000</v>
      </c>
      <c r="E359" s="7659">
        <v>0.05</v>
      </c>
      <c r="F359" s="7563">
        <f t="shared" si="29"/>
        <v>5000000</v>
      </c>
      <c r="G359" s="5594">
        <v>5000000</v>
      </c>
      <c r="H359" s="5594" t="s">
        <v>7281</v>
      </c>
      <c r="I359" s="5735" t="s">
        <v>4123</v>
      </c>
      <c r="J359" s="5594">
        <f t="shared" si="34"/>
        <v>5000000</v>
      </c>
      <c r="K359" s="5594">
        <f t="shared" si="33"/>
        <v>0</v>
      </c>
      <c r="L359" s="6367" t="s">
        <v>6807</v>
      </c>
      <c r="M359" s="366"/>
      <c r="N359" s="366"/>
      <c r="O359" s="366"/>
      <c r="P359" s="366"/>
    </row>
    <row r="360" spans="1:16" ht="30" customHeight="1" x14ac:dyDescent="0.2">
      <c r="A360" s="7655"/>
      <c r="B360" s="7653"/>
      <c r="C360" s="7724"/>
      <c r="D360" s="7564"/>
      <c r="E360" s="7660"/>
      <c r="F360" s="7564"/>
      <c r="G360" s="6366">
        <v>5000000</v>
      </c>
      <c r="H360" s="6366" t="s">
        <v>7795</v>
      </c>
      <c r="I360" s="52" t="s">
        <v>4123</v>
      </c>
      <c r="J360" s="6366">
        <f t="shared" si="34"/>
        <v>5000000</v>
      </c>
      <c r="K360" s="6366">
        <f>F359-J360</f>
        <v>0</v>
      </c>
      <c r="L360" s="6367" t="s">
        <v>7501</v>
      </c>
      <c r="M360" s="366"/>
      <c r="N360" s="366"/>
      <c r="O360" s="366"/>
      <c r="P360" s="366"/>
    </row>
    <row r="361" spans="1:16" ht="30" customHeight="1" x14ac:dyDescent="0.2">
      <c r="A361" s="7654">
        <v>167</v>
      </c>
      <c r="B361" s="7652" t="s">
        <v>737</v>
      </c>
      <c r="C361" s="7723" t="s">
        <v>1306</v>
      </c>
      <c r="D361" s="5594">
        <v>50000000</v>
      </c>
      <c r="E361" s="5652">
        <v>0.06</v>
      </c>
      <c r="F361" s="5594">
        <f t="shared" si="29"/>
        <v>3000000</v>
      </c>
      <c r="G361" s="5594">
        <v>3000000</v>
      </c>
      <c r="H361" s="5594" t="s">
        <v>7691</v>
      </c>
      <c r="I361" s="5714" t="s">
        <v>7696</v>
      </c>
      <c r="J361" s="5594">
        <f t="shared" si="34"/>
        <v>3000000</v>
      </c>
      <c r="K361" s="5594">
        <f t="shared" si="33"/>
        <v>0</v>
      </c>
      <c r="L361" s="5613"/>
      <c r="M361" s="366"/>
      <c r="N361" s="366"/>
      <c r="O361" s="366"/>
      <c r="P361" s="366"/>
    </row>
    <row r="362" spans="1:16" ht="30" customHeight="1" x14ac:dyDescent="0.2">
      <c r="A362" s="7655"/>
      <c r="B362" s="7653"/>
      <c r="C362" s="7724"/>
      <c r="D362" s="7470" t="s">
        <v>6636</v>
      </c>
      <c r="E362" s="7493"/>
      <c r="F362" s="7510"/>
      <c r="G362" s="5594"/>
      <c r="H362" s="5594"/>
      <c r="I362" s="5714" t="s">
        <v>6637</v>
      </c>
      <c r="J362" s="5594">
        <f>G362</f>
        <v>0</v>
      </c>
      <c r="K362" s="5594"/>
      <c r="L362" s="5916" t="s">
        <v>7395</v>
      </c>
      <c r="M362" s="366"/>
      <c r="N362" s="366"/>
      <c r="O362" s="366"/>
      <c r="P362" s="366"/>
    </row>
    <row r="363" spans="1:16" ht="30" customHeight="1" x14ac:dyDescent="0.2">
      <c r="A363" s="7654">
        <v>168</v>
      </c>
      <c r="B363" s="7710" t="s">
        <v>818</v>
      </c>
      <c r="C363" s="7813" t="s">
        <v>1306</v>
      </c>
      <c r="D363" s="5611">
        <v>50000000</v>
      </c>
      <c r="E363" s="2519">
        <v>7.0000000000000007E-2</v>
      </c>
      <c r="F363" s="5611">
        <f t="shared" si="29"/>
        <v>3500000.0000000005</v>
      </c>
      <c r="G363" s="5611"/>
      <c r="H363" s="5611"/>
      <c r="I363" s="56" t="s">
        <v>4908</v>
      </c>
      <c r="J363" s="5611">
        <f>G363</f>
        <v>0</v>
      </c>
      <c r="K363" s="909">
        <f t="shared" si="33"/>
        <v>3500000.0000000005</v>
      </c>
      <c r="L363" s="4389" t="s">
        <v>5215</v>
      </c>
      <c r="M363" s="366"/>
      <c r="N363" s="366"/>
      <c r="O363" s="366"/>
      <c r="P363" s="366"/>
    </row>
    <row r="364" spans="1:16" ht="30" customHeight="1" x14ac:dyDescent="0.2">
      <c r="A364" s="7656"/>
      <c r="B364" s="7711"/>
      <c r="C364" s="7814"/>
      <c r="D364" s="5611">
        <v>48000000</v>
      </c>
      <c r="E364" s="2519"/>
      <c r="F364" s="5611"/>
      <c r="G364" s="7594" t="s">
        <v>4856</v>
      </c>
      <c r="H364" s="8422"/>
      <c r="I364" s="8422"/>
      <c r="J364" s="8422"/>
      <c r="K364" s="8423"/>
      <c r="L364" s="4390" t="s">
        <v>5988</v>
      </c>
      <c r="M364" s="366"/>
      <c r="N364" s="366"/>
      <c r="O364" s="366"/>
      <c r="P364" s="366"/>
    </row>
    <row r="365" spans="1:16" ht="30" customHeight="1" x14ac:dyDescent="0.2">
      <c r="A365" s="7655"/>
      <c r="B365" s="7712"/>
      <c r="C365" s="7815"/>
      <c r="D365" s="5611">
        <v>70000000</v>
      </c>
      <c r="E365" s="2519"/>
      <c r="F365" s="5611"/>
      <c r="G365" s="909"/>
      <c r="H365" s="909"/>
      <c r="I365" s="909"/>
      <c r="J365" s="909"/>
      <c r="K365" s="4391"/>
      <c r="L365" s="4392" t="s">
        <v>5989</v>
      </c>
      <c r="M365" s="366"/>
      <c r="N365" s="366"/>
      <c r="O365" s="366"/>
      <c r="P365" s="366"/>
    </row>
    <row r="366" spans="1:16" ht="30" customHeight="1" x14ac:dyDescent="0.2">
      <c r="A366" s="7654"/>
      <c r="B366" s="7652" t="s">
        <v>29</v>
      </c>
      <c r="C366" s="7723" t="s">
        <v>1107</v>
      </c>
      <c r="D366" s="7563">
        <v>20000000</v>
      </c>
      <c r="E366" s="7659">
        <v>0.05</v>
      </c>
      <c r="F366" s="7563">
        <f>D366*E366</f>
        <v>1000000</v>
      </c>
      <c r="G366" s="5594">
        <v>1000000</v>
      </c>
      <c r="H366" s="5594" t="s">
        <v>7281</v>
      </c>
      <c r="I366" s="5594" t="s">
        <v>848</v>
      </c>
      <c r="J366" s="5594">
        <f t="shared" si="34"/>
        <v>1000000</v>
      </c>
      <c r="K366" s="5594">
        <f t="shared" si="33"/>
        <v>0</v>
      </c>
      <c r="L366" s="7732" t="s">
        <v>6807</v>
      </c>
      <c r="M366" s="7733"/>
      <c r="N366" s="7733"/>
      <c r="O366" s="7733"/>
      <c r="P366" s="7734"/>
    </row>
    <row r="367" spans="1:16" ht="30" customHeight="1" x14ac:dyDescent="0.2">
      <c r="A367" s="7655"/>
      <c r="B367" s="7653"/>
      <c r="C367" s="7724"/>
      <c r="D367" s="7564"/>
      <c r="E367" s="7660"/>
      <c r="F367" s="7564"/>
      <c r="G367" s="6128">
        <v>1000000</v>
      </c>
      <c r="H367" s="6128" t="s">
        <v>2830</v>
      </c>
      <c r="I367" s="6128" t="s">
        <v>848</v>
      </c>
      <c r="J367" s="6128">
        <f>G367</f>
        <v>1000000</v>
      </c>
      <c r="K367" s="6128">
        <f>F366-J367</f>
        <v>0</v>
      </c>
      <c r="L367" s="6136" t="s">
        <v>7501</v>
      </c>
      <c r="M367" s="6155"/>
      <c r="N367" s="6155"/>
      <c r="O367" s="6155"/>
      <c r="P367" s="6155"/>
    </row>
    <row r="368" spans="1:16" ht="30" customHeight="1" x14ac:dyDescent="0.2">
      <c r="A368" s="7654">
        <v>170</v>
      </c>
      <c r="B368" s="7652" t="s">
        <v>30</v>
      </c>
      <c r="C368" s="7723" t="s">
        <v>1107</v>
      </c>
      <c r="D368" s="7563">
        <v>70000000</v>
      </c>
      <c r="E368" s="7659">
        <v>5.2999999999999999E-2</v>
      </c>
      <c r="F368" s="7563">
        <v>3700000</v>
      </c>
      <c r="G368" s="5594">
        <v>3700000</v>
      </c>
      <c r="H368" s="5594" t="s">
        <v>7281</v>
      </c>
      <c r="I368" s="5714" t="s">
        <v>4138</v>
      </c>
      <c r="J368" s="5594">
        <f t="shared" si="34"/>
        <v>3700000</v>
      </c>
      <c r="K368" s="5594">
        <f>F368-J368</f>
        <v>0</v>
      </c>
      <c r="L368" s="6358" t="s">
        <v>6807</v>
      </c>
      <c r="M368" s="366"/>
      <c r="N368" s="366"/>
      <c r="O368" s="366"/>
      <c r="P368" s="366"/>
    </row>
    <row r="369" spans="1:16" ht="30" customHeight="1" x14ac:dyDescent="0.2">
      <c r="A369" s="7656"/>
      <c r="B369" s="7665"/>
      <c r="C369" s="7747"/>
      <c r="D369" s="7586"/>
      <c r="E369" s="7676"/>
      <c r="F369" s="7586"/>
      <c r="G369" s="6305">
        <v>3200000</v>
      </c>
      <c r="H369" s="6305" t="s">
        <v>7774</v>
      </c>
      <c r="I369" s="6349" t="s">
        <v>4138</v>
      </c>
      <c r="J369" s="7563">
        <f>G369+G370</f>
        <v>3700000</v>
      </c>
      <c r="K369" s="7563">
        <f>F368-J369</f>
        <v>0</v>
      </c>
      <c r="L369" s="8304" t="s">
        <v>7501</v>
      </c>
      <c r="M369" s="366"/>
      <c r="N369" s="366"/>
      <c r="O369" s="366"/>
      <c r="P369" s="366"/>
    </row>
    <row r="370" spans="1:16" ht="30" customHeight="1" x14ac:dyDescent="0.2">
      <c r="A370" s="7655"/>
      <c r="B370" s="7653"/>
      <c r="C370" s="7724"/>
      <c r="D370" s="7564"/>
      <c r="E370" s="7660"/>
      <c r="F370" s="7564"/>
      <c r="G370" s="6305">
        <v>500000</v>
      </c>
      <c r="H370" s="6305" t="s">
        <v>7795</v>
      </c>
      <c r="I370" s="6349" t="s">
        <v>1127</v>
      </c>
      <c r="J370" s="7564"/>
      <c r="K370" s="7564"/>
      <c r="L370" s="8306"/>
      <c r="M370" s="366"/>
      <c r="N370" s="366"/>
      <c r="O370" s="366"/>
      <c r="P370" s="366"/>
    </row>
    <row r="371" spans="1:16" ht="30" customHeight="1" x14ac:dyDescent="0.2">
      <c r="A371" s="5655">
        <v>171</v>
      </c>
      <c r="B371" s="5613" t="s">
        <v>31</v>
      </c>
      <c r="C371" s="5634" t="s">
        <v>1293</v>
      </c>
      <c r="D371" s="5594">
        <v>10000000</v>
      </c>
      <c r="E371" s="5652">
        <v>0.04</v>
      </c>
      <c r="F371" s="5594">
        <f>D371*E371</f>
        <v>400000</v>
      </c>
      <c r="G371" s="5594">
        <v>400000</v>
      </c>
      <c r="H371" s="5594" t="s">
        <v>7427</v>
      </c>
      <c r="I371" s="5714" t="s">
        <v>670</v>
      </c>
      <c r="J371" s="5594">
        <f t="shared" si="34"/>
        <v>400000</v>
      </c>
      <c r="K371" s="5594">
        <f>F371-J371</f>
        <v>0</v>
      </c>
      <c r="L371" s="5690"/>
    </row>
    <row r="372" spans="1:16" ht="30" customHeight="1" x14ac:dyDescent="0.2">
      <c r="A372" s="5596">
        <v>172</v>
      </c>
      <c r="B372" s="5658" t="s">
        <v>32</v>
      </c>
      <c r="C372" s="5657" t="s">
        <v>989</v>
      </c>
      <c r="D372" s="5594">
        <v>5000000</v>
      </c>
      <c r="E372" s="5652">
        <v>0.06</v>
      </c>
      <c r="F372" s="5594">
        <f t="shared" si="29"/>
        <v>300000</v>
      </c>
      <c r="G372" s="5594">
        <v>300000</v>
      </c>
      <c r="H372" s="5594" t="s">
        <v>7795</v>
      </c>
      <c r="I372" s="5714" t="s">
        <v>632</v>
      </c>
      <c r="J372" s="5594">
        <f t="shared" si="34"/>
        <v>300000</v>
      </c>
      <c r="K372" s="5594">
        <f>F372-J372</f>
        <v>0</v>
      </c>
      <c r="L372" s="5726"/>
    </row>
    <row r="373" spans="1:16" ht="30" customHeight="1" x14ac:dyDescent="0.2">
      <c r="A373" s="7654">
        <v>173</v>
      </c>
      <c r="B373" s="7652" t="s">
        <v>33</v>
      </c>
      <c r="C373" s="7723" t="s">
        <v>1306</v>
      </c>
      <c r="D373" s="6301">
        <v>50000000</v>
      </c>
      <c r="E373" s="6335">
        <v>0.05</v>
      </c>
      <c r="F373" s="6301">
        <f t="shared" si="29"/>
        <v>2500000</v>
      </c>
      <c r="G373" s="5586">
        <v>2500000</v>
      </c>
      <c r="H373" s="5586" t="s">
        <v>7718</v>
      </c>
      <c r="I373" s="5662" t="s">
        <v>838</v>
      </c>
      <c r="J373" s="5586">
        <f>G373</f>
        <v>2500000</v>
      </c>
      <c r="K373" s="5586">
        <f>F373-J373</f>
        <v>0</v>
      </c>
      <c r="L373" s="4393"/>
    </row>
    <row r="374" spans="1:16" ht="30" customHeight="1" x14ac:dyDescent="0.2">
      <c r="A374" s="7655"/>
      <c r="B374" s="7653"/>
      <c r="C374" s="7724"/>
      <c r="D374" s="7470" t="s">
        <v>7776</v>
      </c>
      <c r="E374" s="7493"/>
      <c r="F374" s="7510"/>
      <c r="G374" s="6224">
        <v>35000000</v>
      </c>
      <c r="H374" s="6224" t="s">
        <v>7774</v>
      </c>
      <c r="I374" s="6235" t="s">
        <v>3739</v>
      </c>
      <c r="J374" s="6224">
        <f>G374</f>
        <v>35000000</v>
      </c>
      <c r="K374" s="6224">
        <f>D373-J374</f>
        <v>15000000</v>
      </c>
      <c r="L374" s="4393"/>
    </row>
    <row r="375" spans="1:16" ht="30" customHeight="1" x14ac:dyDescent="0.2">
      <c r="A375" s="7654"/>
      <c r="B375" s="7652" t="s">
        <v>4266</v>
      </c>
      <c r="C375" s="7723" t="s">
        <v>1287</v>
      </c>
      <c r="D375" s="5595">
        <v>5730000000</v>
      </c>
      <c r="E375" s="2519">
        <v>0.08</v>
      </c>
      <c r="F375" s="5595">
        <f>D375*E375</f>
        <v>458400000</v>
      </c>
      <c r="G375" s="7732"/>
      <c r="H375" s="7733"/>
      <c r="I375" s="7733"/>
      <c r="J375" s="7734"/>
      <c r="K375" s="233"/>
      <c r="L375" s="5736" t="s">
        <v>6696</v>
      </c>
    </row>
    <row r="376" spans="1:16" ht="30" customHeight="1" x14ac:dyDescent="0.2">
      <c r="A376" s="7656"/>
      <c r="B376" s="7665"/>
      <c r="C376" s="7747"/>
      <c r="D376" s="5715">
        <v>10000000000</v>
      </c>
      <c r="E376" s="5729">
        <v>8.5000000000000006E-2</v>
      </c>
      <c r="F376" s="5715">
        <f>D376*E376</f>
        <v>850000000.00000012</v>
      </c>
      <c r="G376" s="7732" t="s">
        <v>6698</v>
      </c>
      <c r="H376" s="7733"/>
      <c r="I376" s="7733"/>
      <c r="J376" s="7734"/>
      <c r="K376" s="178"/>
      <c r="L376" s="5736" t="s">
        <v>6697</v>
      </c>
    </row>
    <row r="377" spans="1:16" ht="30" customHeight="1" x14ac:dyDescent="0.2">
      <c r="A377" s="7656"/>
      <c r="B377" s="7665"/>
      <c r="C377" s="7747"/>
      <c r="D377" s="7470" t="s">
        <v>6699</v>
      </c>
      <c r="E377" s="7493"/>
      <c r="F377" s="7510"/>
      <c r="G377" s="5683"/>
      <c r="H377" s="5684"/>
      <c r="I377" s="5624"/>
      <c r="J377" s="5685"/>
      <c r="K377" s="178"/>
      <c r="L377" s="5736" t="s">
        <v>6700</v>
      </c>
    </row>
    <row r="378" spans="1:16" ht="30" customHeight="1" x14ac:dyDescent="0.2">
      <c r="A378" s="7656"/>
      <c r="B378" s="7665"/>
      <c r="C378" s="7747"/>
      <c r="D378" s="7494"/>
      <c r="E378" s="7495"/>
      <c r="F378" s="7768"/>
      <c r="G378" s="6047">
        <v>30000000</v>
      </c>
      <c r="H378" s="6047" t="s">
        <v>7550</v>
      </c>
      <c r="I378" s="6047" t="s">
        <v>7558</v>
      </c>
      <c r="J378" s="6047">
        <f>G378</f>
        <v>30000000</v>
      </c>
      <c r="K378" s="178"/>
      <c r="L378" s="6071"/>
    </row>
    <row r="379" spans="1:16" ht="30" customHeight="1" x14ac:dyDescent="0.2">
      <c r="A379" s="7656"/>
      <c r="B379" s="7665"/>
      <c r="C379" s="7747"/>
      <c r="D379" s="7877"/>
      <c r="E379" s="7524"/>
      <c r="F379" s="7878"/>
      <c r="G379" s="6078">
        <v>50000000</v>
      </c>
      <c r="H379" s="6078" t="s">
        <v>1975</v>
      </c>
      <c r="I379" s="6076" t="s">
        <v>7558</v>
      </c>
      <c r="J379" s="6078">
        <f>G379</f>
        <v>50000000</v>
      </c>
      <c r="K379" s="178"/>
      <c r="L379" s="6101"/>
    </row>
    <row r="380" spans="1:16" ht="30" customHeight="1" x14ac:dyDescent="0.2">
      <c r="A380" s="7656"/>
      <c r="B380" s="7665"/>
      <c r="C380" s="7747"/>
      <c r="D380" s="7877"/>
      <c r="E380" s="7524"/>
      <c r="F380" s="7878"/>
      <c r="G380" s="6106">
        <v>50000000</v>
      </c>
      <c r="H380" s="6106" t="s">
        <v>3879</v>
      </c>
      <c r="I380" s="6104" t="s">
        <v>7558</v>
      </c>
      <c r="J380" s="6106">
        <f>G380</f>
        <v>50000000</v>
      </c>
      <c r="K380" s="178"/>
      <c r="L380" s="6121"/>
    </row>
    <row r="381" spans="1:16" ht="30" customHeight="1" x14ac:dyDescent="0.2">
      <c r="A381" s="7656"/>
      <c r="B381" s="7665"/>
      <c r="C381" s="7747"/>
      <c r="D381" s="7877"/>
      <c r="E381" s="7524"/>
      <c r="F381" s="7878"/>
      <c r="G381" s="6106">
        <v>50000000</v>
      </c>
      <c r="H381" s="6106" t="s">
        <v>3879</v>
      </c>
      <c r="I381" s="6104" t="s">
        <v>7558</v>
      </c>
      <c r="J381" s="6106">
        <f>G381</f>
        <v>50000000</v>
      </c>
      <c r="K381" s="178"/>
      <c r="L381" s="6121"/>
    </row>
    <row r="382" spans="1:16" ht="30" customHeight="1" x14ac:dyDescent="0.2">
      <c r="A382" s="7655"/>
      <c r="B382" s="7653"/>
      <c r="C382" s="7724"/>
      <c r="D382" s="7769"/>
      <c r="E382" s="7805"/>
      <c r="F382" s="7770"/>
      <c r="G382" s="6106"/>
      <c r="H382" s="6106"/>
      <c r="I382" s="6104"/>
      <c r="J382" s="6106"/>
      <c r="K382" s="178"/>
      <c r="L382" s="6121"/>
    </row>
    <row r="383" spans="1:16" ht="30" customHeight="1" x14ac:dyDescent="0.2">
      <c r="A383" s="7654">
        <v>175</v>
      </c>
      <c r="B383" s="7652" t="s">
        <v>36</v>
      </c>
      <c r="C383" s="7723" t="s">
        <v>1306</v>
      </c>
      <c r="D383" s="7563">
        <v>200000000</v>
      </c>
      <c r="E383" s="7659">
        <v>0.05</v>
      </c>
      <c r="F383" s="7563">
        <f t="shared" si="29"/>
        <v>10000000</v>
      </c>
      <c r="G383" s="5594">
        <v>10000000</v>
      </c>
      <c r="H383" s="5594" t="s">
        <v>7298</v>
      </c>
      <c r="I383" s="18" t="s">
        <v>3738</v>
      </c>
      <c r="J383" s="5594">
        <f>G383</f>
        <v>10000000</v>
      </c>
      <c r="K383" s="5586">
        <f t="shared" ref="K383:K397" si="35">F383-J383</f>
        <v>0</v>
      </c>
      <c r="L383" s="378" t="s">
        <v>6807</v>
      </c>
    </row>
    <row r="384" spans="1:16" ht="30" customHeight="1" x14ac:dyDescent="0.2">
      <c r="A384" s="7655"/>
      <c r="B384" s="7653"/>
      <c r="C384" s="7724"/>
      <c r="D384" s="7564"/>
      <c r="E384" s="7660"/>
      <c r="F384" s="7564"/>
      <c r="G384" s="6262">
        <v>10000000</v>
      </c>
      <c r="H384" s="6262" t="s">
        <v>7727</v>
      </c>
      <c r="I384" s="96" t="s">
        <v>3738</v>
      </c>
      <c r="J384" s="6262">
        <f>G384</f>
        <v>10000000</v>
      </c>
      <c r="K384" s="6262">
        <f>F383-J384</f>
        <v>0</v>
      </c>
      <c r="L384" s="378" t="s">
        <v>7501</v>
      </c>
    </row>
    <row r="385" spans="1:12" ht="30" customHeight="1" x14ac:dyDescent="0.2">
      <c r="A385" s="7654">
        <v>176</v>
      </c>
      <c r="B385" s="7652" t="s">
        <v>37</v>
      </c>
      <c r="C385" s="7723" t="s">
        <v>1107</v>
      </c>
      <c r="D385" s="7563">
        <v>150000000</v>
      </c>
      <c r="E385" s="7659">
        <v>7.0000000000000007E-2</v>
      </c>
      <c r="F385" s="7563">
        <f t="shared" si="29"/>
        <v>10500000.000000002</v>
      </c>
      <c r="G385" s="5594">
        <v>10500000</v>
      </c>
      <c r="H385" s="5594" t="s">
        <v>7293</v>
      </c>
      <c r="I385" s="5714" t="s">
        <v>3223</v>
      </c>
      <c r="J385" s="5594">
        <f t="shared" ref="J385:J409" si="36">G385</f>
        <v>10500000</v>
      </c>
      <c r="K385" s="5594">
        <f t="shared" si="35"/>
        <v>0</v>
      </c>
      <c r="L385" s="378" t="s">
        <v>6807</v>
      </c>
    </row>
    <row r="386" spans="1:12" ht="30" customHeight="1" x14ac:dyDescent="0.2">
      <c r="A386" s="7655"/>
      <c r="B386" s="7653"/>
      <c r="C386" s="7724"/>
      <c r="D386" s="7564"/>
      <c r="E386" s="7660"/>
      <c r="F386" s="7564"/>
      <c r="G386" s="6261">
        <v>10500000</v>
      </c>
      <c r="H386" s="6261" t="s">
        <v>7727</v>
      </c>
      <c r="I386" s="6265" t="s">
        <v>3223</v>
      </c>
      <c r="J386" s="6261">
        <f t="shared" si="36"/>
        <v>10500000</v>
      </c>
      <c r="K386" s="6261">
        <f>F385-J386</f>
        <v>0</v>
      </c>
      <c r="L386" s="378" t="s">
        <v>7501</v>
      </c>
    </row>
    <row r="387" spans="1:12" ht="30" customHeight="1" x14ac:dyDescent="0.2">
      <c r="A387" s="7654">
        <v>177</v>
      </c>
      <c r="B387" s="7652" t="s">
        <v>5177</v>
      </c>
      <c r="C387" s="7723" t="s">
        <v>1299</v>
      </c>
      <c r="D387" s="5594">
        <v>25000000</v>
      </c>
      <c r="E387" s="5652">
        <v>0.05</v>
      </c>
      <c r="F387" s="5594">
        <f t="shared" si="29"/>
        <v>1250000</v>
      </c>
      <c r="G387" s="7563">
        <v>1750000</v>
      </c>
      <c r="H387" s="7563" t="s">
        <v>7723</v>
      </c>
      <c r="I387" s="7772" t="s">
        <v>746</v>
      </c>
      <c r="J387" s="7563">
        <f t="shared" si="36"/>
        <v>1750000</v>
      </c>
      <c r="K387" s="7563">
        <f>(F387+F388)-J387</f>
        <v>0</v>
      </c>
      <c r="L387" s="5613"/>
    </row>
    <row r="388" spans="1:12" ht="30" customHeight="1" x14ac:dyDescent="0.2">
      <c r="A388" s="7655"/>
      <c r="B388" s="7653"/>
      <c r="C388" s="7724"/>
      <c r="D388" s="5594">
        <v>10000000</v>
      </c>
      <c r="E388" s="5652">
        <v>0.05</v>
      </c>
      <c r="F388" s="5594">
        <f t="shared" si="29"/>
        <v>500000</v>
      </c>
      <c r="G388" s="7564"/>
      <c r="H388" s="7564"/>
      <c r="I388" s="7773"/>
      <c r="J388" s="7564"/>
      <c r="K388" s="7564"/>
      <c r="L388" s="5736"/>
    </row>
    <row r="389" spans="1:12" ht="30" customHeight="1" x14ac:dyDescent="0.2">
      <c r="A389" s="5655">
        <v>178</v>
      </c>
      <c r="B389" s="5613" t="s">
        <v>39</v>
      </c>
      <c r="C389" s="5634" t="s">
        <v>1299</v>
      </c>
      <c r="D389" s="5594">
        <v>90000000</v>
      </c>
      <c r="E389" s="5652">
        <v>0.05</v>
      </c>
      <c r="F389" s="5594">
        <f>D389*E389</f>
        <v>4500000</v>
      </c>
      <c r="G389" s="5594">
        <v>4500000</v>
      </c>
      <c r="H389" s="5594" t="s">
        <v>7709</v>
      </c>
      <c r="I389" s="5714" t="s">
        <v>7716</v>
      </c>
      <c r="J389" s="5594">
        <f t="shared" si="36"/>
        <v>4500000</v>
      </c>
      <c r="K389" s="5594">
        <f t="shared" si="35"/>
        <v>0</v>
      </c>
      <c r="L389" s="5613"/>
    </row>
    <row r="390" spans="1:12" ht="30" customHeight="1" x14ac:dyDescent="0.2">
      <c r="A390" s="7654">
        <v>179</v>
      </c>
      <c r="B390" s="7652" t="s">
        <v>40</v>
      </c>
      <c r="C390" s="7723" t="s">
        <v>1306</v>
      </c>
      <c r="D390" s="7563">
        <v>320000000</v>
      </c>
      <c r="E390" s="7659">
        <v>0.06</v>
      </c>
      <c r="F390" s="7563">
        <f t="shared" si="29"/>
        <v>19200000</v>
      </c>
      <c r="G390" s="7954" t="s">
        <v>7453</v>
      </c>
      <c r="H390" s="7955"/>
      <c r="I390" s="7955"/>
      <c r="J390" s="7956"/>
      <c r="K390" s="5956">
        <f t="shared" si="35"/>
        <v>19200000</v>
      </c>
      <c r="L390" s="7798" t="s">
        <v>7695</v>
      </c>
    </row>
    <row r="391" spans="1:12" ht="30" customHeight="1" x14ac:dyDescent="0.2">
      <c r="A391" s="7656"/>
      <c r="B391" s="7665"/>
      <c r="C391" s="7747"/>
      <c r="D391" s="7586"/>
      <c r="E391" s="7676"/>
      <c r="F391" s="7586"/>
      <c r="G391" s="6124">
        <v>2000000</v>
      </c>
      <c r="H391" s="6124" t="s">
        <v>2830</v>
      </c>
      <c r="I391" s="6147" t="s">
        <v>7644</v>
      </c>
      <c r="J391" s="7563">
        <f>G391+G392+G393</f>
        <v>18800000</v>
      </c>
      <c r="K391" s="7563"/>
      <c r="L391" s="7799"/>
    </row>
    <row r="392" spans="1:12" ht="30" customHeight="1" x14ac:dyDescent="0.2">
      <c r="A392" s="7656"/>
      <c r="B392" s="7665"/>
      <c r="C392" s="7747"/>
      <c r="D392" s="7586"/>
      <c r="E392" s="7676"/>
      <c r="F392" s="7586"/>
      <c r="G392" s="6128">
        <v>5000000</v>
      </c>
      <c r="H392" s="6128" t="s">
        <v>7668</v>
      </c>
      <c r="I392" s="6180" t="s">
        <v>7644</v>
      </c>
      <c r="J392" s="7586"/>
      <c r="K392" s="7586"/>
      <c r="L392" s="7799"/>
    </row>
    <row r="393" spans="1:12" ht="30" customHeight="1" x14ac:dyDescent="0.2">
      <c r="A393" s="7656"/>
      <c r="B393" s="7665"/>
      <c r="C393" s="7747"/>
      <c r="D393" s="7586"/>
      <c r="E393" s="7676"/>
      <c r="F393" s="7586"/>
      <c r="G393" s="6128">
        <v>11800000</v>
      </c>
      <c r="H393" s="6128" t="s">
        <v>7691</v>
      </c>
      <c r="I393" s="6162" t="s">
        <v>1090</v>
      </c>
      <c r="J393" s="7564"/>
      <c r="K393" s="7564"/>
      <c r="L393" s="7799"/>
    </row>
    <row r="394" spans="1:12" ht="30" customHeight="1" x14ac:dyDescent="0.2">
      <c r="A394" s="7656"/>
      <c r="B394" s="7665"/>
      <c r="C394" s="7873" t="s">
        <v>1080</v>
      </c>
      <c r="D394" s="7991" t="s">
        <v>7383</v>
      </c>
      <c r="E394" s="7992"/>
      <c r="F394" s="7993"/>
      <c r="G394" s="5887"/>
      <c r="H394" s="5887"/>
      <c r="I394" s="5914"/>
      <c r="J394" s="5887"/>
      <c r="K394" s="5887"/>
      <c r="L394" s="5898" t="s">
        <v>7384</v>
      </c>
    </row>
    <row r="395" spans="1:12" ht="30" customHeight="1" x14ac:dyDescent="0.2">
      <c r="A395" s="7656"/>
      <c r="B395" s="7665"/>
      <c r="C395" s="7873"/>
      <c r="D395" s="7997"/>
      <c r="E395" s="7998"/>
      <c r="F395" s="7999"/>
      <c r="G395" s="5887"/>
      <c r="H395" s="5887"/>
      <c r="I395" s="5914"/>
      <c r="J395" s="5887"/>
      <c r="K395" s="5887"/>
      <c r="L395" s="5898"/>
    </row>
    <row r="396" spans="1:12" ht="30" customHeight="1" x14ac:dyDescent="0.2">
      <c r="A396" s="7655"/>
      <c r="B396" s="7653"/>
      <c r="C396" s="7873"/>
      <c r="D396" s="5886">
        <v>310000000</v>
      </c>
      <c r="E396" s="5890">
        <v>7.0000000000000007E-2</v>
      </c>
      <c r="F396" s="5886">
        <f>D396*E396</f>
        <v>21700000.000000004</v>
      </c>
      <c r="G396" s="7732" t="s">
        <v>7452</v>
      </c>
      <c r="H396" s="7733"/>
      <c r="I396" s="7733"/>
      <c r="J396" s="7734"/>
      <c r="K396" s="5887"/>
      <c r="L396" s="5898" t="s">
        <v>7385</v>
      </c>
    </row>
    <row r="397" spans="1:12" ht="30" customHeight="1" x14ac:dyDescent="0.2">
      <c r="A397" s="5596">
        <v>180</v>
      </c>
      <c r="B397" s="19" t="s">
        <v>41</v>
      </c>
      <c r="C397" s="5706" t="s">
        <v>2403</v>
      </c>
      <c r="D397" s="5586">
        <v>300000000</v>
      </c>
      <c r="E397" s="5652">
        <v>5.7000000000000002E-2</v>
      </c>
      <c r="F397" s="5586">
        <v>17000000</v>
      </c>
      <c r="G397" s="5586">
        <v>17000000</v>
      </c>
      <c r="H397" s="5586" t="s">
        <v>7310</v>
      </c>
      <c r="I397" s="5662" t="s">
        <v>2260</v>
      </c>
      <c r="J397" s="5586">
        <f t="shared" si="36"/>
        <v>17000000</v>
      </c>
      <c r="K397" s="5586">
        <f t="shared" si="35"/>
        <v>0</v>
      </c>
      <c r="L397" s="5675"/>
    </row>
    <row r="398" spans="1:12" ht="30" customHeight="1" x14ac:dyDescent="0.2">
      <c r="A398" s="7654">
        <v>181</v>
      </c>
      <c r="B398" s="7652" t="s">
        <v>42</v>
      </c>
      <c r="C398" s="7723" t="s">
        <v>989</v>
      </c>
      <c r="D398" s="7563">
        <v>100000000</v>
      </c>
      <c r="E398" s="7659">
        <v>0.05</v>
      </c>
      <c r="F398" s="7563">
        <f t="shared" ref="F398" si="37">D398*E398</f>
        <v>5000000</v>
      </c>
      <c r="G398" s="5586">
        <v>4500000</v>
      </c>
      <c r="H398" s="5586" t="s">
        <v>7293</v>
      </c>
      <c r="I398" s="5714" t="s">
        <v>1076</v>
      </c>
      <c r="J398" s="5742">
        <f>G398</f>
        <v>4500000</v>
      </c>
      <c r="K398" s="5742">
        <f>F398-J398</f>
        <v>500000</v>
      </c>
      <c r="L398" s="378" t="s">
        <v>6807</v>
      </c>
    </row>
    <row r="399" spans="1:12" ht="30" customHeight="1" x14ac:dyDescent="0.2">
      <c r="A399" s="7655"/>
      <c r="B399" s="7653"/>
      <c r="C399" s="7724"/>
      <c r="D399" s="7564"/>
      <c r="E399" s="7660"/>
      <c r="F399" s="7564"/>
      <c r="G399" s="6273">
        <v>5000000</v>
      </c>
      <c r="H399" s="6273" t="s">
        <v>7727</v>
      </c>
      <c r="I399" s="6296" t="s">
        <v>7747</v>
      </c>
      <c r="J399" s="6273">
        <f>G399</f>
        <v>5000000</v>
      </c>
      <c r="K399" s="6273">
        <f>F398-J399</f>
        <v>0</v>
      </c>
      <c r="L399" s="378" t="s">
        <v>7501</v>
      </c>
    </row>
    <row r="400" spans="1:12" ht="30" customHeight="1" x14ac:dyDescent="0.2">
      <c r="A400" s="5596"/>
      <c r="B400" s="5600" t="s">
        <v>43</v>
      </c>
      <c r="C400" s="5633" t="s">
        <v>1287</v>
      </c>
      <c r="D400" s="5594">
        <v>126200000</v>
      </c>
      <c r="E400" s="5606">
        <v>0.05</v>
      </c>
      <c r="F400" s="5594">
        <f>D400*E400</f>
        <v>6310000</v>
      </c>
      <c r="G400" s="5592">
        <v>6310000</v>
      </c>
      <c r="H400" s="5592" t="s">
        <v>7718</v>
      </c>
      <c r="I400" s="5586" t="s">
        <v>3716</v>
      </c>
      <c r="J400" s="5586">
        <f t="shared" si="36"/>
        <v>6310000</v>
      </c>
      <c r="K400" s="5586">
        <f>F400-J400</f>
        <v>0</v>
      </c>
      <c r="L400" s="5666"/>
    </row>
    <row r="401" spans="1:12" ht="30" customHeight="1" x14ac:dyDescent="0.2">
      <c r="A401" s="7654">
        <v>183</v>
      </c>
      <c r="B401" s="7652" t="s">
        <v>4148</v>
      </c>
      <c r="C401" s="7723" t="s">
        <v>1100</v>
      </c>
      <c r="D401" s="7563">
        <v>50000000</v>
      </c>
      <c r="E401" s="7659">
        <v>0.05</v>
      </c>
      <c r="F401" s="7563">
        <f t="shared" si="29"/>
        <v>2500000</v>
      </c>
      <c r="G401" s="5586">
        <v>2500000</v>
      </c>
      <c r="H401" s="5586" t="s">
        <v>7306</v>
      </c>
      <c r="I401" s="5714" t="s">
        <v>5951</v>
      </c>
      <c r="J401" s="5594">
        <f t="shared" si="36"/>
        <v>2500000</v>
      </c>
      <c r="K401" s="5594">
        <f t="shared" ref="K401:K407" si="38">F401-J401</f>
        <v>0</v>
      </c>
      <c r="L401" s="378" t="s">
        <v>6807</v>
      </c>
    </row>
    <row r="402" spans="1:12" ht="30" customHeight="1" x14ac:dyDescent="0.2">
      <c r="A402" s="7655"/>
      <c r="B402" s="7653"/>
      <c r="C402" s="7724"/>
      <c r="D402" s="7564"/>
      <c r="E402" s="7660"/>
      <c r="F402" s="7564"/>
      <c r="G402" s="6305">
        <v>2500000</v>
      </c>
      <c r="H402" s="6305" t="s">
        <v>7757</v>
      </c>
      <c r="I402" s="6349" t="s">
        <v>5422</v>
      </c>
      <c r="J402" s="6305">
        <f t="shared" si="36"/>
        <v>2500000</v>
      </c>
      <c r="K402" s="6305">
        <f>F401-J402</f>
        <v>0</v>
      </c>
      <c r="L402" s="378" t="s">
        <v>7501</v>
      </c>
    </row>
    <row r="403" spans="1:12" ht="30" customHeight="1" x14ac:dyDescent="0.2">
      <c r="A403" s="7654">
        <v>184</v>
      </c>
      <c r="B403" s="7652" t="s">
        <v>45</v>
      </c>
      <c r="C403" s="7723" t="s">
        <v>989</v>
      </c>
      <c r="D403" s="7563">
        <v>20000000</v>
      </c>
      <c r="E403" s="7659">
        <v>0.05</v>
      </c>
      <c r="F403" s="7563">
        <f t="shared" si="29"/>
        <v>1000000</v>
      </c>
      <c r="G403" s="5594">
        <v>1000000</v>
      </c>
      <c r="H403" s="5594" t="s">
        <v>7293</v>
      </c>
      <c r="I403" s="5714" t="s">
        <v>4505</v>
      </c>
      <c r="J403" s="5594">
        <f t="shared" si="36"/>
        <v>1000000</v>
      </c>
      <c r="K403" s="5594">
        <f t="shared" si="38"/>
        <v>0</v>
      </c>
      <c r="L403" s="378" t="s">
        <v>6807</v>
      </c>
    </row>
    <row r="404" spans="1:12" ht="30" customHeight="1" x14ac:dyDescent="0.2">
      <c r="A404" s="7655"/>
      <c r="B404" s="7653"/>
      <c r="C404" s="7724"/>
      <c r="D404" s="7564"/>
      <c r="E404" s="7660"/>
      <c r="F404" s="7564"/>
      <c r="G404" s="6305">
        <v>1000000</v>
      </c>
      <c r="H404" s="6305" t="s">
        <v>7795</v>
      </c>
      <c r="I404" s="6349" t="s">
        <v>2327</v>
      </c>
      <c r="J404" s="6305">
        <f t="shared" si="36"/>
        <v>1000000</v>
      </c>
      <c r="K404" s="6305">
        <f>F403-J404</f>
        <v>0</v>
      </c>
      <c r="L404" s="378" t="s">
        <v>7501</v>
      </c>
    </row>
    <row r="405" spans="1:12" ht="30" customHeight="1" x14ac:dyDescent="0.2">
      <c r="A405" s="7654">
        <v>186</v>
      </c>
      <c r="B405" s="7652" t="s">
        <v>47</v>
      </c>
      <c r="C405" s="7723" t="s">
        <v>1107</v>
      </c>
      <c r="D405" s="7563">
        <v>8000000</v>
      </c>
      <c r="E405" s="7659">
        <v>0.04</v>
      </c>
      <c r="F405" s="7563">
        <f t="shared" si="29"/>
        <v>320000</v>
      </c>
      <c r="G405" s="5594">
        <v>320000</v>
      </c>
      <c r="H405" s="5594" t="s">
        <v>7293</v>
      </c>
      <c r="I405" s="5714" t="s">
        <v>5275</v>
      </c>
      <c r="J405" s="5594">
        <f t="shared" si="36"/>
        <v>320000</v>
      </c>
      <c r="K405" s="5594">
        <f t="shared" si="38"/>
        <v>0</v>
      </c>
      <c r="L405" s="378" t="s">
        <v>6807</v>
      </c>
    </row>
    <row r="406" spans="1:12" ht="30" customHeight="1" x14ac:dyDescent="0.2">
      <c r="A406" s="7655"/>
      <c r="B406" s="7653"/>
      <c r="C406" s="7724"/>
      <c r="D406" s="7564"/>
      <c r="E406" s="7660"/>
      <c r="F406" s="7564"/>
      <c r="G406" s="6244">
        <v>320000</v>
      </c>
      <c r="H406" s="6244" t="s">
        <v>7723</v>
      </c>
      <c r="I406" s="6259" t="s">
        <v>2300</v>
      </c>
      <c r="J406" s="6244">
        <f t="shared" si="36"/>
        <v>320000</v>
      </c>
      <c r="K406" s="6244">
        <f>F405-J406</f>
        <v>0</v>
      </c>
      <c r="L406" s="378" t="s">
        <v>7501</v>
      </c>
    </row>
    <row r="407" spans="1:12" ht="30" customHeight="1" x14ac:dyDescent="0.2">
      <c r="A407" s="5655">
        <v>187</v>
      </c>
      <c r="B407" s="19" t="s">
        <v>2470</v>
      </c>
      <c r="C407" s="5657" t="s">
        <v>1138</v>
      </c>
      <c r="D407" s="5586">
        <v>200000000</v>
      </c>
      <c r="E407" s="5652">
        <v>0.05</v>
      </c>
      <c r="F407" s="5586">
        <f t="shared" si="29"/>
        <v>10000000</v>
      </c>
      <c r="G407" s="5586">
        <v>10000000</v>
      </c>
      <c r="H407" s="5586" t="s">
        <v>7306</v>
      </c>
      <c r="I407" s="5662" t="s">
        <v>3331</v>
      </c>
      <c r="J407" s="5586">
        <f t="shared" si="36"/>
        <v>10000000</v>
      </c>
      <c r="K407" s="5586">
        <f t="shared" si="38"/>
        <v>0</v>
      </c>
      <c r="L407" s="5690"/>
    </row>
    <row r="408" spans="1:12" ht="30" customHeight="1" x14ac:dyDescent="0.2">
      <c r="A408" s="5655">
        <v>188</v>
      </c>
      <c r="B408" s="5613" t="s">
        <v>49</v>
      </c>
      <c r="C408" s="5657" t="s">
        <v>1107</v>
      </c>
      <c r="D408" s="5594">
        <v>500000000</v>
      </c>
      <c r="E408" s="5606">
        <v>0.05</v>
      </c>
      <c r="F408" s="5594">
        <f t="shared" si="29"/>
        <v>25000000</v>
      </c>
      <c r="G408" s="5592">
        <v>25000000</v>
      </c>
      <c r="H408" s="5592" t="s">
        <v>7427</v>
      </c>
      <c r="I408" s="5621" t="s">
        <v>5921</v>
      </c>
      <c r="J408" s="5592">
        <f t="shared" si="36"/>
        <v>25000000</v>
      </c>
      <c r="K408" s="5592">
        <f>F408-J408</f>
        <v>0</v>
      </c>
      <c r="L408" s="5736"/>
    </row>
    <row r="409" spans="1:12" ht="30" customHeight="1" x14ac:dyDescent="0.2">
      <c r="A409" s="7654">
        <v>190</v>
      </c>
      <c r="B409" s="7652" t="s">
        <v>51</v>
      </c>
      <c r="C409" s="5634" t="s">
        <v>1100</v>
      </c>
      <c r="D409" s="5594">
        <v>80000000</v>
      </c>
      <c r="E409" s="5652">
        <v>0.05</v>
      </c>
      <c r="F409" s="5594">
        <f t="shared" si="29"/>
        <v>4000000</v>
      </c>
      <c r="G409" s="7563">
        <v>14000000</v>
      </c>
      <c r="H409" s="7563" t="s">
        <v>7298</v>
      </c>
      <c r="I409" s="7561" t="s">
        <v>2967</v>
      </c>
      <c r="J409" s="7563">
        <f t="shared" si="36"/>
        <v>14000000</v>
      </c>
      <c r="K409" s="7563">
        <f>(F409+F410)-J409</f>
        <v>0</v>
      </c>
      <c r="L409" s="7703"/>
    </row>
    <row r="410" spans="1:12" ht="30" customHeight="1" x14ac:dyDescent="0.2">
      <c r="A410" s="7656"/>
      <c r="B410" s="7665"/>
      <c r="C410" s="5634" t="s">
        <v>1100</v>
      </c>
      <c r="D410" s="5594">
        <v>200000000</v>
      </c>
      <c r="E410" s="5652">
        <v>0.05</v>
      </c>
      <c r="F410" s="5594">
        <f t="shared" si="29"/>
        <v>10000000</v>
      </c>
      <c r="G410" s="7564"/>
      <c r="H410" s="7564"/>
      <c r="I410" s="7562"/>
      <c r="J410" s="7564"/>
      <c r="K410" s="7564"/>
      <c r="L410" s="7705"/>
    </row>
    <row r="411" spans="1:12" ht="30" customHeight="1" x14ac:dyDescent="0.2">
      <c r="A411" s="7655"/>
      <c r="B411" s="7653"/>
      <c r="C411" s="5635" t="s">
        <v>262</v>
      </c>
      <c r="D411" s="5593">
        <v>220000000</v>
      </c>
      <c r="E411" s="5604">
        <v>0.05</v>
      </c>
      <c r="F411" s="5593">
        <f t="shared" si="29"/>
        <v>11000000</v>
      </c>
      <c r="G411" s="5594">
        <v>11000000</v>
      </c>
      <c r="H411" s="5594" t="s">
        <v>1975</v>
      </c>
      <c r="I411" s="5714" t="s">
        <v>2967</v>
      </c>
      <c r="J411" s="5593">
        <f>G411</f>
        <v>11000000</v>
      </c>
      <c r="K411" s="5593">
        <f>F411-J411</f>
        <v>0</v>
      </c>
      <c r="L411" s="5608"/>
    </row>
    <row r="412" spans="1:12" ht="30" customHeight="1" x14ac:dyDescent="0.2">
      <c r="A412" s="7654">
        <v>191</v>
      </c>
      <c r="B412" s="7652" t="s">
        <v>52</v>
      </c>
      <c r="C412" s="7723" t="s">
        <v>262</v>
      </c>
      <c r="D412" s="5715">
        <v>700000000</v>
      </c>
      <c r="E412" s="5729">
        <v>7.6999999999999999E-2</v>
      </c>
      <c r="F412" s="5715">
        <v>54000000</v>
      </c>
      <c r="G412" s="7563">
        <v>50000000</v>
      </c>
      <c r="H412" s="7563" t="s">
        <v>3879</v>
      </c>
      <c r="I412" s="7561" t="s">
        <v>7600</v>
      </c>
      <c r="J412" s="7563">
        <f>G412+G414</f>
        <v>75000000</v>
      </c>
      <c r="K412" s="7563">
        <f>(F412+F416)-J412</f>
        <v>0</v>
      </c>
      <c r="L412" s="7818" t="s">
        <v>7601</v>
      </c>
    </row>
    <row r="413" spans="1:12" ht="30" customHeight="1" x14ac:dyDescent="0.2">
      <c r="A413" s="7656"/>
      <c r="B413" s="7665"/>
      <c r="C413" s="7747"/>
      <c r="D413" s="5586">
        <v>54000000</v>
      </c>
      <c r="E413" s="5652"/>
      <c r="F413" s="5586"/>
      <c r="G413" s="7564"/>
      <c r="H413" s="7564"/>
      <c r="I413" s="7562"/>
      <c r="J413" s="7586"/>
      <c r="K413" s="7586"/>
      <c r="L413" s="7819"/>
    </row>
    <row r="414" spans="1:12" ht="30" customHeight="1" x14ac:dyDescent="0.2">
      <c r="A414" s="7656"/>
      <c r="B414" s="7665"/>
      <c r="C414" s="7747"/>
      <c r="D414" s="5586">
        <v>46000000</v>
      </c>
      <c r="E414" s="5652"/>
      <c r="F414" s="5586"/>
      <c r="G414" s="7563">
        <v>25000000</v>
      </c>
      <c r="H414" s="7563" t="s">
        <v>7757</v>
      </c>
      <c r="I414" s="7563" t="s">
        <v>678</v>
      </c>
      <c r="J414" s="7586"/>
      <c r="K414" s="7586"/>
      <c r="L414" s="378" t="s">
        <v>7017</v>
      </c>
    </row>
    <row r="415" spans="1:12" ht="30" customHeight="1" x14ac:dyDescent="0.2">
      <c r="A415" s="7656"/>
      <c r="B415" s="7665"/>
      <c r="C415" s="7747"/>
      <c r="D415" s="5586">
        <v>200000000</v>
      </c>
      <c r="E415" s="5652"/>
      <c r="F415" s="5586"/>
      <c r="G415" s="7586"/>
      <c r="H415" s="7586"/>
      <c r="I415" s="7586"/>
      <c r="J415" s="7586"/>
      <c r="K415" s="7586"/>
      <c r="L415" s="378" t="s">
        <v>7599</v>
      </c>
    </row>
    <row r="416" spans="1:12" ht="30" customHeight="1" x14ac:dyDescent="0.2">
      <c r="A416" s="7655"/>
      <c r="B416" s="7653"/>
      <c r="C416" s="7724"/>
      <c r="D416" s="5715">
        <v>300000000</v>
      </c>
      <c r="E416" s="5729">
        <v>7.0000000000000007E-2</v>
      </c>
      <c r="F416" s="5715">
        <f>D416*E416</f>
        <v>21000000.000000004</v>
      </c>
      <c r="G416" s="7564"/>
      <c r="H416" s="7564"/>
      <c r="I416" s="7564"/>
      <c r="J416" s="7564"/>
      <c r="K416" s="7564"/>
      <c r="L416" s="378" t="s">
        <v>7416</v>
      </c>
    </row>
    <row r="417" spans="1:12" ht="30" customHeight="1" x14ac:dyDescent="0.2">
      <c r="A417" s="8475">
        <v>192</v>
      </c>
      <c r="B417" s="8468" t="s">
        <v>53</v>
      </c>
      <c r="C417" s="8470" t="s">
        <v>1287</v>
      </c>
      <c r="D417" s="8464">
        <v>1300000000</v>
      </c>
      <c r="E417" s="8541">
        <v>7.0000000000000007E-2</v>
      </c>
      <c r="F417" s="8464">
        <f>D417*E417</f>
        <v>91000000.000000015</v>
      </c>
      <c r="G417" s="5739">
        <v>40000000</v>
      </c>
      <c r="H417" s="5739" t="s">
        <v>7424</v>
      </c>
      <c r="I417" s="6100" t="s">
        <v>861</v>
      </c>
      <c r="J417" s="6223"/>
      <c r="K417" s="6223"/>
      <c r="L417" s="5526" t="s">
        <v>7119</v>
      </c>
    </row>
    <row r="418" spans="1:12" ht="30" customHeight="1" x14ac:dyDescent="0.2">
      <c r="A418" s="8476"/>
      <c r="B418" s="8469"/>
      <c r="C418" s="8471"/>
      <c r="D418" s="8465"/>
      <c r="E418" s="8542"/>
      <c r="F418" s="8465"/>
      <c r="G418" s="5739">
        <v>39000000</v>
      </c>
      <c r="H418" s="5739" t="s">
        <v>7550</v>
      </c>
      <c r="I418" s="5739" t="s">
        <v>7559</v>
      </c>
      <c r="J418" s="6223"/>
      <c r="K418" s="6223"/>
      <c r="L418" s="5526" t="s">
        <v>7117</v>
      </c>
    </row>
    <row r="419" spans="1:12" ht="30" customHeight="1" x14ac:dyDescent="0.2">
      <c r="A419" s="8476"/>
      <c r="B419" s="8469"/>
      <c r="C419" s="8471"/>
      <c r="D419" s="8465"/>
      <c r="E419" s="8542"/>
      <c r="F419" s="8465"/>
      <c r="G419" s="5739">
        <v>20000000</v>
      </c>
      <c r="H419" s="5730" t="s">
        <v>1975</v>
      </c>
      <c r="I419" s="5730" t="s">
        <v>861</v>
      </c>
      <c r="J419" s="6223"/>
      <c r="K419" s="6223"/>
      <c r="L419" s="5526" t="s">
        <v>7118</v>
      </c>
    </row>
    <row r="420" spans="1:12" ht="30" customHeight="1" x14ac:dyDescent="0.2">
      <c r="A420" s="8476"/>
      <c r="B420" s="6202"/>
      <c r="C420" s="6203"/>
      <c r="D420" s="6199"/>
      <c r="E420" s="6200"/>
      <c r="F420" s="6199"/>
      <c r="G420" s="6201">
        <v>20000000</v>
      </c>
      <c r="H420" s="6201" t="s">
        <v>7691</v>
      </c>
      <c r="I420" s="6201" t="s">
        <v>861</v>
      </c>
      <c r="J420" s="6223"/>
      <c r="K420" s="6201"/>
      <c r="L420" s="5526"/>
    </row>
    <row r="421" spans="1:12" ht="30" customHeight="1" x14ac:dyDescent="0.2">
      <c r="A421" s="8476"/>
      <c r="B421" s="6270"/>
      <c r="C421" s="6271"/>
      <c r="D421" s="6267"/>
      <c r="E421" s="6268"/>
      <c r="F421" s="6267"/>
      <c r="G421" s="6269">
        <v>23000000</v>
      </c>
      <c r="H421" s="6269" t="s">
        <v>7727</v>
      </c>
      <c r="I421" s="6269" t="s">
        <v>861</v>
      </c>
      <c r="J421" s="6223"/>
      <c r="K421" s="6269"/>
      <c r="L421" s="5526"/>
    </row>
    <row r="422" spans="1:12" ht="30" customHeight="1" x14ac:dyDescent="0.2">
      <c r="A422" s="8476"/>
      <c r="B422" s="6355"/>
      <c r="C422" s="6356"/>
      <c r="D422" s="6354"/>
      <c r="E422" s="6361"/>
      <c r="F422" s="6354"/>
      <c r="G422" s="6357">
        <v>20000000</v>
      </c>
      <c r="H422" s="6357" t="s">
        <v>7757</v>
      </c>
      <c r="I422" s="6357" t="s">
        <v>861</v>
      </c>
      <c r="J422" s="6223"/>
      <c r="K422" s="6357"/>
      <c r="L422" s="5526"/>
    </row>
    <row r="423" spans="1:12" ht="30" customHeight="1" x14ac:dyDescent="0.2">
      <c r="A423" s="8476"/>
      <c r="B423" s="6270"/>
      <c r="C423" s="6271"/>
      <c r="D423" s="6267"/>
      <c r="E423" s="6268"/>
      <c r="F423" s="6267"/>
      <c r="G423" s="6357">
        <v>15000000</v>
      </c>
      <c r="H423" s="6357" t="s">
        <v>7774</v>
      </c>
      <c r="I423" s="6357" t="s">
        <v>861</v>
      </c>
      <c r="J423" s="6223"/>
      <c r="K423" s="6269"/>
      <c r="L423" s="5526"/>
    </row>
    <row r="424" spans="1:12" ht="30" customHeight="1" x14ac:dyDescent="0.2">
      <c r="A424" s="8476"/>
      <c r="B424" s="5528" t="s">
        <v>7113</v>
      </c>
      <c r="C424" s="5529"/>
      <c r="D424" s="8473" t="s">
        <v>7111</v>
      </c>
      <c r="E424" s="8473"/>
      <c r="F424" s="8473"/>
      <c r="G424" s="8534" t="s">
        <v>7170</v>
      </c>
      <c r="H424" s="8535"/>
      <c r="I424" s="8535"/>
      <c r="J424" s="8536"/>
      <c r="K424" s="5739"/>
      <c r="L424" s="5530" t="s">
        <v>7114</v>
      </c>
    </row>
    <row r="425" spans="1:12" ht="30" customHeight="1" x14ac:dyDescent="0.2">
      <c r="A425" s="8476"/>
      <c r="B425" s="8468" t="s">
        <v>7110</v>
      </c>
      <c r="C425" s="5526"/>
      <c r="D425" s="8473" t="s">
        <v>7109</v>
      </c>
      <c r="E425" s="8473"/>
      <c r="F425" s="8473"/>
      <c r="G425" s="8537"/>
      <c r="H425" s="8538"/>
      <c r="I425" s="8538"/>
      <c r="J425" s="8539"/>
      <c r="K425" s="5739"/>
      <c r="L425" s="5530" t="s">
        <v>7115</v>
      </c>
    </row>
    <row r="426" spans="1:12" ht="30" customHeight="1" x14ac:dyDescent="0.2">
      <c r="A426" s="8476"/>
      <c r="B426" s="8474"/>
      <c r="C426" s="5526"/>
      <c r="D426" s="8473" t="s">
        <v>7112</v>
      </c>
      <c r="E426" s="8473"/>
      <c r="F426" s="8473"/>
      <c r="G426" s="5739"/>
      <c r="H426" s="5730"/>
      <c r="I426" s="5730"/>
      <c r="J426" s="5739"/>
      <c r="K426" s="5739"/>
      <c r="L426" s="5530" t="s">
        <v>7116</v>
      </c>
    </row>
    <row r="427" spans="1:12" ht="30" customHeight="1" x14ac:dyDescent="0.2">
      <c r="A427" s="8476"/>
      <c r="B427" s="5528" t="s">
        <v>7110</v>
      </c>
      <c r="C427" s="5532"/>
      <c r="D427" s="5740">
        <v>50000000</v>
      </c>
      <c r="E427" s="5740"/>
      <c r="F427" s="5740"/>
      <c r="G427" s="5739"/>
      <c r="H427" s="5730"/>
      <c r="I427" s="5730"/>
      <c r="J427" s="5730"/>
      <c r="K427" s="5730"/>
      <c r="L427" s="5534" t="s">
        <v>7174</v>
      </c>
    </row>
    <row r="428" spans="1:12" ht="30" customHeight="1" x14ac:dyDescent="0.2">
      <c r="A428" s="8476"/>
      <c r="B428" s="5528" t="s">
        <v>7175</v>
      </c>
      <c r="C428" s="5532"/>
      <c r="D428" s="5740">
        <v>400000000</v>
      </c>
      <c r="E428" s="5740"/>
      <c r="F428" s="5740"/>
      <c r="G428" s="5739"/>
      <c r="H428" s="5730"/>
      <c r="I428" s="5730"/>
      <c r="J428" s="5730"/>
      <c r="K428" s="5730"/>
      <c r="L428" s="5534" t="s">
        <v>7176</v>
      </c>
    </row>
    <row r="429" spans="1:12" ht="30" customHeight="1" x14ac:dyDescent="0.2">
      <c r="A429" s="8477"/>
      <c r="B429" s="5528" t="s">
        <v>53</v>
      </c>
      <c r="C429" s="5532"/>
      <c r="D429" s="5740">
        <v>500000000</v>
      </c>
      <c r="E429" s="5740"/>
      <c r="F429" s="5740"/>
      <c r="G429" s="5739"/>
      <c r="H429" s="5730"/>
      <c r="I429" s="5730"/>
      <c r="J429" s="5730"/>
      <c r="K429" s="5730"/>
      <c r="L429" s="5534" t="s">
        <v>7177</v>
      </c>
    </row>
    <row r="430" spans="1:12" ht="30" customHeight="1" x14ac:dyDescent="0.2">
      <c r="A430" s="7654">
        <v>193</v>
      </c>
      <c r="B430" s="7652" t="s">
        <v>54</v>
      </c>
      <c r="C430" s="7723" t="s">
        <v>1306</v>
      </c>
      <c r="D430" s="5594">
        <v>75000000</v>
      </c>
      <c r="E430" s="5606">
        <v>0.05</v>
      </c>
      <c r="F430" s="5594">
        <f>D430*E430</f>
        <v>3750000</v>
      </c>
      <c r="G430" s="6204">
        <v>6250000</v>
      </c>
      <c r="H430" s="6204" t="s">
        <v>7281</v>
      </c>
      <c r="I430" s="6204" t="s">
        <v>4136</v>
      </c>
      <c r="J430" s="6204">
        <f>G430</f>
        <v>6250000</v>
      </c>
      <c r="K430" s="6204">
        <f>(F430+F431)-J430</f>
        <v>0</v>
      </c>
      <c r="L430" s="29" t="s">
        <v>6807</v>
      </c>
    </row>
    <row r="431" spans="1:12" ht="30" customHeight="1" x14ac:dyDescent="0.2">
      <c r="A431" s="7655"/>
      <c r="B431" s="7653"/>
      <c r="C431" s="7724"/>
      <c r="D431" s="5594">
        <v>50000000</v>
      </c>
      <c r="E431" s="5606">
        <v>0.05</v>
      </c>
      <c r="F431" s="5594">
        <f>D431*E431</f>
        <v>2500000</v>
      </c>
      <c r="G431" s="6204">
        <v>6250000</v>
      </c>
      <c r="H431" s="6204" t="s">
        <v>7709</v>
      </c>
      <c r="I431" s="6204" t="s">
        <v>4136</v>
      </c>
      <c r="J431" s="6204">
        <f>G431</f>
        <v>6250000</v>
      </c>
      <c r="K431" s="6204">
        <f>(F430+F431)-J431</f>
        <v>0</v>
      </c>
      <c r="L431" s="29" t="s">
        <v>7501</v>
      </c>
    </row>
    <row r="432" spans="1:12" ht="30" customHeight="1" x14ac:dyDescent="0.2">
      <c r="A432" s="5596">
        <v>194</v>
      </c>
      <c r="B432" s="5613" t="s">
        <v>55</v>
      </c>
      <c r="C432" s="5657" t="s">
        <v>1287</v>
      </c>
      <c r="D432" s="5586">
        <v>160000000</v>
      </c>
      <c r="E432" s="1027">
        <v>0.05</v>
      </c>
      <c r="F432" s="5586">
        <f>D432*E432</f>
        <v>8000000</v>
      </c>
      <c r="G432" s="5586">
        <v>8000000</v>
      </c>
      <c r="H432" s="5662" t="s">
        <v>7293</v>
      </c>
      <c r="I432" s="5662" t="s">
        <v>3184</v>
      </c>
      <c r="J432" s="5586">
        <f>G432</f>
        <v>8000000</v>
      </c>
      <c r="K432" s="5586">
        <f>J432-J432</f>
        <v>0</v>
      </c>
      <c r="L432" s="5690"/>
    </row>
    <row r="433" spans="1:16" ht="30" customHeight="1" x14ac:dyDescent="0.2">
      <c r="A433" s="7654">
        <v>195</v>
      </c>
      <c r="B433" s="7652" t="s">
        <v>56</v>
      </c>
      <c r="C433" s="7723" t="s">
        <v>990</v>
      </c>
      <c r="D433" s="7563">
        <v>10000000</v>
      </c>
      <c r="E433" s="7659">
        <v>0.05</v>
      </c>
      <c r="F433" s="7563">
        <f t="shared" ref="F433:F540" si="39">D433*E433</f>
        <v>500000</v>
      </c>
      <c r="G433" s="5594">
        <v>500000</v>
      </c>
      <c r="H433" s="5594" t="s">
        <v>7293</v>
      </c>
      <c r="I433" s="5714" t="s">
        <v>1121</v>
      </c>
      <c r="J433" s="5594">
        <f t="shared" ref="J433:J475" si="40">G433</f>
        <v>500000</v>
      </c>
      <c r="K433" s="5594">
        <f t="shared" ref="K433:K456" si="41">F433-J433</f>
        <v>0</v>
      </c>
      <c r="L433" s="29" t="s">
        <v>6807</v>
      </c>
    </row>
    <row r="434" spans="1:16" ht="30" customHeight="1" x14ac:dyDescent="0.2">
      <c r="A434" s="7655"/>
      <c r="B434" s="7653"/>
      <c r="C434" s="7724"/>
      <c r="D434" s="7564"/>
      <c r="E434" s="7660"/>
      <c r="F434" s="7564"/>
      <c r="G434" s="6225">
        <v>500000</v>
      </c>
      <c r="H434" s="6225" t="s">
        <v>7718</v>
      </c>
      <c r="I434" s="6240" t="s">
        <v>1121</v>
      </c>
      <c r="J434" s="6225">
        <f t="shared" si="40"/>
        <v>500000</v>
      </c>
      <c r="K434" s="6225">
        <f>G434-J434</f>
        <v>0</v>
      </c>
      <c r="L434" s="29" t="s">
        <v>7501</v>
      </c>
    </row>
    <row r="435" spans="1:16" ht="30" customHeight="1" x14ac:dyDescent="0.2">
      <c r="A435" s="7654">
        <v>196</v>
      </c>
      <c r="B435" s="7652" t="s">
        <v>57</v>
      </c>
      <c r="C435" s="7723" t="s">
        <v>1107</v>
      </c>
      <c r="D435" s="7563">
        <v>60000000</v>
      </c>
      <c r="E435" s="7659">
        <v>0.05</v>
      </c>
      <c r="F435" s="7563">
        <f t="shared" ref="F435" si="42">D435*E435</f>
        <v>3000000</v>
      </c>
      <c r="G435" s="5742">
        <v>3000000</v>
      </c>
      <c r="H435" s="5742" t="s">
        <v>7293</v>
      </c>
      <c r="I435" s="5750" t="s">
        <v>3761</v>
      </c>
      <c r="J435" s="5742">
        <f t="shared" si="40"/>
        <v>3000000</v>
      </c>
      <c r="K435" s="5742">
        <f>F435-J435</f>
        <v>0</v>
      </c>
      <c r="L435" s="29" t="s">
        <v>6807</v>
      </c>
    </row>
    <row r="436" spans="1:16" ht="30" customHeight="1" x14ac:dyDescent="0.2">
      <c r="A436" s="7655"/>
      <c r="B436" s="7653"/>
      <c r="C436" s="7724"/>
      <c r="D436" s="7564"/>
      <c r="E436" s="7660"/>
      <c r="F436" s="7564"/>
      <c r="G436" s="6260">
        <v>3000000</v>
      </c>
      <c r="H436" s="6260" t="s">
        <v>7727</v>
      </c>
      <c r="I436" s="6263" t="s">
        <v>3761</v>
      </c>
      <c r="J436" s="6260">
        <f t="shared" si="40"/>
        <v>3000000</v>
      </c>
      <c r="K436" s="6260">
        <f>F435-J436</f>
        <v>0</v>
      </c>
      <c r="L436" s="29" t="s">
        <v>7501</v>
      </c>
    </row>
    <row r="437" spans="1:16" ht="30" customHeight="1" x14ac:dyDescent="0.2">
      <c r="A437" s="7879">
        <v>197</v>
      </c>
      <c r="B437" s="7717" t="s">
        <v>4151</v>
      </c>
      <c r="C437" s="7873" t="s">
        <v>1134</v>
      </c>
      <c r="D437" s="6224">
        <v>100000000</v>
      </c>
      <c r="E437" s="6233">
        <v>0.05</v>
      </c>
      <c r="F437" s="6224">
        <f t="shared" si="39"/>
        <v>5000000</v>
      </c>
      <c r="G437" s="7482">
        <v>12000000</v>
      </c>
      <c r="H437" s="7482" t="s">
        <v>7293</v>
      </c>
      <c r="I437" s="7482" t="s">
        <v>4152</v>
      </c>
      <c r="J437" s="7482">
        <f t="shared" si="40"/>
        <v>12000000</v>
      </c>
      <c r="K437" s="7482">
        <f>(F437+F438)-J437</f>
        <v>0</v>
      </c>
      <c r="L437" s="7713" t="s">
        <v>6807</v>
      </c>
      <c r="M437" s="366"/>
      <c r="N437" s="366"/>
      <c r="O437" s="366"/>
      <c r="P437" s="366"/>
    </row>
    <row r="438" spans="1:16" ht="30" customHeight="1" x14ac:dyDescent="0.2">
      <c r="A438" s="7879"/>
      <c r="B438" s="7717"/>
      <c r="C438" s="7873"/>
      <c r="D438" s="6224">
        <v>100000000</v>
      </c>
      <c r="E438" s="6233">
        <v>7.0000000000000007E-2</v>
      </c>
      <c r="F438" s="6224">
        <f t="shared" si="39"/>
        <v>7000000.0000000009</v>
      </c>
      <c r="G438" s="7482"/>
      <c r="H438" s="7482"/>
      <c r="I438" s="7482"/>
      <c r="J438" s="7482"/>
      <c r="K438" s="7482"/>
      <c r="L438" s="7714"/>
      <c r="M438" s="366"/>
      <c r="N438" s="366"/>
      <c r="O438" s="366"/>
      <c r="P438" s="366"/>
    </row>
    <row r="439" spans="1:16" ht="30" customHeight="1" x14ac:dyDescent="0.2">
      <c r="A439" s="7879"/>
      <c r="B439" s="7717"/>
      <c r="C439" s="7873"/>
      <c r="D439" s="6224">
        <v>100000000</v>
      </c>
      <c r="E439" s="6233">
        <v>0.05</v>
      </c>
      <c r="F439" s="6224">
        <f t="shared" ref="F439:F440" si="43">D439*E439</f>
        <v>5000000</v>
      </c>
      <c r="G439" s="7563">
        <v>12000000</v>
      </c>
      <c r="H439" s="7563" t="s">
        <v>7718</v>
      </c>
      <c r="I439" s="7482" t="s">
        <v>4152</v>
      </c>
      <c r="J439" s="7563">
        <f>G439</f>
        <v>12000000</v>
      </c>
      <c r="K439" s="7563">
        <f>(F439+F440)-J439</f>
        <v>0</v>
      </c>
      <c r="L439" s="7713" t="s">
        <v>7501</v>
      </c>
      <c r="M439" s="366"/>
      <c r="N439" s="366"/>
      <c r="O439" s="366"/>
      <c r="P439" s="366"/>
    </row>
    <row r="440" spans="1:16" ht="30" customHeight="1" x14ac:dyDescent="0.2">
      <c r="A440" s="7879"/>
      <c r="B440" s="7717"/>
      <c r="C440" s="7873"/>
      <c r="D440" s="6224">
        <v>100000000</v>
      </c>
      <c r="E440" s="6233">
        <v>7.0000000000000007E-2</v>
      </c>
      <c r="F440" s="6224">
        <f t="shared" si="43"/>
        <v>7000000.0000000009</v>
      </c>
      <c r="G440" s="7564"/>
      <c r="H440" s="7564"/>
      <c r="I440" s="7482"/>
      <c r="J440" s="7564"/>
      <c r="K440" s="7564"/>
      <c r="L440" s="7714"/>
      <c r="M440" s="366"/>
      <c r="N440" s="366"/>
      <c r="O440" s="366"/>
      <c r="P440" s="366"/>
    </row>
    <row r="441" spans="1:16" ht="30" customHeight="1" x14ac:dyDescent="0.2">
      <c r="A441" s="7656">
        <v>198</v>
      </c>
      <c r="B441" s="7665" t="s">
        <v>59</v>
      </c>
      <c r="C441" s="7723" t="s">
        <v>1796</v>
      </c>
      <c r="D441" s="7563">
        <v>30000000</v>
      </c>
      <c r="E441" s="7659">
        <v>8.5000000000000006E-2</v>
      </c>
      <c r="F441" s="7563">
        <v>2500000</v>
      </c>
      <c r="G441" s="6226">
        <v>2500000</v>
      </c>
      <c r="H441" s="5819" t="s">
        <v>7281</v>
      </c>
      <c r="I441" s="5819" t="s">
        <v>2503</v>
      </c>
      <c r="J441" s="5819">
        <f t="shared" si="40"/>
        <v>2500000</v>
      </c>
      <c r="K441" s="5819">
        <f t="shared" si="41"/>
        <v>0</v>
      </c>
      <c r="L441" s="29" t="s">
        <v>6807</v>
      </c>
      <c r="M441" s="366"/>
      <c r="N441" s="366"/>
      <c r="O441" s="366"/>
      <c r="P441" s="366"/>
    </row>
    <row r="442" spans="1:16" ht="30" customHeight="1" x14ac:dyDescent="0.2">
      <c r="A442" s="7656"/>
      <c r="B442" s="7665"/>
      <c r="C442" s="7724"/>
      <c r="D442" s="7564"/>
      <c r="E442" s="7660"/>
      <c r="F442" s="7564"/>
      <c r="G442" s="6275">
        <v>2500000</v>
      </c>
      <c r="H442" s="6275" t="s">
        <v>7727</v>
      </c>
      <c r="I442" s="6275" t="s">
        <v>2503</v>
      </c>
      <c r="J442" s="6275">
        <f>G442</f>
        <v>2500000</v>
      </c>
      <c r="K442" s="6275">
        <f>F441-J442</f>
        <v>0</v>
      </c>
      <c r="L442" s="29" t="s">
        <v>7501</v>
      </c>
      <c r="M442" s="366"/>
      <c r="N442" s="366"/>
      <c r="O442" s="366"/>
      <c r="P442" s="366"/>
    </row>
    <row r="443" spans="1:16" ht="30" customHeight="1" x14ac:dyDescent="0.2">
      <c r="A443" s="7655"/>
      <c r="B443" s="7653"/>
      <c r="C443" s="5657" t="s">
        <v>1718</v>
      </c>
      <c r="D443" s="5594">
        <v>100000000</v>
      </c>
      <c r="E443" s="5652">
        <v>7.0000000000000007E-2</v>
      </c>
      <c r="F443" s="5594">
        <f>D443*E443</f>
        <v>7000000.0000000009</v>
      </c>
      <c r="G443" s="5586">
        <v>7000000</v>
      </c>
      <c r="H443" s="5594" t="s">
        <v>7550</v>
      </c>
      <c r="I443" s="5594" t="s">
        <v>2503</v>
      </c>
      <c r="J443" s="5594">
        <f>G443</f>
        <v>7000000</v>
      </c>
      <c r="K443" s="5594">
        <f>F443-J443</f>
        <v>0</v>
      </c>
      <c r="L443" s="29"/>
      <c r="M443" s="366"/>
      <c r="N443" s="366"/>
      <c r="O443" s="366"/>
      <c r="P443" s="366"/>
    </row>
    <row r="444" spans="1:16" ht="30" customHeight="1" x14ac:dyDescent="0.2">
      <c r="A444" s="7654">
        <v>199</v>
      </c>
      <c r="B444" s="7652" t="s">
        <v>60</v>
      </c>
      <c r="C444" s="7723" t="s">
        <v>1100</v>
      </c>
      <c r="D444" s="7563">
        <v>50000000</v>
      </c>
      <c r="E444" s="7659">
        <v>0.05</v>
      </c>
      <c r="F444" s="7563">
        <f t="shared" si="39"/>
        <v>2500000</v>
      </c>
      <c r="G444" s="5594">
        <v>2500000</v>
      </c>
      <c r="H444" s="5594" t="s">
        <v>7427</v>
      </c>
      <c r="I444" s="5586" t="s">
        <v>4776</v>
      </c>
      <c r="J444" s="5594">
        <f t="shared" si="40"/>
        <v>2500000</v>
      </c>
      <c r="K444" s="5594">
        <f t="shared" si="41"/>
        <v>0</v>
      </c>
      <c r="L444" s="29" t="s">
        <v>6807</v>
      </c>
      <c r="M444" s="366"/>
      <c r="N444" s="366"/>
      <c r="O444" s="366"/>
      <c r="P444" s="366"/>
    </row>
    <row r="445" spans="1:16" ht="30" customHeight="1" x14ac:dyDescent="0.2">
      <c r="A445" s="7655"/>
      <c r="B445" s="7653"/>
      <c r="C445" s="7724"/>
      <c r="D445" s="7564"/>
      <c r="E445" s="7660"/>
      <c r="F445" s="7564"/>
      <c r="G445" s="6272">
        <v>2500000</v>
      </c>
      <c r="H445" s="6272" t="s">
        <v>7727</v>
      </c>
      <c r="I445" s="6272" t="s">
        <v>7526</v>
      </c>
      <c r="J445" s="6272">
        <f>G445</f>
        <v>2500000</v>
      </c>
      <c r="K445" s="6275">
        <f>F444-J445</f>
        <v>0</v>
      </c>
      <c r="L445" s="29" t="s">
        <v>7501</v>
      </c>
      <c r="M445" s="366"/>
      <c r="N445" s="366"/>
      <c r="O445" s="366"/>
      <c r="P445" s="366"/>
    </row>
    <row r="446" spans="1:16" ht="30" customHeight="1" x14ac:dyDescent="0.2">
      <c r="A446" s="7654">
        <v>200</v>
      </c>
      <c r="B446" s="7652" t="s">
        <v>61</v>
      </c>
      <c r="C446" s="7723" t="s">
        <v>1081</v>
      </c>
      <c r="D446" s="7563">
        <v>550000000</v>
      </c>
      <c r="E446" s="7659">
        <v>7.0000000000000007E-2</v>
      </c>
      <c r="F446" s="7563">
        <f t="shared" si="39"/>
        <v>38500000</v>
      </c>
      <c r="G446" s="7954" t="s">
        <v>7491</v>
      </c>
      <c r="H446" s="7955"/>
      <c r="I446" s="7955"/>
      <c r="J446" s="7956"/>
      <c r="K446" s="5741">
        <f>F446-J446</f>
        <v>38500000</v>
      </c>
      <c r="L446" s="5725"/>
      <c r="M446" s="366"/>
      <c r="N446" s="366"/>
      <c r="O446" s="366"/>
      <c r="P446" s="366"/>
    </row>
    <row r="447" spans="1:16" ht="30" customHeight="1" x14ac:dyDescent="0.2">
      <c r="A447" s="7656"/>
      <c r="B447" s="7665"/>
      <c r="C447" s="7747"/>
      <c r="D447" s="7586"/>
      <c r="E447" s="7676"/>
      <c r="F447" s="7586"/>
      <c r="G447" s="5959">
        <v>23500000</v>
      </c>
      <c r="H447" s="5959" t="s">
        <v>4168</v>
      </c>
      <c r="I447" s="5978" t="s">
        <v>1574</v>
      </c>
      <c r="J447" s="5959">
        <f>G447</f>
        <v>23500000</v>
      </c>
      <c r="K447" s="5959">
        <f>38500000-J447-15000000</f>
        <v>0</v>
      </c>
      <c r="L447" s="6002" t="s">
        <v>6807</v>
      </c>
      <c r="M447" s="366"/>
      <c r="N447" s="366"/>
      <c r="O447" s="366"/>
      <c r="P447" s="366"/>
    </row>
    <row r="448" spans="1:16" ht="30" customHeight="1" x14ac:dyDescent="0.2">
      <c r="A448" s="7656"/>
      <c r="B448" s="7665"/>
      <c r="C448" s="7747"/>
      <c r="D448" s="7586"/>
      <c r="E448" s="7676"/>
      <c r="F448" s="7586"/>
      <c r="G448" s="6305">
        <v>18500000</v>
      </c>
      <c r="H448" s="6305" t="s">
        <v>7774</v>
      </c>
      <c r="I448" s="6326" t="s">
        <v>1574</v>
      </c>
      <c r="J448" s="7563">
        <f>G448+G449</f>
        <v>38500000</v>
      </c>
      <c r="K448" s="7563">
        <f>F446-J448</f>
        <v>0</v>
      </c>
      <c r="L448" s="7818"/>
      <c r="M448" s="366"/>
      <c r="N448" s="366"/>
      <c r="O448" s="366"/>
      <c r="P448" s="366"/>
    </row>
    <row r="449" spans="1:16" ht="30" customHeight="1" x14ac:dyDescent="0.2">
      <c r="A449" s="7655"/>
      <c r="B449" s="7653"/>
      <c r="C449" s="7724"/>
      <c r="D449" s="7564"/>
      <c r="E449" s="7660"/>
      <c r="F449" s="7564"/>
      <c r="G449" s="6305">
        <v>20000000</v>
      </c>
      <c r="H449" s="6305" t="s">
        <v>7810</v>
      </c>
      <c r="I449" s="6326" t="s">
        <v>1574</v>
      </c>
      <c r="J449" s="7564"/>
      <c r="K449" s="7564"/>
      <c r="L449" s="7819"/>
      <c r="M449" s="366"/>
      <c r="N449" s="366"/>
      <c r="O449" s="366"/>
      <c r="P449" s="366"/>
    </row>
    <row r="450" spans="1:16" ht="30" customHeight="1" x14ac:dyDescent="0.2">
      <c r="A450" s="7654">
        <v>201</v>
      </c>
      <c r="B450" s="7652" t="s">
        <v>62</v>
      </c>
      <c r="C450" s="7723"/>
      <c r="D450" s="7563">
        <v>60000000</v>
      </c>
      <c r="E450" s="7659">
        <v>7.0000000000000007E-2</v>
      </c>
      <c r="F450" s="7563">
        <v>4500000</v>
      </c>
      <c r="G450" s="5594">
        <v>4500000</v>
      </c>
      <c r="H450" s="5594" t="s">
        <v>7281</v>
      </c>
      <c r="I450" s="5758" t="s">
        <v>7289</v>
      </c>
      <c r="J450" s="5594">
        <f t="shared" si="40"/>
        <v>4500000</v>
      </c>
      <c r="K450" s="5594">
        <f t="shared" si="41"/>
        <v>0</v>
      </c>
      <c r="L450" s="29" t="s">
        <v>6807</v>
      </c>
      <c r="M450" s="366"/>
      <c r="N450" s="366"/>
      <c r="O450" s="366"/>
      <c r="P450" s="366"/>
    </row>
    <row r="451" spans="1:16" ht="30" customHeight="1" x14ac:dyDescent="0.2">
      <c r="A451" s="7655"/>
      <c r="B451" s="7653"/>
      <c r="C451" s="7724"/>
      <c r="D451" s="7564"/>
      <c r="E451" s="7660"/>
      <c r="F451" s="7564"/>
      <c r="G451" s="6305">
        <v>4500000</v>
      </c>
      <c r="H451" s="6305" t="s">
        <v>7774</v>
      </c>
      <c r="I451" s="115" t="s">
        <v>1211</v>
      </c>
      <c r="J451" s="6305">
        <f>G451</f>
        <v>4500000</v>
      </c>
      <c r="K451" s="6305">
        <f>F450-J451</f>
        <v>0</v>
      </c>
      <c r="L451" s="29" t="s">
        <v>7501</v>
      </c>
      <c r="M451" s="366"/>
      <c r="N451" s="366"/>
      <c r="O451" s="366"/>
      <c r="P451" s="366"/>
    </row>
    <row r="452" spans="1:16" ht="30" customHeight="1" x14ac:dyDescent="0.2">
      <c r="A452" s="7885">
        <v>202</v>
      </c>
      <c r="B452" s="7652" t="s">
        <v>63</v>
      </c>
      <c r="C452" s="7723" t="s">
        <v>1081</v>
      </c>
      <c r="D452" s="7563">
        <v>100000000</v>
      </c>
      <c r="E452" s="7659">
        <v>0.05</v>
      </c>
      <c r="F452" s="7563">
        <f t="shared" si="39"/>
        <v>5000000</v>
      </c>
      <c r="G452" s="5586">
        <v>5000000</v>
      </c>
      <c r="H452" s="5594" t="s">
        <v>7298</v>
      </c>
      <c r="I452" s="5714" t="s">
        <v>3889</v>
      </c>
      <c r="J452" s="5594">
        <f t="shared" si="40"/>
        <v>5000000</v>
      </c>
      <c r="K452" s="5594">
        <f t="shared" si="41"/>
        <v>0</v>
      </c>
      <c r="L452" s="5690" t="s">
        <v>5478</v>
      </c>
      <c r="M452" s="366"/>
      <c r="N452" s="366"/>
      <c r="O452" s="366"/>
      <c r="P452" s="366"/>
    </row>
    <row r="453" spans="1:16" ht="30" customHeight="1" x14ac:dyDescent="0.2">
      <c r="A453" s="7886"/>
      <c r="B453" s="7653"/>
      <c r="C453" s="7724"/>
      <c r="D453" s="7564"/>
      <c r="E453" s="7660"/>
      <c r="F453" s="7564"/>
      <c r="G453" s="6305">
        <v>5000000</v>
      </c>
      <c r="H453" s="6305" t="s">
        <v>7757</v>
      </c>
      <c r="I453" s="6349" t="s">
        <v>1261</v>
      </c>
      <c r="J453" s="6305">
        <f>G453</f>
        <v>5000000</v>
      </c>
      <c r="K453" s="6305">
        <f>F452-J453</f>
        <v>0</v>
      </c>
      <c r="L453" s="6346" t="s">
        <v>7501</v>
      </c>
      <c r="M453" s="366"/>
      <c r="N453" s="366"/>
      <c r="O453" s="366"/>
      <c r="P453" s="366"/>
    </row>
    <row r="454" spans="1:16" ht="30" customHeight="1" x14ac:dyDescent="0.2">
      <c r="A454" s="7654">
        <v>203</v>
      </c>
      <c r="B454" s="7652" t="s">
        <v>1244</v>
      </c>
      <c r="C454" s="7723" t="s">
        <v>1081</v>
      </c>
      <c r="D454" s="7563">
        <v>60000000</v>
      </c>
      <c r="E454" s="7659">
        <v>0.05</v>
      </c>
      <c r="F454" s="7563">
        <f t="shared" si="39"/>
        <v>3000000</v>
      </c>
      <c r="G454" s="5594">
        <v>3000000</v>
      </c>
      <c r="H454" s="5594" t="s">
        <v>7306</v>
      </c>
      <c r="I454" s="5714" t="s">
        <v>1154</v>
      </c>
      <c r="J454" s="5594">
        <f t="shared" si="40"/>
        <v>3000000</v>
      </c>
      <c r="K454" s="5594">
        <f t="shared" si="41"/>
        <v>0</v>
      </c>
      <c r="L454" s="29" t="s">
        <v>6807</v>
      </c>
    </row>
    <row r="455" spans="1:16" ht="30" customHeight="1" x14ac:dyDescent="0.2">
      <c r="A455" s="7655"/>
      <c r="B455" s="7653"/>
      <c r="C455" s="7724"/>
      <c r="D455" s="7564"/>
      <c r="E455" s="7660"/>
      <c r="F455" s="7564"/>
      <c r="G455" s="6305">
        <v>3000000</v>
      </c>
      <c r="H455" s="6305" t="s">
        <v>7795</v>
      </c>
      <c r="I455" s="6349" t="s">
        <v>1551</v>
      </c>
      <c r="J455" s="6305">
        <f t="shared" si="40"/>
        <v>3000000</v>
      </c>
      <c r="K455" s="6305">
        <f>F454-J455</f>
        <v>0</v>
      </c>
      <c r="L455" s="29" t="s">
        <v>7801</v>
      </c>
    </row>
    <row r="456" spans="1:16" ht="30" customHeight="1" x14ac:dyDescent="0.2">
      <c r="A456" s="7654">
        <v>205</v>
      </c>
      <c r="B456" s="7652" t="s">
        <v>65</v>
      </c>
      <c r="C456" s="7723" t="s">
        <v>3245</v>
      </c>
      <c r="D456" s="7563">
        <v>15000000</v>
      </c>
      <c r="E456" s="7659">
        <v>0.04</v>
      </c>
      <c r="F456" s="7563">
        <f t="shared" si="39"/>
        <v>600000</v>
      </c>
      <c r="G456" s="5594">
        <v>600000</v>
      </c>
      <c r="H456" s="5594" t="s">
        <v>7281</v>
      </c>
      <c r="I456" s="5714" t="s">
        <v>3244</v>
      </c>
      <c r="J456" s="5594">
        <f t="shared" si="40"/>
        <v>600000</v>
      </c>
      <c r="K456" s="5594">
        <f t="shared" si="41"/>
        <v>0</v>
      </c>
      <c r="L456" s="29" t="s">
        <v>6807</v>
      </c>
    </row>
    <row r="457" spans="1:16" ht="30" customHeight="1" x14ac:dyDescent="0.2">
      <c r="A457" s="7656"/>
      <c r="B457" s="7665"/>
      <c r="C457" s="7747"/>
      <c r="D457" s="7586"/>
      <c r="E457" s="7676"/>
      <c r="F457" s="7586"/>
      <c r="G457" s="6304">
        <v>600000</v>
      </c>
      <c r="H457" s="6304" t="s">
        <v>7757</v>
      </c>
      <c r="I457" s="6348" t="s">
        <v>3244</v>
      </c>
      <c r="J457" s="6304">
        <f t="shared" si="40"/>
        <v>600000</v>
      </c>
      <c r="K457" s="6304">
        <f>F456-J457</f>
        <v>0</v>
      </c>
      <c r="L457" s="29" t="s">
        <v>7501</v>
      </c>
    </row>
    <row r="458" spans="1:16" ht="30" customHeight="1" x14ac:dyDescent="0.2">
      <c r="A458" s="7655"/>
      <c r="B458" s="7653"/>
      <c r="C458" s="7724"/>
      <c r="D458" s="7564"/>
      <c r="E458" s="7660"/>
      <c r="F458" s="7564"/>
      <c r="G458" s="6301">
        <v>600000</v>
      </c>
      <c r="H458" s="6301" t="s">
        <v>7757</v>
      </c>
      <c r="I458" s="6334" t="s">
        <v>7526</v>
      </c>
      <c r="J458" s="6301">
        <f t="shared" si="40"/>
        <v>600000</v>
      </c>
      <c r="K458" s="6301">
        <f>F456-J458</f>
        <v>0</v>
      </c>
      <c r="L458" s="29" t="s">
        <v>6571</v>
      </c>
    </row>
    <row r="459" spans="1:16" ht="30" customHeight="1" x14ac:dyDescent="0.2">
      <c r="A459" s="7654">
        <v>207</v>
      </c>
      <c r="B459" s="7652" t="s">
        <v>2676</v>
      </c>
      <c r="C459" s="7723" t="s">
        <v>681</v>
      </c>
      <c r="D459" s="6272">
        <v>150000000</v>
      </c>
      <c r="E459" s="6292">
        <v>0.04</v>
      </c>
      <c r="F459" s="6272">
        <f t="shared" si="39"/>
        <v>6000000</v>
      </c>
      <c r="G459" s="5592">
        <v>6000000</v>
      </c>
      <c r="H459" s="5592" t="s">
        <v>7306</v>
      </c>
      <c r="I459" s="5621" t="s">
        <v>3739</v>
      </c>
      <c r="J459" s="5592">
        <f t="shared" si="40"/>
        <v>6000000</v>
      </c>
      <c r="K459" s="5592">
        <f>F459-J459</f>
        <v>0</v>
      </c>
      <c r="L459" s="29" t="s">
        <v>6807</v>
      </c>
    </row>
    <row r="460" spans="1:16" ht="30" customHeight="1" x14ac:dyDescent="0.2">
      <c r="A460" s="7655"/>
      <c r="B460" s="7653"/>
      <c r="C460" s="7724"/>
      <c r="D460" s="6272">
        <v>160000000</v>
      </c>
      <c r="E460" s="6292">
        <v>0.04</v>
      </c>
      <c r="F460" s="6272">
        <f t="shared" si="39"/>
        <v>6400000</v>
      </c>
      <c r="G460" s="6273">
        <v>6400000</v>
      </c>
      <c r="H460" s="6273" t="s">
        <v>7727</v>
      </c>
      <c r="I460" s="6280" t="s">
        <v>7744</v>
      </c>
      <c r="J460" s="6273">
        <f t="shared" si="40"/>
        <v>6400000</v>
      </c>
      <c r="K460" s="6273">
        <f>F460-J460</f>
        <v>0</v>
      </c>
      <c r="L460" s="29" t="s">
        <v>7501</v>
      </c>
    </row>
    <row r="461" spans="1:16" ht="30" customHeight="1" x14ac:dyDescent="0.2">
      <c r="A461" s="7654">
        <v>208</v>
      </c>
      <c r="B461" s="7652" t="s">
        <v>69</v>
      </c>
      <c r="C461" s="7723" t="s">
        <v>1100</v>
      </c>
      <c r="D461" s="7563">
        <v>15000000</v>
      </c>
      <c r="E461" s="7659">
        <v>0.04</v>
      </c>
      <c r="F461" s="7563">
        <f t="shared" si="39"/>
        <v>600000</v>
      </c>
      <c r="G461" s="5586">
        <v>600000</v>
      </c>
      <c r="H461" s="5586" t="s">
        <v>7298</v>
      </c>
      <c r="I461" s="5662" t="s">
        <v>1099</v>
      </c>
      <c r="J461" s="5586">
        <f t="shared" si="40"/>
        <v>600000</v>
      </c>
      <c r="K461" s="5586">
        <f t="shared" ref="K461:K476" si="44">F461-J461</f>
        <v>0</v>
      </c>
      <c r="L461" s="5725" t="s">
        <v>6807</v>
      </c>
    </row>
    <row r="462" spans="1:16" ht="30" customHeight="1" x14ac:dyDescent="0.2">
      <c r="A462" s="7655"/>
      <c r="B462" s="7653"/>
      <c r="C462" s="7724"/>
      <c r="D462" s="7564"/>
      <c r="E462" s="7660"/>
      <c r="F462" s="7564"/>
      <c r="G462" s="6365">
        <v>600000</v>
      </c>
      <c r="H462" s="6365" t="s">
        <v>7810</v>
      </c>
      <c r="I462" s="6373" t="s">
        <v>1099</v>
      </c>
      <c r="J462" s="6365">
        <f t="shared" si="40"/>
        <v>600000</v>
      </c>
      <c r="K462" s="6365">
        <f>F461-J462</f>
        <v>0</v>
      </c>
      <c r="L462" s="6381" t="s">
        <v>7501</v>
      </c>
    </row>
    <row r="463" spans="1:16" ht="30" customHeight="1" x14ac:dyDescent="0.2">
      <c r="A463" s="5655">
        <v>210</v>
      </c>
      <c r="B463" s="5613" t="s">
        <v>72</v>
      </c>
      <c r="C463" s="7723" t="s">
        <v>392</v>
      </c>
      <c r="D463" s="5594">
        <v>50000000</v>
      </c>
      <c r="E463" s="5652">
        <v>7.0000000000000007E-2</v>
      </c>
      <c r="F463" s="5594">
        <f t="shared" si="39"/>
        <v>3500000.0000000005</v>
      </c>
      <c r="G463" s="7563">
        <v>7000000</v>
      </c>
      <c r="H463" s="7563" t="s">
        <v>7531</v>
      </c>
      <c r="I463" s="7561" t="s">
        <v>4892</v>
      </c>
      <c r="J463" s="7563">
        <f t="shared" si="40"/>
        <v>7000000</v>
      </c>
      <c r="K463" s="7563">
        <f>(F463+F464)-J463</f>
        <v>0</v>
      </c>
      <c r="L463" s="5613"/>
    </row>
    <row r="464" spans="1:16" ht="30" customHeight="1" x14ac:dyDescent="0.2">
      <c r="A464" s="5655"/>
      <c r="B464" s="5613" t="s">
        <v>4821</v>
      </c>
      <c r="C464" s="7724"/>
      <c r="D464" s="5594">
        <v>50000000</v>
      </c>
      <c r="E464" s="5652">
        <v>7.0000000000000007E-2</v>
      </c>
      <c r="F464" s="5594">
        <f t="shared" si="39"/>
        <v>3500000.0000000005</v>
      </c>
      <c r="G464" s="7564"/>
      <c r="H464" s="7564"/>
      <c r="I464" s="7562"/>
      <c r="J464" s="7564"/>
      <c r="K464" s="7564"/>
      <c r="L464" s="5613"/>
    </row>
    <row r="465" spans="1:12" ht="30" customHeight="1" x14ac:dyDescent="0.2">
      <c r="A465" s="7654">
        <v>211</v>
      </c>
      <c r="B465" s="7652" t="s">
        <v>73</v>
      </c>
      <c r="C465" s="7723" t="s">
        <v>1295</v>
      </c>
      <c r="D465" s="5594">
        <v>100000000</v>
      </c>
      <c r="E465" s="5652">
        <v>5.5E-2</v>
      </c>
      <c r="F465" s="5594">
        <f t="shared" si="39"/>
        <v>5500000</v>
      </c>
      <c r="G465" s="7563">
        <v>11000000</v>
      </c>
      <c r="H465" s="7563" t="s">
        <v>7424</v>
      </c>
      <c r="I465" s="7561" t="s">
        <v>4001</v>
      </c>
      <c r="J465" s="7563">
        <f t="shared" si="40"/>
        <v>11000000</v>
      </c>
      <c r="K465" s="7563">
        <f>(F466+F465)-J465</f>
        <v>0</v>
      </c>
      <c r="L465" s="5672"/>
    </row>
    <row r="466" spans="1:12" ht="30" customHeight="1" x14ac:dyDescent="0.2">
      <c r="A466" s="7655"/>
      <c r="B466" s="7653"/>
      <c r="C466" s="7724"/>
      <c r="D466" s="5594">
        <v>100000000</v>
      </c>
      <c r="E466" s="5652">
        <v>5.5E-2</v>
      </c>
      <c r="F466" s="5594">
        <f t="shared" si="39"/>
        <v>5500000</v>
      </c>
      <c r="G466" s="7564"/>
      <c r="H466" s="7564"/>
      <c r="I466" s="7562"/>
      <c r="J466" s="7564"/>
      <c r="K466" s="7564"/>
      <c r="L466" s="5672"/>
    </row>
    <row r="467" spans="1:12" ht="30" customHeight="1" x14ac:dyDescent="0.2">
      <c r="A467" s="7654">
        <v>212</v>
      </c>
      <c r="B467" s="7652" t="s">
        <v>74</v>
      </c>
      <c r="C467" s="7723" t="s">
        <v>889</v>
      </c>
      <c r="D467" s="5594">
        <v>30000000</v>
      </c>
      <c r="E467" s="5652">
        <v>0.05</v>
      </c>
      <c r="F467" s="5594">
        <f t="shared" si="39"/>
        <v>1500000</v>
      </c>
      <c r="G467" s="7563">
        <v>3200000</v>
      </c>
      <c r="H467" s="7563" t="s">
        <v>7427</v>
      </c>
      <c r="I467" s="7561" t="s">
        <v>1275</v>
      </c>
      <c r="J467" s="7563">
        <f t="shared" si="40"/>
        <v>3200000</v>
      </c>
      <c r="K467" s="7563">
        <f>(F467+F468+F469)-J467</f>
        <v>0</v>
      </c>
      <c r="L467" s="5613"/>
    </row>
    <row r="468" spans="1:12" ht="30" customHeight="1" x14ac:dyDescent="0.2">
      <c r="A468" s="7656"/>
      <c r="B468" s="7665"/>
      <c r="C468" s="7747"/>
      <c r="D468" s="5594">
        <v>10000000</v>
      </c>
      <c r="E468" s="5652">
        <v>0.05</v>
      </c>
      <c r="F468" s="5594">
        <f t="shared" si="39"/>
        <v>500000</v>
      </c>
      <c r="G468" s="7564"/>
      <c r="H468" s="7564"/>
      <c r="I468" s="7562"/>
      <c r="J468" s="7564"/>
      <c r="K468" s="7564"/>
      <c r="L468" s="5613"/>
    </row>
    <row r="469" spans="1:12" ht="30" customHeight="1" x14ac:dyDescent="0.2">
      <c r="A469" s="7656"/>
      <c r="B469" s="7665"/>
      <c r="C469" s="7747"/>
      <c r="D469" s="7563">
        <v>20000000</v>
      </c>
      <c r="E469" s="7659">
        <v>0.06</v>
      </c>
      <c r="F469" s="7563">
        <f t="shared" si="39"/>
        <v>1200000</v>
      </c>
      <c r="G469" s="7732" t="s">
        <v>6534</v>
      </c>
      <c r="H469" s="7733"/>
      <c r="I469" s="7733"/>
      <c r="J469" s="7734"/>
      <c r="K469" s="5594"/>
      <c r="L469" s="5672" t="s">
        <v>6533</v>
      </c>
    </row>
    <row r="470" spans="1:12" ht="30" customHeight="1" x14ac:dyDescent="0.2">
      <c r="A470" s="7655"/>
      <c r="B470" s="7653"/>
      <c r="C470" s="7724"/>
      <c r="D470" s="7564"/>
      <c r="E470" s="7660"/>
      <c r="F470" s="7564"/>
      <c r="G470" s="7732" t="s">
        <v>7386</v>
      </c>
      <c r="H470" s="7733"/>
      <c r="I470" s="7733"/>
      <c r="J470" s="7734"/>
      <c r="K470" s="5594"/>
      <c r="L470" s="5672" t="s">
        <v>6535</v>
      </c>
    </row>
    <row r="471" spans="1:12" ht="30" customHeight="1" x14ac:dyDescent="0.2">
      <c r="A471" s="5655">
        <v>213</v>
      </c>
      <c r="B471" s="5613" t="s">
        <v>5115</v>
      </c>
      <c r="C471" s="5634" t="s">
        <v>889</v>
      </c>
      <c r="D471" s="5594">
        <v>15000000</v>
      </c>
      <c r="E471" s="5652">
        <v>4.7E-2</v>
      </c>
      <c r="F471" s="5594">
        <v>700000</v>
      </c>
      <c r="G471" s="5594">
        <v>700000</v>
      </c>
      <c r="H471" s="5594" t="s">
        <v>7424</v>
      </c>
      <c r="I471" s="5714" t="s">
        <v>325</v>
      </c>
      <c r="J471" s="5594">
        <f t="shared" si="40"/>
        <v>700000</v>
      </c>
      <c r="K471" s="5594">
        <f t="shared" si="44"/>
        <v>0</v>
      </c>
      <c r="L471" s="5613"/>
    </row>
    <row r="472" spans="1:12" ht="30" customHeight="1" x14ac:dyDescent="0.2">
      <c r="A472" s="5655">
        <v>214</v>
      </c>
      <c r="B472" s="5613" t="s">
        <v>937</v>
      </c>
      <c r="C472" s="5634"/>
      <c r="D472" s="5594">
        <v>200000000</v>
      </c>
      <c r="E472" s="5652">
        <v>5.5E-2</v>
      </c>
      <c r="F472" s="5594">
        <f t="shared" si="39"/>
        <v>11000000</v>
      </c>
      <c r="G472" s="5594">
        <v>11000000</v>
      </c>
      <c r="H472" s="5594" t="s">
        <v>1269</v>
      </c>
      <c r="I472" s="5714" t="s">
        <v>3974</v>
      </c>
      <c r="J472" s="5594">
        <f t="shared" si="40"/>
        <v>11000000</v>
      </c>
      <c r="K472" s="5594">
        <f t="shared" si="44"/>
        <v>0</v>
      </c>
      <c r="L472" s="5613"/>
    </row>
    <row r="473" spans="1:12" ht="30" customHeight="1" x14ac:dyDescent="0.2">
      <c r="A473" s="5596">
        <v>216</v>
      </c>
      <c r="B473" s="5658" t="s">
        <v>77</v>
      </c>
      <c r="C473" s="5633" t="s">
        <v>889</v>
      </c>
      <c r="D473" s="5594">
        <v>460000000</v>
      </c>
      <c r="E473" s="5652">
        <v>0.05</v>
      </c>
      <c r="F473" s="5594">
        <f t="shared" si="39"/>
        <v>23000000</v>
      </c>
      <c r="G473" s="5594">
        <v>23000000</v>
      </c>
      <c r="H473" s="5594" t="s">
        <v>7516</v>
      </c>
      <c r="I473" s="5714" t="s">
        <v>3401</v>
      </c>
      <c r="J473" s="5592">
        <f>G473</f>
        <v>23000000</v>
      </c>
      <c r="K473" s="5594">
        <f t="shared" si="44"/>
        <v>0</v>
      </c>
      <c r="L473" s="5613"/>
    </row>
    <row r="474" spans="1:12" ht="30" customHeight="1" x14ac:dyDescent="0.2">
      <c r="A474" s="5596">
        <v>217</v>
      </c>
      <c r="B474" s="5747" t="s">
        <v>79</v>
      </c>
      <c r="C474" s="5756"/>
      <c r="D474" s="5742">
        <v>160000000</v>
      </c>
      <c r="E474" s="5748">
        <v>0.05</v>
      </c>
      <c r="F474" s="5742">
        <f t="shared" si="39"/>
        <v>8000000</v>
      </c>
      <c r="G474" s="5743"/>
      <c r="H474" s="5743"/>
      <c r="I474" s="5763"/>
      <c r="J474" s="5592">
        <f t="shared" si="40"/>
        <v>0</v>
      </c>
      <c r="K474" s="5742">
        <f t="shared" si="44"/>
        <v>8000000</v>
      </c>
      <c r="L474" s="5619"/>
    </row>
    <row r="475" spans="1:12" ht="30" customHeight="1" x14ac:dyDescent="0.2">
      <c r="A475" s="5762">
        <v>218</v>
      </c>
      <c r="B475" s="5766" t="s">
        <v>80</v>
      </c>
      <c r="C475" s="5773"/>
      <c r="D475" s="5745">
        <v>45000000</v>
      </c>
      <c r="E475" s="2519">
        <v>0.04</v>
      </c>
      <c r="F475" s="5745">
        <f t="shared" si="39"/>
        <v>1800000</v>
      </c>
      <c r="G475" s="5745"/>
      <c r="H475" s="5745"/>
      <c r="I475" s="5817" t="s">
        <v>1695</v>
      </c>
      <c r="J475" s="5745">
        <f t="shared" si="40"/>
        <v>0</v>
      </c>
      <c r="K475" s="5745">
        <f t="shared" si="44"/>
        <v>1800000</v>
      </c>
      <c r="L475" s="5613"/>
    </row>
    <row r="476" spans="1:12" ht="30" customHeight="1" x14ac:dyDescent="0.2">
      <c r="A476" s="5655">
        <v>221</v>
      </c>
      <c r="B476" s="5658" t="s">
        <v>326</v>
      </c>
      <c r="C476" s="5633" t="s">
        <v>1652</v>
      </c>
      <c r="D476" s="5592">
        <v>275000000</v>
      </c>
      <c r="E476" s="5604">
        <v>4.2000000000000003E-2</v>
      </c>
      <c r="F476" s="5592">
        <f>D476*E476</f>
        <v>11550000</v>
      </c>
      <c r="G476" s="5593">
        <v>11550000</v>
      </c>
      <c r="H476" s="5593" t="s">
        <v>7511</v>
      </c>
      <c r="I476" s="5713" t="s">
        <v>1654</v>
      </c>
      <c r="J476" s="5592">
        <f>G476</f>
        <v>11550000</v>
      </c>
      <c r="K476" s="5592">
        <f t="shared" si="44"/>
        <v>0</v>
      </c>
      <c r="L476" s="5607"/>
    </row>
    <row r="477" spans="1:12" ht="30" customHeight="1" x14ac:dyDescent="0.2">
      <c r="A477" s="7654">
        <v>222</v>
      </c>
      <c r="B477" s="7652" t="s">
        <v>1818</v>
      </c>
      <c r="C477" s="7723" t="s">
        <v>1287</v>
      </c>
      <c r="D477" s="7563">
        <v>700000000</v>
      </c>
      <c r="E477" s="7659">
        <v>0.06</v>
      </c>
      <c r="F477" s="7563">
        <f>D477*E477</f>
        <v>42000000</v>
      </c>
      <c r="G477" s="5586">
        <v>22000000</v>
      </c>
      <c r="H477" s="5586" t="s">
        <v>1269</v>
      </c>
      <c r="I477" s="5662" t="s">
        <v>3724</v>
      </c>
      <c r="J477" s="7563">
        <f>G477+G478</f>
        <v>42000000</v>
      </c>
      <c r="K477" s="7563">
        <f>F477-J477</f>
        <v>0</v>
      </c>
      <c r="L477" s="5657"/>
    </row>
    <row r="478" spans="1:12" ht="30" customHeight="1" x14ac:dyDescent="0.2">
      <c r="A478" s="7655"/>
      <c r="B478" s="7653"/>
      <c r="C478" s="7724"/>
      <c r="D478" s="7564"/>
      <c r="E478" s="7660"/>
      <c r="F478" s="7564"/>
      <c r="G478" s="6128">
        <v>20000000</v>
      </c>
      <c r="H478" s="6128" t="s">
        <v>7614</v>
      </c>
      <c r="I478" s="6162" t="s">
        <v>3724</v>
      </c>
      <c r="J478" s="7564"/>
      <c r="K478" s="7564"/>
      <c r="L478" s="6149"/>
    </row>
    <row r="479" spans="1:12" ht="30" customHeight="1" x14ac:dyDescent="0.2">
      <c r="A479" s="5655">
        <v>224</v>
      </c>
      <c r="B479" s="19" t="s">
        <v>2623</v>
      </c>
      <c r="C479" s="5657"/>
      <c r="D479" s="5586">
        <v>10000000</v>
      </c>
      <c r="E479" s="5652">
        <v>0.05</v>
      </c>
      <c r="F479" s="5586">
        <f t="shared" si="39"/>
        <v>500000</v>
      </c>
      <c r="G479" s="5594"/>
      <c r="H479" s="5594"/>
      <c r="I479" s="5714" t="s">
        <v>3934</v>
      </c>
      <c r="J479" s="5594">
        <f t="shared" ref="J479:J482" si="45">G479</f>
        <v>0</v>
      </c>
      <c r="K479" s="5594">
        <f t="shared" ref="K479:K482" si="46">F479-J479</f>
        <v>500000</v>
      </c>
      <c r="L479" s="5613"/>
    </row>
    <row r="480" spans="1:12" ht="30" customHeight="1" x14ac:dyDescent="0.2">
      <c r="A480" s="7654">
        <v>226</v>
      </c>
      <c r="B480" s="7652" t="s">
        <v>86</v>
      </c>
      <c r="C480" s="7723" t="s">
        <v>889</v>
      </c>
      <c r="D480" s="7563">
        <v>500000000</v>
      </c>
      <c r="E480" s="7659">
        <v>0.06</v>
      </c>
      <c r="F480" s="7563">
        <f>D480*E480</f>
        <v>30000000</v>
      </c>
      <c r="G480" s="5742">
        <v>20000000</v>
      </c>
      <c r="H480" s="5742" t="s">
        <v>7460</v>
      </c>
      <c r="I480" s="5742" t="s">
        <v>2391</v>
      </c>
      <c r="J480" s="7563">
        <f>G480+G481</f>
        <v>30000000</v>
      </c>
      <c r="K480" s="7563">
        <f>F480-J480</f>
        <v>0</v>
      </c>
      <c r="L480" s="5620"/>
    </row>
    <row r="481" spans="1:12" ht="30" customHeight="1" x14ac:dyDescent="0.2">
      <c r="A481" s="7655"/>
      <c r="B481" s="7653"/>
      <c r="C481" s="7724"/>
      <c r="D481" s="7564"/>
      <c r="E481" s="7660"/>
      <c r="F481" s="7564"/>
      <c r="G481" s="6010">
        <v>10000000</v>
      </c>
      <c r="H481" s="6010" t="s">
        <v>7511</v>
      </c>
      <c r="I481" s="6010" t="s">
        <v>2391</v>
      </c>
      <c r="J481" s="7564"/>
      <c r="K481" s="7564"/>
      <c r="L481" s="6015"/>
    </row>
    <row r="482" spans="1:12" ht="30" customHeight="1" x14ac:dyDescent="0.2">
      <c r="A482" s="5655">
        <v>228</v>
      </c>
      <c r="B482" s="5613" t="s">
        <v>88</v>
      </c>
      <c r="C482" s="5634" t="s">
        <v>1176</v>
      </c>
      <c r="D482" s="5594">
        <v>10000000</v>
      </c>
      <c r="E482" s="5652">
        <v>0.04</v>
      </c>
      <c r="F482" s="5594">
        <f t="shared" si="39"/>
        <v>400000</v>
      </c>
      <c r="G482" s="5741">
        <v>400000</v>
      </c>
      <c r="H482" s="5741" t="s">
        <v>7531</v>
      </c>
      <c r="I482" s="5769" t="s">
        <v>417</v>
      </c>
      <c r="J482" s="5741">
        <f t="shared" si="45"/>
        <v>400000</v>
      </c>
      <c r="K482" s="5741">
        <f t="shared" si="46"/>
        <v>0</v>
      </c>
      <c r="L482" s="5613"/>
    </row>
    <row r="483" spans="1:12" ht="30" customHeight="1" x14ac:dyDescent="0.2">
      <c r="A483" s="7654"/>
      <c r="B483" s="7652" t="s">
        <v>89</v>
      </c>
      <c r="C483" s="7723" t="s">
        <v>942</v>
      </c>
      <c r="D483" s="5594">
        <v>180000000</v>
      </c>
      <c r="E483" s="5652">
        <v>0.05</v>
      </c>
      <c r="F483" s="5594">
        <f>D483*E483</f>
        <v>9000000</v>
      </c>
      <c r="G483" s="7563"/>
      <c r="H483" s="7563"/>
      <c r="I483" s="7563" t="s">
        <v>3969</v>
      </c>
      <c r="J483" s="7563">
        <f>G483</f>
        <v>0</v>
      </c>
      <c r="K483" s="7563"/>
      <c r="L483" s="5672" t="s">
        <v>6026</v>
      </c>
    </row>
    <row r="484" spans="1:12" ht="30" customHeight="1" x14ac:dyDescent="0.2">
      <c r="A484" s="7656"/>
      <c r="B484" s="7665"/>
      <c r="C484" s="7747"/>
      <c r="D484" s="5594">
        <v>150000000</v>
      </c>
      <c r="E484" s="5652">
        <v>0.05</v>
      </c>
      <c r="F484" s="5594">
        <f>D484*E484</f>
        <v>7500000</v>
      </c>
      <c r="G484" s="7564"/>
      <c r="H484" s="7564"/>
      <c r="I484" s="7564"/>
      <c r="J484" s="7564"/>
      <c r="K484" s="7564"/>
      <c r="L484" s="5672" t="s">
        <v>6332</v>
      </c>
    </row>
    <row r="485" spans="1:12" ht="30" customHeight="1" x14ac:dyDescent="0.2">
      <c r="A485" s="7656"/>
      <c r="B485" s="7665"/>
      <c r="C485" s="7747"/>
      <c r="D485" s="5594">
        <v>10000000</v>
      </c>
      <c r="E485" s="5652">
        <v>0.05</v>
      </c>
      <c r="F485" s="5594">
        <f>D485*E485</f>
        <v>500000</v>
      </c>
      <c r="G485" s="7732" t="s">
        <v>7139</v>
      </c>
      <c r="H485" s="7733"/>
      <c r="I485" s="7733"/>
      <c r="J485" s="7734"/>
      <c r="K485" s="5594"/>
      <c r="L485" s="7674" t="s">
        <v>7232</v>
      </c>
    </row>
    <row r="486" spans="1:12" ht="30" customHeight="1" x14ac:dyDescent="0.2">
      <c r="A486" s="7656"/>
      <c r="B486" s="7665"/>
      <c r="C486" s="7747"/>
      <c r="D486" s="5594">
        <v>10000000</v>
      </c>
      <c r="E486" s="5652">
        <v>0.05</v>
      </c>
      <c r="F486" s="5594">
        <f>D486*E486</f>
        <v>500000</v>
      </c>
      <c r="G486" s="7732" t="s">
        <v>7140</v>
      </c>
      <c r="H486" s="7733"/>
      <c r="I486" s="7733"/>
      <c r="J486" s="7734"/>
      <c r="K486" s="5594"/>
      <c r="L486" s="7675"/>
    </row>
    <row r="487" spans="1:12" ht="30" customHeight="1" x14ac:dyDescent="0.2">
      <c r="A487" s="7655"/>
      <c r="B487" s="7653"/>
      <c r="C487" s="7724"/>
      <c r="D487" s="5994">
        <f>SUM(D483:D486)</f>
        <v>350000000</v>
      </c>
      <c r="E487" s="6006">
        <v>0.05</v>
      </c>
      <c r="F487" s="5994">
        <f>D487*E487</f>
        <v>17500000</v>
      </c>
      <c r="G487" s="5956">
        <v>17500000</v>
      </c>
      <c r="H487" s="5956" t="s">
        <v>4168</v>
      </c>
      <c r="I487" s="5956" t="s">
        <v>3969</v>
      </c>
      <c r="J487" s="5956">
        <f>G487</f>
        <v>17500000</v>
      </c>
      <c r="K487" s="5959">
        <f>F487-J487</f>
        <v>0</v>
      </c>
      <c r="L487" s="5993" t="s">
        <v>6807</v>
      </c>
    </row>
    <row r="488" spans="1:12" ht="30" customHeight="1" x14ac:dyDescent="0.2">
      <c r="A488" s="5655"/>
      <c r="B488" s="19" t="s">
        <v>5008</v>
      </c>
      <c r="C488" s="5657" t="s">
        <v>1718</v>
      </c>
      <c r="D488" s="5586">
        <v>50000000</v>
      </c>
      <c r="E488" s="5652">
        <v>0.05</v>
      </c>
      <c r="F488" s="5586">
        <f t="shared" si="39"/>
        <v>2500000</v>
      </c>
      <c r="G488" s="5586">
        <v>2500000</v>
      </c>
      <c r="H488" s="5586" t="s">
        <v>3879</v>
      </c>
      <c r="I488" s="5586" t="s">
        <v>6904</v>
      </c>
      <c r="J488" s="5586">
        <f>G488</f>
        <v>2500000</v>
      </c>
      <c r="K488" s="5586">
        <v>0</v>
      </c>
      <c r="L488" s="5736"/>
    </row>
    <row r="489" spans="1:12" ht="30" customHeight="1" x14ac:dyDescent="0.2">
      <c r="A489" s="5596">
        <v>231</v>
      </c>
      <c r="B489" s="5658" t="s">
        <v>91</v>
      </c>
      <c r="C489" s="5657" t="s">
        <v>1080</v>
      </c>
      <c r="D489" s="5594">
        <v>20000000</v>
      </c>
      <c r="E489" s="5606">
        <v>0.05</v>
      </c>
      <c r="F489" s="5594">
        <f t="shared" si="39"/>
        <v>1000000</v>
      </c>
      <c r="G489" s="5586">
        <v>1000000</v>
      </c>
      <c r="H489" s="5586" t="s">
        <v>7427</v>
      </c>
      <c r="I489" s="5735" t="s">
        <v>298</v>
      </c>
      <c r="J489" s="5586">
        <f>G489</f>
        <v>1000000</v>
      </c>
      <c r="K489" s="5586">
        <f>F489-G489</f>
        <v>0</v>
      </c>
      <c r="L489" s="5725"/>
    </row>
    <row r="490" spans="1:12" ht="30" customHeight="1" x14ac:dyDescent="0.2">
      <c r="A490" s="5655">
        <v>233</v>
      </c>
      <c r="B490" s="5613" t="s">
        <v>275</v>
      </c>
      <c r="C490" s="5634" t="s">
        <v>372</v>
      </c>
      <c r="D490" s="5594">
        <v>50000000</v>
      </c>
      <c r="E490" s="5652">
        <v>0.05</v>
      </c>
      <c r="F490" s="5594">
        <f t="shared" si="39"/>
        <v>2500000</v>
      </c>
      <c r="G490" s="5594">
        <v>2500000</v>
      </c>
      <c r="H490" s="5594" t="s">
        <v>7614</v>
      </c>
      <c r="I490" s="5714" t="s">
        <v>5699</v>
      </c>
      <c r="J490" s="5594">
        <f t="shared" ref="J490:J501" si="47">G490</f>
        <v>2500000</v>
      </c>
      <c r="K490" s="5594">
        <f t="shared" ref="K490:K499" si="48">F490-J490</f>
        <v>0</v>
      </c>
      <c r="L490" s="5725"/>
    </row>
    <row r="491" spans="1:12" ht="30" customHeight="1" x14ac:dyDescent="0.2">
      <c r="A491" s="5655">
        <v>234</v>
      </c>
      <c r="B491" s="5658" t="s">
        <v>93</v>
      </c>
      <c r="C491" s="5657" t="s">
        <v>1293</v>
      </c>
      <c r="D491" s="5586">
        <v>400000000</v>
      </c>
      <c r="E491" s="5652">
        <f>F491/D491</f>
        <v>5.2499999999999998E-2</v>
      </c>
      <c r="F491" s="5586">
        <v>21000000</v>
      </c>
      <c r="G491" s="5586">
        <v>21000000</v>
      </c>
      <c r="H491" s="5586" t="s">
        <v>7531</v>
      </c>
      <c r="I491" s="5662" t="s">
        <v>506</v>
      </c>
      <c r="J491" s="5586">
        <f t="shared" si="47"/>
        <v>21000000</v>
      </c>
      <c r="K491" s="5594">
        <f t="shared" si="48"/>
        <v>0</v>
      </c>
      <c r="L491" s="5663"/>
    </row>
    <row r="492" spans="1:12" ht="30" customHeight="1" x14ac:dyDescent="0.2">
      <c r="A492" s="5596">
        <v>235</v>
      </c>
      <c r="B492" s="5613" t="s">
        <v>94</v>
      </c>
      <c r="C492" s="5657" t="s">
        <v>1172</v>
      </c>
      <c r="D492" s="5586">
        <v>60000000</v>
      </c>
      <c r="E492" s="5652">
        <v>0.05</v>
      </c>
      <c r="F492" s="5586">
        <f t="shared" si="39"/>
        <v>3000000</v>
      </c>
      <c r="G492" s="5586">
        <v>3000000</v>
      </c>
      <c r="H492" s="5586" t="s">
        <v>7511</v>
      </c>
      <c r="I492" s="4394" t="s">
        <v>4384</v>
      </c>
      <c r="J492" s="5586">
        <f t="shared" si="47"/>
        <v>3000000</v>
      </c>
      <c r="K492" s="5586">
        <f t="shared" si="48"/>
        <v>0</v>
      </c>
      <c r="L492" s="5706"/>
    </row>
    <row r="493" spans="1:12" ht="30" customHeight="1" x14ac:dyDescent="0.2">
      <c r="A493" s="5655">
        <v>236</v>
      </c>
      <c r="B493" s="5613" t="s">
        <v>95</v>
      </c>
      <c r="C493" s="5634"/>
      <c r="D493" s="5594">
        <v>20000000</v>
      </c>
      <c r="E493" s="5652">
        <v>0.05</v>
      </c>
      <c r="F493" s="5594">
        <f>D493*E493</f>
        <v>1000000</v>
      </c>
      <c r="G493" s="5594">
        <v>1000000</v>
      </c>
      <c r="H493" s="5594" t="s">
        <v>7614</v>
      </c>
      <c r="I493" s="5638" t="s">
        <v>334</v>
      </c>
      <c r="J493" s="5594">
        <f t="shared" si="47"/>
        <v>1000000</v>
      </c>
      <c r="K493" s="5594">
        <f t="shared" si="48"/>
        <v>0</v>
      </c>
      <c r="L493" s="5725"/>
    </row>
    <row r="494" spans="1:12" ht="30" customHeight="1" x14ac:dyDescent="0.2">
      <c r="A494" s="7654"/>
      <c r="B494" s="5602" t="s">
        <v>96</v>
      </c>
      <c r="C494" s="7723" t="s">
        <v>1718</v>
      </c>
      <c r="D494" s="5594">
        <v>55000000</v>
      </c>
      <c r="E494" s="5652">
        <v>0.05</v>
      </c>
      <c r="F494" s="5594">
        <f>D494*E494</f>
        <v>2750000</v>
      </c>
      <c r="G494" s="7563">
        <v>5250000</v>
      </c>
      <c r="H494" s="7563" t="s">
        <v>7550</v>
      </c>
      <c r="I494" s="7563" t="s">
        <v>4415</v>
      </c>
      <c r="J494" s="7563">
        <f>G494</f>
        <v>5250000</v>
      </c>
      <c r="K494" s="7563">
        <f>(F494+F495)-J494</f>
        <v>0</v>
      </c>
      <c r="L494" s="7679"/>
    </row>
    <row r="495" spans="1:12" ht="30" customHeight="1" x14ac:dyDescent="0.2">
      <c r="A495" s="7655"/>
      <c r="B495" s="5602" t="s">
        <v>2011</v>
      </c>
      <c r="C495" s="7724"/>
      <c r="D495" s="5594">
        <v>50000000</v>
      </c>
      <c r="E495" s="5652">
        <v>0.05</v>
      </c>
      <c r="F495" s="5594">
        <f>D495*E495</f>
        <v>2500000</v>
      </c>
      <c r="G495" s="7564"/>
      <c r="H495" s="7564"/>
      <c r="I495" s="7564"/>
      <c r="J495" s="7564"/>
      <c r="K495" s="7564"/>
      <c r="L495" s="7680"/>
    </row>
    <row r="496" spans="1:12" ht="30" customHeight="1" x14ac:dyDescent="0.2">
      <c r="A496" s="5597"/>
      <c r="B496" s="5602" t="s">
        <v>4008</v>
      </c>
      <c r="C496" s="5634" t="s">
        <v>262</v>
      </c>
      <c r="D496" s="5594">
        <v>10000000</v>
      </c>
      <c r="E496" s="5652">
        <v>0.05</v>
      </c>
      <c r="F496" s="5594">
        <f>D496*E496</f>
        <v>500000</v>
      </c>
      <c r="G496" s="5586">
        <v>500000</v>
      </c>
      <c r="H496" s="5586" t="s">
        <v>7531</v>
      </c>
      <c r="I496" s="5586" t="s">
        <v>5086</v>
      </c>
      <c r="J496" s="5586">
        <f>G496</f>
        <v>500000</v>
      </c>
      <c r="K496" s="5594">
        <f>F496-J496</f>
        <v>0</v>
      </c>
      <c r="L496" s="5620"/>
    </row>
    <row r="497" spans="1:14" ht="30" customHeight="1" x14ac:dyDescent="0.2">
      <c r="A497" s="7654">
        <v>238</v>
      </c>
      <c r="B497" s="7652" t="s">
        <v>97</v>
      </c>
      <c r="C497" s="7723" t="s">
        <v>1176</v>
      </c>
      <c r="D497" s="5594">
        <v>100000000</v>
      </c>
      <c r="E497" s="5652">
        <v>0.05</v>
      </c>
      <c r="F497" s="5594">
        <f t="shared" si="39"/>
        <v>5000000</v>
      </c>
      <c r="G497" s="8099" t="s">
        <v>6812</v>
      </c>
      <c r="H497" s="8100"/>
      <c r="I497" s="8100"/>
      <c r="J497" s="8101"/>
      <c r="K497" s="5594">
        <f t="shared" si="48"/>
        <v>5000000</v>
      </c>
      <c r="L497" s="5613"/>
    </row>
    <row r="498" spans="1:14" ht="30" customHeight="1" x14ac:dyDescent="0.2">
      <c r="A498" s="7655"/>
      <c r="B498" s="7653"/>
      <c r="C498" s="7724"/>
      <c r="D498" s="5630">
        <v>150000000</v>
      </c>
      <c r="E498" s="5719">
        <v>0.05</v>
      </c>
      <c r="F498" s="5630">
        <f t="shared" si="39"/>
        <v>7500000</v>
      </c>
      <c r="G498" s="5594">
        <v>7500000</v>
      </c>
      <c r="H498" s="5594" t="s">
        <v>7550</v>
      </c>
      <c r="I498" s="96" t="s">
        <v>3492</v>
      </c>
      <c r="J498" s="5594">
        <f>G498</f>
        <v>7500000</v>
      </c>
      <c r="K498" s="5594">
        <f>F498-J498</f>
        <v>0</v>
      </c>
      <c r="L498" s="5693" t="s">
        <v>6878</v>
      </c>
    </row>
    <row r="499" spans="1:14" ht="30" customHeight="1" x14ac:dyDescent="0.2">
      <c r="A499" s="5655">
        <v>239</v>
      </c>
      <c r="B499" s="5613" t="s">
        <v>98</v>
      </c>
      <c r="C499" s="5634" t="s">
        <v>372</v>
      </c>
      <c r="D499" s="5594">
        <v>50000000</v>
      </c>
      <c r="E499" s="5652">
        <v>0.05</v>
      </c>
      <c r="F499" s="5594">
        <f t="shared" si="39"/>
        <v>2500000</v>
      </c>
      <c r="G499" s="5594">
        <v>2500000</v>
      </c>
      <c r="H499" s="5594" t="s">
        <v>1975</v>
      </c>
      <c r="I499" s="5714" t="s">
        <v>348</v>
      </c>
      <c r="J499" s="5594">
        <f t="shared" si="47"/>
        <v>2500000</v>
      </c>
      <c r="K499" s="5594">
        <f t="shared" si="48"/>
        <v>0</v>
      </c>
      <c r="L499" s="5620"/>
    </row>
    <row r="500" spans="1:14" ht="30" customHeight="1" x14ac:dyDescent="0.2">
      <c r="A500" s="7654">
        <v>241</v>
      </c>
      <c r="B500" s="7652" t="s">
        <v>559</v>
      </c>
      <c r="C500" s="7873" t="s">
        <v>1796</v>
      </c>
      <c r="D500" s="5586">
        <v>20000000</v>
      </c>
      <c r="E500" s="5652">
        <v>7.0000000000000007E-2</v>
      </c>
      <c r="F500" s="5586">
        <f>D500*E500</f>
        <v>1400000.0000000002</v>
      </c>
      <c r="G500" s="6204">
        <v>2300000</v>
      </c>
      <c r="H500" s="6204" t="s">
        <v>7281</v>
      </c>
      <c r="I500" s="18" t="s">
        <v>557</v>
      </c>
      <c r="J500" s="6204">
        <f t="shared" si="47"/>
        <v>2300000</v>
      </c>
      <c r="K500" s="6204">
        <f>(F500+F501)-J500</f>
        <v>0</v>
      </c>
      <c r="L500" s="6221" t="s">
        <v>6807</v>
      </c>
    </row>
    <row r="501" spans="1:14" ht="30" customHeight="1" x14ac:dyDescent="0.2">
      <c r="A501" s="7656"/>
      <c r="B501" s="7653"/>
      <c r="C501" s="7873"/>
      <c r="D501" s="5586">
        <v>10000000</v>
      </c>
      <c r="E501" s="5652">
        <v>0.09</v>
      </c>
      <c r="F501" s="5586">
        <f>D501*E501</f>
        <v>900000</v>
      </c>
      <c r="G501" s="6204">
        <v>2300000</v>
      </c>
      <c r="H501" s="6204" t="s">
        <v>7709</v>
      </c>
      <c r="I501" s="18" t="s">
        <v>7714</v>
      </c>
      <c r="J501" s="6204">
        <f t="shared" si="47"/>
        <v>2300000</v>
      </c>
      <c r="K501" s="6204">
        <f>(F501+F500)-J501</f>
        <v>0</v>
      </c>
      <c r="L501" s="6222" t="s">
        <v>7501</v>
      </c>
    </row>
    <row r="502" spans="1:14" ht="30" customHeight="1" x14ac:dyDescent="0.2">
      <c r="A502" s="5655">
        <v>242</v>
      </c>
      <c r="B502" s="5613" t="s">
        <v>100</v>
      </c>
      <c r="C502" s="5634" t="s">
        <v>1652</v>
      </c>
      <c r="D502" s="5594">
        <v>140000000</v>
      </c>
      <c r="E502" s="5606">
        <v>4.4999999999999998E-2</v>
      </c>
      <c r="F502" s="5594">
        <f t="shared" si="39"/>
        <v>6300000</v>
      </c>
      <c r="G502" s="5594">
        <v>6300000</v>
      </c>
      <c r="H502" s="5594" t="s">
        <v>7550</v>
      </c>
      <c r="I502" s="5714" t="s">
        <v>3493</v>
      </c>
      <c r="J502" s="5594">
        <f>G502</f>
        <v>6300000</v>
      </c>
      <c r="K502" s="5594">
        <f t="shared" ref="K502:K507" si="49">F502-J502</f>
        <v>0</v>
      </c>
      <c r="L502" s="5690"/>
    </row>
    <row r="503" spans="1:14" ht="30" customHeight="1" x14ac:dyDescent="0.2">
      <c r="A503" s="5655">
        <v>243</v>
      </c>
      <c r="B503" s="19" t="s">
        <v>507</v>
      </c>
      <c r="C503" s="5657" t="s">
        <v>262</v>
      </c>
      <c r="D503" s="5586">
        <v>20000000</v>
      </c>
      <c r="E503" s="5652">
        <v>0.05</v>
      </c>
      <c r="F503" s="5586">
        <f>D503*E503</f>
        <v>1000000</v>
      </c>
      <c r="G503" s="5586">
        <v>1000000</v>
      </c>
      <c r="H503" s="5586" t="s">
        <v>7531</v>
      </c>
      <c r="I503" s="5586" t="s">
        <v>296</v>
      </c>
      <c r="J503" s="5586">
        <f>G503</f>
        <v>1000000</v>
      </c>
      <c r="K503" s="5586">
        <f t="shared" si="49"/>
        <v>0</v>
      </c>
      <c r="L503" s="5690"/>
      <c r="M503" s="248"/>
      <c r="N503" s="248"/>
    </row>
    <row r="504" spans="1:14" ht="30" customHeight="1" x14ac:dyDescent="0.2">
      <c r="A504" s="5655">
        <v>244</v>
      </c>
      <c r="B504" s="19" t="s">
        <v>101</v>
      </c>
      <c r="C504" s="5657" t="s">
        <v>372</v>
      </c>
      <c r="D504" s="5586">
        <v>60000000</v>
      </c>
      <c r="E504" s="5652">
        <v>0.06</v>
      </c>
      <c r="F504" s="5594">
        <f t="shared" ref="F504" si="50">D504*E504</f>
        <v>3600000</v>
      </c>
      <c r="G504" s="5586">
        <v>3600000</v>
      </c>
      <c r="H504" s="5586" t="s">
        <v>1975</v>
      </c>
      <c r="I504" s="5662" t="s">
        <v>3530</v>
      </c>
      <c r="J504" s="5586">
        <f>G504</f>
        <v>3600000</v>
      </c>
      <c r="K504" s="5586">
        <f>F504-J504</f>
        <v>0</v>
      </c>
      <c r="L504" s="5736"/>
    </row>
    <row r="505" spans="1:14" ht="30" customHeight="1" x14ac:dyDescent="0.2">
      <c r="A505" s="5655">
        <v>245</v>
      </c>
      <c r="B505" s="5613" t="s">
        <v>4058</v>
      </c>
      <c r="C505" s="5634" t="s">
        <v>262</v>
      </c>
      <c r="D505" s="5594">
        <v>70000000</v>
      </c>
      <c r="E505" s="5652">
        <v>0.05</v>
      </c>
      <c r="F505" s="5594">
        <f t="shared" si="39"/>
        <v>3500000</v>
      </c>
      <c r="G505" s="6104">
        <v>3500000</v>
      </c>
      <c r="H505" s="6104" t="s">
        <v>3879</v>
      </c>
      <c r="I505" s="6104" t="s">
        <v>7606</v>
      </c>
      <c r="J505" s="6104">
        <f>G505</f>
        <v>3500000</v>
      </c>
      <c r="K505" s="5594">
        <f t="shared" si="49"/>
        <v>0</v>
      </c>
      <c r="L505" s="5681" t="s">
        <v>7613</v>
      </c>
    </row>
    <row r="506" spans="1:14" ht="30" customHeight="1" x14ac:dyDescent="0.2">
      <c r="A506" s="5754">
        <v>246</v>
      </c>
      <c r="B506" s="5759" t="s">
        <v>103</v>
      </c>
      <c r="C506" s="5761" t="s">
        <v>1718</v>
      </c>
      <c r="D506" s="5752">
        <v>125000000</v>
      </c>
      <c r="E506" s="5765">
        <v>0.05</v>
      </c>
      <c r="F506" s="5752">
        <v>6300000</v>
      </c>
      <c r="G506" s="5741">
        <v>6300000</v>
      </c>
      <c r="H506" s="5741" t="s">
        <v>7511</v>
      </c>
      <c r="I506" s="5768" t="s">
        <v>2864</v>
      </c>
      <c r="J506" s="5741">
        <f>G506</f>
        <v>6300000</v>
      </c>
      <c r="K506" s="5741">
        <f>F506-J506</f>
        <v>0</v>
      </c>
      <c r="L506" s="5613"/>
    </row>
    <row r="507" spans="1:14" ht="30" customHeight="1" x14ac:dyDescent="0.2">
      <c r="A507" s="7654">
        <v>247</v>
      </c>
      <c r="B507" s="7652" t="s">
        <v>104</v>
      </c>
      <c r="C507" s="7723" t="s">
        <v>262</v>
      </c>
      <c r="D507" s="7846">
        <v>220000000</v>
      </c>
      <c r="E507" s="7659">
        <v>7.0000000000000007E-2</v>
      </c>
      <c r="F507" s="7563">
        <f t="shared" si="39"/>
        <v>15400000.000000002</v>
      </c>
      <c r="G507" s="5594">
        <v>10000000</v>
      </c>
      <c r="H507" s="5594" t="s">
        <v>7614</v>
      </c>
      <c r="I507" s="5714" t="s">
        <v>4090</v>
      </c>
      <c r="J507" s="7563">
        <f>G507+G508</f>
        <v>15400000</v>
      </c>
      <c r="K507" s="7563">
        <f t="shared" si="49"/>
        <v>0</v>
      </c>
      <c r="L507" s="5690"/>
      <c r="M507" s="5728"/>
      <c r="N507" s="859"/>
    </row>
    <row r="508" spans="1:14" ht="30" customHeight="1" x14ac:dyDescent="0.2">
      <c r="A508" s="7655"/>
      <c r="B508" s="7653"/>
      <c r="C508" s="7724"/>
      <c r="D508" s="7848"/>
      <c r="E508" s="7660"/>
      <c r="F508" s="7564"/>
      <c r="G508" s="6127">
        <v>5400000</v>
      </c>
      <c r="H508" s="6127" t="s">
        <v>7614</v>
      </c>
      <c r="I508" s="6161" t="s">
        <v>7625</v>
      </c>
      <c r="J508" s="7564"/>
      <c r="K508" s="7564"/>
      <c r="L508" s="6139"/>
      <c r="M508" s="859"/>
      <c r="N508" s="859"/>
    </row>
    <row r="509" spans="1:14" ht="30" customHeight="1" x14ac:dyDescent="0.2">
      <c r="A509" s="7654">
        <v>250</v>
      </c>
      <c r="B509" s="7652" t="s">
        <v>107</v>
      </c>
      <c r="C509" s="7723" t="s">
        <v>1718</v>
      </c>
      <c r="D509" s="5594">
        <v>200000000</v>
      </c>
      <c r="E509" s="5652">
        <v>0.05</v>
      </c>
      <c r="F509" s="5594">
        <f t="shared" si="39"/>
        <v>10000000</v>
      </c>
      <c r="G509" s="7563">
        <v>22500000</v>
      </c>
      <c r="H509" s="7563" t="s">
        <v>3879</v>
      </c>
      <c r="I509" s="7871" t="s">
        <v>6833</v>
      </c>
      <c r="J509" s="7563">
        <f t="shared" ref="J509:J534" si="51">G509</f>
        <v>22500000</v>
      </c>
      <c r="K509" s="7563">
        <f>(F509+F510)-J509</f>
        <v>0</v>
      </c>
      <c r="L509" s="7674"/>
    </row>
    <row r="510" spans="1:14" ht="30" customHeight="1" x14ac:dyDescent="0.2">
      <c r="A510" s="7655"/>
      <c r="B510" s="7653"/>
      <c r="C510" s="7724"/>
      <c r="D510" s="5594">
        <v>250000000</v>
      </c>
      <c r="E510" s="5652">
        <v>0.05</v>
      </c>
      <c r="F510" s="5594">
        <f t="shared" si="39"/>
        <v>12500000</v>
      </c>
      <c r="G510" s="7564"/>
      <c r="H510" s="7564"/>
      <c r="I510" s="7872"/>
      <c r="J510" s="7564"/>
      <c r="K510" s="7564"/>
      <c r="L510" s="7675"/>
    </row>
    <row r="511" spans="1:14" ht="30" customHeight="1" x14ac:dyDescent="0.2">
      <c r="A511" s="7654">
        <v>251</v>
      </c>
      <c r="B511" s="7652" t="s">
        <v>1830</v>
      </c>
      <c r="C511" s="7723" t="s">
        <v>371</v>
      </c>
      <c r="D511" s="5586">
        <v>90000000</v>
      </c>
      <c r="E511" s="5652">
        <v>0.06</v>
      </c>
      <c r="F511" s="5586">
        <f t="shared" si="39"/>
        <v>5400000</v>
      </c>
      <c r="G511" s="7563">
        <v>15200000</v>
      </c>
      <c r="H511" s="7563" t="s">
        <v>7521</v>
      </c>
      <c r="I511" s="7561" t="s">
        <v>5060</v>
      </c>
      <c r="J511" s="7482">
        <f t="shared" si="51"/>
        <v>15200000</v>
      </c>
      <c r="K511" s="7563">
        <f>(F511+F512+F513)-J511</f>
        <v>0</v>
      </c>
      <c r="L511" s="5693"/>
    </row>
    <row r="512" spans="1:14" ht="30" customHeight="1" x14ac:dyDescent="0.2">
      <c r="A512" s="7656"/>
      <c r="B512" s="7665"/>
      <c r="C512" s="7747"/>
      <c r="D512" s="5586">
        <v>100000000</v>
      </c>
      <c r="E512" s="5652">
        <v>7.0000000000000007E-2</v>
      </c>
      <c r="F512" s="5586">
        <f t="shared" si="39"/>
        <v>7000000.0000000009</v>
      </c>
      <c r="G512" s="7586"/>
      <c r="H512" s="7586"/>
      <c r="I512" s="7672"/>
      <c r="J512" s="7482"/>
      <c r="K512" s="7586"/>
      <c r="L512" s="5672"/>
    </row>
    <row r="513" spans="1:12" ht="30" customHeight="1" x14ac:dyDescent="0.2">
      <c r="A513" s="7656"/>
      <c r="B513" s="7665"/>
      <c r="C513" s="7747"/>
      <c r="D513" s="5594">
        <v>40000000</v>
      </c>
      <c r="E513" s="5606">
        <v>7.0000000000000007E-2</v>
      </c>
      <c r="F513" s="5594">
        <f t="shared" si="39"/>
        <v>2800000.0000000005</v>
      </c>
      <c r="G513" s="7564"/>
      <c r="H513" s="7586"/>
      <c r="I513" s="7672"/>
      <c r="J513" s="7482"/>
      <c r="K513" s="7564"/>
      <c r="L513" s="5672"/>
    </row>
    <row r="514" spans="1:12" ht="30" customHeight="1" x14ac:dyDescent="0.2">
      <c r="A514" s="7655"/>
      <c r="B514" s="7653"/>
      <c r="C514" s="7724"/>
      <c r="D514" s="5745">
        <v>32000000</v>
      </c>
      <c r="E514" s="5745"/>
      <c r="F514" s="5745"/>
      <c r="G514" s="5592"/>
      <c r="H514" s="5592"/>
      <c r="I514" s="5621"/>
      <c r="J514" s="5593"/>
      <c r="K514" s="5593"/>
      <c r="L514" s="5672" t="s">
        <v>7257</v>
      </c>
    </row>
    <row r="515" spans="1:12" ht="30" customHeight="1" x14ac:dyDescent="0.2">
      <c r="A515" s="7654"/>
      <c r="B515" s="7652" t="s">
        <v>4605</v>
      </c>
      <c r="C515" s="7723" t="s">
        <v>1293</v>
      </c>
      <c r="D515" s="5594">
        <v>150000000</v>
      </c>
      <c r="E515" s="5606">
        <v>0.06</v>
      </c>
      <c r="F515" s="5594">
        <f t="shared" si="39"/>
        <v>9000000</v>
      </c>
      <c r="G515" s="7563">
        <v>19500000</v>
      </c>
      <c r="H515" s="7563" t="s">
        <v>7310</v>
      </c>
      <c r="I515" s="7561" t="s">
        <v>7315</v>
      </c>
      <c r="J515" s="7563">
        <f>G515</f>
        <v>19500000</v>
      </c>
      <c r="K515" s="7563">
        <f>F519-J515</f>
        <v>0</v>
      </c>
      <c r="L515" s="5840"/>
    </row>
    <row r="516" spans="1:12" ht="30" customHeight="1" x14ac:dyDescent="0.2">
      <c r="A516" s="7656"/>
      <c r="B516" s="7665"/>
      <c r="C516" s="7747"/>
      <c r="D516" s="5594">
        <v>90000000</v>
      </c>
      <c r="E516" s="5606">
        <v>0.06</v>
      </c>
      <c r="F516" s="5594">
        <f t="shared" si="39"/>
        <v>5400000</v>
      </c>
      <c r="G516" s="7586"/>
      <c r="H516" s="7586"/>
      <c r="I516" s="7672"/>
      <c r="J516" s="7586"/>
      <c r="K516" s="7586"/>
      <c r="L516" s="5845"/>
    </row>
    <row r="517" spans="1:12" ht="30" customHeight="1" x14ac:dyDescent="0.2">
      <c r="A517" s="7656"/>
      <c r="B517" s="7665"/>
      <c r="C517" s="7747"/>
      <c r="D517" s="5594">
        <v>70000000</v>
      </c>
      <c r="E517" s="5606">
        <v>0.06</v>
      </c>
      <c r="F517" s="5594">
        <f t="shared" si="39"/>
        <v>4200000</v>
      </c>
      <c r="G517" s="7586"/>
      <c r="H517" s="7586"/>
      <c r="I517" s="7672"/>
      <c r="J517" s="7586"/>
      <c r="K517" s="7586"/>
      <c r="L517" s="5845"/>
    </row>
    <row r="518" spans="1:12" ht="30" customHeight="1" x14ac:dyDescent="0.2">
      <c r="A518" s="7656"/>
      <c r="B518" s="7665"/>
      <c r="C518" s="7747"/>
      <c r="D518" s="5586">
        <v>15000000</v>
      </c>
      <c r="E518" s="5606">
        <v>0.06</v>
      </c>
      <c r="F518" s="5594">
        <f t="shared" si="39"/>
        <v>900000</v>
      </c>
      <c r="G518" s="7586"/>
      <c r="H518" s="7586"/>
      <c r="I518" s="7672"/>
      <c r="J518" s="7586"/>
      <c r="K518" s="7586"/>
      <c r="L518" s="5845"/>
    </row>
    <row r="519" spans="1:12" ht="30" customHeight="1" x14ac:dyDescent="0.2">
      <c r="A519" s="7656"/>
      <c r="B519" s="7665"/>
      <c r="C519" s="7747"/>
      <c r="D519" s="6098">
        <f>SUM(D515:D518)</f>
        <v>325000000</v>
      </c>
      <c r="E519" s="6095">
        <v>0.06</v>
      </c>
      <c r="F519" s="6098">
        <f t="shared" si="39"/>
        <v>19500000</v>
      </c>
      <c r="G519" s="7586"/>
      <c r="H519" s="7586"/>
      <c r="I519" s="7672"/>
      <c r="J519" s="7586"/>
      <c r="K519" s="7586"/>
      <c r="L519" s="5845"/>
    </row>
    <row r="520" spans="1:12" ht="30" customHeight="1" x14ac:dyDescent="0.2">
      <c r="A520" s="7656"/>
      <c r="B520" s="7665"/>
      <c r="C520" s="7747"/>
      <c r="D520" s="7494" t="s">
        <v>7278</v>
      </c>
      <c r="E520" s="7495"/>
      <c r="F520" s="7768"/>
      <c r="G520" s="7586"/>
      <c r="H520" s="7586"/>
      <c r="I520" s="7672"/>
      <c r="J520" s="7586"/>
      <c r="K520" s="7586"/>
      <c r="L520" s="5845"/>
    </row>
    <row r="521" spans="1:12" ht="30" customHeight="1" x14ac:dyDescent="0.2">
      <c r="A521" s="7656"/>
      <c r="B521" s="7665"/>
      <c r="C521" s="7747"/>
      <c r="D521" s="7769"/>
      <c r="E521" s="7805"/>
      <c r="F521" s="7770"/>
      <c r="G521" s="7586"/>
      <c r="H521" s="7586"/>
      <c r="I521" s="7672"/>
      <c r="J521" s="7586"/>
      <c r="K521" s="7586"/>
      <c r="L521" s="5845"/>
    </row>
    <row r="522" spans="1:12" ht="30" customHeight="1" x14ac:dyDescent="0.2">
      <c r="A522" s="7655"/>
      <c r="B522" s="7653"/>
      <c r="C522" s="7724"/>
      <c r="D522" s="5846">
        <v>305000000</v>
      </c>
      <c r="E522" s="5844">
        <v>0.06</v>
      </c>
      <c r="F522" s="5846">
        <f>D522*E522</f>
        <v>18300000</v>
      </c>
      <c r="G522" s="7564"/>
      <c r="H522" s="7564"/>
      <c r="I522" s="7562"/>
      <c r="J522" s="7564"/>
      <c r="K522" s="7564"/>
      <c r="L522" s="5841" t="s">
        <v>7316</v>
      </c>
    </row>
    <row r="523" spans="1:12" ht="30" customHeight="1" x14ac:dyDescent="0.2">
      <c r="A523" s="7654"/>
      <c r="B523" s="7717" t="s">
        <v>4609</v>
      </c>
      <c r="C523" s="7723" t="s">
        <v>1176</v>
      </c>
      <c r="D523" s="5594">
        <v>165000000</v>
      </c>
      <c r="E523" s="5606">
        <v>0.06</v>
      </c>
      <c r="F523" s="5594">
        <f t="shared" si="39"/>
        <v>9900000</v>
      </c>
      <c r="G523" s="7563">
        <v>18000000</v>
      </c>
      <c r="H523" s="7563" t="s">
        <v>1975</v>
      </c>
      <c r="I523" s="7561" t="s">
        <v>1810</v>
      </c>
      <c r="J523" s="7563">
        <f>G523</f>
        <v>18000000</v>
      </c>
      <c r="K523" s="7563">
        <f>(F523+F524+F525)-J523</f>
        <v>0</v>
      </c>
      <c r="L523" s="7563"/>
    </row>
    <row r="524" spans="1:12" ht="30" customHeight="1" x14ac:dyDescent="0.2">
      <c r="A524" s="7656"/>
      <c r="B524" s="7717"/>
      <c r="C524" s="7747"/>
      <c r="D524" s="5594">
        <v>105000000</v>
      </c>
      <c r="E524" s="5606">
        <v>0.06</v>
      </c>
      <c r="F524" s="5594">
        <f t="shared" si="39"/>
        <v>6300000</v>
      </c>
      <c r="G524" s="7586"/>
      <c r="H524" s="7586"/>
      <c r="I524" s="7672"/>
      <c r="J524" s="7586"/>
      <c r="K524" s="7586"/>
      <c r="L524" s="7586"/>
    </row>
    <row r="525" spans="1:12" ht="30" customHeight="1" x14ac:dyDescent="0.2">
      <c r="A525" s="7656"/>
      <c r="B525" s="7717"/>
      <c r="C525" s="7724"/>
      <c r="D525" s="5594">
        <v>30000000</v>
      </c>
      <c r="E525" s="5606">
        <v>0.06</v>
      </c>
      <c r="F525" s="5594">
        <f t="shared" si="39"/>
        <v>1800000</v>
      </c>
      <c r="G525" s="7564"/>
      <c r="H525" s="7564"/>
      <c r="I525" s="7562"/>
      <c r="J525" s="7564"/>
      <c r="K525" s="7564"/>
      <c r="L525" s="7564"/>
    </row>
    <row r="526" spans="1:12" ht="30" customHeight="1" x14ac:dyDescent="0.2">
      <c r="A526" s="7654"/>
      <c r="B526" s="7652" t="s">
        <v>6274</v>
      </c>
      <c r="C526" s="7723"/>
      <c r="D526" s="7563"/>
      <c r="E526" s="7563"/>
      <c r="F526" s="7563"/>
      <c r="G526" s="7563"/>
      <c r="H526" s="7563"/>
      <c r="I526" s="7561"/>
      <c r="J526" s="7563"/>
      <c r="K526" s="7563"/>
      <c r="L526" s="7674"/>
    </row>
    <row r="527" spans="1:12" ht="30" customHeight="1" x14ac:dyDescent="0.2">
      <c r="A527" s="7655"/>
      <c r="B527" s="7653"/>
      <c r="C527" s="7724"/>
      <c r="D527" s="7564"/>
      <c r="E527" s="7564"/>
      <c r="F527" s="7564"/>
      <c r="G527" s="7564"/>
      <c r="H527" s="7564"/>
      <c r="I527" s="7562"/>
      <c r="J527" s="7564"/>
      <c r="K527" s="7564"/>
      <c r="L527" s="7675"/>
    </row>
    <row r="528" spans="1:12" ht="30" customHeight="1" x14ac:dyDescent="0.2">
      <c r="A528" s="5597"/>
      <c r="B528" s="5613" t="s">
        <v>7258</v>
      </c>
      <c r="C528" s="5657"/>
      <c r="D528" s="5586">
        <v>40000000</v>
      </c>
      <c r="E528" s="5586"/>
      <c r="F528" s="5586"/>
      <c r="G528" s="5693"/>
      <c r="H528" s="5693"/>
      <c r="I528" s="5693"/>
      <c r="J528" s="5693"/>
      <c r="K528" s="5586"/>
      <c r="L528" s="5693" t="s">
        <v>7259</v>
      </c>
    </row>
    <row r="529" spans="1:15" ht="30" customHeight="1" x14ac:dyDescent="0.2">
      <c r="A529" s="5597"/>
      <c r="B529" s="5601" t="s">
        <v>2396</v>
      </c>
      <c r="C529" s="5635"/>
      <c r="D529" s="5586"/>
      <c r="E529" s="5586"/>
      <c r="F529" s="5586"/>
      <c r="G529" s="5586"/>
      <c r="H529" s="5586"/>
      <c r="I529" s="5586"/>
      <c r="J529" s="5586"/>
      <c r="K529" s="5593"/>
      <c r="L529" s="5704" t="s">
        <v>7262</v>
      </c>
    </row>
    <row r="530" spans="1:15" ht="30" customHeight="1" x14ac:dyDescent="0.2">
      <c r="A530" s="5655"/>
      <c r="B530" s="5658" t="s">
        <v>4893</v>
      </c>
      <c r="C530" s="5633" t="s">
        <v>1293</v>
      </c>
      <c r="D530" s="5594">
        <v>350000000</v>
      </c>
      <c r="E530" s="5606">
        <v>0.06</v>
      </c>
      <c r="F530" s="5594">
        <f>D530*E530</f>
        <v>21000000</v>
      </c>
      <c r="G530" s="5592">
        <v>21000000</v>
      </c>
      <c r="H530" s="5592" t="s">
        <v>7460</v>
      </c>
      <c r="I530" s="5621" t="s">
        <v>7461</v>
      </c>
      <c r="J530" s="5592">
        <f>G530</f>
        <v>21000000</v>
      </c>
      <c r="K530" s="5592">
        <f>F530-J530</f>
        <v>0</v>
      </c>
      <c r="L530" s="5672"/>
    </row>
    <row r="531" spans="1:15" ht="30" customHeight="1" x14ac:dyDescent="0.2">
      <c r="A531" s="7654">
        <v>252</v>
      </c>
      <c r="B531" s="7652" t="s">
        <v>109</v>
      </c>
      <c r="C531" s="7723" t="s">
        <v>262</v>
      </c>
      <c r="D531" s="5594">
        <v>270000000</v>
      </c>
      <c r="E531" s="5606">
        <v>0.05</v>
      </c>
      <c r="F531" s="5594">
        <f>D531*E531</f>
        <v>13500000</v>
      </c>
      <c r="G531" s="7563">
        <v>17000000</v>
      </c>
      <c r="H531" s="7563" t="s">
        <v>1975</v>
      </c>
      <c r="I531" s="7561" t="s">
        <v>1810</v>
      </c>
      <c r="J531" s="7563">
        <f>G531+G532</f>
        <v>17000000</v>
      </c>
      <c r="K531" s="7563">
        <f>(F531+F532)-J531</f>
        <v>0</v>
      </c>
      <c r="L531" s="5693"/>
    </row>
    <row r="532" spans="1:15" ht="30" customHeight="1" x14ac:dyDescent="0.2">
      <c r="A532" s="7656"/>
      <c r="B532" s="7665"/>
      <c r="C532" s="7747"/>
      <c r="D532" s="7563">
        <v>70000000</v>
      </c>
      <c r="E532" s="7659">
        <v>0.05</v>
      </c>
      <c r="F532" s="7563">
        <f>D532*E532</f>
        <v>3500000</v>
      </c>
      <c r="G532" s="7586"/>
      <c r="H532" s="7586"/>
      <c r="I532" s="7672"/>
      <c r="J532" s="7586"/>
      <c r="K532" s="7586"/>
      <c r="L532" s="5693"/>
    </row>
    <row r="533" spans="1:15" ht="30" customHeight="1" x14ac:dyDescent="0.2">
      <c r="A533" s="7656"/>
      <c r="B533" s="7665"/>
      <c r="C533" s="7724"/>
      <c r="D533" s="7564"/>
      <c r="E533" s="7660"/>
      <c r="F533" s="7564"/>
      <c r="G533" s="7564"/>
      <c r="H533" s="7564"/>
      <c r="I533" s="7562"/>
      <c r="J533" s="7564"/>
      <c r="K533" s="7564"/>
      <c r="L533" s="5672" t="s">
        <v>7756</v>
      </c>
    </row>
    <row r="534" spans="1:15" ht="30" customHeight="1" x14ac:dyDescent="0.2">
      <c r="A534" s="7879">
        <v>253</v>
      </c>
      <c r="B534" s="7652" t="s">
        <v>110</v>
      </c>
      <c r="C534" s="7723" t="s">
        <v>262</v>
      </c>
      <c r="D534" s="5594">
        <v>20000000</v>
      </c>
      <c r="E534" s="5652">
        <v>0.05</v>
      </c>
      <c r="F534" s="5594">
        <f t="shared" si="39"/>
        <v>1000000</v>
      </c>
      <c r="G534" s="7482">
        <v>3000000</v>
      </c>
      <c r="H534" s="7482" t="s">
        <v>3879</v>
      </c>
      <c r="I534" s="7923" t="s">
        <v>810</v>
      </c>
      <c r="J534" s="7482">
        <f t="shared" si="51"/>
        <v>3000000</v>
      </c>
      <c r="K534" s="7482">
        <f>(F534+F535+F536)-J534</f>
        <v>0</v>
      </c>
      <c r="L534" s="5672"/>
      <c r="M534" s="1175"/>
      <c r="N534" s="1175"/>
      <c r="O534" s="1175"/>
    </row>
    <row r="535" spans="1:15" ht="30" customHeight="1" x14ac:dyDescent="0.2">
      <c r="A535" s="7879"/>
      <c r="B535" s="7665"/>
      <c r="C535" s="7747"/>
      <c r="D535" s="5594">
        <v>20000000</v>
      </c>
      <c r="E535" s="5652">
        <v>0.05</v>
      </c>
      <c r="F535" s="5594">
        <f t="shared" si="39"/>
        <v>1000000</v>
      </c>
      <c r="G535" s="7482"/>
      <c r="H535" s="7482"/>
      <c r="I535" s="7923"/>
      <c r="J535" s="7482"/>
      <c r="K535" s="7482"/>
      <c r="L535" s="5704"/>
      <c r="M535" s="248"/>
      <c r="N535" s="248"/>
      <c r="O535" s="248"/>
    </row>
    <row r="536" spans="1:15" ht="30" customHeight="1" x14ac:dyDescent="0.2">
      <c r="A536" s="7879"/>
      <c r="B536" s="7653"/>
      <c r="C536" s="7724"/>
      <c r="D536" s="5594">
        <v>20000000</v>
      </c>
      <c r="E536" s="5652">
        <v>0.05</v>
      </c>
      <c r="F536" s="5594">
        <f t="shared" si="39"/>
        <v>1000000</v>
      </c>
      <c r="G536" s="7482"/>
      <c r="H536" s="7482"/>
      <c r="I536" s="7923"/>
      <c r="J536" s="7482"/>
      <c r="K536" s="7482"/>
      <c r="L536" s="5673"/>
      <c r="M536" s="248"/>
      <c r="N536" s="248"/>
      <c r="O536" s="248"/>
    </row>
    <row r="537" spans="1:15" ht="30" customHeight="1" x14ac:dyDescent="0.2">
      <c r="A537" s="7654">
        <v>256</v>
      </c>
      <c r="B537" s="7652" t="s">
        <v>113</v>
      </c>
      <c r="C537" s="7723" t="s">
        <v>371</v>
      </c>
      <c r="D537" s="5594">
        <v>100000000</v>
      </c>
      <c r="E537" s="5652">
        <v>0.05</v>
      </c>
      <c r="F537" s="5594">
        <f t="shared" si="39"/>
        <v>5000000</v>
      </c>
      <c r="G537" s="7563">
        <v>14000000</v>
      </c>
      <c r="H537" s="7563" t="s">
        <v>7550</v>
      </c>
      <c r="I537" s="7772" t="s">
        <v>4453</v>
      </c>
      <c r="J537" s="7563">
        <f>G537</f>
        <v>14000000</v>
      </c>
      <c r="K537" s="7563">
        <f>(F537+F538)-J537</f>
        <v>0</v>
      </c>
      <c r="L537" s="5613"/>
    </row>
    <row r="538" spans="1:15" ht="30" customHeight="1" x14ac:dyDescent="0.2">
      <c r="A538" s="7655"/>
      <c r="B538" s="7653"/>
      <c r="C538" s="7724"/>
      <c r="D538" s="5594">
        <v>150000000</v>
      </c>
      <c r="E538" s="5652">
        <v>0.06</v>
      </c>
      <c r="F538" s="5594">
        <f t="shared" si="39"/>
        <v>9000000</v>
      </c>
      <c r="G538" s="7564"/>
      <c r="H538" s="7564"/>
      <c r="I538" s="7773"/>
      <c r="J538" s="7564"/>
      <c r="K538" s="7564"/>
      <c r="L538" s="5704"/>
    </row>
    <row r="539" spans="1:15" ht="30" customHeight="1" x14ac:dyDescent="0.2">
      <c r="A539" s="5655">
        <v>257</v>
      </c>
      <c r="B539" s="5613" t="s">
        <v>114</v>
      </c>
      <c r="C539" s="5634" t="s">
        <v>1292</v>
      </c>
      <c r="D539" s="5594">
        <v>30000000</v>
      </c>
      <c r="E539" s="5652">
        <v>0.05</v>
      </c>
      <c r="F539" s="5594">
        <f t="shared" si="39"/>
        <v>1500000</v>
      </c>
      <c r="G539" s="5594">
        <v>1500000</v>
      </c>
      <c r="H539" s="5594" t="s">
        <v>1975</v>
      </c>
      <c r="I539" s="5714" t="s">
        <v>482</v>
      </c>
      <c r="J539" s="5594">
        <f>G539</f>
        <v>1500000</v>
      </c>
      <c r="K539" s="5594">
        <f>F539-J539</f>
        <v>0</v>
      </c>
      <c r="L539" s="5613"/>
    </row>
    <row r="540" spans="1:15" ht="30" customHeight="1" x14ac:dyDescent="0.2">
      <c r="A540" s="5655">
        <v>258</v>
      </c>
      <c r="B540" s="5613" t="s">
        <v>849</v>
      </c>
      <c r="C540" s="5634" t="s">
        <v>262</v>
      </c>
      <c r="D540" s="5594">
        <v>12000000</v>
      </c>
      <c r="E540" s="5652">
        <v>0.05</v>
      </c>
      <c r="F540" s="5594">
        <f t="shared" si="39"/>
        <v>600000</v>
      </c>
      <c r="G540" s="7563">
        <v>1600000</v>
      </c>
      <c r="H540" s="7563" t="s">
        <v>7614</v>
      </c>
      <c r="I540" s="7772" t="s">
        <v>475</v>
      </c>
      <c r="J540" s="7563">
        <f>G540</f>
        <v>1600000</v>
      </c>
      <c r="K540" s="7563">
        <f>(F540+F541)-J540</f>
        <v>0</v>
      </c>
      <c r="L540" s="7703"/>
    </row>
    <row r="541" spans="1:15" ht="30" customHeight="1" x14ac:dyDescent="0.2">
      <c r="A541" s="5655">
        <v>259</v>
      </c>
      <c r="B541" s="5613" t="s">
        <v>156</v>
      </c>
      <c r="C541" s="5634" t="s">
        <v>262</v>
      </c>
      <c r="D541" s="5594">
        <v>20000000</v>
      </c>
      <c r="E541" s="5652">
        <v>0.05</v>
      </c>
      <c r="F541" s="5594">
        <f>D541*E541</f>
        <v>1000000</v>
      </c>
      <c r="G541" s="7564"/>
      <c r="H541" s="7564"/>
      <c r="I541" s="7773"/>
      <c r="J541" s="7564"/>
      <c r="K541" s="7564"/>
      <c r="L541" s="7705"/>
    </row>
    <row r="542" spans="1:15" ht="30" customHeight="1" x14ac:dyDescent="0.2">
      <c r="A542" s="7654">
        <v>261</v>
      </c>
      <c r="B542" s="19" t="s">
        <v>117</v>
      </c>
      <c r="C542" s="7723" t="s">
        <v>3323</v>
      </c>
      <c r="D542" s="5586">
        <v>25500000</v>
      </c>
      <c r="E542" s="5652">
        <f>F542/D542</f>
        <v>6.1764705882352944E-2</v>
      </c>
      <c r="F542" s="5586">
        <v>1575000</v>
      </c>
      <c r="G542" s="6364">
        <v>1942000</v>
      </c>
      <c r="H542" s="6364" t="s">
        <v>7306</v>
      </c>
      <c r="I542" s="18" t="s">
        <v>414</v>
      </c>
      <c r="J542" s="6364">
        <f t="shared" ref="J542:J544" si="52">G542</f>
        <v>1942000</v>
      </c>
      <c r="K542" s="6364"/>
      <c r="L542" s="5840" t="s">
        <v>6815</v>
      </c>
    </row>
    <row r="543" spans="1:15" ht="30" customHeight="1" x14ac:dyDescent="0.2">
      <c r="A543" s="7655"/>
      <c r="B543" s="19" t="s">
        <v>6817</v>
      </c>
      <c r="C543" s="7724"/>
      <c r="D543" s="5586">
        <v>10000000</v>
      </c>
      <c r="E543" s="5652">
        <v>0.05</v>
      </c>
      <c r="F543" s="5586">
        <f>D543*E543</f>
        <v>500000</v>
      </c>
      <c r="G543" s="6364">
        <v>2075000</v>
      </c>
      <c r="H543" s="6364" t="s">
        <v>7795</v>
      </c>
      <c r="I543" s="18" t="s">
        <v>414</v>
      </c>
      <c r="J543" s="6364">
        <f>G543</f>
        <v>2075000</v>
      </c>
      <c r="K543" s="6364">
        <f>(F542+F543)-J543</f>
        <v>0</v>
      </c>
      <c r="L543" s="5704" t="s">
        <v>6816</v>
      </c>
    </row>
    <row r="544" spans="1:15" ht="30" customHeight="1" x14ac:dyDescent="0.2">
      <c r="A544" s="5655">
        <v>263</v>
      </c>
      <c r="B544" s="19" t="s">
        <v>572</v>
      </c>
      <c r="C544" s="5657" t="s">
        <v>1300</v>
      </c>
      <c r="D544" s="5586">
        <v>105000000</v>
      </c>
      <c r="E544" s="5652">
        <v>5.8000000000000003E-2</v>
      </c>
      <c r="F544" s="5586">
        <v>6000000</v>
      </c>
      <c r="G544" s="5586">
        <v>6000000</v>
      </c>
      <c r="H544" s="5586" t="s">
        <v>7614</v>
      </c>
      <c r="I544" s="5586" t="s">
        <v>7626</v>
      </c>
      <c r="J544" s="5586">
        <f t="shared" si="52"/>
        <v>6000000</v>
      </c>
      <c r="K544" s="5586">
        <f>F544-J544</f>
        <v>0</v>
      </c>
      <c r="L544" s="5667"/>
    </row>
    <row r="545" spans="1:12" ht="30" customHeight="1" x14ac:dyDescent="0.2">
      <c r="A545" s="7654">
        <v>264</v>
      </c>
      <c r="B545" s="7652" t="s">
        <v>119</v>
      </c>
      <c r="C545" s="7723" t="s">
        <v>262</v>
      </c>
      <c r="D545" s="7563">
        <v>50000000</v>
      </c>
      <c r="E545" s="7659">
        <f>F545/D545</f>
        <v>0.06</v>
      </c>
      <c r="F545" s="7563">
        <v>3000000</v>
      </c>
      <c r="G545" s="5594">
        <v>1000000</v>
      </c>
      <c r="H545" s="5956" t="s">
        <v>4168</v>
      </c>
      <c r="I545" s="5586" t="s">
        <v>3563</v>
      </c>
      <c r="J545" s="7563">
        <f>G545+G546</f>
        <v>3000000</v>
      </c>
      <c r="K545" s="7563">
        <f>F545-J545</f>
        <v>0</v>
      </c>
      <c r="L545" s="5693"/>
    </row>
    <row r="546" spans="1:12" ht="30" customHeight="1" x14ac:dyDescent="0.2">
      <c r="A546" s="7655"/>
      <c r="B546" s="7653"/>
      <c r="C546" s="7724"/>
      <c r="D546" s="7564"/>
      <c r="E546" s="7660"/>
      <c r="F546" s="7564"/>
      <c r="G546" s="5959">
        <v>2000000</v>
      </c>
      <c r="H546" s="5956" t="s">
        <v>4168</v>
      </c>
      <c r="I546" s="5956" t="s">
        <v>3563</v>
      </c>
      <c r="J546" s="7564"/>
      <c r="K546" s="7564"/>
      <c r="L546" s="5985"/>
    </row>
    <row r="547" spans="1:12" ht="30" customHeight="1" x14ac:dyDescent="0.2">
      <c r="A547" s="5655">
        <v>265</v>
      </c>
      <c r="B547" s="19" t="s">
        <v>121</v>
      </c>
      <c r="C547" s="5657" t="s">
        <v>262</v>
      </c>
      <c r="D547" s="5586">
        <v>1000000000</v>
      </c>
      <c r="E547" s="5652">
        <v>7.0000000000000007E-2</v>
      </c>
      <c r="F547" s="5586">
        <f>D547*E547</f>
        <v>70000000</v>
      </c>
      <c r="G547" s="5586">
        <v>10000000</v>
      </c>
      <c r="H547" s="5586" t="s">
        <v>1975</v>
      </c>
      <c r="I547" s="5586" t="s">
        <v>3290</v>
      </c>
      <c r="J547" s="5586">
        <f>G547</f>
        <v>10000000</v>
      </c>
      <c r="K547" s="5586">
        <f>F547-J547</f>
        <v>60000000</v>
      </c>
      <c r="L547" s="5667"/>
    </row>
    <row r="548" spans="1:12" ht="30" customHeight="1" x14ac:dyDescent="0.2">
      <c r="A548" s="5754">
        <v>266</v>
      </c>
      <c r="B548" s="5759" t="s">
        <v>1918</v>
      </c>
      <c r="C548" s="5756" t="s">
        <v>371</v>
      </c>
      <c r="D548" s="5594">
        <v>160000000</v>
      </c>
      <c r="E548" s="5606">
        <v>0.05</v>
      </c>
      <c r="F548" s="5594">
        <f>D548*E548</f>
        <v>8000000</v>
      </c>
      <c r="G548" s="5742">
        <v>8000000</v>
      </c>
      <c r="H548" s="5742" t="s">
        <v>7691</v>
      </c>
      <c r="I548" s="5757" t="s">
        <v>4065</v>
      </c>
      <c r="J548" s="5742">
        <f>G548</f>
        <v>8000000</v>
      </c>
      <c r="K548" s="5742">
        <f>F548-J548</f>
        <v>0</v>
      </c>
      <c r="L548" s="5667"/>
    </row>
    <row r="549" spans="1:12" ht="30" customHeight="1" x14ac:dyDescent="0.2">
      <c r="A549" s="7654">
        <v>267</v>
      </c>
      <c r="B549" s="7652" t="s">
        <v>497</v>
      </c>
      <c r="C549" s="7723" t="s">
        <v>371</v>
      </c>
      <c r="D549" s="7563">
        <v>300000000</v>
      </c>
      <c r="E549" s="7659">
        <v>0.04</v>
      </c>
      <c r="F549" s="7563">
        <f>D549*E549</f>
        <v>12000000</v>
      </c>
      <c r="G549" s="7563">
        <v>12000000</v>
      </c>
      <c r="H549" s="7563" t="s">
        <v>7668</v>
      </c>
      <c r="I549" s="7563" t="s">
        <v>3579</v>
      </c>
      <c r="J549" s="7563">
        <f>G549</f>
        <v>12000000</v>
      </c>
      <c r="K549" s="7563">
        <f>F549-J549</f>
        <v>0</v>
      </c>
      <c r="L549" s="5667" t="s">
        <v>2891</v>
      </c>
    </row>
    <row r="550" spans="1:12" ht="30" customHeight="1" x14ac:dyDescent="0.2">
      <c r="A550" s="7655"/>
      <c r="B550" s="7653"/>
      <c r="C550" s="7724"/>
      <c r="D550" s="7564"/>
      <c r="E550" s="7660"/>
      <c r="F550" s="7564"/>
      <c r="G550" s="7564"/>
      <c r="H550" s="7564"/>
      <c r="I550" s="7564"/>
      <c r="J550" s="7564"/>
      <c r="K550" s="7564"/>
      <c r="L550" s="5667"/>
    </row>
    <row r="551" spans="1:12" ht="30" customHeight="1" x14ac:dyDescent="0.2">
      <c r="A551" s="5655">
        <v>268</v>
      </c>
      <c r="B551" s="5613" t="s">
        <v>391</v>
      </c>
      <c r="C551" s="5634" t="s">
        <v>392</v>
      </c>
      <c r="D551" s="5594">
        <v>130000000</v>
      </c>
      <c r="E551" s="5652">
        <v>4.4999999999999998E-2</v>
      </c>
      <c r="F551" s="5594">
        <f t="shared" ref="F551:F644" si="53">D551*E551</f>
        <v>5850000</v>
      </c>
      <c r="G551" s="5594">
        <v>5850000</v>
      </c>
      <c r="H551" s="5594" t="s">
        <v>7424</v>
      </c>
      <c r="I551" s="18" t="s">
        <v>3518</v>
      </c>
      <c r="J551" s="5594">
        <f>G551</f>
        <v>5850000</v>
      </c>
      <c r="K551" s="5594">
        <f>F551-J551</f>
        <v>0</v>
      </c>
      <c r="L551" s="5613"/>
    </row>
    <row r="552" spans="1:12" ht="30" customHeight="1" x14ac:dyDescent="0.2">
      <c r="A552" s="5596">
        <v>269</v>
      </c>
      <c r="B552" s="5658" t="s">
        <v>123</v>
      </c>
      <c r="C552" s="5657" t="s">
        <v>262</v>
      </c>
      <c r="D552" s="5594">
        <v>500000000</v>
      </c>
      <c r="E552" s="5652">
        <v>0.06</v>
      </c>
      <c r="F552" s="5594">
        <f t="shared" si="53"/>
        <v>30000000</v>
      </c>
      <c r="G552" s="5594">
        <v>30000000</v>
      </c>
      <c r="H552" s="5594" t="s">
        <v>1975</v>
      </c>
      <c r="I552" s="18" t="s">
        <v>3546</v>
      </c>
      <c r="J552" s="5594">
        <f>G552</f>
        <v>30000000</v>
      </c>
      <c r="K552" s="5594">
        <f>F552-J552</f>
        <v>0</v>
      </c>
      <c r="L552" s="5613"/>
    </row>
    <row r="553" spans="1:12" ht="30" customHeight="1" x14ac:dyDescent="0.2">
      <c r="A553" s="5655">
        <v>270</v>
      </c>
      <c r="B553" s="5613" t="s">
        <v>124</v>
      </c>
      <c r="C553" s="5634"/>
      <c r="D553" s="5594">
        <v>20000000</v>
      </c>
      <c r="E553" s="5652">
        <v>5.5E-2</v>
      </c>
      <c r="F553" s="5594">
        <f t="shared" si="53"/>
        <v>1100000</v>
      </c>
      <c r="G553" s="5594">
        <v>1100000</v>
      </c>
      <c r="H553" s="5594" t="s">
        <v>7691</v>
      </c>
      <c r="I553" s="5714" t="s">
        <v>492</v>
      </c>
      <c r="J553" s="5594">
        <f>G553</f>
        <v>1100000</v>
      </c>
      <c r="K553" s="5594">
        <f>F553-J553</f>
        <v>0</v>
      </c>
      <c r="L553" s="5690"/>
    </row>
    <row r="554" spans="1:12" ht="30" customHeight="1" x14ac:dyDescent="0.2">
      <c r="A554" s="5754">
        <v>271</v>
      </c>
      <c r="B554" s="5759" t="s">
        <v>125</v>
      </c>
      <c r="C554" s="5756" t="s">
        <v>402</v>
      </c>
      <c r="D554" s="5744">
        <v>40000000</v>
      </c>
      <c r="E554" s="5749">
        <v>5.5E-2</v>
      </c>
      <c r="F554" s="5744">
        <f>D554*E554</f>
        <v>2200000</v>
      </c>
      <c r="G554" s="5742">
        <v>2200000</v>
      </c>
      <c r="H554" s="5742" t="s">
        <v>7531</v>
      </c>
      <c r="I554" s="5757" t="s">
        <v>4459</v>
      </c>
      <c r="J554" s="5742">
        <f>G554</f>
        <v>2200000</v>
      </c>
      <c r="K554" s="5742">
        <f>F554-J554</f>
        <v>0</v>
      </c>
      <c r="L554" s="5672"/>
    </row>
    <row r="555" spans="1:12" ht="30" customHeight="1" x14ac:dyDescent="0.2">
      <c r="A555" s="7654"/>
      <c r="B555" s="7717" t="s">
        <v>2524</v>
      </c>
      <c r="C555" s="7873" t="s">
        <v>1287</v>
      </c>
      <c r="D555" s="5697">
        <v>495000000</v>
      </c>
      <c r="E555" s="5687">
        <v>5.5E-2</v>
      </c>
      <c r="F555" s="5697">
        <f>D555*E555</f>
        <v>27225000</v>
      </c>
      <c r="G555" s="8040"/>
      <c r="H555" s="8040"/>
      <c r="I555" s="8040"/>
      <c r="J555" s="8040"/>
      <c r="K555" s="7482"/>
      <c r="L555" s="5320"/>
    </row>
    <row r="556" spans="1:12" ht="30" customHeight="1" x14ac:dyDescent="0.2">
      <c r="A556" s="7656"/>
      <c r="B556" s="7717"/>
      <c r="C556" s="7873"/>
      <c r="D556" s="5697">
        <v>65000000</v>
      </c>
      <c r="E556" s="5687">
        <v>0.06</v>
      </c>
      <c r="F556" s="5697">
        <f>D556*E556</f>
        <v>3900000</v>
      </c>
      <c r="G556" s="8040"/>
      <c r="H556" s="8040"/>
      <c r="I556" s="8040"/>
      <c r="J556" s="8040"/>
      <c r="K556" s="7482"/>
      <c r="L556" s="735" t="s">
        <v>6060</v>
      </c>
    </row>
    <row r="557" spans="1:12" ht="30" customHeight="1" x14ac:dyDescent="0.2">
      <c r="A557" s="7656"/>
      <c r="B557" s="7717"/>
      <c r="C557" s="7873"/>
      <c r="D557" s="5697">
        <v>246000000</v>
      </c>
      <c r="E557" s="5687">
        <v>0.06</v>
      </c>
      <c r="F557" s="5697">
        <f>D557*E557</f>
        <v>14760000</v>
      </c>
      <c r="G557" s="8040"/>
      <c r="H557" s="8040"/>
      <c r="I557" s="8040"/>
      <c r="J557" s="8040"/>
      <c r="K557" s="7482"/>
      <c r="L557" s="735" t="s">
        <v>6064</v>
      </c>
    </row>
    <row r="558" spans="1:12" ht="30" customHeight="1" x14ac:dyDescent="0.2">
      <c r="A558" s="7656"/>
      <c r="B558" s="7717"/>
      <c r="C558" s="7873"/>
      <c r="D558" s="8004" t="s">
        <v>1787</v>
      </c>
      <c r="E558" s="8005"/>
      <c r="F558" s="5697">
        <v>1300000</v>
      </c>
      <c r="G558" s="8040"/>
      <c r="H558" s="8040"/>
      <c r="I558" s="8040"/>
      <c r="J558" s="8040"/>
      <c r="K558" s="7482"/>
      <c r="L558" s="5321"/>
    </row>
    <row r="559" spans="1:12" ht="30" customHeight="1" x14ac:dyDescent="0.2">
      <c r="A559" s="7656"/>
      <c r="B559" s="7717"/>
      <c r="C559" s="7873"/>
      <c r="D559" s="5591">
        <f>D555+D556+D557</f>
        <v>806000000</v>
      </c>
      <c r="E559" s="5591"/>
      <c r="F559" s="5591">
        <f>F555+F556+F557+F558</f>
        <v>47185000</v>
      </c>
      <c r="G559" s="8365" t="s">
        <v>6892</v>
      </c>
      <c r="H559" s="8366"/>
      <c r="I559" s="8366"/>
      <c r="J559" s="8367"/>
      <c r="K559" s="7563">
        <f>F561-J559</f>
        <v>48400000</v>
      </c>
      <c r="L559" s="8374" t="s">
        <v>6057</v>
      </c>
    </row>
    <row r="560" spans="1:12" ht="30" customHeight="1" x14ac:dyDescent="0.2">
      <c r="A560" s="7656"/>
      <c r="B560" s="7717"/>
      <c r="C560" s="7873"/>
      <c r="D560" s="7545" t="s">
        <v>5704</v>
      </c>
      <c r="E560" s="7957"/>
      <c r="F560" s="5591">
        <v>1200000</v>
      </c>
      <c r="G560" s="8368"/>
      <c r="H560" s="8369"/>
      <c r="I560" s="8369"/>
      <c r="J560" s="8370"/>
      <c r="K560" s="7586"/>
      <c r="L560" s="8374"/>
    </row>
    <row r="561" spans="1:12" ht="30" customHeight="1" x14ac:dyDescent="0.2">
      <c r="A561" s="7656"/>
      <c r="B561" s="7717"/>
      <c r="C561" s="7873"/>
      <c r="D561" s="7545">
        <f>D559</f>
        <v>806000000</v>
      </c>
      <c r="E561" s="7957"/>
      <c r="F561" s="5591">
        <v>48400000</v>
      </c>
      <c r="G561" s="8371"/>
      <c r="H561" s="8372"/>
      <c r="I561" s="8372"/>
      <c r="J561" s="8373"/>
      <c r="K561" s="7564"/>
      <c r="L561" s="8374"/>
    </row>
    <row r="562" spans="1:12" ht="30" customHeight="1" x14ac:dyDescent="0.2">
      <c r="A562" s="7654"/>
      <c r="B562" s="7652" t="s">
        <v>2524</v>
      </c>
      <c r="C562" s="7723" t="s">
        <v>1287</v>
      </c>
      <c r="D562" s="516">
        <v>806000000</v>
      </c>
      <c r="E562" s="3032">
        <v>0.06</v>
      </c>
      <c r="F562" s="516">
        <f>D562*E562</f>
        <v>48360000</v>
      </c>
      <c r="G562" s="7934" t="s">
        <v>6893</v>
      </c>
      <c r="H562" s="7935"/>
      <c r="I562" s="7935"/>
      <c r="J562" s="7936"/>
      <c r="K562" s="7563">
        <f>F562+F563+F564+40000</f>
        <v>51500000</v>
      </c>
      <c r="L562" s="8463" t="s">
        <v>7003</v>
      </c>
    </row>
    <row r="563" spans="1:12" ht="30" customHeight="1" x14ac:dyDescent="0.2">
      <c r="A563" s="7656"/>
      <c r="B563" s="7665"/>
      <c r="C563" s="7747"/>
      <c r="D563" s="516">
        <v>10000000</v>
      </c>
      <c r="E563" s="2696">
        <v>0.06</v>
      </c>
      <c r="F563" s="516">
        <f>D563*E563</f>
        <v>600000</v>
      </c>
      <c r="G563" s="8507"/>
      <c r="H563" s="8508"/>
      <c r="I563" s="8508"/>
      <c r="J563" s="8509"/>
      <c r="K563" s="7586"/>
      <c r="L563" s="8463"/>
    </row>
    <row r="564" spans="1:12" ht="30" customHeight="1" x14ac:dyDescent="0.2">
      <c r="A564" s="7656"/>
      <c r="B564" s="7665"/>
      <c r="C564" s="7747"/>
      <c r="D564" s="7861" t="s">
        <v>5704</v>
      </c>
      <c r="E564" s="7863"/>
      <c r="F564" s="438">
        <v>2500000</v>
      </c>
      <c r="G564" s="7937"/>
      <c r="H564" s="7938"/>
      <c r="I564" s="7938"/>
      <c r="J564" s="7939"/>
      <c r="K564" s="7564"/>
      <c r="L564" s="8463"/>
    </row>
    <row r="565" spans="1:12" ht="30" customHeight="1" x14ac:dyDescent="0.2">
      <c r="A565" s="7656"/>
      <c r="B565" s="7665"/>
      <c r="C565" s="7747"/>
      <c r="D565" s="3239">
        <f>D562+D563+51500000</f>
        <v>867500000</v>
      </c>
      <c r="E565" s="868">
        <v>0.06</v>
      </c>
      <c r="F565" s="5724">
        <f>D565*E565</f>
        <v>52050000</v>
      </c>
      <c r="G565" s="8510" t="s">
        <v>6061</v>
      </c>
      <c r="H565" s="8511"/>
      <c r="I565" s="8511"/>
      <c r="J565" s="8512"/>
      <c r="K565" s="7563"/>
      <c r="L565" s="7818" t="s">
        <v>6063</v>
      </c>
    </row>
    <row r="566" spans="1:12" ht="30" customHeight="1" x14ac:dyDescent="0.2">
      <c r="A566" s="7656"/>
      <c r="B566" s="7665"/>
      <c r="C566" s="7747"/>
      <c r="D566" s="8250" t="s">
        <v>6894</v>
      </c>
      <c r="E566" s="8519"/>
      <c r="F566" s="8251"/>
      <c r="G566" s="8513"/>
      <c r="H566" s="8514"/>
      <c r="I566" s="8514"/>
      <c r="J566" s="8515"/>
      <c r="K566" s="7586"/>
      <c r="L566" s="7855"/>
    </row>
    <row r="567" spans="1:12" ht="30" customHeight="1" x14ac:dyDescent="0.2">
      <c r="A567" s="7656"/>
      <c r="B567" s="7665"/>
      <c r="C567" s="7747"/>
      <c r="D567" s="3239">
        <f>D565-100000000</f>
        <v>767500000</v>
      </c>
      <c r="E567" s="868">
        <v>0.06</v>
      </c>
      <c r="F567" s="5724">
        <f>D567*E567</f>
        <v>46050000</v>
      </c>
      <c r="G567" s="8516"/>
      <c r="H567" s="8517"/>
      <c r="I567" s="8517"/>
      <c r="J567" s="8518"/>
      <c r="K567" s="7564"/>
      <c r="L567" s="7819"/>
    </row>
    <row r="568" spans="1:12" ht="30" customHeight="1" x14ac:dyDescent="0.2">
      <c r="A568" s="7656"/>
      <c r="B568" s="7665"/>
      <c r="C568" s="7747"/>
      <c r="D568" s="6078">
        <v>132500000</v>
      </c>
      <c r="E568" s="6081"/>
      <c r="F568" s="6078"/>
      <c r="G568" s="7991" t="s">
        <v>7582</v>
      </c>
      <c r="H568" s="7992"/>
      <c r="I568" s="7992"/>
      <c r="J568" s="7993"/>
      <c r="K568" s="7563"/>
      <c r="L568" s="6088"/>
    </row>
    <row r="569" spans="1:12" ht="30" customHeight="1" x14ac:dyDescent="0.2">
      <c r="A569" s="7655"/>
      <c r="B569" s="7653"/>
      <c r="C569" s="7724"/>
      <c r="D569" s="6094">
        <f>D567+D568</f>
        <v>900000000</v>
      </c>
      <c r="E569" s="6095"/>
      <c r="F569" s="6094"/>
      <c r="G569" s="7997"/>
      <c r="H569" s="7998"/>
      <c r="I569" s="7998"/>
      <c r="J569" s="7999"/>
      <c r="K569" s="7564"/>
      <c r="L569" s="6088"/>
    </row>
    <row r="570" spans="1:12" ht="30" customHeight="1" x14ac:dyDescent="0.2">
      <c r="A570" s="5655">
        <v>273</v>
      </c>
      <c r="B570" s="5613" t="s">
        <v>127</v>
      </c>
      <c r="C570" s="5657" t="s">
        <v>1291</v>
      </c>
      <c r="D570" s="5594">
        <v>20000000</v>
      </c>
      <c r="E570" s="5652">
        <v>0.05</v>
      </c>
      <c r="F570" s="5594">
        <f t="shared" si="53"/>
        <v>1000000</v>
      </c>
      <c r="G570" s="5594">
        <v>1000000</v>
      </c>
      <c r="H570" s="5594" t="s">
        <v>3879</v>
      </c>
      <c r="I570" s="5714" t="s">
        <v>480</v>
      </c>
      <c r="J570" s="5594">
        <f>G570</f>
        <v>1000000</v>
      </c>
      <c r="K570" s="5594">
        <f>F570-J570</f>
        <v>0</v>
      </c>
      <c r="L570" s="5663"/>
    </row>
    <row r="571" spans="1:12" ht="30" customHeight="1" x14ac:dyDescent="0.2">
      <c r="A571" s="7654">
        <v>274</v>
      </c>
      <c r="B571" s="7652" t="s">
        <v>128</v>
      </c>
      <c r="C571" s="7723" t="s">
        <v>1306</v>
      </c>
      <c r="D571" s="5586">
        <v>50000000</v>
      </c>
      <c r="E571" s="5652">
        <v>0.05</v>
      </c>
      <c r="F571" s="5594">
        <f>D571*E571</f>
        <v>2500000</v>
      </c>
      <c r="G571" s="6305">
        <v>7150000</v>
      </c>
      <c r="H571" s="6305" t="s">
        <v>7786</v>
      </c>
      <c r="I571" s="6349" t="s">
        <v>7794</v>
      </c>
      <c r="J571" s="6305">
        <f>G571</f>
        <v>7150000</v>
      </c>
      <c r="K571" s="5594"/>
      <c r="L571" s="5663" t="s">
        <v>7101</v>
      </c>
    </row>
    <row r="572" spans="1:12" ht="30" customHeight="1" x14ac:dyDescent="0.2">
      <c r="A572" s="7655"/>
      <c r="B572" s="7653"/>
      <c r="C572" s="7724"/>
      <c r="D572" s="5699">
        <v>200000000</v>
      </c>
      <c r="E572" s="5729">
        <v>5.5E-2</v>
      </c>
      <c r="F572" s="5699">
        <f>D572*E572</f>
        <v>11000000</v>
      </c>
      <c r="G572" s="7954" t="s">
        <v>7102</v>
      </c>
      <c r="H572" s="7955"/>
      <c r="I572" s="7955"/>
      <c r="J572" s="7956"/>
      <c r="K572" s="5594"/>
      <c r="L572" s="5663" t="s">
        <v>7100</v>
      </c>
    </row>
    <row r="573" spans="1:12" ht="30" customHeight="1" x14ac:dyDescent="0.2">
      <c r="A573" s="5655">
        <v>275</v>
      </c>
      <c r="B573" s="5613" t="s">
        <v>129</v>
      </c>
      <c r="C573" s="5634" t="s">
        <v>1291</v>
      </c>
      <c r="D573" s="5594">
        <v>130000000</v>
      </c>
      <c r="E573" s="5652">
        <v>0.05</v>
      </c>
      <c r="F573" s="5594">
        <f t="shared" si="53"/>
        <v>6500000</v>
      </c>
      <c r="G573" s="5594">
        <v>6500000</v>
      </c>
      <c r="H573" s="5594" t="s">
        <v>7691</v>
      </c>
      <c r="I573" s="5714" t="s">
        <v>3175</v>
      </c>
      <c r="J573" s="5594">
        <f>G573</f>
        <v>6500000</v>
      </c>
      <c r="K573" s="5594">
        <f>F573-J573</f>
        <v>0</v>
      </c>
      <c r="L573" s="5613"/>
    </row>
    <row r="574" spans="1:12" ht="30" customHeight="1" x14ac:dyDescent="0.2">
      <c r="A574" s="5596">
        <v>277</v>
      </c>
      <c r="B574" s="5600" t="s">
        <v>131</v>
      </c>
      <c r="C574" s="5635" t="s">
        <v>2849</v>
      </c>
      <c r="D574" s="5593">
        <v>200000000</v>
      </c>
      <c r="E574" s="5604">
        <v>0.05</v>
      </c>
      <c r="F574" s="5593">
        <f t="shared" si="53"/>
        <v>10000000</v>
      </c>
      <c r="G574" s="5593">
        <v>10000000</v>
      </c>
      <c r="H574" s="5593" t="s">
        <v>7718</v>
      </c>
      <c r="I574" s="5713" t="s">
        <v>3726</v>
      </c>
      <c r="J574" s="5593">
        <f>G574</f>
        <v>10000000</v>
      </c>
      <c r="K574" s="5593">
        <f>F574-J574</f>
        <v>0</v>
      </c>
      <c r="L574" s="5600"/>
    </row>
    <row r="575" spans="1:12" s="1539" customFormat="1" ht="30" customHeight="1" x14ac:dyDescent="0.2">
      <c r="A575" s="5596">
        <v>278</v>
      </c>
      <c r="B575" s="19" t="s">
        <v>620</v>
      </c>
      <c r="C575" s="5657" t="s">
        <v>3007</v>
      </c>
      <c r="D575" s="5586">
        <v>30000000</v>
      </c>
      <c r="E575" s="5652">
        <v>4.4999999999999998E-2</v>
      </c>
      <c r="F575" s="5586">
        <f t="shared" si="53"/>
        <v>1350000</v>
      </c>
      <c r="G575" s="5586">
        <v>1350000</v>
      </c>
      <c r="H575" s="5586" t="s">
        <v>7718</v>
      </c>
      <c r="I575" s="5662" t="s">
        <v>2066</v>
      </c>
      <c r="J575" s="5586">
        <f>G575</f>
        <v>1350000</v>
      </c>
      <c r="K575" s="5586">
        <f>F575-J575</f>
        <v>0</v>
      </c>
      <c r="L575" s="5663"/>
    </row>
    <row r="576" spans="1:12" ht="30" customHeight="1" x14ac:dyDescent="0.2">
      <c r="A576" s="5655">
        <v>279</v>
      </c>
      <c r="B576" s="5613" t="s">
        <v>132</v>
      </c>
      <c r="C576" s="5634" t="s">
        <v>402</v>
      </c>
      <c r="D576" s="5594">
        <v>11000000</v>
      </c>
      <c r="E576" s="5652">
        <v>4.4999999999999998E-2</v>
      </c>
      <c r="F576" s="5594">
        <v>500000</v>
      </c>
      <c r="G576" s="5594">
        <v>500000</v>
      </c>
      <c r="H576" s="5594" t="s">
        <v>7427</v>
      </c>
      <c r="I576" s="5714" t="s">
        <v>5587</v>
      </c>
      <c r="J576" s="5594">
        <f t="shared" ref="J576:J583" si="54">G576</f>
        <v>500000</v>
      </c>
      <c r="K576" s="5594">
        <f t="shared" ref="K576:K583" si="55">F576-J576</f>
        <v>0</v>
      </c>
      <c r="L576" s="5723" t="s">
        <v>6246</v>
      </c>
    </row>
    <row r="577" spans="1:13" ht="30" customHeight="1" x14ac:dyDescent="0.2">
      <c r="A577" s="5655">
        <v>280</v>
      </c>
      <c r="B577" s="5658" t="s">
        <v>458</v>
      </c>
      <c r="C577" s="5634" t="s">
        <v>1107</v>
      </c>
      <c r="D577" s="5586">
        <v>20000000</v>
      </c>
      <c r="E577" s="5652">
        <v>0.05</v>
      </c>
      <c r="F577" s="5586">
        <f t="shared" si="53"/>
        <v>1000000</v>
      </c>
      <c r="G577" s="5586">
        <v>1000000</v>
      </c>
      <c r="H577" s="5586" t="s">
        <v>7614</v>
      </c>
      <c r="I577" s="5586" t="s">
        <v>3756</v>
      </c>
      <c r="J577" s="5586">
        <f t="shared" si="54"/>
        <v>1000000</v>
      </c>
      <c r="K577" s="5586">
        <f t="shared" si="55"/>
        <v>0</v>
      </c>
      <c r="L577" s="5690"/>
    </row>
    <row r="578" spans="1:13" ht="30" customHeight="1" x14ac:dyDescent="0.2">
      <c r="A578" s="5597">
        <v>281</v>
      </c>
      <c r="B578" s="5658" t="s">
        <v>133</v>
      </c>
      <c r="C578" s="5634" t="s">
        <v>1290</v>
      </c>
      <c r="D578" s="5594">
        <v>40000000</v>
      </c>
      <c r="E578" s="5606">
        <v>0.05</v>
      </c>
      <c r="F578" s="5594">
        <f t="shared" si="53"/>
        <v>2000000</v>
      </c>
      <c r="G578" s="5594">
        <v>2000000</v>
      </c>
      <c r="H578" s="5594" t="s">
        <v>7668</v>
      </c>
      <c r="I578" s="5594" t="s">
        <v>635</v>
      </c>
      <c r="J578" s="5594">
        <f t="shared" si="54"/>
        <v>2000000</v>
      </c>
      <c r="K578" s="5594">
        <f t="shared" si="55"/>
        <v>0</v>
      </c>
      <c r="L578" s="5613"/>
    </row>
    <row r="579" spans="1:13" ht="30" customHeight="1" x14ac:dyDescent="0.2">
      <c r="A579" s="5655">
        <v>282</v>
      </c>
      <c r="B579" s="5613" t="s">
        <v>1024</v>
      </c>
      <c r="C579" s="5634" t="s">
        <v>371</v>
      </c>
      <c r="D579" s="5594">
        <v>20000000</v>
      </c>
      <c r="E579" s="5652">
        <v>0.04</v>
      </c>
      <c r="F579" s="5594">
        <f t="shared" si="53"/>
        <v>800000</v>
      </c>
      <c r="G579" s="5594">
        <v>800000</v>
      </c>
      <c r="H579" s="5594" t="s">
        <v>7614</v>
      </c>
      <c r="I579" s="5594" t="s">
        <v>2453</v>
      </c>
      <c r="J579" s="5594">
        <f t="shared" si="54"/>
        <v>800000</v>
      </c>
      <c r="K579" s="5594">
        <f t="shared" si="55"/>
        <v>0</v>
      </c>
      <c r="L579" s="5613"/>
    </row>
    <row r="580" spans="1:13" ht="30" customHeight="1" x14ac:dyDescent="0.2">
      <c r="A580" s="7654"/>
      <c r="B580" s="7652" t="s">
        <v>134</v>
      </c>
      <c r="C580" s="7723" t="s">
        <v>1294</v>
      </c>
      <c r="D580" s="6313">
        <v>85885000</v>
      </c>
      <c r="E580" s="6312">
        <v>0.05</v>
      </c>
      <c r="F580" s="6313">
        <v>4294250</v>
      </c>
      <c r="G580" s="5741">
        <v>4295000</v>
      </c>
      <c r="H580" s="5742" t="s">
        <v>7691</v>
      </c>
      <c r="I580" s="5742" t="s">
        <v>5758</v>
      </c>
      <c r="J580" s="5741">
        <f>G580</f>
        <v>4295000</v>
      </c>
      <c r="K580" s="5741">
        <v>0</v>
      </c>
      <c r="L580" s="6352" t="s">
        <v>7785</v>
      </c>
    </row>
    <row r="581" spans="1:13" ht="30" customHeight="1" x14ac:dyDescent="0.2">
      <c r="A581" s="7656"/>
      <c r="B581" s="7665"/>
      <c r="C581" s="7747"/>
      <c r="D581" s="6313">
        <v>12000000</v>
      </c>
      <c r="E581" s="6312">
        <v>7.0000000000000007E-2</v>
      </c>
      <c r="F581" s="6313">
        <f>D581*E581</f>
        <v>840000.00000000012</v>
      </c>
      <c r="G581" s="7470" t="s">
        <v>7769</v>
      </c>
      <c r="H581" s="7493"/>
      <c r="I581" s="7493"/>
      <c r="J581" s="7510"/>
      <c r="K581" s="6303"/>
      <c r="L581" s="6352" t="s">
        <v>7784</v>
      </c>
    </row>
    <row r="582" spans="1:13" ht="30" customHeight="1" x14ac:dyDescent="0.2">
      <c r="A582" s="7656"/>
      <c r="B582" s="7653"/>
      <c r="C582" s="7724"/>
      <c r="D582" s="6305"/>
      <c r="E582" s="6308"/>
      <c r="F582" s="6305"/>
      <c r="G582" s="6301"/>
      <c r="H582" s="6303"/>
      <c r="I582" s="6303"/>
      <c r="J582" s="6301"/>
      <c r="K582" s="6303"/>
      <c r="L582" s="6352"/>
    </row>
    <row r="583" spans="1:13" ht="30" customHeight="1" x14ac:dyDescent="0.2">
      <c r="A583" s="5603"/>
      <c r="B583" s="5613" t="s">
        <v>4246</v>
      </c>
      <c r="C583" s="5633" t="s">
        <v>889</v>
      </c>
      <c r="D583" s="5594">
        <v>67000000</v>
      </c>
      <c r="E583" s="5606">
        <v>0.05</v>
      </c>
      <c r="F583" s="5594">
        <f>D583*E583</f>
        <v>3350000</v>
      </c>
      <c r="G583" s="5586">
        <v>3350000</v>
      </c>
      <c r="H583" s="5586" t="s">
        <v>7427</v>
      </c>
      <c r="I583" s="5586" t="s">
        <v>7438</v>
      </c>
      <c r="J583" s="5586">
        <f t="shared" si="54"/>
        <v>3350000</v>
      </c>
      <c r="K583" s="5592">
        <f t="shared" si="55"/>
        <v>0</v>
      </c>
      <c r="L583" s="5723"/>
    </row>
    <row r="584" spans="1:13" ht="30" customHeight="1" x14ac:dyDescent="0.2">
      <c r="A584" s="7654"/>
      <c r="B584" s="7652" t="s">
        <v>1158</v>
      </c>
      <c r="C584" s="7723" t="s">
        <v>371</v>
      </c>
      <c r="D584" s="7924">
        <v>195000000</v>
      </c>
      <c r="E584" s="8553">
        <v>0.05</v>
      </c>
      <c r="F584" s="7924">
        <f>D584*E584</f>
        <v>9750000</v>
      </c>
      <c r="G584" s="5586">
        <v>9000000</v>
      </c>
      <c r="H584" s="5586" t="s">
        <v>7668</v>
      </c>
      <c r="I584" s="5586" t="s">
        <v>2219</v>
      </c>
      <c r="J584" s="7563">
        <f>G584+G585</f>
        <v>9750000</v>
      </c>
      <c r="K584" s="7563">
        <f>F584-J584</f>
        <v>0</v>
      </c>
      <c r="L584" s="5764" t="s">
        <v>6942</v>
      </c>
      <c r="M584" t="s">
        <v>5056</v>
      </c>
    </row>
    <row r="585" spans="1:13" ht="30" customHeight="1" x14ac:dyDescent="0.2">
      <c r="A585" s="7655"/>
      <c r="B585" s="7653"/>
      <c r="C585" s="7724"/>
      <c r="D585" s="7925"/>
      <c r="E585" s="8554"/>
      <c r="F585" s="7925"/>
      <c r="G585" s="6165">
        <v>750000</v>
      </c>
      <c r="H585" s="6165" t="s">
        <v>7668</v>
      </c>
      <c r="I585" s="6165" t="s">
        <v>2219</v>
      </c>
      <c r="J585" s="7564"/>
      <c r="K585" s="7564"/>
      <c r="L585" s="6186"/>
    </row>
    <row r="586" spans="1:13" ht="30" customHeight="1" x14ac:dyDescent="0.2">
      <c r="A586" s="5596">
        <v>286</v>
      </c>
      <c r="B586" s="5658" t="s">
        <v>1622</v>
      </c>
      <c r="C586" s="5657"/>
      <c r="D586" s="5586">
        <v>35000000</v>
      </c>
      <c r="E586" s="1027">
        <v>0.05</v>
      </c>
      <c r="F586" s="5586">
        <v>1700000</v>
      </c>
      <c r="G586" s="5586">
        <v>1700000</v>
      </c>
      <c r="H586" s="5586" t="s">
        <v>7531</v>
      </c>
      <c r="I586" s="18" t="s">
        <v>307</v>
      </c>
      <c r="J586" s="5586">
        <f>G586</f>
        <v>1700000</v>
      </c>
      <c r="K586" s="6165">
        <f>F586-J586</f>
        <v>0</v>
      </c>
      <c r="L586" s="5647"/>
    </row>
    <row r="587" spans="1:13" ht="30" customHeight="1" x14ac:dyDescent="0.2">
      <c r="A587" s="7654">
        <v>287</v>
      </c>
      <c r="B587" s="7652" t="s">
        <v>137</v>
      </c>
      <c r="C587" s="7723" t="s">
        <v>1294</v>
      </c>
      <c r="D587" s="5594">
        <v>15000000</v>
      </c>
      <c r="E587" s="5606">
        <v>0.05</v>
      </c>
      <c r="F587" s="5594">
        <f t="shared" si="53"/>
        <v>750000</v>
      </c>
      <c r="G587" s="6242">
        <v>3000000</v>
      </c>
      <c r="H587" s="6242" t="s">
        <v>7293</v>
      </c>
      <c r="I587" s="6254" t="s">
        <v>5121</v>
      </c>
      <c r="J587" s="6242">
        <f>G587</f>
        <v>3000000</v>
      </c>
      <c r="K587" s="6242">
        <f>(F587+F588)-J587</f>
        <v>0</v>
      </c>
      <c r="L587" s="6251" t="s">
        <v>6807</v>
      </c>
    </row>
    <row r="588" spans="1:13" ht="30" customHeight="1" x14ac:dyDescent="0.2">
      <c r="A588" s="7655"/>
      <c r="B588" s="7653"/>
      <c r="C588" s="7724"/>
      <c r="D588" s="5594">
        <v>45000000</v>
      </c>
      <c r="E588" s="5606">
        <v>0.05</v>
      </c>
      <c r="F588" s="5594">
        <f t="shared" si="53"/>
        <v>2250000</v>
      </c>
      <c r="G588" s="6242">
        <v>3000000</v>
      </c>
      <c r="H588" s="6242" t="s">
        <v>7723</v>
      </c>
      <c r="I588" s="6254" t="s">
        <v>2979</v>
      </c>
      <c r="J588" s="6242">
        <f>G588</f>
        <v>3000000</v>
      </c>
      <c r="K588" s="6242">
        <f>(F587+F588)-J588</f>
        <v>0</v>
      </c>
      <c r="L588" s="6251" t="s">
        <v>7501</v>
      </c>
    </row>
    <row r="589" spans="1:13" ht="30" customHeight="1" x14ac:dyDescent="0.2">
      <c r="A589" s="5655">
        <v>289</v>
      </c>
      <c r="B589" s="5613" t="s">
        <v>637</v>
      </c>
      <c r="C589" s="5634" t="s">
        <v>1299</v>
      </c>
      <c r="D589" s="5594">
        <v>25000000</v>
      </c>
      <c r="E589" s="5652">
        <v>0.06</v>
      </c>
      <c r="F589" s="5594">
        <f t="shared" si="53"/>
        <v>1500000</v>
      </c>
      <c r="G589" s="5594">
        <v>1500000</v>
      </c>
      <c r="H589" s="5594" t="s">
        <v>7614</v>
      </c>
      <c r="I589" s="18" t="s">
        <v>4554</v>
      </c>
      <c r="J589" s="5594">
        <f t="shared" ref="J589:J594" si="56">G589</f>
        <v>1500000</v>
      </c>
      <c r="K589" s="5594">
        <f t="shared" ref="K589:K593" si="57">F589-J589</f>
        <v>0</v>
      </c>
      <c r="L589" s="5613"/>
    </row>
    <row r="590" spans="1:13" ht="30" customHeight="1" x14ac:dyDescent="0.2">
      <c r="A590" s="5782">
        <v>290</v>
      </c>
      <c r="B590" s="5658" t="s">
        <v>3848</v>
      </c>
      <c r="C590" s="5634" t="s">
        <v>1288</v>
      </c>
      <c r="D590" s="5594">
        <v>1150000000</v>
      </c>
      <c r="E590" s="5652">
        <v>7.0000000000000007E-2</v>
      </c>
      <c r="F590" s="5594">
        <f>D590*E590</f>
        <v>80500000.000000015</v>
      </c>
      <c r="G590" s="5586"/>
      <c r="H590" s="5586"/>
      <c r="I590" s="5586" t="s">
        <v>4095</v>
      </c>
      <c r="J590" s="5586">
        <f>G590</f>
        <v>0</v>
      </c>
      <c r="K590" s="5594">
        <f t="shared" si="57"/>
        <v>80500000.000000015</v>
      </c>
      <c r="L590" s="5663" t="s">
        <v>3859</v>
      </c>
    </row>
    <row r="591" spans="1:13" ht="30" customHeight="1" x14ac:dyDescent="0.2">
      <c r="A591" s="5786">
        <v>292</v>
      </c>
      <c r="B591" s="5798" t="s">
        <v>140</v>
      </c>
      <c r="C591" s="5822" t="s">
        <v>371</v>
      </c>
      <c r="D591" s="5594">
        <v>400000000</v>
      </c>
      <c r="E591" s="5652">
        <v>7.0000000000000007E-2</v>
      </c>
      <c r="F591" s="5594">
        <f t="shared" si="53"/>
        <v>28000000.000000004</v>
      </c>
      <c r="G591" s="5776">
        <v>28000000</v>
      </c>
      <c r="H591" s="5776" t="s">
        <v>7691</v>
      </c>
      <c r="I591" s="5793" t="s">
        <v>4552</v>
      </c>
      <c r="J591" s="5776">
        <f>G591</f>
        <v>28000000</v>
      </c>
      <c r="K591" s="5776">
        <f>F591-J591</f>
        <v>0</v>
      </c>
      <c r="L591" s="5613"/>
    </row>
    <row r="592" spans="1:13" ht="30" customHeight="1" x14ac:dyDescent="0.2">
      <c r="A592" s="5786">
        <v>293</v>
      </c>
      <c r="B592" s="5798" t="s">
        <v>141</v>
      </c>
      <c r="C592" s="5789" t="s">
        <v>1299</v>
      </c>
      <c r="D592" s="5777">
        <v>100000000</v>
      </c>
      <c r="E592" s="5795">
        <v>0.05</v>
      </c>
      <c r="F592" s="5777">
        <f>D592*E592</f>
        <v>5000000</v>
      </c>
      <c r="G592" s="5776">
        <v>5000000</v>
      </c>
      <c r="H592" s="5776" t="s">
        <v>7709</v>
      </c>
      <c r="I592" s="5793" t="s">
        <v>2181</v>
      </c>
      <c r="J592" s="5776">
        <f t="shared" si="56"/>
        <v>5000000</v>
      </c>
      <c r="K592" s="5776">
        <f>F592-J592</f>
        <v>0</v>
      </c>
      <c r="L592" s="5663"/>
    </row>
    <row r="593" spans="1:12" ht="30" customHeight="1" x14ac:dyDescent="0.2">
      <c r="A593" s="7654">
        <v>295</v>
      </c>
      <c r="B593" s="7652" t="s">
        <v>142</v>
      </c>
      <c r="C593" s="7723" t="s">
        <v>1299</v>
      </c>
      <c r="D593" s="7563">
        <v>100000000</v>
      </c>
      <c r="E593" s="7659">
        <v>0.05</v>
      </c>
      <c r="F593" s="7563">
        <f t="shared" si="53"/>
        <v>5000000</v>
      </c>
      <c r="G593" s="5586">
        <v>5000000</v>
      </c>
      <c r="H593" s="5586" t="s">
        <v>7281</v>
      </c>
      <c r="I593" s="5586" t="s">
        <v>5203</v>
      </c>
      <c r="J593" s="5586">
        <f t="shared" si="56"/>
        <v>5000000</v>
      </c>
      <c r="K593" s="5586">
        <f t="shared" si="57"/>
        <v>0</v>
      </c>
      <c r="L593" s="5663" t="s">
        <v>6807</v>
      </c>
    </row>
    <row r="594" spans="1:12" ht="30" customHeight="1" x14ac:dyDescent="0.2">
      <c r="A594" s="7655"/>
      <c r="B594" s="7653"/>
      <c r="C594" s="7724"/>
      <c r="D594" s="7564"/>
      <c r="E594" s="7660"/>
      <c r="F594" s="7564"/>
      <c r="G594" s="6303">
        <v>5000000</v>
      </c>
      <c r="H594" s="6303" t="s">
        <v>7774</v>
      </c>
      <c r="I594" s="6303" t="s">
        <v>5203</v>
      </c>
      <c r="J594" s="6303">
        <f t="shared" si="56"/>
        <v>5000000</v>
      </c>
      <c r="K594" s="6303">
        <f>F593-J594</f>
        <v>0</v>
      </c>
      <c r="L594" s="6333" t="s">
        <v>7501</v>
      </c>
    </row>
    <row r="595" spans="1:12" ht="30" customHeight="1" x14ac:dyDescent="0.2">
      <c r="A595" s="5786"/>
      <c r="B595" s="5798" t="s">
        <v>4556</v>
      </c>
      <c r="C595" s="5789" t="s">
        <v>1299</v>
      </c>
      <c r="D595" s="5594">
        <v>45000000</v>
      </c>
      <c r="E595" s="5652">
        <v>0.06</v>
      </c>
      <c r="F595" s="5594">
        <f t="shared" si="53"/>
        <v>2700000</v>
      </c>
      <c r="G595" s="5776"/>
      <c r="H595" s="5776"/>
      <c r="I595" s="5776" t="s">
        <v>4558</v>
      </c>
      <c r="J595" s="5776">
        <f t="shared" ref="J595:J605" si="58">G595</f>
        <v>0</v>
      </c>
      <c r="K595" s="5776">
        <f t="shared" ref="K595:K604" si="59">F595-J595</f>
        <v>2700000</v>
      </c>
      <c r="L595" s="5663"/>
    </row>
    <row r="596" spans="1:12" ht="30" customHeight="1" x14ac:dyDescent="0.2">
      <c r="A596" s="5655">
        <v>296</v>
      </c>
      <c r="B596" s="5613" t="s">
        <v>143</v>
      </c>
      <c r="C596" s="5657" t="s">
        <v>1306</v>
      </c>
      <c r="D596" s="5594">
        <v>60000000</v>
      </c>
      <c r="E596" s="5652">
        <v>0.05</v>
      </c>
      <c r="F596" s="5594">
        <f t="shared" si="53"/>
        <v>3000000</v>
      </c>
      <c r="G596" s="5592">
        <v>3000000</v>
      </c>
      <c r="H596" s="5592" t="s">
        <v>7281</v>
      </c>
      <c r="I596" s="5621" t="s">
        <v>1720</v>
      </c>
      <c r="J596" s="5592">
        <f t="shared" si="58"/>
        <v>3000000</v>
      </c>
      <c r="K596" s="5592">
        <f t="shared" si="59"/>
        <v>0</v>
      </c>
      <c r="L596" s="5613"/>
    </row>
    <row r="597" spans="1:12" ht="30" customHeight="1" x14ac:dyDescent="0.2">
      <c r="A597" s="7654">
        <v>298</v>
      </c>
      <c r="B597" s="7652" t="s">
        <v>145</v>
      </c>
      <c r="C597" s="7723" t="s">
        <v>1134</v>
      </c>
      <c r="D597" s="7563">
        <v>40000000</v>
      </c>
      <c r="E597" s="7659">
        <v>0.05</v>
      </c>
      <c r="F597" s="7563">
        <f t="shared" si="53"/>
        <v>2000000</v>
      </c>
      <c r="G597" s="5586">
        <v>2000000</v>
      </c>
      <c r="H597" s="5586" t="s">
        <v>7281</v>
      </c>
      <c r="I597" s="5662" t="s">
        <v>4150</v>
      </c>
      <c r="J597" s="5586">
        <f t="shared" si="58"/>
        <v>2000000</v>
      </c>
      <c r="K597" s="5586">
        <f t="shared" si="59"/>
        <v>0</v>
      </c>
      <c r="L597" s="6251" t="s">
        <v>6807</v>
      </c>
    </row>
    <row r="598" spans="1:12" ht="30" customHeight="1" x14ac:dyDescent="0.2">
      <c r="A598" s="7655"/>
      <c r="B598" s="7653"/>
      <c r="C598" s="7724"/>
      <c r="D598" s="7564"/>
      <c r="E598" s="7660"/>
      <c r="F598" s="7564"/>
      <c r="G598" s="6242">
        <v>2000000</v>
      </c>
      <c r="H598" s="6242" t="s">
        <v>7723</v>
      </c>
      <c r="I598" s="6254" t="s">
        <v>4150</v>
      </c>
      <c r="J598" s="6242">
        <f t="shared" si="58"/>
        <v>2000000</v>
      </c>
      <c r="K598" s="6242">
        <f>F597-J598</f>
        <v>0</v>
      </c>
      <c r="L598" s="6251" t="s">
        <v>7501</v>
      </c>
    </row>
    <row r="599" spans="1:12" ht="30" customHeight="1" x14ac:dyDescent="0.2">
      <c r="A599" s="7654">
        <v>300</v>
      </c>
      <c r="B599" s="7652" t="s">
        <v>147</v>
      </c>
      <c r="C599" s="7723" t="s">
        <v>890</v>
      </c>
      <c r="D599" s="7563">
        <v>178000000</v>
      </c>
      <c r="E599" s="7659">
        <v>5.8999999999999997E-2</v>
      </c>
      <c r="F599" s="7563">
        <v>10500000</v>
      </c>
      <c r="G599" s="5586">
        <v>10500000</v>
      </c>
      <c r="H599" s="5586" t="s">
        <v>7293</v>
      </c>
      <c r="I599" s="5662" t="s">
        <v>3469</v>
      </c>
      <c r="J599" s="5586">
        <f t="shared" si="58"/>
        <v>10500000</v>
      </c>
      <c r="K599" s="5586">
        <f t="shared" si="59"/>
        <v>0</v>
      </c>
      <c r="L599" s="6331" t="s">
        <v>6807</v>
      </c>
    </row>
    <row r="600" spans="1:12" ht="30" customHeight="1" x14ac:dyDescent="0.2">
      <c r="A600" s="7656"/>
      <c r="B600" s="7665"/>
      <c r="C600" s="7747"/>
      <c r="D600" s="7586"/>
      <c r="E600" s="7676"/>
      <c r="F600" s="7586"/>
      <c r="G600" s="6305">
        <v>4000000</v>
      </c>
      <c r="H600" s="6305" t="s">
        <v>7757</v>
      </c>
      <c r="I600" s="6310" t="s">
        <v>7761</v>
      </c>
      <c r="J600" s="7563">
        <f>G600+G601</f>
        <v>10500000</v>
      </c>
      <c r="K600" s="7563">
        <f>F599-J600</f>
        <v>0</v>
      </c>
      <c r="L600" s="7811" t="s">
        <v>7501</v>
      </c>
    </row>
    <row r="601" spans="1:12" ht="30" customHeight="1" x14ac:dyDescent="0.2">
      <c r="A601" s="7655"/>
      <c r="B601" s="7653"/>
      <c r="C601" s="7724"/>
      <c r="D601" s="7564"/>
      <c r="E601" s="7660"/>
      <c r="F601" s="7564"/>
      <c r="G601" s="6305">
        <v>6500000</v>
      </c>
      <c r="H601" s="6305" t="s">
        <v>7774</v>
      </c>
      <c r="I601" s="6310" t="s">
        <v>3469</v>
      </c>
      <c r="J601" s="7564"/>
      <c r="K601" s="7564"/>
      <c r="L601" s="7812"/>
    </row>
    <row r="602" spans="1:12" ht="30" customHeight="1" x14ac:dyDescent="0.2">
      <c r="A602" s="7654">
        <v>301</v>
      </c>
      <c r="B602" s="7652" t="s">
        <v>2347</v>
      </c>
      <c r="C602" s="7723"/>
      <c r="D602" s="7563">
        <v>10000000</v>
      </c>
      <c r="E602" s="7659">
        <v>0.04</v>
      </c>
      <c r="F602" s="7563">
        <f>D602*E602</f>
        <v>400000</v>
      </c>
      <c r="G602" s="5594">
        <v>400000</v>
      </c>
      <c r="H602" s="5594" t="s">
        <v>7293</v>
      </c>
      <c r="I602" s="5639" t="s">
        <v>723</v>
      </c>
      <c r="J602" s="5594">
        <f t="shared" si="58"/>
        <v>400000</v>
      </c>
      <c r="K602" s="5594">
        <f t="shared" si="59"/>
        <v>0</v>
      </c>
      <c r="L602" s="6331" t="s">
        <v>6807</v>
      </c>
    </row>
    <row r="603" spans="1:12" ht="30" customHeight="1" x14ac:dyDescent="0.2">
      <c r="A603" s="7655"/>
      <c r="B603" s="7653"/>
      <c r="C603" s="7724"/>
      <c r="D603" s="7564"/>
      <c r="E603" s="7660"/>
      <c r="F603" s="7564"/>
      <c r="G603" s="6305">
        <v>400000</v>
      </c>
      <c r="H603" s="6305" t="s">
        <v>7757</v>
      </c>
      <c r="I603" s="6323" t="s">
        <v>2348</v>
      </c>
      <c r="J603" s="6305">
        <f t="shared" si="58"/>
        <v>400000</v>
      </c>
      <c r="K603" s="6305">
        <f>F602-J603</f>
        <v>0</v>
      </c>
      <c r="L603" s="6331" t="s">
        <v>7501</v>
      </c>
    </row>
    <row r="604" spans="1:12" ht="30" customHeight="1" x14ac:dyDescent="0.2">
      <c r="A604" s="7654">
        <v>302</v>
      </c>
      <c r="B604" s="7652" t="s">
        <v>149</v>
      </c>
      <c r="C604" s="7723" t="s">
        <v>1296</v>
      </c>
      <c r="D604" s="7563">
        <v>100000000</v>
      </c>
      <c r="E604" s="7659">
        <v>0.05</v>
      </c>
      <c r="F604" s="7563">
        <f>D604*E604</f>
        <v>5000000</v>
      </c>
      <c r="G604" s="6244">
        <v>5000000</v>
      </c>
      <c r="H604" s="6244" t="s">
        <v>7281</v>
      </c>
      <c r="I604" s="6249" t="s">
        <v>3179</v>
      </c>
      <c r="J604" s="6244">
        <f t="shared" si="58"/>
        <v>5000000</v>
      </c>
      <c r="K604" s="5586">
        <f t="shared" si="59"/>
        <v>0</v>
      </c>
      <c r="L604" s="6251" t="s">
        <v>6807</v>
      </c>
    </row>
    <row r="605" spans="1:12" ht="30" customHeight="1" x14ac:dyDescent="0.2">
      <c r="A605" s="7655"/>
      <c r="B605" s="7653"/>
      <c r="C605" s="7724"/>
      <c r="D605" s="7564"/>
      <c r="E605" s="7660"/>
      <c r="F605" s="7564"/>
      <c r="G605" s="6244">
        <v>5000000</v>
      </c>
      <c r="H605" s="6244" t="s">
        <v>7723</v>
      </c>
      <c r="I605" s="6249" t="s">
        <v>3179</v>
      </c>
      <c r="J605" s="6244">
        <f t="shared" si="58"/>
        <v>5000000</v>
      </c>
      <c r="K605" s="6242">
        <f>F604-J605</f>
        <v>0</v>
      </c>
      <c r="L605" s="6251" t="s">
        <v>7501</v>
      </c>
    </row>
    <row r="606" spans="1:12" ht="30" customHeight="1" x14ac:dyDescent="0.2">
      <c r="A606" s="7654"/>
      <c r="B606" s="7652" t="s">
        <v>6119</v>
      </c>
      <c r="C606" s="7723" t="s">
        <v>1796</v>
      </c>
      <c r="D606" s="5586">
        <v>2162000000</v>
      </c>
      <c r="E606" s="5652">
        <v>8.4000000000000005E-2</v>
      </c>
      <c r="F606" s="5586">
        <v>181608000</v>
      </c>
      <c r="G606" s="5588"/>
      <c r="H606" s="5589"/>
      <c r="I606" s="5589"/>
      <c r="J606" s="5642"/>
      <c r="K606" s="178"/>
      <c r="L606" s="5665"/>
    </row>
    <row r="607" spans="1:12" ht="30" customHeight="1" x14ac:dyDescent="0.2">
      <c r="A607" s="7656"/>
      <c r="B607" s="7665"/>
      <c r="C607" s="7747"/>
      <c r="D607" s="5593">
        <v>10000000</v>
      </c>
      <c r="E607" s="5605"/>
      <c r="F607" s="5593"/>
      <c r="G607" s="7991" t="s">
        <v>6120</v>
      </c>
      <c r="H607" s="7992"/>
      <c r="I607" s="7992"/>
      <c r="J607" s="7993"/>
      <c r="K607" s="178"/>
      <c r="L607" s="5670" t="s">
        <v>6047</v>
      </c>
    </row>
    <row r="608" spans="1:12" ht="30" customHeight="1" x14ac:dyDescent="0.2">
      <c r="A608" s="7656"/>
      <c r="B608" s="7665"/>
      <c r="C608" s="7747"/>
      <c r="D608" s="7563">
        <v>40000000</v>
      </c>
      <c r="E608" s="7659"/>
      <c r="F608" s="7563"/>
      <c r="G608" s="7732" t="s">
        <v>6286</v>
      </c>
      <c r="H608" s="7733"/>
      <c r="I608" s="7733"/>
      <c r="J608" s="7734"/>
      <c r="K608" s="233"/>
      <c r="L608" s="5670" t="s">
        <v>6285</v>
      </c>
    </row>
    <row r="609" spans="1:12" ht="30" customHeight="1" x14ac:dyDescent="0.2">
      <c r="A609" s="7656"/>
      <c r="B609" s="7665"/>
      <c r="C609" s="7747"/>
      <c r="D609" s="7586"/>
      <c r="E609" s="7676"/>
      <c r="F609" s="7586"/>
      <c r="G609" s="7732" t="s">
        <v>6287</v>
      </c>
      <c r="H609" s="7733"/>
      <c r="I609" s="7733"/>
      <c r="J609" s="7734"/>
      <c r="K609" s="233"/>
      <c r="L609" s="5680"/>
    </row>
    <row r="610" spans="1:12" ht="30" customHeight="1" x14ac:dyDescent="0.2">
      <c r="A610" s="7656"/>
      <c r="B610" s="7665"/>
      <c r="C610" s="7747"/>
      <c r="D610" s="7586"/>
      <c r="E610" s="7676"/>
      <c r="F610" s="7586"/>
      <c r="G610" s="7732" t="s">
        <v>6288</v>
      </c>
      <c r="H610" s="7733"/>
      <c r="I610" s="7733"/>
      <c r="J610" s="7734"/>
      <c r="K610" s="233"/>
      <c r="L610" s="5680"/>
    </row>
    <row r="611" spans="1:12" ht="30" customHeight="1" x14ac:dyDescent="0.2">
      <c r="A611" s="7656"/>
      <c r="B611" s="7665"/>
      <c r="C611" s="7747"/>
      <c r="D611" s="7586"/>
      <c r="E611" s="7676"/>
      <c r="F611" s="7586"/>
      <c r="G611" s="7732" t="s">
        <v>6289</v>
      </c>
      <c r="H611" s="7733"/>
      <c r="I611" s="7733"/>
      <c r="J611" s="7734"/>
      <c r="K611" s="233"/>
      <c r="L611" s="5680"/>
    </row>
    <row r="612" spans="1:12" ht="30" customHeight="1" x14ac:dyDescent="0.2">
      <c r="A612" s="7656"/>
      <c r="B612" s="7665"/>
      <c r="C612" s="7747"/>
      <c r="D612" s="7564"/>
      <c r="E612" s="7660"/>
      <c r="F612" s="7564"/>
      <c r="G612" s="7732" t="s">
        <v>6290</v>
      </c>
      <c r="H612" s="7733"/>
      <c r="I612" s="7733"/>
      <c r="J612" s="7734"/>
      <c r="K612" s="233"/>
      <c r="L612" s="5680"/>
    </row>
    <row r="613" spans="1:12" ht="30" customHeight="1" x14ac:dyDescent="0.2">
      <c r="A613" s="7656"/>
      <c r="B613" s="7665"/>
      <c r="C613" s="7747"/>
      <c r="D613" s="5629">
        <f>SUM(D606:D612)</f>
        <v>2212000000</v>
      </c>
      <c r="E613" s="5604"/>
      <c r="F613" s="5629">
        <v>186290000</v>
      </c>
      <c r="G613" s="7732" t="s">
        <v>6051</v>
      </c>
      <c r="H613" s="7733"/>
      <c r="I613" s="7733"/>
      <c r="J613" s="7734"/>
      <c r="K613" s="233"/>
      <c r="L613" s="5680"/>
    </row>
    <row r="614" spans="1:12" ht="30" customHeight="1" x14ac:dyDescent="0.2">
      <c r="A614" s="7656"/>
      <c r="B614" s="7665"/>
      <c r="C614" s="7747"/>
      <c r="D614" s="5586">
        <v>100000000</v>
      </c>
      <c r="E614" s="5652"/>
      <c r="F614" s="5586"/>
      <c r="G614" s="7732" t="s">
        <v>6291</v>
      </c>
      <c r="H614" s="7733"/>
      <c r="I614" s="7733"/>
      <c r="J614" s="7734"/>
      <c r="K614" s="233"/>
      <c r="L614" s="5680" t="s">
        <v>6338</v>
      </c>
    </row>
    <row r="615" spans="1:12" ht="30" customHeight="1" x14ac:dyDescent="0.2">
      <c r="A615" s="7656"/>
      <c r="B615" s="7665"/>
      <c r="C615" s="7747"/>
      <c r="D615" s="5586">
        <v>80000000</v>
      </c>
      <c r="E615" s="5652"/>
      <c r="F615" s="5586"/>
      <c r="G615" s="7732" t="s">
        <v>6292</v>
      </c>
      <c r="H615" s="7733"/>
      <c r="I615" s="7733"/>
      <c r="J615" s="7734"/>
      <c r="K615" s="233"/>
      <c r="L615" s="5680" t="s">
        <v>6337</v>
      </c>
    </row>
    <row r="616" spans="1:12" ht="30" customHeight="1" x14ac:dyDescent="0.2">
      <c r="A616" s="7656"/>
      <c r="B616" s="7665"/>
      <c r="C616" s="7747"/>
      <c r="D616" s="5592">
        <v>40000000</v>
      </c>
      <c r="E616" s="5604"/>
      <c r="F616" s="5592"/>
      <c r="G616" s="7732" t="s">
        <v>6382</v>
      </c>
      <c r="H616" s="7733"/>
      <c r="I616" s="7733"/>
      <c r="J616" s="7734"/>
      <c r="K616" s="233"/>
      <c r="L616" s="5680" t="s">
        <v>6339</v>
      </c>
    </row>
    <row r="617" spans="1:12" ht="30" customHeight="1" x14ac:dyDescent="0.2">
      <c r="A617" s="7656"/>
      <c r="B617" s="7665"/>
      <c r="C617" s="7747"/>
      <c r="D617" s="5629">
        <f>SUM(D613:D616)</f>
        <v>2432000000</v>
      </c>
      <c r="E617" s="5604"/>
      <c r="F617" s="5629">
        <v>198830000</v>
      </c>
      <c r="G617" s="7732" t="s">
        <v>6051</v>
      </c>
      <c r="H617" s="7733"/>
      <c r="I617" s="7733"/>
      <c r="J617" s="7734"/>
      <c r="K617" s="233"/>
      <c r="L617" s="5680" t="s">
        <v>6293</v>
      </c>
    </row>
    <row r="618" spans="1:12" ht="30" customHeight="1" x14ac:dyDescent="0.2">
      <c r="A618" s="7656"/>
      <c r="B618" s="7665"/>
      <c r="C618" s="7747"/>
      <c r="D618" s="5629">
        <f>2432000000-245000000</f>
        <v>2187000000</v>
      </c>
      <c r="E618" s="5604"/>
      <c r="F618" s="5629">
        <v>188940000</v>
      </c>
      <c r="G618" s="7732" t="s">
        <v>6294</v>
      </c>
      <c r="H618" s="7733"/>
      <c r="I618" s="7733"/>
      <c r="J618" s="7734"/>
      <c r="K618" s="233"/>
      <c r="L618" s="5680"/>
    </row>
    <row r="619" spans="1:12" ht="30" customHeight="1" x14ac:dyDescent="0.2">
      <c r="A619" s="7656"/>
      <c r="B619" s="7665"/>
      <c r="C619" s="7747"/>
      <c r="D619" s="7470" t="s">
        <v>6459</v>
      </c>
      <c r="E619" s="7493"/>
      <c r="F619" s="7510"/>
      <c r="G619" s="7732" t="s">
        <v>6755</v>
      </c>
      <c r="H619" s="7733"/>
      <c r="I619" s="7733"/>
      <c r="J619" s="7734"/>
      <c r="K619" s="233"/>
      <c r="L619" s="5680"/>
    </row>
    <row r="620" spans="1:12" ht="30" customHeight="1" x14ac:dyDescent="0.2">
      <c r="A620" s="7656"/>
      <c r="B620" s="7665"/>
      <c r="C620" s="7747"/>
      <c r="D620" s="5591">
        <v>2432000000</v>
      </c>
      <c r="E620" s="5591"/>
      <c r="F620" s="5591">
        <v>198830000</v>
      </c>
      <c r="G620" s="7732" t="s">
        <v>6740</v>
      </c>
      <c r="H620" s="7733"/>
      <c r="I620" s="7733"/>
      <c r="J620" s="7734"/>
      <c r="K620" s="233"/>
      <c r="L620" s="5680"/>
    </row>
    <row r="621" spans="1:12" ht="30" customHeight="1" x14ac:dyDescent="0.2">
      <c r="A621" s="7656"/>
      <c r="B621" s="7665"/>
      <c r="C621" s="7747"/>
      <c r="D621" s="5591">
        <f>2432000000-245000000</f>
        <v>2187000000</v>
      </c>
      <c r="E621" s="5591"/>
      <c r="F621" s="5591">
        <v>188940000</v>
      </c>
      <c r="G621" s="8520" t="s">
        <v>6294</v>
      </c>
      <c r="H621" s="8521"/>
      <c r="I621" s="8521"/>
      <c r="J621" s="8522"/>
      <c r="K621" s="233"/>
      <c r="L621" s="5680"/>
    </row>
    <row r="622" spans="1:12" ht="30" customHeight="1" x14ac:dyDescent="0.2">
      <c r="A622" s="7656"/>
      <c r="B622" s="7665"/>
      <c r="C622" s="7747"/>
      <c r="D622" s="5586">
        <v>120000000</v>
      </c>
      <c r="E622" s="5586"/>
      <c r="F622" s="5586"/>
      <c r="G622" s="7732" t="s">
        <v>7133</v>
      </c>
      <c r="H622" s="7733"/>
      <c r="I622" s="7733"/>
      <c r="J622" s="7734"/>
      <c r="K622" s="233"/>
      <c r="L622" s="5680" t="s">
        <v>6925</v>
      </c>
    </row>
    <row r="623" spans="1:12" ht="30" customHeight="1" x14ac:dyDescent="0.2">
      <c r="A623" s="7656"/>
      <c r="B623" s="7665"/>
      <c r="C623" s="7747"/>
      <c r="D623" s="5586">
        <v>50000000</v>
      </c>
      <c r="E623" s="5586"/>
      <c r="F623" s="5586"/>
      <c r="G623" s="7732" t="s">
        <v>7132</v>
      </c>
      <c r="H623" s="7733"/>
      <c r="I623" s="7733"/>
      <c r="J623" s="7734"/>
      <c r="K623" s="233"/>
      <c r="L623" s="5680" t="s">
        <v>6926</v>
      </c>
    </row>
    <row r="624" spans="1:12" ht="30" customHeight="1" x14ac:dyDescent="0.2">
      <c r="A624" s="7656"/>
      <c r="B624" s="7665"/>
      <c r="C624" s="7747"/>
      <c r="D624" s="5591">
        <f>D621+D622+D623</f>
        <v>2357000000</v>
      </c>
      <c r="E624" s="5591"/>
      <c r="F624" s="5591">
        <v>202540000</v>
      </c>
      <c r="G624" s="7732" t="s">
        <v>6294</v>
      </c>
      <c r="H624" s="7733"/>
      <c r="I624" s="7733"/>
      <c r="J624" s="7734"/>
      <c r="K624" s="233"/>
      <c r="L624" s="5680"/>
    </row>
    <row r="625" spans="1:12" ht="30" customHeight="1" x14ac:dyDescent="0.2">
      <c r="A625" s="7656"/>
      <c r="B625" s="7665"/>
      <c r="C625" s="7747"/>
      <c r="D625" s="8063" t="s">
        <v>7469</v>
      </c>
      <c r="E625" s="8064"/>
      <c r="F625" s="8065"/>
      <c r="G625" s="7732" t="s">
        <v>7468</v>
      </c>
      <c r="H625" s="7733"/>
      <c r="I625" s="7733"/>
      <c r="J625" s="7734"/>
      <c r="K625" s="227"/>
      <c r="L625" s="5990"/>
    </row>
    <row r="626" spans="1:12" ht="30" customHeight="1" x14ac:dyDescent="0.2">
      <c r="A626" s="7656"/>
      <c r="B626" s="7665"/>
      <c r="C626" s="7747"/>
      <c r="D626" s="8572"/>
      <c r="E626" s="8573"/>
      <c r="F626" s="8574"/>
      <c r="G626" s="5956">
        <v>2500000</v>
      </c>
      <c r="H626" s="5956" t="s">
        <v>7460</v>
      </c>
      <c r="I626" s="5956" t="s">
        <v>785</v>
      </c>
      <c r="J626" s="5956">
        <f>G626</f>
        <v>2500000</v>
      </c>
      <c r="K626" s="227"/>
      <c r="L626" s="5990" t="s">
        <v>7492</v>
      </c>
    </row>
    <row r="627" spans="1:12" ht="30" customHeight="1" x14ac:dyDescent="0.2">
      <c r="A627" s="7656"/>
      <c r="B627" s="7665"/>
      <c r="C627" s="7747"/>
      <c r="D627" s="8572"/>
      <c r="E627" s="8573"/>
      <c r="F627" s="8574"/>
      <c r="G627" s="6301">
        <v>50000000</v>
      </c>
      <c r="H627" s="6301" t="s">
        <v>7757</v>
      </c>
      <c r="I627" s="6301" t="s">
        <v>7758</v>
      </c>
      <c r="J627" s="6301">
        <f>G627</f>
        <v>50000000</v>
      </c>
      <c r="K627" s="227"/>
      <c r="L627" s="6339" t="s">
        <v>7759</v>
      </c>
    </row>
    <row r="628" spans="1:12" ht="30" customHeight="1" x14ac:dyDescent="0.2">
      <c r="A628" s="7656"/>
      <c r="B628" s="7665"/>
      <c r="C628" s="7747"/>
      <c r="D628" s="8572"/>
      <c r="E628" s="8573"/>
      <c r="F628" s="8574"/>
      <c r="G628" s="6301">
        <v>65000000</v>
      </c>
      <c r="H628" s="6301" t="s">
        <v>7774</v>
      </c>
      <c r="I628" s="6301" t="s">
        <v>7758</v>
      </c>
      <c r="J628" s="6301">
        <f>G628</f>
        <v>65000000</v>
      </c>
      <c r="K628" s="233"/>
      <c r="L628" s="6339" t="s">
        <v>7759</v>
      </c>
    </row>
    <row r="629" spans="1:12" ht="30" customHeight="1" x14ac:dyDescent="0.2">
      <c r="A629" s="7656"/>
      <c r="B629" s="7665"/>
      <c r="C629" s="7747"/>
      <c r="D629" s="8066"/>
      <c r="E629" s="8067"/>
      <c r="F629" s="8068"/>
      <c r="G629" s="6364">
        <v>30000000</v>
      </c>
      <c r="H629" s="6364" t="s">
        <v>7810</v>
      </c>
      <c r="I629" s="6364" t="s">
        <v>7758</v>
      </c>
      <c r="J629" s="6364">
        <f>G629</f>
        <v>30000000</v>
      </c>
      <c r="K629" s="227"/>
      <c r="L629" s="6375" t="s">
        <v>7759</v>
      </c>
    </row>
    <row r="630" spans="1:12" ht="30" customHeight="1" x14ac:dyDescent="0.2">
      <c r="A630" s="7656"/>
      <c r="B630" s="7665"/>
      <c r="C630" s="7747"/>
      <c r="D630" s="6128">
        <v>500000000</v>
      </c>
      <c r="E630" s="6131"/>
      <c r="F630" s="6128"/>
      <c r="G630" s="7732" t="s">
        <v>7656</v>
      </c>
      <c r="H630" s="7733"/>
      <c r="I630" s="7733"/>
      <c r="J630" s="7734"/>
      <c r="K630" s="227"/>
      <c r="L630" s="6153" t="s">
        <v>7654</v>
      </c>
    </row>
    <row r="631" spans="1:12" ht="30" customHeight="1" x14ac:dyDescent="0.2">
      <c r="A631" s="7656"/>
      <c r="B631" s="7665"/>
      <c r="C631" s="7747"/>
      <c r="D631" s="6128">
        <v>60000000</v>
      </c>
      <c r="E631" s="6131"/>
      <c r="F631" s="6128"/>
      <c r="G631" s="6124"/>
      <c r="H631" s="6124"/>
      <c r="I631" s="6124"/>
      <c r="J631" s="6124"/>
      <c r="K631" s="227"/>
      <c r="L631" s="6153" t="s">
        <v>7655</v>
      </c>
    </row>
    <row r="632" spans="1:12" ht="30" customHeight="1" x14ac:dyDescent="0.2">
      <c r="A632" s="7656"/>
      <c r="B632" s="7665"/>
      <c r="C632" s="7747"/>
      <c r="D632" s="6135">
        <v>560000000</v>
      </c>
      <c r="E632" s="6134">
        <v>0.09</v>
      </c>
      <c r="F632" s="6135">
        <f>D632*E632</f>
        <v>50400000</v>
      </c>
      <c r="G632" s="7732" t="s">
        <v>7657</v>
      </c>
      <c r="H632" s="7733"/>
      <c r="I632" s="7733"/>
      <c r="J632" s="7734"/>
      <c r="K632" s="227"/>
      <c r="L632" s="6153"/>
    </row>
    <row r="633" spans="1:12" ht="30" customHeight="1" x14ac:dyDescent="0.2">
      <c r="A633" s="7655"/>
      <c r="B633" s="7653"/>
      <c r="C633" s="7724"/>
      <c r="D633" s="6157">
        <f>D624+D632</f>
        <v>2917000000</v>
      </c>
      <c r="E633" s="6158"/>
      <c r="F633" s="6157"/>
      <c r="G633" s="7732" t="s">
        <v>7658</v>
      </c>
      <c r="H633" s="7733"/>
      <c r="I633" s="7733"/>
      <c r="J633" s="7734"/>
      <c r="K633" s="227"/>
      <c r="L633" s="6153"/>
    </row>
    <row r="634" spans="1:12" ht="30" customHeight="1" x14ac:dyDescent="0.2">
      <c r="A634" s="7661">
        <v>305</v>
      </c>
      <c r="B634" s="7652" t="s">
        <v>152</v>
      </c>
      <c r="C634" s="7723" t="s">
        <v>1796</v>
      </c>
      <c r="D634" s="7563">
        <v>1200000000</v>
      </c>
      <c r="E634" s="7659">
        <v>7.0000000000000007E-2</v>
      </c>
      <c r="F634" s="7563">
        <f>D634*E634</f>
        <v>84000000.000000015</v>
      </c>
      <c r="G634" s="5774">
        <v>10000000</v>
      </c>
      <c r="H634" s="5774" t="s">
        <v>7281</v>
      </c>
      <c r="I634" s="5774" t="s">
        <v>7292</v>
      </c>
      <c r="J634" s="7482">
        <f>G634+G635+G636+G637+G638</f>
        <v>54000000</v>
      </c>
      <c r="K634" s="7482">
        <f>F634-J634</f>
        <v>30000000.000000015</v>
      </c>
      <c r="L634" s="345"/>
    </row>
    <row r="635" spans="1:12" ht="30" customHeight="1" x14ac:dyDescent="0.2">
      <c r="A635" s="7662"/>
      <c r="B635" s="7665"/>
      <c r="C635" s="7747"/>
      <c r="D635" s="7586"/>
      <c r="E635" s="7676"/>
      <c r="F635" s="7586"/>
      <c r="G635" s="5825">
        <v>10000000</v>
      </c>
      <c r="H635" s="5825" t="s">
        <v>7325</v>
      </c>
      <c r="I635" s="5825" t="s">
        <v>3772</v>
      </c>
      <c r="J635" s="7482"/>
      <c r="K635" s="7482"/>
      <c r="L635" s="345"/>
    </row>
    <row r="636" spans="1:12" ht="30" customHeight="1" x14ac:dyDescent="0.2">
      <c r="A636" s="7662"/>
      <c r="B636" s="7665"/>
      <c r="C636" s="7747"/>
      <c r="D636" s="7586"/>
      <c r="E636" s="7676"/>
      <c r="F636" s="7586"/>
      <c r="G636" s="5920">
        <v>10000000</v>
      </c>
      <c r="H636" s="5920" t="s">
        <v>7427</v>
      </c>
      <c r="I636" s="5920" t="s">
        <v>3772</v>
      </c>
      <c r="J636" s="7482"/>
      <c r="K636" s="7482"/>
      <c r="L636" s="345"/>
    </row>
    <row r="637" spans="1:12" ht="30" customHeight="1" x14ac:dyDescent="0.2">
      <c r="A637" s="7662"/>
      <c r="B637" s="7665"/>
      <c r="C637" s="7747"/>
      <c r="D637" s="7586"/>
      <c r="E637" s="7676"/>
      <c r="F637" s="7586"/>
      <c r="G637" s="5920">
        <v>15000000</v>
      </c>
      <c r="H637" s="5920" t="s">
        <v>7511</v>
      </c>
      <c r="I637" s="5920" t="s">
        <v>7519</v>
      </c>
      <c r="J637" s="7482"/>
      <c r="K637" s="7482"/>
      <c r="L637" s="345"/>
    </row>
    <row r="638" spans="1:12" ht="30" customHeight="1" x14ac:dyDescent="0.2">
      <c r="A638" s="7662"/>
      <c r="B638" s="7665"/>
      <c r="C638" s="7747"/>
      <c r="D638" s="7564"/>
      <c r="E638" s="7660"/>
      <c r="F638" s="7564"/>
      <c r="G638" s="6126">
        <v>9000000</v>
      </c>
      <c r="H638" s="6126" t="s">
        <v>2830</v>
      </c>
      <c r="I638" s="6126" t="s">
        <v>7519</v>
      </c>
      <c r="J638" s="7482"/>
      <c r="K638" s="7482"/>
      <c r="L638" s="735"/>
    </row>
    <row r="639" spans="1:12" ht="30" customHeight="1" x14ac:dyDescent="0.2">
      <c r="A639" s="7662"/>
      <c r="B639" s="7665"/>
      <c r="C639" s="7747"/>
      <c r="D639" s="6128">
        <v>50000000</v>
      </c>
      <c r="E639" s="6131">
        <v>7.0000000000000007E-2</v>
      </c>
      <c r="F639" s="6128">
        <f>D639*E639</f>
        <v>3500000.0000000005</v>
      </c>
      <c r="G639" s="7732" t="s">
        <v>7639</v>
      </c>
      <c r="H639" s="7733"/>
      <c r="I639" s="7733"/>
      <c r="J639" s="7734"/>
      <c r="K639" s="6301"/>
      <c r="L639" s="6153" t="s">
        <v>7640</v>
      </c>
    </row>
    <row r="640" spans="1:12" ht="30" customHeight="1" x14ac:dyDescent="0.2">
      <c r="A640" s="7662"/>
      <c r="B640" s="7665"/>
      <c r="C640" s="7724"/>
      <c r="D640" s="6157">
        <f>D634+D639</f>
        <v>1250000000</v>
      </c>
      <c r="E640" s="6158">
        <v>7.0000000000000007E-2</v>
      </c>
      <c r="F640" s="6157">
        <f>D640*E640</f>
        <v>87500000.000000015</v>
      </c>
      <c r="G640" s="8000" t="s">
        <v>7638</v>
      </c>
      <c r="H640" s="8000"/>
      <c r="I640" s="8000"/>
      <c r="J640" s="8000"/>
      <c r="K640" s="6301"/>
      <c r="L640" s="345"/>
    </row>
    <row r="641" spans="1:12" ht="30" customHeight="1" x14ac:dyDescent="0.2">
      <c r="A641" s="7662"/>
      <c r="B641" s="7665"/>
      <c r="C641" s="7723" t="s">
        <v>1796</v>
      </c>
      <c r="D641" s="7563">
        <f>D635+D640</f>
        <v>1250000000</v>
      </c>
      <c r="E641" s="7659">
        <v>7.0000000000000007E-2</v>
      </c>
      <c r="F641" s="7563">
        <f>D641*E641</f>
        <v>87500000.000000015</v>
      </c>
      <c r="G641" s="6303">
        <v>20000000</v>
      </c>
      <c r="H641" s="6303" t="s">
        <v>7786</v>
      </c>
      <c r="I641" s="6303" t="s">
        <v>2394</v>
      </c>
      <c r="J641" s="7563">
        <f>G641+G642</f>
        <v>35000000</v>
      </c>
      <c r="K641" s="7563">
        <f>F641-J641</f>
        <v>52500000.000000015</v>
      </c>
      <c r="L641" s="345"/>
    </row>
    <row r="642" spans="1:12" ht="30" customHeight="1" x14ac:dyDescent="0.2">
      <c r="A642" s="7663"/>
      <c r="B642" s="7653"/>
      <c r="C642" s="7724"/>
      <c r="D642" s="7564"/>
      <c r="E642" s="7660"/>
      <c r="F642" s="7564"/>
      <c r="G642" s="6303">
        <v>15000000</v>
      </c>
      <c r="H642" s="6303" t="s">
        <v>7795</v>
      </c>
      <c r="I642" s="6303" t="s">
        <v>4135</v>
      </c>
      <c r="J642" s="7564"/>
      <c r="K642" s="7564"/>
      <c r="L642" s="345"/>
    </row>
    <row r="643" spans="1:12" ht="30" customHeight="1" x14ac:dyDescent="0.2">
      <c r="A643" s="5655">
        <v>307</v>
      </c>
      <c r="B643" s="5613" t="s">
        <v>154</v>
      </c>
      <c r="C643" s="5657" t="s">
        <v>1306</v>
      </c>
      <c r="D643" s="5594">
        <v>300000000</v>
      </c>
      <c r="E643" s="5652">
        <v>0.05</v>
      </c>
      <c r="F643" s="5594">
        <f t="shared" si="53"/>
        <v>15000000</v>
      </c>
      <c r="G643" s="5592">
        <v>15000000</v>
      </c>
      <c r="H643" s="5592" t="s">
        <v>7723</v>
      </c>
      <c r="I643" s="5621" t="s">
        <v>2409</v>
      </c>
      <c r="J643" s="5592">
        <f>G643</f>
        <v>15000000</v>
      </c>
      <c r="K643" s="5592">
        <f>F643-J643</f>
        <v>0</v>
      </c>
      <c r="L643" s="5690"/>
    </row>
    <row r="644" spans="1:12" ht="30" customHeight="1" x14ac:dyDescent="0.2">
      <c r="A644" s="7654">
        <v>308</v>
      </c>
      <c r="B644" s="7864" t="s">
        <v>155</v>
      </c>
      <c r="C644" s="7723" t="s">
        <v>1294</v>
      </c>
      <c r="D644" s="7563">
        <v>702000000</v>
      </c>
      <c r="E644" s="7659">
        <v>0.06</v>
      </c>
      <c r="F644" s="7563">
        <f t="shared" si="53"/>
        <v>42120000</v>
      </c>
      <c r="G644" s="6188">
        <v>25000000</v>
      </c>
      <c r="H644" s="6188" t="s">
        <v>7691</v>
      </c>
      <c r="I644" s="18" t="s">
        <v>1873</v>
      </c>
      <c r="J644" s="7563">
        <f>G644+G645</f>
        <v>42120000</v>
      </c>
      <c r="K644" s="7563">
        <f>F644-J644</f>
        <v>0</v>
      </c>
      <c r="L644" s="345"/>
    </row>
    <row r="645" spans="1:12" ht="30" customHeight="1" x14ac:dyDescent="0.2">
      <c r="A645" s="7655"/>
      <c r="B645" s="7866"/>
      <c r="C645" s="7724"/>
      <c r="D645" s="7564"/>
      <c r="E645" s="7660"/>
      <c r="F645" s="7564"/>
      <c r="G645" s="6188">
        <v>17120000</v>
      </c>
      <c r="H645" s="6188" t="s">
        <v>7709</v>
      </c>
      <c r="I645" s="18" t="s">
        <v>1873</v>
      </c>
      <c r="J645" s="7564"/>
      <c r="K645" s="7564"/>
      <c r="L645" s="735"/>
    </row>
    <row r="646" spans="1:12" ht="30" customHeight="1" x14ac:dyDescent="0.2">
      <c r="A646" s="5596">
        <v>309</v>
      </c>
      <c r="B646" s="5600" t="s">
        <v>1874</v>
      </c>
      <c r="C646" s="5657" t="s">
        <v>372</v>
      </c>
      <c r="D646" s="5594">
        <v>200000000</v>
      </c>
      <c r="E646" s="5606">
        <v>0.06</v>
      </c>
      <c r="F646" s="5594">
        <f>D646*E646</f>
        <v>12000000</v>
      </c>
      <c r="G646" s="6188">
        <v>12000000</v>
      </c>
      <c r="H646" s="6188" t="s">
        <v>7550</v>
      </c>
      <c r="I646" s="18" t="s">
        <v>1873</v>
      </c>
      <c r="J646" s="5586">
        <f>G646</f>
        <v>12000000</v>
      </c>
      <c r="K646" s="5586">
        <f>F646-J646</f>
        <v>0</v>
      </c>
      <c r="L646" s="710"/>
    </row>
    <row r="647" spans="1:12" ht="30" customHeight="1" x14ac:dyDescent="0.2">
      <c r="A647" s="5596">
        <v>310</v>
      </c>
      <c r="B647" s="5613" t="s">
        <v>157</v>
      </c>
      <c r="C647" s="5634" t="s">
        <v>392</v>
      </c>
      <c r="D647" s="5594">
        <v>100000000</v>
      </c>
      <c r="E647" s="5606">
        <v>0.05</v>
      </c>
      <c r="F647" s="5594">
        <f t="shared" ref="F647:F673" si="60">D647*E647</f>
        <v>5000000</v>
      </c>
      <c r="G647" s="5594">
        <v>5000000</v>
      </c>
      <c r="H647" s="5594" t="s">
        <v>7531</v>
      </c>
      <c r="I647" s="5714" t="s">
        <v>4884</v>
      </c>
      <c r="J647" s="5594">
        <f>G647</f>
        <v>5000000</v>
      </c>
      <c r="K647" s="5594">
        <f t="shared" ref="K647:K655" si="61">F647-J647</f>
        <v>0</v>
      </c>
      <c r="L647" s="5690"/>
    </row>
    <row r="648" spans="1:12" ht="30" customHeight="1" x14ac:dyDescent="0.2">
      <c r="A648" s="7654">
        <v>311</v>
      </c>
      <c r="B648" s="7652" t="s">
        <v>158</v>
      </c>
      <c r="C648" s="7723" t="s">
        <v>889</v>
      </c>
      <c r="D648" s="5594">
        <v>85000000</v>
      </c>
      <c r="E648" s="5652">
        <v>0.05</v>
      </c>
      <c r="F648" s="5594">
        <f t="shared" si="60"/>
        <v>4250000</v>
      </c>
      <c r="G648" s="7563">
        <v>9250000</v>
      </c>
      <c r="H648" s="7563" t="s">
        <v>7424</v>
      </c>
      <c r="I648" s="7762" t="s">
        <v>3970</v>
      </c>
      <c r="J648" s="7563">
        <f>G648</f>
        <v>9250000</v>
      </c>
      <c r="K648" s="7563">
        <f>(F648+F649)-J648</f>
        <v>0</v>
      </c>
      <c r="L648" s="5619"/>
    </row>
    <row r="649" spans="1:12" ht="30" customHeight="1" x14ac:dyDescent="0.2">
      <c r="A649" s="7655"/>
      <c r="B649" s="7653"/>
      <c r="C649" s="7724"/>
      <c r="D649" s="5594">
        <v>100000000</v>
      </c>
      <c r="E649" s="5652">
        <v>0.05</v>
      </c>
      <c r="F649" s="5594">
        <f t="shared" si="60"/>
        <v>5000000</v>
      </c>
      <c r="G649" s="7564"/>
      <c r="H649" s="7564"/>
      <c r="I649" s="7763"/>
      <c r="J649" s="7564"/>
      <c r="K649" s="7564"/>
      <c r="L649" s="5620"/>
    </row>
    <row r="650" spans="1:12" ht="30" customHeight="1" x14ac:dyDescent="0.2">
      <c r="A650" s="5596">
        <v>312</v>
      </c>
      <c r="B650" s="5613" t="s">
        <v>159</v>
      </c>
      <c r="C650" s="5634"/>
      <c r="D650" s="5611"/>
      <c r="E650" s="2519"/>
      <c r="F650" s="5611">
        <f t="shared" si="60"/>
        <v>0</v>
      </c>
      <c r="G650" s="5594"/>
      <c r="H650" s="5594"/>
      <c r="I650" s="5714" t="s">
        <v>5916</v>
      </c>
      <c r="J650" s="5594">
        <f>G650</f>
        <v>0</v>
      </c>
      <c r="K650" s="5611">
        <f t="shared" si="61"/>
        <v>0</v>
      </c>
      <c r="L650" s="5613"/>
    </row>
    <row r="651" spans="1:12" ht="30" customHeight="1" x14ac:dyDescent="0.2">
      <c r="A651" s="3316">
        <v>313</v>
      </c>
      <c r="B651" s="5613" t="s">
        <v>161</v>
      </c>
      <c r="C651" s="5657" t="s">
        <v>1652</v>
      </c>
      <c r="D651" s="5586">
        <v>152000000</v>
      </c>
      <c r="E651" s="5652">
        <v>0.05</v>
      </c>
      <c r="F651" s="5586">
        <f>D651*E651</f>
        <v>7600000</v>
      </c>
      <c r="G651" s="5586">
        <v>7600000</v>
      </c>
      <c r="H651" s="5586" t="s">
        <v>7550</v>
      </c>
      <c r="I651" s="5662" t="s">
        <v>3468</v>
      </c>
      <c r="J651" s="5586">
        <f>G651</f>
        <v>7600000</v>
      </c>
      <c r="K651" s="5586">
        <f t="shared" si="61"/>
        <v>0</v>
      </c>
      <c r="L651" s="5675"/>
    </row>
    <row r="652" spans="1:12" ht="30" customHeight="1" x14ac:dyDescent="0.2">
      <c r="A652" s="7654">
        <v>315</v>
      </c>
      <c r="B652" s="7652" t="s">
        <v>163</v>
      </c>
      <c r="C652" s="7723" t="s">
        <v>1176</v>
      </c>
      <c r="D652" s="5586">
        <v>400000000</v>
      </c>
      <c r="E652" s="5652">
        <v>6.3E-2</v>
      </c>
      <c r="F652" s="5586">
        <v>25000000</v>
      </c>
      <c r="G652" s="7563">
        <v>30000000</v>
      </c>
      <c r="H652" s="7563" t="s">
        <v>7691</v>
      </c>
      <c r="I652" s="7563" t="s">
        <v>1806</v>
      </c>
      <c r="J652" s="7563">
        <f>G652</f>
        <v>30000000</v>
      </c>
      <c r="K652" s="7563">
        <f>(F652+F653)-J652</f>
        <v>0</v>
      </c>
      <c r="L652" s="6041" t="s">
        <v>7532</v>
      </c>
    </row>
    <row r="653" spans="1:12" ht="30" customHeight="1" x14ac:dyDescent="0.2">
      <c r="A653" s="7655"/>
      <c r="B653" s="7653"/>
      <c r="C653" s="7724"/>
      <c r="D653" s="5594">
        <v>100000000</v>
      </c>
      <c r="E653" s="5606">
        <v>0.05</v>
      </c>
      <c r="F653" s="5594">
        <f>D653*E653</f>
        <v>5000000</v>
      </c>
      <c r="G653" s="7564"/>
      <c r="H653" s="7564"/>
      <c r="I653" s="7564"/>
      <c r="J653" s="7564"/>
      <c r="K653" s="7564"/>
      <c r="L653" s="6041"/>
    </row>
    <row r="654" spans="1:12" ht="30" customHeight="1" x14ac:dyDescent="0.2">
      <c r="A654" s="5655">
        <v>316</v>
      </c>
      <c r="B654" s="5602" t="s">
        <v>164</v>
      </c>
      <c r="C654" s="5634"/>
      <c r="D654" s="5594">
        <v>35000000</v>
      </c>
      <c r="E654" s="5606">
        <v>0.04</v>
      </c>
      <c r="F654" s="5594">
        <f>D654*E654</f>
        <v>1400000</v>
      </c>
      <c r="G654" s="5594">
        <v>1400000</v>
      </c>
      <c r="H654" s="5594" t="s">
        <v>7531</v>
      </c>
      <c r="I654" s="5638" t="s">
        <v>1724</v>
      </c>
      <c r="J654" s="5594">
        <f t="shared" ref="J654:J679" si="62">G654</f>
        <v>1400000</v>
      </c>
      <c r="K654" s="5594">
        <f t="shared" si="61"/>
        <v>0</v>
      </c>
      <c r="L654" s="5613"/>
    </row>
    <row r="655" spans="1:12" ht="30" customHeight="1" x14ac:dyDescent="0.2">
      <c r="A655" s="5655">
        <v>317</v>
      </c>
      <c r="B655" s="5613" t="s">
        <v>4529</v>
      </c>
      <c r="C655" s="5657" t="s">
        <v>359</v>
      </c>
      <c r="D655" s="5594">
        <v>300000000</v>
      </c>
      <c r="E655" s="5652">
        <v>0.05</v>
      </c>
      <c r="F655" s="5594">
        <f>D655*E655</f>
        <v>15000000</v>
      </c>
      <c r="G655" s="5586">
        <v>15000000</v>
      </c>
      <c r="H655" s="5586" t="s">
        <v>7668</v>
      </c>
      <c r="I655" s="5661" t="s">
        <v>2026</v>
      </c>
      <c r="J655" s="5586">
        <f>G655</f>
        <v>15000000</v>
      </c>
      <c r="K655" s="5594">
        <f t="shared" si="61"/>
        <v>0</v>
      </c>
      <c r="L655" s="5690"/>
    </row>
    <row r="656" spans="1:12" ht="30" customHeight="1" x14ac:dyDescent="0.2">
      <c r="A656" s="7654"/>
      <c r="B656" s="7652" t="s">
        <v>165</v>
      </c>
      <c r="C656" s="7723" t="s">
        <v>1287</v>
      </c>
      <c r="D656" s="5594">
        <v>210000000</v>
      </c>
      <c r="E656" s="5652">
        <v>0.06</v>
      </c>
      <c r="F656" s="5594">
        <f>D656*E656</f>
        <v>12600000</v>
      </c>
      <c r="G656" s="6242">
        <v>13000000</v>
      </c>
      <c r="H656" s="6242" t="s">
        <v>7709</v>
      </c>
      <c r="I656" s="6253" t="s">
        <v>2996</v>
      </c>
      <c r="J656" s="7563">
        <f>G656+G657+G658</f>
        <v>43000000</v>
      </c>
      <c r="K656" s="7563">
        <f>(F656+F657+F658)-J656-100000</f>
        <v>0</v>
      </c>
      <c r="L656" s="5690" t="s">
        <v>2709</v>
      </c>
    </row>
    <row r="657" spans="1:12" ht="30" customHeight="1" x14ac:dyDescent="0.2">
      <c r="A657" s="7656"/>
      <c r="B657" s="7665"/>
      <c r="C657" s="7747"/>
      <c r="D657" s="5594">
        <v>200000000</v>
      </c>
      <c r="E657" s="5652">
        <v>0.06</v>
      </c>
      <c r="F657" s="5594">
        <f>D657*E657</f>
        <v>12000000</v>
      </c>
      <c r="G657" s="6242">
        <v>20000000</v>
      </c>
      <c r="H657" s="6242" t="s">
        <v>7723</v>
      </c>
      <c r="I657" s="6253" t="s">
        <v>2996</v>
      </c>
      <c r="J657" s="7586"/>
      <c r="K657" s="7586"/>
      <c r="L657" s="5690" t="s">
        <v>5090</v>
      </c>
    </row>
    <row r="658" spans="1:12" ht="30" customHeight="1" x14ac:dyDescent="0.2">
      <c r="A658" s="7655"/>
      <c r="B658" s="7653"/>
      <c r="C658" s="7724"/>
      <c r="D658" s="7470" t="s">
        <v>5163</v>
      </c>
      <c r="E658" s="7510"/>
      <c r="F658" s="5594">
        <v>18500000</v>
      </c>
      <c r="G658" s="6204">
        <v>10000000</v>
      </c>
      <c r="H658" s="6216" t="s">
        <v>7810</v>
      </c>
      <c r="I658" s="6372" t="s">
        <v>2996</v>
      </c>
      <c r="J658" s="7564"/>
      <c r="K658" s="7564"/>
      <c r="L658" s="5736" t="s">
        <v>6394</v>
      </c>
    </row>
    <row r="659" spans="1:12" ht="30" customHeight="1" x14ac:dyDescent="0.2">
      <c r="A659" s="7654">
        <v>318</v>
      </c>
      <c r="B659" s="7652" t="s">
        <v>167</v>
      </c>
      <c r="C659" s="7723"/>
      <c r="D659" s="5594">
        <v>80000000</v>
      </c>
      <c r="E659" s="5652">
        <v>0.05</v>
      </c>
      <c r="F659" s="5594">
        <f t="shared" si="60"/>
        <v>4000000</v>
      </c>
      <c r="G659" s="7563"/>
      <c r="H659" s="7563"/>
      <c r="I659" s="7772" t="s">
        <v>4452</v>
      </c>
      <c r="J659" s="7563">
        <f t="shared" si="62"/>
        <v>0</v>
      </c>
      <c r="K659" s="7563">
        <f>(F659+F660)-J659</f>
        <v>12500000</v>
      </c>
      <c r="L659" s="5690" t="s">
        <v>7002</v>
      </c>
    </row>
    <row r="660" spans="1:12" ht="30" customHeight="1" x14ac:dyDescent="0.2">
      <c r="A660" s="7656"/>
      <c r="B660" s="7665"/>
      <c r="C660" s="7747"/>
      <c r="D660" s="5594">
        <v>170000000</v>
      </c>
      <c r="E660" s="5652">
        <v>0.05</v>
      </c>
      <c r="F660" s="5594">
        <f t="shared" si="60"/>
        <v>8500000</v>
      </c>
      <c r="G660" s="7564"/>
      <c r="H660" s="7564"/>
      <c r="I660" s="7773"/>
      <c r="J660" s="7564"/>
      <c r="K660" s="7564"/>
      <c r="L660" s="5690" t="s">
        <v>5207</v>
      </c>
    </row>
    <row r="661" spans="1:12" ht="30" customHeight="1" x14ac:dyDescent="0.2">
      <c r="A661" s="7656"/>
      <c r="B661" s="7665"/>
      <c r="C661" s="7747"/>
      <c r="D661" s="5594">
        <v>30000000</v>
      </c>
      <c r="E661" s="5652">
        <v>0.06</v>
      </c>
      <c r="F661" s="5594">
        <f t="shared" si="60"/>
        <v>1800000</v>
      </c>
      <c r="G661" s="7732" t="s">
        <v>6953</v>
      </c>
      <c r="H661" s="7733"/>
      <c r="I661" s="7733"/>
      <c r="J661" s="7734"/>
      <c r="K661" s="7563">
        <f>F663-J663</f>
        <v>0</v>
      </c>
      <c r="L661" s="5690" t="s">
        <v>6954</v>
      </c>
    </row>
    <row r="662" spans="1:12" ht="30" customHeight="1" x14ac:dyDescent="0.2">
      <c r="A662" s="7656"/>
      <c r="B662" s="7665"/>
      <c r="C662" s="7747"/>
      <c r="D662" s="5777">
        <v>100000000</v>
      </c>
      <c r="E662" s="5795">
        <v>0.06</v>
      </c>
      <c r="F662" s="5777">
        <f t="shared" si="60"/>
        <v>6000000</v>
      </c>
      <c r="G662" s="7732" t="s">
        <v>7279</v>
      </c>
      <c r="H662" s="7733"/>
      <c r="I662" s="7733"/>
      <c r="J662" s="7734"/>
      <c r="K662" s="7586"/>
      <c r="L662" s="5810"/>
    </row>
    <row r="663" spans="1:12" ht="30" customHeight="1" x14ac:dyDescent="0.2">
      <c r="A663" s="7655"/>
      <c r="B663" s="7653"/>
      <c r="C663" s="7724"/>
      <c r="D663" s="5812">
        <v>380000000</v>
      </c>
      <c r="E663" s="5815">
        <v>0.06</v>
      </c>
      <c r="F663" s="5812">
        <f>D663*E663</f>
        <v>22800000</v>
      </c>
      <c r="G663" s="5774">
        <v>22800000</v>
      </c>
      <c r="H663" s="5774" t="s">
        <v>7511</v>
      </c>
      <c r="I663" s="5774" t="s">
        <v>7520</v>
      </c>
      <c r="J663" s="5774">
        <f>G663</f>
        <v>22800000</v>
      </c>
      <c r="K663" s="7564"/>
      <c r="L663" s="5810"/>
    </row>
    <row r="664" spans="1:12" ht="30" customHeight="1" x14ac:dyDescent="0.2">
      <c r="A664" s="7654">
        <v>320</v>
      </c>
      <c r="B664" s="7652" t="s">
        <v>169</v>
      </c>
      <c r="C664" s="7723" t="s">
        <v>1300</v>
      </c>
      <c r="D664" s="5910">
        <v>135000000</v>
      </c>
      <c r="E664" s="5917">
        <v>0.06</v>
      </c>
      <c r="F664" s="5910">
        <v>8000000</v>
      </c>
      <c r="G664" s="7563">
        <v>15374000</v>
      </c>
      <c r="H664" s="7563" t="s">
        <v>7691</v>
      </c>
      <c r="I664" s="7561" t="s">
        <v>2078</v>
      </c>
      <c r="J664" s="7563">
        <f t="shared" si="62"/>
        <v>15374000</v>
      </c>
      <c r="K664" s="7563"/>
      <c r="L664" s="5690"/>
    </row>
    <row r="665" spans="1:12" ht="30" customHeight="1" x14ac:dyDescent="0.2">
      <c r="A665" s="7656"/>
      <c r="B665" s="7665"/>
      <c r="C665" s="7747"/>
      <c r="D665" s="5910">
        <v>35000000</v>
      </c>
      <c r="E665" s="5917">
        <v>0.05</v>
      </c>
      <c r="F665" s="5910">
        <f>D665*E665</f>
        <v>1750000</v>
      </c>
      <c r="G665" s="7564"/>
      <c r="H665" s="7564"/>
      <c r="I665" s="7562"/>
      <c r="J665" s="7564"/>
      <c r="K665" s="7564"/>
      <c r="L665" s="5912" t="s">
        <v>3458</v>
      </c>
    </row>
    <row r="666" spans="1:12" ht="30" customHeight="1" x14ac:dyDescent="0.2">
      <c r="A666" s="7656"/>
      <c r="B666" s="7665"/>
      <c r="C666" s="7747"/>
      <c r="D666" s="5887">
        <v>50000000</v>
      </c>
      <c r="E666" s="5903">
        <v>0.05</v>
      </c>
      <c r="F666" s="5887">
        <f>D666*E666</f>
        <v>2500000</v>
      </c>
      <c r="G666" s="7732" t="s">
        <v>7402</v>
      </c>
      <c r="H666" s="7733"/>
      <c r="I666" s="7733"/>
      <c r="J666" s="7734"/>
      <c r="K666" s="5887"/>
      <c r="L666" s="5912" t="s">
        <v>7403</v>
      </c>
    </row>
    <row r="667" spans="1:12" ht="30" customHeight="1" x14ac:dyDescent="0.2">
      <c r="A667" s="7656"/>
      <c r="B667" s="7665"/>
      <c r="C667" s="7747"/>
      <c r="D667" s="5887">
        <v>35000000</v>
      </c>
      <c r="E667" s="5903">
        <v>0.05</v>
      </c>
      <c r="F667" s="5887">
        <f>D667*E667</f>
        <v>1750000</v>
      </c>
      <c r="G667" s="7732" t="s">
        <v>7404</v>
      </c>
      <c r="H667" s="7733"/>
      <c r="I667" s="7733"/>
      <c r="J667" s="7734"/>
      <c r="K667" s="5887"/>
      <c r="L667" s="5912" t="s">
        <v>7405</v>
      </c>
    </row>
    <row r="668" spans="1:12" ht="30" customHeight="1" x14ac:dyDescent="0.2">
      <c r="A668" s="7655"/>
      <c r="B668" s="7653"/>
      <c r="C668" s="7724"/>
      <c r="D668" s="5910">
        <v>85000000</v>
      </c>
      <c r="E668" s="5917">
        <v>0.05</v>
      </c>
      <c r="F668" s="5910">
        <f>D668*E668</f>
        <v>4250000</v>
      </c>
      <c r="G668" s="5594"/>
      <c r="H668" s="5594"/>
      <c r="I668" s="5622"/>
      <c r="J668" s="5594"/>
      <c r="K668" s="5594"/>
      <c r="L668" s="5690" t="s">
        <v>7024</v>
      </c>
    </row>
    <row r="669" spans="1:12" ht="30" customHeight="1" x14ac:dyDescent="0.2">
      <c r="A669" s="5596">
        <v>321</v>
      </c>
      <c r="B669" s="19" t="s">
        <v>171</v>
      </c>
      <c r="C669" s="5657" t="s">
        <v>3007</v>
      </c>
      <c r="D669" s="5586">
        <v>5000000</v>
      </c>
      <c r="E669" s="5652">
        <v>0.04</v>
      </c>
      <c r="F669" s="5586">
        <f t="shared" si="60"/>
        <v>200000</v>
      </c>
      <c r="G669" s="5586">
        <v>200000</v>
      </c>
      <c r="H669" s="5586" t="s">
        <v>7795</v>
      </c>
      <c r="I669" s="5662" t="s">
        <v>1097</v>
      </c>
      <c r="J669" s="5586">
        <f t="shared" si="62"/>
        <v>200000</v>
      </c>
      <c r="K669" s="5586">
        <f t="shared" ref="K669:K685" si="63">F669-J669</f>
        <v>0</v>
      </c>
      <c r="L669" s="5690"/>
    </row>
    <row r="670" spans="1:12" ht="30" customHeight="1" x14ac:dyDescent="0.2">
      <c r="A670" s="7654">
        <v>322</v>
      </c>
      <c r="B670" s="7652" t="s">
        <v>1378</v>
      </c>
      <c r="C670" s="7723" t="s">
        <v>1081</v>
      </c>
      <c r="D670" s="5586">
        <v>10000000</v>
      </c>
      <c r="E670" s="5652">
        <v>0.05</v>
      </c>
      <c r="F670" s="5586">
        <f t="shared" si="60"/>
        <v>500000</v>
      </c>
      <c r="G670" s="7563">
        <v>4200000</v>
      </c>
      <c r="H670" s="7563" t="s">
        <v>7727</v>
      </c>
      <c r="I670" s="7871" t="s">
        <v>1376</v>
      </c>
      <c r="J670" s="7563">
        <f t="shared" si="62"/>
        <v>4200000</v>
      </c>
      <c r="K670" s="7563">
        <f>F672-J670</f>
        <v>-2700000</v>
      </c>
      <c r="L670" s="5690"/>
    </row>
    <row r="671" spans="1:12" ht="30" customHeight="1" x14ac:dyDescent="0.2">
      <c r="A671" s="7656"/>
      <c r="B671" s="7665"/>
      <c r="C671" s="7747"/>
      <c r="D671" s="5594">
        <v>18000000</v>
      </c>
      <c r="E671" s="5606"/>
      <c r="F671" s="5594"/>
      <c r="G671" s="7586"/>
      <c r="H671" s="7586"/>
      <c r="I671" s="8575"/>
      <c r="J671" s="7586"/>
      <c r="K671" s="7586"/>
      <c r="L671" s="5690" t="s">
        <v>7728</v>
      </c>
    </row>
    <row r="672" spans="1:12" ht="30" customHeight="1" x14ac:dyDescent="0.2">
      <c r="A672" s="7655"/>
      <c r="B672" s="7653"/>
      <c r="C672" s="7724"/>
      <c r="D672" s="5699">
        <v>28000000</v>
      </c>
      <c r="E672" s="5701">
        <v>5.2999999999999999E-2</v>
      </c>
      <c r="F672" s="5699">
        <v>1500000</v>
      </c>
      <c r="G672" s="7564"/>
      <c r="H672" s="7564"/>
      <c r="I672" s="7872"/>
      <c r="J672" s="7564"/>
      <c r="K672" s="7564"/>
      <c r="L672" s="5690" t="s">
        <v>7178</v>
      </c>
    </row>
    <row r="673" spans="1:12" ht="30" customHeight="1" x14ac:dyDescent="0.2">
      <c r="A673" s="5655">
        <v>323</v>
      </c>
      <c r="B673" s="5602" t="s">
        <v>172</v>
      </c>
      <c r="C673" s="5634"/>
      <c r="D673" s="5594">
        <v>60000000</v>
      </c>
      <c r="E673" s="5606">
        <v>4.4999999999999998E-2</v>
      </c>
      <c r="F673" s="5594">
        <f t="shared" si="60"/>
        <v>2700000</v>
      </c>
      <c r="G673" s="5594"/>
      <c r="H673" s="5594"/>
      <c r="I673" s="5639"/>
      <c r="J673" s="5594">
        <f t="shared" si="62"/>
        <v>0</v>
      </c>
      <c r="K673" s="5594">
        <f t="shared" si="63"/>
        <v>2700000</v>
      </c>
      <c r="L673" s="5613"/>
    </row>
    <row r="674" spans="1:12" ht="30" customHeight="1" x14ac:dyDescent="0.2">
      <c r="A674" s="7412">
        <v>324</v>
      </c>
      <c r="B674" s="7405" t="s">
        <v>173</v>
      </c>
      <c r="C674" s="7408" t="s">
        <v>889</v>
      </c>
      <c r="D674" s="7397">
        <v>20000000</v>
      </c>
      <c r="E674" s="7411">
        <v>0.05</v>
      </c>
      <c r="F674" s="7397">
        <f>D674*E674</f>
        <v>1000000</v>
      </c>
      <c r="G674" s="5586">
        <v>1000000</v>
      </c>
      <c r="H674" s="5586" t="s">
        <v>7427</v>
      </c>
      <c r="I674" s="5662" t="s">
        <v>264</v>
      </c>
      <c r="J674" s="5586">
        <f t="shared" si="62"/>
        <v>1000000</v>
      </c>
      <c r="K674" s="5586">
        <f t="shared" si="63"/>
        <v>0</v>
      </c>
      <c r="L674" s="5665"/>
    </row>
    <row r="675" spans="1:12" ht="30" customHeight="1" x14ac:dyDescent="0.2">
      <c r="A675" s="7654">
        <v>325</v>
      </c>
      <c r="B675" s="7652" t="s">
        <v>270</v>
      </c>
      <c r="C675" s="7723" t="s">
        <v>262</v>
      </c>
      <c r="D675" s="7563">
        <v>1000000000</v>
      </c>
      <c r="E675" s="7659">
        <v>6.0999999999999999E-2</v>
      </c>
      <c r="F675" s="7563">
        <v>61400000</v>
      </c>
      <c r="G675" s="5586">
        <v>25000000</v>
      </c>
      <c r="H675" s="5586" t="s">
        <v>1975</v>
      </c>
      <c r="I675" s="5662" t="s">
        <v>2927</v>
      </c>
      <c r="J675" s="7563">
        <f>G675+G676</f>
        <v>61400000</v>
      </c>
      <c r="K675" s="7563">
        <f t="shared" si="63"/>
        <v>0</v>
      </c>
      <c r="L675" s="5633"/>
    </row>
    <row r="676" spans="1:12" ht="30" customHeight="1" x14ac:dyDescent="0.2">
      <c r="A676" s="7655"/>
      <c r="B676" s="7653"/>
      <c r="C676" s="7724"/>
      <c r="D676" s="7564"/>
      <c r="E676" s="7660"/>
      <c r="F676" s="7564"/>
      <c r="G676" s="5586">
        <v>36400000</v>
      </c>
      <c r="H676" s="5586" t="s">
        <v>3879</v>
      </c>
      <c r="I676" s="5662" t="s">
        <v>2927</v>
      </c>
      <c r="J676" s="7564"/>
      <c r="K676" s="7564"/>
      <c r="L676" s="5633"/>
    </row>
    <row r="677" spans="1:12" ht="30" customHeight="1" x14ac:dyDescent="0.2">
      <c r="A677" s="7654">
        <v>326</v>
      </c>
      <c r="B677" s="7652" t="s">
        <v>176</v>
      </c>
      <c r="C677" s="7723" t="s">
        <v>1300</v>
      </c>
      <c r="D677" s="7563">
        <v>500000000</v>
      </c>
      <c r="E677" s="7659">
        <v>0.05</v>
      </c>
      <c r="F677" s="7563">
        <f>D677*E677</f>
        <v>25000000</v>
      </c>
      <c r="G677" s="5774">
        <v>23000000</v>
      </c>
      <c r="H677" s="5774" t="s">
        <v>3879</v>
      </c>
      <c r="I677" s="5801" t="s">
        <v>5099</v>
      </c>
      <c r="J677" s="7563">
        <f>G677+G678</f>
        <v>25000000</v>
      </c>
      <c r="K677" s="7563">
        <f t="shared" si="63"/>
        <v>0</v>
      </c>
      <c r="L677" s="7561"/>
    </row>
    <row r="678" spans="1:12" ht="30" customHeight="1" x14ac:dyDescent="0.2">
      <c r="A678" s="7655"/>
      <c r="B678" s="7653"/>
      <c r="C678" s="7724"/>
      <c r="D678" s="7564"/>
      <c r="E678" s="7660"/>
      <c r="F678" s="7564"/>
      <c r="G678" s="6106">
        <v>2000000</v>
      </c>
      <c r="H678" s="6106" t="s">
        <v>3879</v>
      </c>
      <c r="I678" s="6120" t="s">
        <v>2950</v>
      </c>
      <c r="J678" s="7564"/>
      <c r="K678" s="7564"/>
      <c r="L678" s="7562"/>
    </row>
    <row r="679" spans="1:12" ht="30" customHeight="1" x14ac:dyDescent="0.2">
      <c r="A679" s="5778">
        <v>327</v>
      </c>
      <c r="B679" s="5602" t="s">
        <v>1232</v>
      </c>
      <c r="C679" s="5634"/>
      <c r="D679" s="5594">
        <v>60000000</v>
      </c>
      <c r="E679" s="5606">
        <v>0.05</v>
      </c>
      <c r="F679" s="5594">
        <f t="shared" ref="F679:F688" si="64">D679*E679</f>
        <v>3000000</v>
      </c>
      <c r="G679" s="5594"/>
      <c r="H679" s="5594"/>
      <c r="I679" s="5714" t="s">
        <v>1231</v>
      </c>
      <c r="J679" s="5594">
        <f t="shared" si="62"/>
        <v>0</v>
      </c>
      <c r="K679" s="5594">
        <f t="shared" si="63"/>
        <v>3000000</v>
      </c>
      <c r="L679" s="5690"/>
    </row>
    <row r="680" spans="1:12" ht="30" customHeight="1" x14ac:dyDescent="0.2">
      <c r="A680" s="7654">
        <v>328</v>
      </c>
      <c r="B680" s="7864" t="s">
        <v>2675</v>
      </c>
      <c r="C680" s="7723" t="s">
        <v>942</v>
      </c>
      <c r="D680" s="5884">
        <v>900000000</v>
      </c>
      <c r="E680" s="5903">
        <v>7.0000000000000007E-2</v>
      </c>
      <c r="F680" s="5884">
        <f>D680*E680</f>
        <v>63000000.000000007</v>
      </c>
      <c r="G680" s="5586"/>
      <c r="H680" s="5586"/>
      <c r="I680" s="5662" t="s">
        <v>4147</v>
      </c>
      <c r="J680" s="5586">
        <f>G680</f>
        <v>0</v>
      </c>
      <c r="K680" s="5586">
        <f>54000000-14000000-J680</f>
        <v>40000000</v>
      </c>
      <c r="L680" s="5690"/>
    </row>
    <row r="681" spans="1:12" ht="30" customHeight="1" x14ac:dyDescent="0.2">
      <c r="A681" s="7656"/>
      <c r="B681" s="7865"/>
      <c r="C681" s="7747"/>
      <c r="D681" s="5884">
        <v>54000000</v>
      </c>
      <c r="E681" s="5903">
        <v>7.0000000000000007E-2</v>
      </c>
      <c r="F681" s="5884">
        <f>D681*E681</f>
        <v>3780000.0000000005</v>
      </c>
      <c r="G681" s="7732" t="s">
        <v>6812</v>
      </c>
      <c r="H681" s="7733"/>
      <c r="I681" s="7733"/>
      <c r="J681" s="7734"/>
      <c r="K681" s="5884"/>
      <c r="L681" s="7713" t="s">
        <v>7389</v>
      </c>
    </row>
    <row r="682" spans="1:12" ht="30" customHeight="1" x14ac:dyDescent="0.2">
      <c r="A682" s="7656"/>
      <c r="B682" s="7865"/>
      <c r="C682" s="7747"/>
      <c r="D682" s="5884">
        <v>50000000</v>
      </c>
      <c r="E682" s="5903">
        <v>0.06</v>
      </c>
      <c r="F682" s="5884">
        <f>D682*E682</f>
        <v>3000000</v>
      </c>
      <c r="G682" s="7732" t="s">
        <v>7388</v>
      </c>
      <c r="H682" s="7733"/>
      <c r="I682" s="7733"/>
      <c r="J682" s="7734"/>
      <c r="K682" s="5884"/>
      <c r="L682" s="7797"/>
    </row>
    <row r="683" spans="1:12" ht="30" customHeight="1" x14ac:dyDescent="0.2">
      <c r="A683" s="7656"/>
      <c r="B683" s="7865"/>
      <c r="C683" s="7747"/>
      <c r="D683" s="5884">
        <v>26000000</v>
      </c>
      <c r="E683" s="5903">
        <v>0.06</v>
      </c>
      <c r="F683" s="5884">
        <f>D683*E683</f>
        <v>1560000</v>
      </c>
      <c r="G683" s="7732" t="s">
        <v>7442</v>
      </c>
      <c r="H683" s="7733"/>
      <c r="I683" s="7733"/>
      <c r="J683" s="7734"/>
      <c r="K683" s="5884"/>
      <c r="L683" s="7714"/>
    </row>
    <row r="684" spans="1:12" ht="30" customHeight="1" x14ac:dyDescent="0.2">
      <c r="A684" s="7655"/>
      <c r="B684" s="7866"/>
      <c r="C684" s="7724"/>
      <c r="D684" s="5886">
        <f>SUM(D680:D683)</f>
        <v>1030000000</v>
      </c>
      <c r="E684" s="5915">
        <v>7.0000000000000007E-2</v>
      </c>
      <c r="F684" s="5886">
        <f>D684*E684</f>
        <v>72100000</v>
      </c>
      <c r="G684" s="5586"/>
      <c r="H684" s="5586"/>
      <c r="I684" s="5586"/>
      <c r="J684" s="5586"/>
      <c r="K684" s="5586"/>
      <c r="L684" s="5912" t="s">
        <v>7390</v>
      </c>
    </row>
    <row r="685" spans="1:12" ht="30" customHeight="1" x14ac:dyDescent="0.2">
      <c r="A685" s="5596">
        <v>331</v>
      </c>
      <c r="B685" s="5613" t="s">
        <v>339</v>
      </c>
      <c r="C685" s="5657" t="s">
        <v>371</v>
      </c>
      <c r="D685" s="5586">
        <v>290000000</v>
      </c>
      <c r="E685" s="5652">
        <v>0.06</v>
      </c>
      <c r="F685" s="5586">
        <f t="shared" si="64"/>
        <v>17400000</v>
      </c>
      <c r="G685" s="5586">
        <v>17400000</v>
      </c>
      <c r="H685" s="5586" t="s">
        <v>3879</v>
      </c>
      <c r="I685" s="5586" t="s">
        <v>1840</v>
      </c>
      <c r="J685" s="5586">
        <f>G685</f>
        <v>17400000</v>
      </c>
      <c r="K685" s="5586">
        <f t="shared" si="63"/>
        <v>0</v>
      </c>
      <c r="L685" s="5690"/>
    </row>
    <row r="686" spans="1:12" ht="30" customHeight="1" x14ac:dyDescent="0.2">
      <c r="A686" s="7654">
        <v>333</v>
      </c>
      <c r="B686" s="7652" t="s">
        <v>888</v>
      </c>
      <c r="C686" s="7723" t="s">
        <v>889</v>
      </c>
      <c r="D686" s="5594">
        <v>320000000</v>
      </c>
      <c r="E686" s="5652">
        <v>0.05</v>
      </c>
      <c r="F686" s="5594">
        <f t="shared" si="64"/>
        <v>16000000</v>
      </c>
      <c r="G686" s="7563">
        <v>21000000</v>
      </c>
      <c r="H686" s="7563" t="s">
        <v>7427</v>
      </c>
      <c r="I686" s="7561" t="s">
        <v>2864</v>
      </c>
      <c r="J686" s="7482">
        <f>G686</f>
        <v>21000000</v>
      </c>
      <c r="K686" s="7482">
        <f>(F686+F687)-J686</f>
        <v>0</v>
      </c>
      <c r="L686" s="7818"/>
    </row>
    <row r="687" spans="1:12" ht="30" customHeight="1" x14ac:dyDescent="0.2">
      <c r="A687" s="7655"/>
      <c r="B687" s="7653"/>
      <c r="C687" s="7724"/>
      <c r="D687" s="5594">
        <v>100000000</v>
      </c>
      <c r="E687" s="5652">
        <v>0.05</v>
      </c>
      <c r="F687" s="5594">
        <f t="shared" si="64"/>
        <v>5000000</v>
      </c>
      <c r="G687" s="7564"/>
      <c r="H687" s="7564"/>
      <c r="I687" s="7562"/>
      <c r="J687" s="7482"/>
      <c r="K687" s="7482"/>
      <c r="L687" s="7819"/>
    </row>
    <row r="688" spans="1:12" ht="30" customHeight="1" x14ac:dyDescent="0.2">
      <c r="A688" s="5596">
        <v>335</v>
      </c>
      <c r="B688" s="19" t="s">
        <v>1276</v>
      </c>
      <c r="C688" s="5657" t="s">
        <v>889</v>
      </c>
      <c r="D688" s="5594">
        <v>15000000</v>
      </c>
      <c r="E688" s="5652">
        <v>0.05</v>
      </c>
      <c r="F688" s="5594">
        <f t="shared" si="64"/>
        <v>750000</v>
      </c>
      <c r="G688" s="5594">
        <v>750000</v>
      </c>
      <c r="H688" s="5594" t="s">
        <v>7427</v>
      </c>
      <c r="I688" s="5714" t="s">
        <v>2747</v>
      </c>
      <c r="J688" s="5594">
        <f>G688</f>
        <v>750000</v>
      </c>
      <c r="K688" s="5594">
        <f>F688-J688</f>
        <v>0</v>
      </c>
      <c r="L688" s="5690"/>
    </row>
    <row r="689" spans="1:12" ht="30" customHeight="1" x14ac:dyDescent="0.2">
      <c r="A689" s="7654">
        <v>336</v>
      </c>
      <c r="B689" s="7652" t="s">
        <v>2576</v>
      </c>
      <c r="C689" s="7723" t="s">
        <v>889</v>
      </c>
      <c r="D689" s="5699">
        <v>210000000</v>
      </c>
      <c r="E689" s="5729">
        <v>0.05</v>
      </c>
      <c r="F689" s="5699">
        <f>D689*E689</f>
        <v>10500000</v>
      </c>
      <c r="G689" s="7563">
        <v>16200000</v>
      </c>
      <c r="H689" s="7563" t="s">
        <v>7528</v>
      </c>
      <c r="I689" s="7561" t="s">
        <v>3408</v>
      </c>
      <c r="J689" s="7563">
        <f>G689</f>
        <v>16200000</v>
      </c>
      <c r="K689" s="7563"/>
      <c r="L689" s="6022" t="s">
        <v>7015</v>
      </c>
    </row>
    <row r="690" spans="1:12" ht="30" customHeight="1" x14ac:dyDescent="0.2">
      <c r="A690" s="7656"/>
      <c r="B690" s="7665"/>
      <c r="C690" s="7747"/>
      <c r="D690" s="5594">
        <v>10000000</v>
      </c>
      <c r="E690" s="5652"/>
      <c r="F690" s="5594"/>
      <c r="G690" s="7586"/>
      <c r="H690" s="7586"/>
      <c r="I690" s="7672"/>
      <c r="J690" s="7586"/>
      <c r="K690" s="7586"/>
      <c r="L690" s="5602"/>
    </row>
    <row r="691" spans="1:12" ht="30" customHeight="1" x14ac:dyDescent="0.2">
      <c r="A691" s="7656"/>
      <c r="B691" s="7665"/>
      <c r="C691" s="7747"/>
      <c r="D691" s="5594">
        <v>10000000</v>
      </c>
      <c r="E691" s="5652"/>
      <c r="F691" s="5594"/>
      <c r="G691" s="7586"/>
      <c r="H691" s="7586"/>
      <c r="I691" s="7672"/>
      <c r="J691" s="7586"/>
      <c r="K691" s="7586"/>
      <c r="L691" s="5667" t="s">
        <v>6380</v>
      </c>
    </row>
    <row r="692" spans="1:12" ht="30" customHeight="1" x14ac:dyDescent="0.2">
      <c r="A692" s="7656"/>
      <c r="B692" s="7665"/>
      <c r="C692" s="7747"/>
      <c r="D692" s="5594">
        <v>10000000</v>
      </c>
      <c r="E692" s="5652"/>
      <c r="F692" s="5594"/>
      <c r="G692" s="7586"/>
      <c r="H692" s="7586"/>
      <c r="I692" s="7672"/>
      <c r="J692" s="7586"/>
      <c r="K692" s="7586"/>
      <c r="L692" s="5667" t="s">
        <v>6381</v>
      </c>
    </row>
    <row r="693" spans="1:12" ht="30" customHeight="1" x14ac:dyDescent="0.2">
      <c r="A693" s="7656"/>
      <c r="B693" s="7665"/>
      <c r="C693" s="7747"/>
      <c r="D693" s="5594">
        <v>10000000</v>
      </c>
      <c r="E693" s="5652"/>
      <c r="F693" s="5594"/>
      <c r="G693" s="7586"/>
      <c r="H693" s="7586"/>
      <c r="I693" s="7672"/>
      <c r="J693" s="7586"/>
      <c r="K693" s="7586"/>
      <c r="L693" s="5667" t="s">
        <v>7126</v>
      </c>
    </row>
    <row r="694" spans="1:12" ht="30" customHeight="1" x14ac:dyDescent="0.2">
      <c r="A694" s="7656"/>
      <c r="B694" s="7665"/>
      <c r="C694" s="7747"/>
      <c r="D694" s="5594">
        <v>10000000</v>
      </c>
      <c r="E694" s="5652"/>
      <c r="F694" s="5594"/>
      <c r="G694" s="7586"/>
      <c r="H694" s="7586"/>
      <c r="I694" s="7672"/>
      <c r="J694" s="7586"/>
      <c r="K694" s="7586"/>
      <c r="L694" s="5667" t="s">
        <v>7127</v>
      </c>
    </row>
    <row r="695" spans="1:12" ht="30" customHeight="1" x14ac:dyDescent="0.2">
      <c r="A695" s="7656"/>
      <c r="B695" s="7665"/>
      <c r="C695" s="7747"/>
      <c r="D695" s="5594">
        <v>10000000</v>
      </c>
      <c r="E695" s="5652"/>
      <c r="F695" s="5594"/>
      <c r="G695" s="7564"/>
      <c r="H695" s="7564"/>
      <c r="I695" s="7562"/>
      <c r="J695" s="7564"/>
      <c r="K695" s="7564"/>
      <c r="L695" s="5667" t="s">
        <v>7128</v>
      </c>
    </row>
    <row r="696" spans="1:12" ht="30" customHeight="1" x14ac:dyDescent="0.2">
      <c r="A696" s="7655"/>
      <c r="B696" s="7653"/>
      <c r="C696" s="7724"/>
      <c r="D696" s="5699">
        <f>SUM(D690:D695)</f>
        <v>60000000</v>
      </c>
      <c r="E696" s="5729"/>
      <c r="F696" s="5699"/>
      <c r="G696" s="7732" t="s">
        <v>7437</v>
      </c>
      <c r="H696" s="7733"/>
      <c r="I696" s="7733"/>
      <c r="J696" s="7734"/>
      <c r="K696" s="5594"/>
      <c r="L696" s="5667" t="s">
        <v>7016</v>
      </c>
    </row>
    <row r="697" spans="1:12" ht="30" customHeight="1" x14ac:dyDescent="0.2">
      <c r="A697" s="5786">
        <v>337</v>
      </c>
      <c r="B697" s="5798" t="s">
        <v>1304</v>
      </c>
      <c r="C697" s="5789" t="s">
        <v>889</v>
      </c>
      <c r="D697" s="5594">
        <v>355000000</v>
      </c>
      <c r="E697" s="5652">
        <v>7.0000000000000007E-2</v>
      </c>
      <c r="F697" s="5594">
        <v>25000000</v>
      </c>
      <c r="G697" s="5776">
        <v>25000000</v>
      </c>
      <c r="H697" s="5776" t="s">
        <v>7424</v>
      </c>
      <c r="I697" s="5788" t="s">
        <v>4382</v>
      </c>
      <c r="J697" s="5776">
        <f>G697</f>
        <v>25000000</v>
      </c>
      <c r="K697" s="5776">
        <f>F697-J697</f>
        <v>0</v>
      </c>
      <c r="L697" s="5667" t="s">
        <v>5337</v>
      </c>
    </row>
    <row r="698" spans="1:12" ht="30" customHeight="1" x14ac:dyDescent="0.2">
      <c r="A698" s="7654"/>
      <c r="B698" s="7703" t="s">
        <v>1677</v>
      </c>
      <c r="C698" s="7723" t="s">
        <v>889</v>
      </c>
      <c r="D698" s="3251">
        <v>235500000</v>
      </c>
      <c r="E698" s="5652">
        <v>7.0000000000000007E-2</v>
      </c>
      <c r="F698" s="5594">
        <f t="shared" ref="F698:F738" si="65">D698*E698</f>
        <v>16485000.000000002</v>
      </c>
      <c r="G698" s="5585"/>
      <c r="H698" s="5587"/>
      <c r="I698" s="5587"/>
      <c r="J698" s="5587"/>
      <c r="K698" s="1604"/>
      <c r="L698" s="5667" t="s">
        <v>5300</v>
      </c>
    </row>
    <row r="699" spans="1:12" ht="30" customHeight="1" x14ac:dyDescent="0.2">
      <c r="A699" s="7656"/>
      <c r="B699" s="7704"/>
      <c r="C699" s="7747"/>
      <c r="D699" s="3247">
        <v>300000000</v>
      </c>
      <c r="E699" s="3249">
        <v>7.0000000000000007E-2</v>
      </c>
      <c r="F699" s="3247">
        <f t="shared" si="65"/>
        <v>21000000.000000004</v>
      </c>
      <c r="G699" s="7732" t="s">
        <v>5290</v>
      </c>
      <c r="H699" s="7733"/>
      <c r="I699" s="7733"/>
      <c r="J699" s="7733"/>
      <c r="K699" s="7734"/>
      <c r="L699" s="5667"/>
    </row>
    <row r="700" spans="1:12" ht="30" customHeight="1" x14ac:dyDescent="0.2">
      <c r="A700" s="7656"/>
      <c r="B700" s="7704"/>
      <c r="C700" s="7747"/>
      <c r="D700" s="3247">
        <v>30000000</v>
      </c>
      <c r="E700" s="3249">
        <v>7.0000000000000007E-2</v>
      </c>
      <c r="F700" s="3247">
        <f t="shared" si="65"/>
        <v>2100000</v>
      </c>
      <c r="G700" s="7732" t="s">
        <v>5299</v>
      </c>
      <c r="H700" s="7733"/>
      <c r="I700" s="7733"/>
      <c r="J700" s="7733"/>
      <c r="K700" s="7734"/>
      <c r="L700" s="5667"/>
    </row>
    <row r="701" spans="1:12" ht="30" customHeight="1" x14ac:dyDescent="0.2">
      <c r="A701" s="7656"/>
      <c r="B701" s="7704"/>
      <c r="C701" s="7747"/>
      <c r="D701" s="3248">
        <v>20000000</v>
      </c>
      <c r="E701" s="3250">
        <v>7.0000000000000007E-2</v>
      </c>
      <c r="F701" s="3248">
        <f>D701*E701</f>
        <v>1400000.0000000002</v>
      </c>
      <c r="G701" s="7732" t="s">
        <v>5296</v>
      </c>
      <c r="H701" s="7733"/>
      <c r="I701" s="7733"/>
      <c r="J701" s="7733"/>
      <c r="K701" s="7734"/>
      <c r="L701" s="5667"/>
    </row>
    <row r="702" spans="1:12" ht="30" customHeight="1" x14ac:dyDescent="0.2">
      <c r="A702" s="7656"/>
      <c r="B702" s="7704"/>
      <c r="C702" s="7747"/>
      <c r="D702" s="3248">
        <v>12000000</v>
      </c>
      <c r="E702" s="3250">
        <v>7.0000000000000007E-2</v>
      </c>
      <c r="F702" s="3248">
        <f>D702*E702</f>
        <v>840000.00000000012</v>
      </c>
      <c r="G702" s="7732" t="s">
        <v>5291</v>
      </c>
      <c r="H702" s="7733"/>
      <c r="I702" s="7733"/>
      <c r="J702" s="7733"/>
      <c r="K702" s="7734"/>
      <c r="L702" s="5667"/>
    </row>
    <row r="703" spans="1:12" ht="30" customHeight="1" x14ac:dyDescent="0.2">
      <c r="A703" s="7656"/>
      <c r="B703" s="7704"/>
      <c r="C703" s="7747"/>
      <c r="D703" s="5591">
        <f>SUM(D699:D702)</f>
        <v>362000000</v>
      </c>
      <c r="E703" s="5627">
        <v>7.0000000000000007E-2</v>
      </c>
      <c r="F703" s="5591">
        <f>D703*E703</f>
        <v>25340000.000000004</v>
      </c>
      <c r="G703" s="7732" t="s">
        <v>5544</v>
      </c>
      <c r="H703" s="7733"/>
      <c r="I703" s="7733"/>
      <c r="J703" s="7733"/>
      <c r="K703" s="7734"/>
      <c r="L703" s="5667"/>
    </row>
    <row r="704" spans="1:12" ht="30" customHeight="1" x14ac:dyDescent="0.2">
      <c r="A704" s="7656"/>
      <c r="B704" s="7704"/>
      <c r="C704" s="7747"/>
      <c r="D704" s="8015">
        <f>D698+D703</f>
        <v>597500000</v>
      </c>
      <c r="E704" s="8016"/>
      <c r="F704" s="3248">
        <f>F698+F703</f>
        <v>41825000.000000007</v>
      </c>
      <c r="G704" s="5585"/>
      <c r="H704" s="5587"/>
      <c r="I704" s="5587"/>
      <c r="J704" s="5587"/>
      <c r="K704" s="1604"/>
      <c r="L704" s="5667"/>
    </row>
    <row r="705" spans="1:12" ht="30" customHeight="1" x14ac:dyDescent="0.2">
      <c r="A705" s="7656"/>
      <c r="B705" s="7704"/>
      <c r="C705" s="7747"/>
      <c r="D705" s="5703">
        <v>45000000</v>
      </c>
      <c r="E705" s="5668">
        <v>7.0000000000000007E-2</v>
      </c>
      <c r="F705" s="5703">
        <f>D705*E705</f>
        <v>3150000.0000000005</v>
      </c>
      <c r="G705" s="7732" t="s">
        <v>5292</v>
      </c>
      <c r="H705" s="7733"/>
      <c r="I705" s="7733"/>
      <c r="J705" s="7733"/>
      <c r="K705" s="7734"/>
      <c r="L705" s="5667"/>
    </row>
    <row r="706" spans="1:12" ht="30" customHeight="1" x14ac:dyDescent="0.2">
      <c r="A706" s="7656"/>
      <c r="B706" s="7704"/>
      <c r="C706" s="7747"/>
      <c r="D706" s="5703">
        <v>100000000</v>
      </c>
      <c r="E706" s="5668">
        <v>7.0000000000000007E-2</v>
      </c>
      <c r="F706" s="5703">
        <f>D706*E706</f>
        <v>7000000.0000000009</v>
      </c>
      <c r="G706" s="7732" t="s">
        <v>5293</v>
      </c>
      <c r="H706" s="7733"/>
      <c r="I706" s="7733"/>
      <c r="J706" s="7733"/>
      <c r="K706" s="7734"/>
      <c r="L706" s="5667"/>
    </row>
    <row r="707" spans="1:12" ht="30" customHeight="1" x14ac:dyDescent="0.2">
      <c r="A707" s="7656"/>
      <c r="B707" s="7704"/>
      <c r="C707" s="7747"/>
      <c r="D707" s="5703">
        <v>80000000</v>
      </c>
      <c r="E707" s="5668">
        <v>7.0000000000000007E-2</v>
      </c>
      <c r="F707" s="5703">
        <f t="shared" ref="F707:F708" si="66">D707*E707</f>
        <v>5600000.0000000009</v>
      </c>
      <c r="G707" s="7732" t="s">
        <v>5294</v>
      </c>
      <c r="H707" s="7733"/>
      <c r="I707" s="7733"/>
      <c r="J707" s="7733"/>
      <c r="K707" s="7734"/>
      <c r="L707" s="5667"/>
    </row>
    <row r="708" spans="1:12" ht="30" customHeight="1" x14ac:dyDescent="0.2">
      <c r="A708" s="7656"/>
      <c r="B708" s="7704"/>
      <c r="C708" s="7747"/>
      <c r="D708" s="5703">
        <v>55000000</v>
      </c>
      <c r="E708" s="5668">
        <v>7.0000000000000007E-2</v>
      </c>
      <c r="F708" s="5703">
        <f t="shared" si="66"/>
        <v>3850000.0000000005</v>
      </c>
      <c r="G708" s="7732" t="s">
        <v>5295</v>
      </c>
      <c r="H708" s="7733"/>
      <c r="I708" s="7733"/>
      <c r="J708" s="7733"/>
      <c r="K708" s="7734"/>
      <c r="L708" s="5667"/>
    </row>
    <row r="709" spans="1:12" ht="30" customHeight="1" x14ac:dyDescent="0.2">
      <c r="A709" s="7656"/>
      <c r="B709" s="7704"/>
      <c r="C709" s="7747"/>
      <c r="D709" s="7858">
        <f>D704+D705+D706+D707+D708</f>
        <v>877500000</v>
      </c>
      <c r="E709" s="7860"/>
      <c r="F709" s="5703">
        <f>F704+F705+F706+F707+F708</f>
        <v>61425000.000000007</v>
      </c>
      <c r="G709" s="7806" t="s">
        <v>3673</v>
      </c>
      <c r="H709" s="7807"/>
      <c r="I709" s="7807"/>
      <c r="J709" s="7807"/>
      <c r="K709" s="7808"/>
      <c r="L709" s="5667"/>
    </row>
    <row r="710" spans="1:12" ht="30" customHeight="1" x14ac:dyDescent="0.2">
      <c r="A710" s="7656"/>
      <c r="B710" s="7704"/>
      <c r="C710" s="7747"/>
      <c r="D710" s="5710">
        <v>150000000</v>
      </c>
      <c r="E710" s="5686">
        <v>7.0000000000000007E-2</v>
      </c>
      <c r="F710" s="5710">
        <f>D710*E710</f>
        <v>10500000.000000002</v>
      </c>
      <c r="G710" s="7732" t="s">
        <v>5298</v>
      </c>
      <c r="H710" s="7733"/>
      <c r="I710" s="7733"/>
      <c r="J710" s="7733"/>
      <c r="K710" s="7734"/>
      <c r="L710" s="5667"/>
    </row>
    <row r="711" spans="1:12" ht="30" customHeight="1" x14ac:dyDescent="0.2">
      <c r="A711" s="7656"/>
      <c r="B711" s="7704"/>
      <c r="C711" s="7747"/>
      <c r="D711" s="5710">
        <v>100000000</v>
      </c>
      <c r="E711" s="5686">
        <v>7.0000000000000007E-2</v>
      </c>
      <c r="F711" s="5710">
        <f>D711*E711</f>
        <v>7000000.0000000009</v>
      </c>
      <c r="G711" s="7732" t="s">
        <v>5297</v>
      </c>
      <c r="H711" s="7733"/>
      <c r="I711" s="7733"/>
      <c r="J711" s="7733"/>
      <c r="K711" s="7734"/>
      <c r="L711" s="5667"/>
    </row>
    <row r="712" spans="1:12" ht="30" customHeight="1" x14ac:dyDescent="0.2">
      <c r="A712" s="7656"/>
      <c r="B712" s="7704"/>
      <c r="C712" s="7747"/>
      <c r="D712" s="8004">
        <f>D709+D710+D711</f>
        <v>1127500000</v>
      </c>
      <c r="E712" s="8005"/>
      <c r="F712" s="5710">
        <f>F709+F710+F711</f>
        <v>78925000.000000015</v>
      </c>
      <c r="G712" s="8085" t="s">
        <v>3882</v>
      </c>
      <c r="H712" s="8086"/>
      <c r="I712" s="8086"/>
      <c r="J712" s="8086"/>
      <c r="K712" s="8087"/>
      <c r="L712" s="5667"/>
    </row>
    <row r="713" spans="1:12" ht="30" customHeight="1" x14ac:dyDescent="0.2">
      <c r="A713" s="7656"/>
      <c r="B713" s="7704"/>
      <c r="C713" s="7747"/>
      <c r="D713" s="5679">
        <v>70000000</v>
      </c>
      <c r="E713" s="3245">
        <v>7.0000000000000007E-2</v>
      </c>
      <c r="F713" s="5679">
        <f>D713*E713</f>
        <v>4900000.0000000009</v>
      </c>
      <c r="G713" s="7732" t="s">
        <v>5543</v>
      </c>
      <c r="H713" s="7733"/>
      <c r="I713" s="7733"/>
      <c r="J713" s="7733"/>
      <c r="K713" s="7734"/>
      <c r="L713" s="5667"/>
    </row>
    <row r="714" spans="1:12" ht="30" customHeight="1" x14ac:dyDescent="0.2">
      <c r="A714" s="7656"/>
      <c r="B714" s="7704"/>
      <c r="C714" s="7747"/>
      <c r="D714" s="7883">
        <f>D712+D713</f>
        <v>1197500000</v>
      </c>
      <c r="E714" s="7884"/>
      <c r="F714" s="5679">
        <f>F712+F713</f>
        <v>83825000.000000015</v>
      </c>
      <c r="G714" s="8255" t="s">
        <v>4366</v>
      </c>
      <c r="H714" s="8256"/>
      <c r="I714" s="8256"/>
      <c r="J714" s="8256"/>
      <c r="K714" s="8257"/>
      <c r="L714" s="5667"/>
    </row>
    <row r="715" spans="1:12" ht="30" customHeight="1" x14ac:dyDescent="0.2">
      <c r="A715" s="7656"/>
      <c r="B715" s="7704"/>
      <c r="C715" s="7747"/>
      <c r="D715" s="3239">
        <v>79115000</v>
      </c>
      <c r="E715" s="3246">
        <v>7.0000000000000007E-2</v>
      </c>
      <c r="F715" s="3239">
        <f>D715*E715</f>
        <v>5538050.0000000009</v>
      </c>
      <c r="G715" s="7732" t="s">
        <v>4974</v>
      </c>
      <c r="H715" s="7733"/>
      <c r="I715" s="7733"/>
      <c r="J715" s="7733"/>
      <c r="K715" s="7734"/>
      <c r="L715" s="5667"/>
    </row>
    <row r="716" spans="1:12" ht="30" customHeight="1" x14ac:dyDescent="0.2">
      <c r="A716" s="7656"/>
      <c r="B716" s="7704"/>
      <c r="C716" s="7747"/>
      <c r="D716" s="3239">
        <v>100000000</v>
      </c>
      <c r="E716" s="3246">
        <v>7.0000000000000007E-2</v>
      </c>
      <c r="F716" s="3239">
        <f>D716*E716</f>
        <v>7000000.0000000009</v>
      </c>
      <c r="G716" s="7732" t="s">
        <v>4973</v>
      </c>
      <c r="H716" s="7733"/>
      <c r="I716" s="7733"/>
      <c r="J716" s="7733"/>
      <c r="K716" s="7734"/>
      <c r="L716" s="5667"/>
    </row>
    <row r="717" spans="1:12" ht="30" customHeight="1" x14ac:dyDescent="0.2">
      <c r="A717" s="7656"/>
      <c r="B717" s="7704"/>
      <c r="C717" s="7747"/>
      <c r="D717" s="3239">
        <f>71051000-166000</f>
        <v>70885000</v>
      </c>
      <c r="E717" s="3246">
        <v>7.0000000000000007E-2</v>
      </c>
      <c r="F717" s="3239">
        <f>D717*E717</f>
        <v>4961950.0000000009</v>
      </c>
      <c r="G717" s="8099" t="s">
        <v>5165</v>
      </c>
      <c r="H717" s="8100"/>
      <c r="I717" s="8100"/>
      <c r="J717" s="8100"/>
      <c r="K717" s="8101"/>
      <c r="L717" s="5667"/>
    </row>
    <row r="718" spans="1:12" ht="30" customHeight="1" x14ac:dyDescent="0.2">
      <c r="A718" s="7656"/>
      <c r="B718" s="7704"/>
      <c r="C718" s="7747"/>
      <c r="D718" s="3239">
        <v>100000000</v>
      </c>
      <c r="E718" s="3240">
        <v>7.0000000000000007E-2</v>
      </c>
      <c r="F718" s="3239">
        <f>D718*E718</f>
        <v>7000000.0000000009</v>
      </c>
      <c r="G718" s="7732" t="s">
        <v>5018</v>
      </c>
      <c r="H718" s="7733"/>
      <c r="I718" s="7733"/>
      <c r="J718" s="7733"/>
      <c r="K718" s="7734"/>
      <c r="L718" s="5667"/>
    </row>
    <row r="719" spans="1:12" ht="30" customHeight="1" x14ac:dyDescent="0.2">
      <c r="A719" s="7656"/>
      <c r="B719" s="7704"/>
      <c r="C719" s="7747"/>
      <c r="D719" s="8350">
        <f>D714+D715+D716+D717+D718</f>
        <v>1547500000</v>
      </c>
      <c r="E719" s="8351"/>
      <c r="F719" s="8326">
        <f>F714+F715+F716+F717+F718</f>
        <v>108325000.00000001</v>
      </c>
      <c r="G719" s="8258" t="s">
        <v>4975</v>
      </c>
      <c r="H719" s="8259"/>
      <c r="I719" s="8259"/>
      <c r="J719" s="8259"/>
      <c r="K719" s="8260"/>
      <c r="L719" s="1540" t="s">
        <v>4976</v>
      </c>
    </row>
    <row r="720" spans="1:12" ht="30" customHeight="1" x14ac:dyDescent="0.2">
      <c r="A720" s="7656"/>
      <c r="B720" s="7704"/>
      <c r="C720" s="7747"/>
      <c r="D720" s="8352"/>
      <c r="E720" s="8353"/>
      <c r="F720" s="8327"/>
      <c r="G720" s="5585"/>
      <c r="H720" s="7482"/>
      <c r="I720" s="7494" t="s">
        <v>1720</v>
      </c>
      <c r="J720" s="7482">
        <f>G720+G721</f>
        <v>0</v>
      </c>
      <c r="K720" s="7563">
        <f>F719-G720</f>
        <v>108325000.00000001</v>
      </c>
      <c r="L720" s="3824" t="s">
        <v>4906</v>
      </c>
    </row>
    <row r="721" spans="1:12" ht="30" customHeight="1" x14ac:dyDescent="0.2">
      <c r="A721" s="7656"/>
      <c r="B721" s="7704"/>
      <c r="C721" s="7747"/>
      <c r="D721" s="8354"/>
      <c r="E721" s="8355"/>
      <c r="F721" s="8328"/>
      <c r="G721" s="5585"/>
      <c r="H721" s="7482"/>
      <c r="I721" s="7769"/>
      <c r="J721" s="7482"/>
      <c r="K721" s="7564"/>
      <c r="L721" s="3824"/>
    </row>
    <row r="722" spans="1:12" ht="30" customHeight="1" x14ac:dyDescent="0.2">
      <c r="A722" s="7656"/>
      <c r="B722" s="7704"/>
      <c r="C722" s="7747"/>
      <c r="D722" s="3826">
        <v>70000000</v>
      </c>
      <c r="E722" s="5712">
        <v>7.0000000000000007E-2</v>
      </c>
      <c r="F722" s="3826">
        <f t="shared" ref="F722:F729" si="67">D722*E722</f>
        <v>4900000.0000000009</v>
      </c>
      <c r="G722" s="7732" t="s">
        <v>5542</v>
      </c>
      <c r="H722" s="7733"/>
      <c r="I722" s="7733"/>
      <c r="J722" s="7733"/>
      <c r="K722" s="7734"/>
      <c r="L722" s="3824"/>
    </row>
    <row r="723" spans="1:12" ht="30" customHeight="1" x14ac:dyDescent="0.2">
      <c r="A723" s="7656"/>
      <c r="B723" s="7704"/>
      <c r="C723" s="7747"/>
      <c r="D723" s="3826">
        <v>34000000</v>
      </c>
      <c r="E723" s="3948">
        <v>7.0000000000000007E-2</v>
      </c>
      <c r="F723" s="3826">
        <f t="shared" si="67"/>
        <v>2380000</v>
      </c>
      <c r="G723" s="7732" t="s">
        <v>5669</v>
      </c>
      <c r="H723" s="7733"/>
      <c r="I723" s="7733"/>
      <c r="J723" s="7733"/>
      <c r="K723" s="7734"/>
      <c r="L723" s="3824"/>
    </row>
    <row r="724" spans="1:12" ht="30" customHeight="1" x14ac:dyDescent="0.2">
      <c r="A724" s="7656"/>
      <c r="B724" s="7704"/>
      <c r="C724" s="7747"/>
      <c r="D724" s="3826">
        <v>100000000</v>
      </c>
      <c r="E724" s="295">
        <v>7.0000000000000007E-2</v>
      </c>
      <c r="F724" s="3826">
        <f t="shared" si="67"/>
        <v>7000000.0000000009</v>
      </c>
      <c r="G724" s="7732" t="s">
        <v>5670</v>
      </c>
      <c r="H724" s="7733"/>
      <c r="I724" s="7733"/>
      <c r="J724" s="7733"/>
      <c r="K724" s="7734"/>
      <c r="L724" s="3824"/>
    </row>
    <row r="725" spans="1:12" ht="30" customHeight="1" x14ac:dyDescent="0.2">
      <c r="A725" s="7656"/>
      <c r="B725" s="7704"/>
      <c r="C725" s="7747"/>
      <c r="D725" s="3826">
        <v>66000000</v>
      </c>
      <c r="E725" s="295">
        <v>7.0000000000000007E-2</v>
      </c>
      <c r="F725" s="3826">
        <f t="shared" si="67"/>
        <v>4620000</v>
      </c>
      <c r="G725" s="7732" t="s">
        <v>5672</v>
      </c>
      <c r="H725" s="7733"/>
      <c r="I725" s="7733"/>
      <c r="J725" s="7733"/>
      <c r="K725" s="7734"/>
      <c r="L725" s="3824"/>
    </row>
    <row r="726" spans="1:12" ht="30" customHeight="1" x14ac:dyDescent="0.2">
      <c r="A726" s="7656"/>
      <c r="B726" s="7704"/>
      <c r="C726" s="7747"/>
      <c r="D726" s="3826">
        <v>100000000</v>
      </c>
      <c r="E726" s="295">
        <v>7.0000000000000007E-2</v>
      </c>
      <c r="F726" s="3826">
        <f t="shared" si="67"/>
        <v>7000000.0000000009</v>
      </c>
      <c r="G726" s="7732" t="s">
        <v>5671</v>
      </c>
      <c r="H726" s="7733"/>
      <c r="I726" s="7733"/>
      <c r="J726" s="7733"/>
      <c r="K726" s="7734"/>
      <c r="L726" s="3824"/>
    </row>
    <row r="727" spans="1:12" ht="30" customHeight="1" x14ac:dyDescent="0.2">
      <c r="A727" s="7656"/>
      <c r="B727" s="7704"/>
      <c r="C727" s="7747"/>
      <c r="D727" s="3826">
        <v>100000000</v>
      </c>
      <c r="E727" s="295">
        <v>7.0000000000000007E-2</v>
      </c>
      <c r="F727" s="3826">
        <f t="shared" si="67"/>
        <v>7000000.0000000009</v>
      </c>
      <c r="G727" s="7732" t="s">
        <v>5673</v>
      </c>
      <c r="H727" s="7733"/>
      <c r="I727" s="7733"/>
      <c r="J727" s="7733"/>
      <c r="K727" s="7734"/>
      <c r="L727" s="3824"/>
    </row>
    <row r="728" spans="1:12" ht="30" customHeight="1" x14ac:dyDescent="0.2">
      <c r="A728" s="7656"/>
      <c r="B728" s="7704"/>
      <c r="C728" s="7747"/>
      <c r="D728" s="3826">
        <v>100000000</v>
      </c>
      <c r="E728" s="295">
        <v>7.0000000000000007E-2</v>
      </c>
      <c r="F728" s="3826">
        <f t="shared" si="67"/>
        <v>7000000.0000000009</v>
      </c>
      <c r="G728" s="7732" t="s">
        <v>5673</v>
      </c>
      <c r="H728" s="7733"/>
      <c r="I728" s="7733"/>
      <c r="J728" s="7733"/>
      <c r="K728" s="7734"/>
      <c r="L728" s="3824"/>
    </row>
    <row r="729" spans="1:12" ht="30" customHeight="1" x14ac:dyDescent="0.2">
      <c r="A729" s="7656"/>
      <c r="B729" s="7704"/>
      <c r="C729" s="7747"/>
      <c r="D729" s="3826">
        <v>100000000</v>
      </c>
      <c r="E729" s="3949">
        <v>7.0000000000000007E-2</v>
      </c>
      <c r="F729" s="3826">
        <f t="shared" si="67"/>
        <v>7000000.0000000009</v>
      </c>
      <c r="G729" s="7732" t="s">
        <v>5674</v>
      </c>
      <c r="H729" s="7733"/>
      <c r="I729" s="7733"/>
      <c r="J729" s="7733"/>
      <c r="K729" s="7734"/>
      <c r="L729" s="3824"/>
    </row>
    <row r="730" spans="1:12" ht="30" customHeight="1" x14ac:dyDescent="0.2">
      <c r="A730" s="7656"/>
      <c r="B730" s="7704"/>
      <c r="C730" s="7747"/>
      <c r="D730" s="8248">
        <f>D719+D722+D723+D724+D725+D726+D727+D728+D729</f>
        <v>2217500000</v>
      </c>
      <c r="E730" s="8249"/>
      <c r="F730" s="3826">
        <f>F719+F722+F723+F724+F725+F726+F727+F728+F729</f>
        <v>155225000.00000003</v>
      </c>
      <c r="G730" s="5586"/>
      <c r="H730" s="5586"/>
      <c r="I730" s="5586" t="s">
        <v>1720</v>
      </c>
      <c r="J730" s="5586">
        <f>G730</f>
        <v>0</v>
      </c>
      <c r="K730" s="5586">
        <f>F730-J730</f>
        <v>155225000.00000003</v>
      </c>
      <c r="L730" s="3825"/>
    </row>
    <row r="731" spans="1:12" ht="30" customHeight="1" x14ac:dyDescent="0.2">
      <c r="A731" s="7656"/>
      <c r="B731" s="7704"/>
      <c r="C731" s="7747"/>
      <c r="D731" s="5586">
        <v>105500000</v>
      </c>
      <c r="E731" s="5652">
        <v>7.0000000000000007E-2</v>
      </c>
      <c r="F731" s="5586">
        <f>D731*E731</f>
        <v>7385000.0000000009</v>
      </c>
      <c r="G731" s="7732" t="s">
        <v>6309</v>
      </c>
      <c r="H731" s="7733"/>
      <c r="I731" s="7733"/>
      <c r="J731" s="7734"/>
      <c r="K731" s="5586"/>
      <c r="L731" s="3825"/>
    </row>
    <row r="732" spans="1:12" ht="30" customHeight="1" x14ac:dyDescent="0.2">
      <c r="A732" s="7656"/>
      <c r="B732" s="7704"/>
      <c r="C732" s="7747"/>
      <c r="D732" s="5586">
        <v>130000000</v>
      </c>
      <c r="E732" s="5652">
        <v>7.0000000000000007E-2</v>
      </c>
      <c r="F732" s="5586">
        <f>D732*E732</f>
        <v>9100000</v>
      </c>
      <c r="G732" s="7732" t="s">
        <v>6310</v>
      </c>
      <c r="H732" s="7733"/>
      <c r="I732" s="7733"/>
      <c r="J732" s="7733"/>
      <c r="K732" s="7734"/>
      <c r="L732" s="3825"/>
    </row>
    <row r="733" spans="1:12" ht="30" customHeight="1" x14ac:dyDescent="0.2">
      <c r="A733" s="7656"/>
      <c r="B733" s="7704"/>
      <c r="C733" s="7747"/>
      <c r="D733" s="8545">
        <f>D730+D731+D732</f>
        <v>2453000000</v>
      </c>
      <c r="E733" s="8546"/>
      <c r="F733" s="8026">
        <f>D733*0.07</f>
        <v>171710000.00000003</v>
      </c>
      <c r="G733" s="5586">
        <v>50000000</v>
      </c>
      <c r="H733" s="5586" t="s">
        <v>7460</v>
      </c>
      <c r="I733" s="5586" t="s">
        <v>1720</v>
      </c>
      <c r="J733" s="7563">
        <f>G733+G737+G734+G735+G736</f>
        <v>115000000</v>
      </c>
      <c r="K733" s="7563">
        <f>F733-J733</f>
        <v>56710000.00000003</v>
      </c>
      <c r="L733" s="3825"/>
    </row>
    <row r="734" spans="1:12" ht="30" customHeight="1" x14ac:dyDescent="0.2">
      <c r="A734" s="7656"/>
      <c r="B734" s="7704"/>
      <c r="C734" s="7747"/>
      <c r="D734" s="8561"/>
      <c r="E734" s="8562"/>
      <c r="F734" s="8497"/>
      <c r="G734" s="6047">
        <v>20000000</v>
      </c>
      <c r="H734" s="6047" t="s">
        <v>7550</v>
      </c>
      <c r="I734" s="6047" t="s">
        <v>3524</v>
      </c>
      <c r="J734" s="7586"/>
      <c r="K734" s="7586"/>
      <c r="L734" s="3825"/>
    </row>
    <row r="735" spans="1:12" ht="30" customHeight="1" x14ac:dyDescent="0.2">
      <c r="A735" s="7656"/>
      <c r="B735" s="7704"/>
      <c r="C735" s="7747"/>
      <c r="D735" s="8561"/>
      <c r="E735" s="8562"/>
      <c r="F735" s="8497"/>
      <c r="G735" s="6242">
        <v>25000000</v>
      </c>
      <c r="H735" s="6242" t="s">
        <v>7723</v>
      </c>
      <c r="I735" s="6242" t="s">
        <v>3524</v>
      </c>
      <c r="J735" s="7586"/>
      <c r="K735" s="7586"/>
      <c r="L735" s="3825"/>
    </row>
    <row r="736" spans="1:12" ht="30" customHeight="1" x14ac:dyDescent="0.2">
      <c r="A736" s="7656"/>
      <c r="B736" s="7704"/>
      <c r="C736" s="7747"/>
      <c r="D736" s="8561"/>
      <c r="E736" s="8562"/>
      <c r="F736" s="8497"/>
      <c r="G736" s="6364">
        <v>20000000</v>
      </c>
      <c r="H736" s="6364" t="s">
        <v>7810</v>
      </c>
      <c r="I736" s="6364" t="s">
        <v>3524</v>
      </c>
      <c r="J736" s="7586"/>
      <c r="K736" s="7586"/>
      <c r="L736" s="3825"/>
    </row>
    <row r="737" spans="1:17" ht="30" customHeight="1" x14ac:dyDescent="0.2">
      <c r="A737" s="7655"/>
      <c r="B737" s="7705"/>
      <c r="C737" s="7724"/>
      <c r="D737" s="8547"/>
      <c r="E737" s="8548"/>
      <c r="F737" s="8027"/>
      <c r="G737" s="5586"/>
      <c r="H737" s="5586"/>
      <c r="I737" s="5586"/>
      <c r="J737" s="7564"/>
      <c r="K737" s="7564"/>
      <c r="L737" s="3825"/>
    </row>
    <row r="738" spans="1:17" ht="30" customHeight="1" x14ac:dyDescent="0.2">
      <c r="A738" s="5597">
        <v>339</v>
      </c>
      <c r="B738" s="5660" t="s">
        <v>170</v>
      </c>
      <c r="C738" s="5634" t="s">
        <v>1306</v>
      </c>
      <c r="D738" s="5586">
        <v>200000000</v>
      </c>
      <c r="E738" s="5652">
        <v>7.0000000000000007E-2</v>
      </c>
      <c r="F738" s="5586">
        <f t="shared" si="65"/>
        <v>14000000.000000002</v>
      </c>
      <c r="G738" s="233"/>
      <c r="H738" s="233"/>
      <c r="I738" s="1388"/>
      <c r="J738" s="233"/>
      <c r="K738" s="387"/>
      <c r="L738" s="5681"/>
      <c r="M738" s="386"/>
      <c r="N738" s="386"/>
      <c r="O738" s="386"/>
      <c r="P738" s="386"/>
      <c r="Q738" s="386"/>
    </row>
    <row r="739" spans="1:17" ht="30" customHeight="1" x14ac:dyDescent="0.2">
      <c r="A739" s="7654"/>
      <c r="B739" s="7652" t="s">
        <v>67</v>
      </c>
      <c r="C739" s="7723" t="s">
        <v>1138</v>
      </c>
      <c r="D739" s="7563">
        <v>111000000</v>
      </c>
      <c r="E739" s="7659">
        <v>0.05</v>
      </c>
      <c r="F739" s="7563">
        <v>6000000</v>
      </c>
      <c r="G739" s="5586">
        <v>6000000</v>
      </c>
      <c r="H739" s="5586" t="s">
        <v>7281</v>
      </c>
      <c r="I739" s="5586" t="s">
        <v>7290</v>
      </c>
      <c r="J739" s="5586">
        <f>G739</f>
        <v>6000000</v>
      </c>
      <c r="K739" s="5650">
        <f t="shared" ref="K739:K746" si="68">F739-J739</f>
        <v>0</v>
      </c>
      <c r="L739" s="5681" t="s">
        <v>7291</v>
      </c>
      <c r="M739" s="5681"/>
      <c r="N739" s="5681"/>
      <c r="O739" s="5681"/>
      <c r="P739" s="386"/>
      <c r="Q739" s="386"/>
    </row>
    <row r="740" spans="1:17" ht="30" customHeight="1" x14ac:dyDescent="0.2">
      <c r="A740" s="7655"/>
      <c r="B740" s="7653"/>
      <c r="C740" s="7724"/>
      <c r="D740" s="7564"/>
      <c r="E740" s="7660"/>
      <c r="F740" s="7564"/>
      <c r="G740" s="6305">
        <v>6000000</v>
      </c>
      <c r="H740" s="6305" t="s">
        <v>7795</v>
      </c>
      <c r="I740" s="6324" t="s">
        <v>1720</v>
      </c>
      <c r="J740" s="6301">
        <f>G740</f>
        <v>6000000</v>
      </c>
      <c r="K740" s="6332">
        <f>F739-J740</f>
        <v>0</v>
      </c>
      <c r="L740" s="6331" t="s">
        <v>7501</v>
      </c>
      <c r="M740" s="6363"/>
      <c r="N740" s="6363"/>
      <c r="O740" s="6363"/>
      <c r="P740" s="386"/>
      <c r="Q740" s="386"/>
    </row>
    <row r="741" spans="1:17" ht="30" customHeight="1" x14ac:dyDescent="0.2">
      <c r="A741" s="6337"/>
      <c r="B741" s="19" t="s">
        <v>7780</v>
      </c>
      <c r="C741" s="6336"/>
      <c r="D741" s="6305">
        <v>700000000</v>
      </c>
      <c r="E741" s="6335">
        <v>0.08</v>
      </c>
      <c r="F741" s="6305">
        <f>D741*E741</f>
        <v>56000000</v>
      </c>
      <c r="G741" s="6305"/>
      <c r="H741" s="6305"/>
      <c r="I741" s="6324"/>
      <c r="J741" s="6301"/>
      <c r="K741" s="6332"/>
      <c r="L741" s="6331" t="s">
        <v>7781</v>
      </c>
      <c r="M741" s="6363"/>
      <c r="N741" s="6363"/>
      <c r="O741" s="6363"/>
      <c r="P741" s="386"/>
      <c r="Q741" s="386"/>
    </row>
    <row r="742" spans="1:17" ht="30" customHeight="1" x14ac:dyDescent="0.2">
      <c r="A742" s="5655">
        <v>341</v>
      </c>
      <c r="B742" s="5613" t="s">
        <v>1357</v>
      </c>
      <c r="C742" s="5657" t="s">
        <v>889</v>
      </c>
      <c r="D742" s="5586">
        <v>150000000</v>
      </c>
      <c r="E742" s="5652">
        <f>F742/D742</f>
        <v>4.6666666666666669E-2</v>
      </c>
      <c r="F742" s="5586">
        <v>7000000</v>
      </c>
      <c r="G742" s="5594">
        <v>7000000</v>
      </c>
      <c r="H742" s="5594" t="s">
        <v>7306</v>
      </c>
      <c r="I742" s="5643" t="s">
        <v>4842</v>
      </c>
      <c r="J742" s="5586">
        <f>G742</f>
        <v>7000000</v>
      </c>
      <c r="K742" s="5590">
        <f t="shared" si="68"/>
        <v>0</v>
      </c>
      <c r="L742" s="5681"/>
      <c r="M742" s="386"/>
      <c r="N742" s="386"/>
      <c r="O742" s="386"/>
      <c r="P742" s="386"/>
      <c r="Q742" s="386"/>
    </row>
    <row r="743" spans="1:17" ht="30" customHeight="1" x14ac:dyDescent="0.2">
      <c r="A743" s="5596">
        <v>342</v>
      </c>
      <c r="B743" s="5658" t="s">
        <v>71</v>
      </c>
      <c r="C743" s="5633" t="s">
        <v>2363</v>
      </c>
      <c r="D743" s="5594">
        <v>70000000</v>
      </c>
      <c r="E743" s="5652">
        <v>0.05</v>
      </c>
      <c r="F743" s="5594">
        <f>D743*E743</f>
        <v>3500000</v>
      </c>
      <c r="G743" s="5594">
        <v>3500000</v>
      </c>
      <c r="H743" s="5594" t="s">
        <v>7424</v>
      </c>
      <c r="I743" s="5643" t="s">
        <v>7445</v>
      </c>
      <c r="J743" s="5594">
        <f t="shared" ref="J743:J763" si="69">G743</f>
        <v>3500000</v>
      </c>
      <c r="K743" s="5650">
        <f t="shared" si="68"/>
        <v>0</v>
      </c>
      <c r="L743" s="5681"/>
      <c r="M743" s="386"/>
      <c r="N743" s="386"/>
      <c r="O743" s="386"/>
      <c r="P743" s="386"/>
      <c r="Q743" s="386"/>
    </row>
    <row r="744" spans="1:17" ht="30" customHeight="1" x14ac:dyDescent="0.2">
      <c r="A744" s="5655">
        <v>343</v>
      </c>
      <c r="B744" s="19" t="s">
        <v>1365</v>
      </c>
      <c r="C744" s="5657" t="s">
        <v>1796</v>
      </c>
      <c r="D744" s="5586">
        <v>8000000</v>
      </c>
      <c r="E744" s="5652">
        <v>0.04</v>
      </c>
      <c r="F744" s="5586">
        <f>D744*E744</f>
        <v>320000</v>
      </c>
      <c r="G744" s="5586">
        <v>320000</v>
      </c>
      <c r="H744" s="5586" t="s">
        <v>7310</v>
      </c>
      <c r="I744" s="5586" t="s">
        <v>1366</v>
      </c>
      <c r="J744" s="5586">
        <f t="shared" si="69"/>
        <v>320000</v>
      </c>
      <c r="K744" s="5590">
        <f t="shared" si="68"/>
        <v>0</v>
      </c>
      <c r="L744" s="5669"/>
      <c r="M744" s="386"/>
      <c r="N744" s="386"/>
      <c r="O744" s="386"/>
      <c r="P744" s="386"/>
      <c r="Q744" s="386"/>
    </row>
    <row r="745" spans="1:17" ht="30" customHeight="1" x14ac:dyDescent="0.2">
      <c r="A745" s="5796"/>
      <c r="B745" s="5785" t="s">
        <v>6727</v>
      </c>
      <c r="C745" s="5797"/>
      <c r="D745" s="5774">
        <v>20000000</v>
      </c>
      <c r="E745" s="5795">
        <v>0.05</v>
      </c>
      <c r="F745" s="5774">
        <f>D745*E745</f>
        <v>1000000</v>
      </c>
      <c r="G745" s="5774">
        <v>1000000</v>
      </c>
      <c r="H745" s="5774" t="s">
        <v>7718</v>
      </c>
      <c r="I745" s="5774" t="s">
        <v>7722</v>
      </c>
      <c r="J745" s="5774">
        <f t="shared" si="69"/>
        <v>1000000</v>
      </c>
      <c r="K745" s="5775">
        <f t="shared" si="68"/>
        <v>0</v>
      </c>
      <c r="L745" s="5775"/>
      <c r="M745" s="386"/>
      <c r="N745" s="386"/>
      <c r="O745" s="386"/>
      <c r="P745" s="386"/>
      <c r="Q745" s="386"/>
    </row>
    <row r="746" spans="1:17" ht="30" customHeight="1" x14ac:dyDescent="0.2">
      <c r="A746" s="5597">
        <v>344</v>
      </c>
      <c r="B746" s="5602" t="s">
        <v>1373</v>
      </c>
      <c r="C746" s="5634"/>
      <c r="D746" s="5594">
        <v>50000000</v>
      </c>
      <c r="E746" s="5606"/>
      <c r="F746" s="5594"/>
      <c r="G746" s="5594">
        <v>8500000</v>
      </c>
      <c r="H746" s="5594" t="s">
        <v>7511</v>
      </c>
      <c r="I746" s="5643" t="s">
        <v>5436</v>
      </c>
      <c r="J746" s="5594">
        <f t="shared" si="69"/>
        <v>8500000</v>
      </c>
      <c r="K746" s="5651">
        <f t="shared" si="68"/>
        <v>-8500000</v>
      </c>
      <c r="L746" s="5681"/>
      <c r="M746" s="386"/>
      <c r="N746" s="386"/>
      <c r="O746" s="386"/>
      <c r="P746" s="386"/>
      <c r="Q746" s="386"/>
    </row>
    <row r="747" spans="1:17" ht="30" customHeight="1" x14ac:dyDescent="0.2">
      <c r="A747" s="7654">
        <v>345</v>
      </c>
      <c r="B747" s="7652" t="s">
        <v>2080</v>
      </c>
      <c r="C747" s="7723" t="s">
        <v>1299</v>
      </c>
      <c r="D747" s="7563">
        <v>60000000</v>
      </c>
      <c r="E747" s="7659">
        <v>7.0000000000000007E-2</v>
      </c>
      <c r="F747" s="7563">
        <f>D747*E747</f>
        <v>4200000</v>
      </c>
      <c r="G747" s="5594">
        <v>4200000</v>
      </c>
      <c r="H747" s="5594" t="s">
        <v>7281</v>
      </c>
      <c r="I747" s="5643" t="s">
        <v>4126</v>
      </c>
      <c r="J747" s="5594">
        <f t="shared" si="69"/>
        <v>4200000</v>
      </c>
      <c r="K747" s="5650">
        <f>G747-J747</f>
        <v>0</v>
      </c>
      <c r="L747" s="5681" t="s">
        <v>6807</v>
      </c>
      <c r="M747" s="386"/>
      <c r="N747" s="386"/>
      <c r="O747" s="386"/>
      <c r="P747" s="386"/>
      <c r="Q747" s="386"/>
    </row>
    <row r="748" spans="1:17" ht="30" customHeight="1" x14ac:dyDescent="0.2">
      <c r="A748" s="7655"/>
      <c r="B748" s="7653"/>
      <c r="C748" s="7724"/>
      <c r="D748" s="7564"/>
      <c r="E748" s="7660"/>
      <c r="F748" s="7564"/>
      <c r="G748" s="6305">
        <v>4200000</v>
      </c>
      <c r="H748" s="6305" t="s">
        <v>7757</v>
      </c>
      <c r="I748" s="6324" t="s">
        <v>4126</v>
      </c>
      <c r="J748" s="6305">
        <f t="shared" si="69"/>
        <v>4200000</v>
      </c>
      <c r="K748" s="6332">
        <f>G748-J748</f>
        <v>0</v>
      </c>
      <c r="L748" s="6338" t="s">
        <v>7501</v>
      </c>
      <c r="M748" s="386"/>
      <c r="N748" s="386"/>
      <c r="O748" s="386"/>
      <c r="P748" s="386"/>
      <c r="Q748" s="386"/>
    </row>
    <row r="749" spans="1:17" ht="30" customHeight="1" x14ac:dyDescent="0.2">
      <c r="A749" s="5597">
        <v>346</v>
      </c>
      <c r="B749" s="5602" t="s">
        <v>1380</v>
      </c>
      <c r="C749" s="5634" t="s">
        <v>1172</v>
      </c>
      <c r="D749" s="5594">
        <v>5000000</v>
      </c>
      <c r="E749" s="5652">
        <v>0.05</v>
      </c>
      <c r="F749" s="5594">
        <f>D749*E749</f>
        <v>250000</v>
      </c>
      <c r="G749" s="5594">
        <v>250000</v>
      </c>
      <c r="H749" s="5594" t="s">
        <v>7614</v>
      </c>
      <c r="I749" s="5643" t="s">
        <v>1381</v>
      </c>
      <c r="J749" s="5594">
        <f t="shared" si="69"/>
        <v>250000</v>
      </c>
      <c r="K749" s="5650">
        <f t="shared" ref="K749:K760" si="70">F749-J749</f>
        <v>0</v>
      </c>
      <c r="L749" s="5681"/>
      <c r="M749" s="386"/>
      <c r="N749" s="386"/>
      <c r="O749" s="386"/>
      <c r="P749" s="386"/>
      <c r="Q749" s="386"/>
    </row>
    <row r="750" spans="1:17" ht="30" customHeight="1" x14ac:dyDescent="0.2">
      <c r="A750" s="5655">
        <v>347</v>
      </c>
      <c r="B750" s="5613" t="s">
        <v>178</v>
      </c>
      <c r="C750" s="5657" t="s">
        <v>1796</v>
      </c>
      <c r="D750" s="5586">
        <v>130000000</v>
      </c>
      <c r="E750" s="5652">
        <v>0.05</v>
      </c>
      <c r="F750" s="5586">
        <f>D750*E750</f>
        <v>6500000</v>
      </c>
      <c r="G750" s="5594">
        <v>6500000</v>
      </c>
      <c r="H750" s="5594" t="s">
        <v>7298</v>
      </c>
      <c r="I750" s="5643" t="s">
        <v>3951</v>
      </c>
      <c r="J750" s="5594">
        <f t="shared" si="69"/>
        <v>6500000</v>
      </c>
      <c r="K750" s="5650">
        <f t="shared" si="70"/>
        <v>0</v>
      </c>
      <c r="L750" s="5681"/>
      <c r="M750" s="386"/>
      <c r="N750" s="386"/>
      <c r="O750" s="386"/>
      <c r="P750" s="386"/>
      <c r="Q750" s="386"/>
    </row>
    <row r="751" spans="1:17" ht="30" customHeight="1" x14ac:dyDescent="0.2">
      <c r="A751" s="5655">
        <v>348</v>
      </c>
      <c r="B751" s="19" t="s">
        <v>1408</v>
      </c>
      <c r="C751" s="5657" t="s">
        <v>1306</v>
      </c>
      <c r="D751" s="5586">
        <v>50000000</v>
      </c>
      <c r="E751" s="5652">
        <v>0.04</v>
      </c>
      <c r="F751" s="5586">
        <f>D751*E751</f>
        <v>2000000</v>
      </c>
      <c r="G751" s="5586">
        <v>2000000</v>
      </c>
      <c r="H751" s="5586" t="s">
        <v>7298</v>
      </c>
      <c r="I751" s="5643" t="s">
        <v>5992</v>
      </c>
      <c r="J751" s="5594">
        <f t="shared" si="69"/>
        <v>2000000</v>
      </c>
      <c r="K751" s="5650">
        <f t="shared" si="70"/>
        <v>0</v>
      </c>
      <c r="L751" s="5681"/>
      <c r="M751" s="386"/>
      <c r="N751" s="386"/>
      <c r="O751" s="386"/>
      <c r="P751" s="386"/>
      <c r="Q751" s="386"/>
    </row>
    <row r="752" spans="1:17" ht="30" customHeight="1" x14ac:dyDescent="0.2">
      <c r="A752" s="5597">
        <v>350</v>
      </c>
      <c r="B752" s="5602" t="s">
        <v>1554</v>
      </c>
      <c r="C752" s="5634"/>
      <c r="D752" s="5594">
        <v>110000000</v>
      </c>
      <c r="E752" s="7898" t="s">
        <v>1556</v>
      </c>
      <c r="F752" s="7899"/>
      <c r="G752" s="5594"/>
      <c r="H752" s="5594"/>
      <c r="I752" s="5643" t="s">
        <v>3469</v>
      </c>
      <c r="J752" s="5594">
        <f t="shared" si="69"/>
        <v>0</v>
      </c>
      <c r="K752" s="5651">
        <f t="shared" si="70"/>
        <v>0</v>
      </c>
      <c r="L752" s="5681"/>
      <c r="M752" s="386"/>
      <c r="N752" s="386"/>
      <c r="O752" s="386"/>
      <c r="P752" s="386"/>
      <c r="Q752" s="386"/>
    </row>
    <row r="753" spans="1:17" ht="30" customHeight="1" x14ac:dyDescent="0.2">
      <c r="A753" s="7654"/>
      <c r="B753" s="7652" t="s">
        <v>1558</v>
      </c>
      <c r="C753" s="7723" t="s">
        <v>1172</v>
      </c>
      <c r="D753" s="5586">
        <v>680000000</v>
      </c>
      <c r="E753" s="5652">
        <v>7.0000000000000007E-2</v>
      </c>
      <c r="F753" s="5586">
        <f t="shared" ref="F753:F764" si="71">D753*E753</f>
        <v>47600000.000000007</v>
      </c>
      <c r="G753" s="7732" t="s">
        <v>7680</v>
      </c>
      <c r="H753" s="7733"/>
      <c r="I753" s="7733"/>
      <c r="J753" s="7734"/>
      <c r="K753" s="5650">
        <f t="shared" si="70"/>
        <v>47600000.000000007</v>
      </c>
      <c r="L753" s="5670" t="s">
        <v>7488</v>
      </c>
      <c r="M753" s="386"/>
      <c r="N753" s="386"/>
      <c r="O753" s="386"/>
      <c r="P753" s="386"/>
      <c r="Q753" s="386"/>
    </row>
    <row r="754" spans="1:17" ht="30" customHeight="1" x14ac:dyDescent="0.2">
      <c r="A754" s="7655"/>
      <c r="B754" s="7653"/>
      <c r="C754" s="7724"/>
      <c r="D754" s="5592">
        <v>30000000</v>
      </c>
      <c r="E754" s="5604">
        <v>7.0000000000000007E-2</v>
      </c>
      <c r="F754" s="5592">
        <f t="shared" si="71"/>
        <v>2100000</v>
      </c>
      <c r="G754" s="7494" t="s">
        <v>7187</v>
      </c>
      <c r="H754" s="7495"/>
      <c r="I754" s="7495"/>
      <c r="J754" s="7768"/>
      <c r="K754" s="5653"/>
      <c r="L754" s="5670" t="s">
        <v>7223</v>
      </c>
      <c r="M754" s="386"/>
      <c r="N754" s="386"/>
      <c r="O754" s="386"/>
      <c r="P754" s="386"/>
      <c r="Q754" s="386"/>
    </row>
    <row r="755" spans="1:17" ht="30" customHeight="1" x14ac:dyDescent="0.2">
      <c r="A755" s="7654"/>
      <c r="B755" s="7652" t="s">
        <v>7184</v>
      </c>
      <c r="C755" s="7723" t="s">
        <v>1172</v>
      </c>
      <c r="D755" s="7563">
        <v>200000000</v>
      </c>
      <c r="E755" s="7659">
        <v>7.0000000000000007E-2</v>
      </c>
      <c r="F755" s="7563">
        <f>D755*E755</f>
        <v>14000000.000000002</v>
      </c>
      <c r="G755" s="7877"/>
      <c r="H755" s="7524"/>
      <c r="I755" s="7524"/>
      <c r="J755" s="7878"/>
      <c r="K755" s="7816"/>
      <c r="L755" s="1660" t="s">
        <v>7186</v>
      </c>
      <c r="M755" s="386"/>
      <c r="N755" s="386"/>
      <c r="O755" s="386"/>
      <c r="P755" s="386"/>
      <c r="Q755" s="386"/>
    </row>
    <row r="756" spans="1:17" ht="30" customHeight="1" x14ac:dyDescent="0.2">
      <c r="A756" s="7655"/>
      <c r="B756" s="7653"/>
      <c r="C756" s="7724"/>
      <c r="D756" s="7564"/>
      <c r="E756" s="7660"/>
      <c r="F756" s="7564"/>
      <c r="G756" s="7769"/>
      <c r="H756" s="7805"/>
      <c r="I756" s="7805"/>
      <c r="J756" s="7770"/>
      <c r="K756" s="7817"/>
      <c r="L756" s="5670" t="s">
        <v>7185</v>
      </c>
      <c r="M756" s="386"/>
      <c r="N756" s="386"/>
      <c r="O756" s="386"/>
      <c r="P756" s="386"/>
      <c r="Q756" s="386"/>
    </row>
    <row r="757" spans="1:17" ht="30" customHeight="1" x14ac:dyDescent="0.2">
      <c r="A757" s="5597"/>
      <c r="B757" s="5602" t="s">
        <v>1558</v>
      </c>
      <c r="C757" s="5634" t="s">
        <v>1172</v>
      </c>
      <c r="D757" s="5594">
        <v>860000000</v>
      </c>
      <c r="E757" s="5606">
        <v>7.0000000000000007E-2</v>
      </c>
      <c r="F757" s="5594">
        <f>D757*E757</f>
        <v>60200000.000000007</v>
      </c>
      <c r="G757" s="7732" t="s">
        <v>7225</v>
      </c>
      <c r="H757" s="7733"/>
      <c r="I757" s="7733"/>
      <c r="J757" s="7734"/>
      <c r="K757" s="5650"/>
      <c r="L757" s="5670" t="s">
        <v>7226</v>
      </c>
      <c r="M757" s="386"/>
      <c r="N757" s="386"/>
      <c r="O757" s="386"/>
      <c r="P757" s="386"/>
      <c r="Q757" s="386"/>
    </row>
    <row r="758" spans="1:17" ht="30" customHeight="1" x14ac:dyDescent="0.2">
      <c r="A758" s="5655">
        <v>352</v>
      </c>
      <c r="B758" s="5613" t="s">
        <v>1561</v>
      </c>
      <c r="C758" s="5657" t="s">
        <v>1081</v>
      </c>
      <c r="D758" s="5586">
        <v>50000000</v>
      </c>
      <c r="E758" s="5652">
        <v>7.0000000000000007E-2</v>
      </c>
      <c r="F758" s="5586">
        <f t="shared" si="71"/>
        <v>3500000.0000000005</v>
      </c>
      <c r="G758" s="5594">
        <v>3500000</v>
      </c>
      <c r="H758" s="5594" t="s">
        <v>7310</v>
      </c>
      <c r="I758" s="5714" t="s">
        <v>3517</v>
      </c>
      <c r="J758" s="5594">
        <f t="shared" si="69"/>
        <v>3500000</v>
      </c>
      <c r="K758" s="5650">
        <f t="shared" si="70"/>
        <v>0</v>
      </c>
      <c r="L758" s="5681" t="s">
        <v>7311</v>
      </c>
      <c r="M758" s="386"/>
      <c r="N758" s="386"/>
      <c r="O758" s="386"/>
      <c r="P758" s="386"/>
      <c r="Q758" s="386"/>
    </row>
    <row r="759" spans="1:17" ht="30" customHeight="1" x14ac:dyDescent="0.2">
      <c r="A759" s="7654">
        <v>353</v>
      </c>
      <c r="B759" s="7652" t="s">
        <v>1565</v>
      </c>
      <c r="C759" s="5657" t="s">
        <v>1172</v>
      </c>
      <c r="D759" s="5594">
        <v>50000000</v>
      </c>
      <c r="E759" s="5652">
        <v>0.05</v>
      </c>
      <c r="F759" s="5594">
        <f t="shared" si="71"/>
        <v>2500000</v>
      </c>
      <c r="G759" s="5594">
        <v>2500000</v>
      </c>
      <c r="H759" s="5594" t="s">
        <v>7427</v>
      </c>
      <c r="I759" s="5643" t="s">
        <v>3718</v>
      </c>
      <c r="J759" s="5594">
        <f t="shared" si="69"/>
        <v>2500000</v>
      </c>
      <c r="K759" s="5650">
        <f t="shared" si="70"/>
        <v>0</v>
      </c>
      <c r="L759" s="5681"/>
      <c r="M759" s="386"/>
      <c r="N759" s="386"/>
      <c r="O759" s="386"/>
      <c r="P759" s="386"/>
      <c r="Q759" s="386"/>
    </row>
    <row r="760" spans="1:17" ht="30" customHeight="1" x14ac:dyDescent="0.2">
      <c r="A760" s="7656"/>
      <c r="B760" s="7665"/>
      <c r="C760" s="5657" t="s">
        <v>1299</v>
      </c>
      <c r="D760" s="5594">
        <v>20000000</v>
      </c>
      <c r="E760" s="5652">
        <v>0.05</v>
      </c>
      <c r="F760" s="5594">
        <f t="shared" si="71"/>
        <v>1000000</v>
      </c>
      <c r="G760" s="1455">
        <v>1000000</v>
      </c>
      <c r="H760" s="1455" t="s">
        <v>7281</v>
      </c>
      <c r="I760" s="1455" t="s">
        <v>2847</v>
      </c>
      <c r="J760" s="1455">
        <f t="shared" si="69"/>
        <v>1000000</v>
      </c>
      <c r="K760" s="5650">
        <f t="shared" si="70"/>
        <v>0</v>
      </c>
      <c r="L760" s="5681" t="s">
        <v>6807</v>
      </c>
      <c r="M760" s="386"/>
      <c r="N760" s="386"/>
      <c r="O760" s="386"/>
      <c r="P760" s="386"/>
      <c r="Q760" s="386"/>
    </row>
    <row r="761" spans="1:17" ht="30" customHeight="1" x14ac:dyDescent="0.2">
      <c r="A761" s="7655"/>
      <c r="B761" s="7653"/>
      <c r="C761" s="6234" t="s">
        <v>1299</v>
      </c>
      <c r="D761" s="6226">
        <v>20000000</v>
      </c>
      <c r="E761" s="6233">
        <v>0.05</v>
      </c>
      <c r="F761" s="6226">
        <f t="shared" ref="F761" si="72">D761*E761</f>
        <v>1000000</v>
      </c>
      <c r="G761" s="1455">
        <v>1000000</v>
      </c>
      <c r="H761" s="1455" t="s">
        <v>7718</v>
      </c>
      <c r="I761" s="1455" t="s">
        <v>2847</v>
      </c>
      <c r="J761" s="1455">
        <f>G761</f>
        <v>1000000</v>
      </c>
      <c r="K761" s="6232">
        <f t="shared" ref="K761:K766" si="73">F761-J761</f>
        <v>0</v>
      </c>
      <c r="L761" s="6238" t="s">
        <v>7501</v>
      </c>
      <c r="M761" s="386"/>
      <c r="N761" s="386"/>
      <c r="O761" s="386"/>
      <c r="P761" s="386"/>
      <c r="Q761" s="386"/>
    </row>
    <row r="762" spans="1:17" ht="30" customHeight="1" x14ac:dyDescent="0.2">
      <c r="A762" s="7654">
        <v>355</v>
      </c>
      <c r="B762" s="7652" t="s">
        <v>1582</v>
      </c>
      <c r="C762" s="7723" t="s">
        <v>2644</v>
      </c>
      <c r="D762" s="5586">
        <v>265000000</v>
      </c>
      <c r="E762" s="5652">
        <v>0.05</v>
      </c>
      <c r="F762" s="5586">
        <f t="shared" si="71"/>
        <v>13250000</v>
      </c>
      <c r="G762" s="5586">
        <v>13250000</v>
      </c>
      <c r="H762" s="5586" t="s">
        <v>7424</v>
      </c>
      <c r="I762" s="5718" t="s">
        <v>3411</v>
      </c>
      <c r="J762" s="5586">
        <f t="shared" si="69"/>
        <v>13250000</v>
      </c>
      <c r="K762" s="5590">
        <f t="shared" si="73"/>
        <v>0</v>
      </c>
      <c r="L762" s="5681"/>
      <c r="M762" s="386"/>
      <c r="N762" s="386"/>
      <c r="O762" s="386"/>
      <c r="P762" s="386"/>
      <c r="Q762" s="386"/>
    </row>
    <row r="763" spans="1:17" ht="30" customHeight="1" x14ac:dyDescent="0.2">
      <c r="A763" s="7655"/>
      <c r="B763" s="7653"/>
      <c r="C763" s="7724"/>
      <c r="D763" s="5847">
        <v>60000000</v>
      </c>
      <c r="E763" s="5867">
        <v>0.05</v>
      </c>
      <c r="F763" s="5847">
        <f t="shared" si="71"/>
        <v>3000000</v>
      </c>
      <c r="G763" s="5847">
        <v>3000000</v>
      </c>
      <c r="H763" s="5847" t="s">
        <v>7614</v>
      </c>
      <c r="I763" s="5877" t="s">
        <v>2460</v>
      </c>
      <c r="J763" s="5847">
        <f t="shared" si="69"/>
        <v>3000000</v>
      </c>
      <c r="K763" s="5848">
        <f t="shared" si="73"/>
        <v>0</v>
      </c>
      <c r="L763" s="5869"/>
      <c r="M763" s="386"/>
      <c r="N763" s="386"/>
      <c r="O763" s="386"/>
      <c r="P763" s="386"/>
      <c r="Q763" s="386"/>
    </row>
    <row r="764" spans="1:17" ht="30" customHeight="1" x14ac:dyDescent="0.2">
      <c r="A764" s="5796"/>
      <c r="B764" s="5785" t="s">
        <v>6208</v>
      </c>
      <c r="C764" s="5797"/>
      <c r="D764" s="5774">
        <v>20000000</v>
      </c>
      <c r="E764" s="5795">
        <v>0.04</v>
      </c>
      <c r="F764" s="5774">
        <f t="shared" si="71"/>
        <v>800000</v>
      </c>
      <c r="G764" s="5774">
        <v>800000</v>
      </c>
      <c r="H764" s="5774" t="s">
        <v>7424</v>
      </c>
      <c r="I764" s="5814" t="s">
        <v>6909</v>
      </c>
      <c r="J764" s="5774">
        <f>G764</f>
        <v>800000</v>
      </c>
      <c r="K764" s="5775">
        <f t="shared" si="73"/>
        <v>0</v>
      </c>
      <c r="L764" s="5669"/>
      <c r="M764" s="386"/>
      <c r="N764" s="386"/>
      <c r="O764" s="386"/>
      <c r="P764" s="386"/>
      <c r="Q764" s="386"/>
    </row>
    <row r="765" spans="1:17" ht="30" customHeight="1" x14ac:dyDescent="0.2">
      <c r="A765" s="5655">
        <v>358</v>
      </c>
      <c r="B765" s="5613" t="s">
        <v>1597</v>
      </c>
      <c r="C765" s="5657"/>
      <c r="D765" s="5595"/>
      <c r="E765" s="2519"/>
      <c r="F765" s="5595"/>
      <c r="G765" s="5586"/>
      <c r="H765" s="5586"/>
      <c r="I765" s="5718" t="s">
        <v>1598</v>
      </c>
      <c r="J765" s="5586">
        <f>G765</f>
        <v>0</v>
      </c>
      <c r="K765" s="1030">
        <f t="shared" si="73"/>
        <v>0</v>
      </c>
      <c r="L765" s="5681"/>
      <c r="M765" s="386"/>
      <c r="N765" s="386"/>
      <c r="O765" s="386"/>
      <c r="P765" s="386"/>
      <c r="Q765" s="386"/>
    </row>
    <row r="766" spans="1:17" ht="30" customHeight="1" x14ac:dyDescent="0.2">
      <c r="A766" s="5596">
        <v>359</v>
      </c>
      <c r="B766" s="5613" t="s">
        <v>1599</v>
      </c>
      <c r="C766" s="5657"/>
      <c r="D766" s="5595"/>
      <c r="E766" s="2519"/>
      <c r="F766" s="5595"/>
      <c r="G766" s="5594"/>
      <c r="H766" s="5594"/>
      <c r="I766" s="472" t="s">
        <v>1600</v>
      </c>
      <c r="J766" s="5586">
        <f>G766</f>
        <v>0</v>
      </c>
      <c r="K766" s="1030">
        <f t="shared" si="73"/>
        <v>0</v>
      </c>
      <c r="L766" s="5649"/>
      <c r="M766" s="386"/>
      <c r="N766" s="386"/>
      <c r="O766" s="386"/>
      <c r="P766" s="386"/>
      <c r="Q766" s="386"/>
    </row>
    <row r="767" spans="1:17" ht="30" customHeight="1" x14ac:dyDescent="0.2">
      <c r="A767" s="7879">
        <v>360</v>
      </c>
      <c r="B767" s="7717" t="s">
        <v>1614</v>
      </c>
      <c r="C767" s="7873" t="s">
        <v>889</v>
      </c>
      <c r="D767" s="5586">
        <v>290000000</v>
      </c>
      <c r="E767" s="5652">
        <v>0.05</v>
      </c>
      <c r="F767" s="5586">
        <f>D767*E767</f>
        <v>14500000</v>
      </c>
      <c r="G767" s="6009">
        <v>16100000</v>
      </c>
      <c r="H767" s="6009" t="s">
        <v>7511</v>
      </c>
      <c r="I767" s="6025" t="s">
        <v>1611</v>
      </c>
      <c r="J767" s="7563">
        <f>G767+G768</f>
        <v>36100000</v>
      </c>
      <c r="K767" s="7816">
        <f>(F767+F768+F769)-J767</f>
        <v>0</v>
      </c>
      <c r="L767" s="7888"/>
      <c r="M767" s="386"/>
      <c r="N767" s="386"/>
      <c r="O767" s="386"/>
      <c r="P767" s="386"/>
      <c r="Q767" s="386"/>
    </row>
    <row r="768" spans="1:17" ht="30" customHeight="1" x14ac:dyDescent="0.2">
      <c r="A768" s="7879"/>
      <c r="B768" s="7717"/>
      <c r="C768" s="7873"/>
      <c r="D768" s="5586">
        <v>210000000</v>
      </c>
      <c r="E768" s="5652">
        <v>0.06</v>
      </c>
      <c r="F768" s="5586">
        <f>D768*E768</f>
        <v>12600000</v>
      </c>
      <c r="G768" s="7563">
        <v>20000000</v>
      </c>
      <c r="H768" s="7563" t="s">
        <v>7691</v>
      </c>
      <c r="I768" s="7889" t="s">
        <v>1611</v>
      </c>
      <c r="J768" s="7586"/>
      <c r="K768" s="7882"/>
      <c r="L768" s="7811"/>
      <c r="M768" s="386"/>
      <c r="N768" s="386"/>
      <c r="O768" s="386"/>
      <c r="P768" s="386"/>
      <c r="Q768" s="386"/>
    </row>
    <row r="769" spans="1:17" ht="30" customHeight="1" x14ac:dyDescent="0.2">
      <c r="A769" s="7879"/>
      <c r="B769" s="7717"/>
      <c r="C769" s="7873"/>
      <c r="D769" s="5586">
        <v>150000000</v>
      </c>
      <c r="E769" s="5652">
        <v>0.06</v>
      </c>
      <c r="F769" s="5586">
        <f>D769*E769</f>
        <v>9000000</v>
      </c>
      <c r="G769" s="7564"/>
      <c r="H769" s="7564"/>
      <c r="I769" s="7890"/>
      <c r="J769" s="7564"/>
      <c r="K769" s="7817"/>
      <c r="L769" s="5670"/>
      <c r="M769" s="386"/>
      <c r="N769" s="386"/>
      <c r="O769" s="386"/>
      <c r="P769" s="386"/>
      <c r="Q769" s="386"/>
    </row>
    <row r="770" spans="1:17" ht="30" customHeight="1" x14ac:dyDescent="0.2">
      <c r="A770" s="7654">
        <v>361</v>
      </c>
      <c r="B770" s="7703" t="s">
        <v>1612</v>
      </c>
      <c r="C770" s="7723" t="s">
        <v>371</v>
      </c>
      <c r="D770" s="7482">
        <v>2815000000</v>
      </c>
      <c r="E770" s="7870"/>
      <c r="F770" s="7482">
        <v>106650000</v>
      </c>
      <c r="G770" s="7494" t="s">
        <v>7820</v>
      </c>
      <c r="H770" s="7495"/>
      <c r="I770" s="7768"/>
      <c r="J770" s="7499">
        <f>G772+G773+G774+G775+G776+G777+G778</f>
        <v>53000000</v>
      </c>
      <c r="K770" s="7499">
        <f>58650000-J770</f>
        <v>5650000</v>
      </c>
      <c r="L770" s="5680" t="s">
        <v>4625</v>
      </c>
      <c r="M770" s="386"/>
      <c r="N770" s="386"/>
      <c r="O770" s="386"/>
      <c r="P770" s="386"/>
      <c r="Q770" s="386"/>
    </row>
    <row r="771" spans="1:17" ht="30" customHeight="1" x14ac:dyDescent="0.2">
      <c r="A771" s="7656"/>
      <c r="B771" s="7704"/>
      <c r="C771" s="7747"/>
      <c r="D771" s="7482"/>
      <c r="E771" s="7870"/>
      <c r="F771" s="7482"/>
      <c r="G771" s="7769"/>
      <c r="H771" s="7805"/>
      <c r="I771" s="7770"/>
      <c r="J771" s="7499"/>
      <c r="K771" s="7499"/>
      <c r="L771" s="5680" t="s">
        <v>4626</v>
      </c>
      <c r="M771" s="386"/>
      <c r="N771" s="386"/>
      <c r="O771" s="386"/>
      <c r="P771" s="386"/>
      <c r="Q771" s="386"/>
    </row>
    <row r="772" spans="1:17" ht="30" customHeight="1" x14ac:dyDescent="0.2">
      <c r="A772" s="7656"/>
      <c r="B772" s="7704"/>
      <c r="C772" s="7747"/>
      <c r="D772" s="7482"/>
      <c r="E772" s="7870"/>
      <c r="F772" s="7482"/>
      <c r="G772" s="5818">
        <v>10000000</v>
      </c>
      <c r="H772" s="5818" t="s">
        <v>7281</v>
      </c>
      <c r="I772" s="5820" t="s">
        <v>7267</v>
      </c>
      <c r="J772" s="7499"/>
      <c r="K772" s="7499"/>
      <c r="L772" s="5680" t="s">
        <v>7268</v>
      </c>
      <c r="M772" s="386"/>
      <c r="N772" s="386"/>
      <c r="O772" s="386"/>
      <c r="P772" s="386"/>
      <c r="Q772" s="386"/>
    </row>
    <row r="773" spans="1:17" ht="30" customHeight="1" x14ac:dyDescent="0.2">
      <c r="A773" s="7656"/>
      <c r="B773" s="7704"/>
      <c r="C773" s="7747"/>
      <c r="D773" s="7482"/>
      <c r="E773" s="7870"/>
      <c r="F773" s="7482"/>
      <c r="G773" s="5586">
        <v>10000000</v>
      </c>
      <c r="H773" s="5586" t="s">
        <v>7306</v>
      </c>
      <c r="I773" s="5586" t="s">
        <v>7309</v>
      </c>
      <c r="J773" s="7499"/>
      <c r="K773" s="7499"/>
      <c r="L773" s="5680"/>
      <c r="M773" s="386"/>
      <c r="N773" s="386"/>
      <c r="O773" s="386"/>
      <c r="P773" s="386"/>
      <c r="Q773" s="386"/>
    </row>
    <row r="774" spans="1:17" ht="30" customHeight="1" x14ac:dyDescent="0.2">
      <c r="A774" s="7656"/>
      <c r="B774" s="7704"/>
      <c r="C774" s="7747"/>
      <c r="D774" s="7482"/>
      <c r="E774" s="7870"/>
      <c r="F774" s="7482"/>
      <c r="G774" s="5586">
        <v>10000000</v>
      </c>
      <c r="H774" s="5586" t="s">
        <v>7460</v>
      </c>
      <c r="I774" s="5586" t="s">
        <v>2467</v>
      </c>
      <c r="J774" s="7499"/>
      <c r="K774" s="7499"/>
      <c r="L774" s="5680" t="s">
        <v>7817</v>
      </c>
      <c r="M774" s="386"/>
      <c r="N774" s="386"/>
      <c r="O774" s="386"/>
      <c r="P774" s="386"/>
      <c r="Q774" s="386"/>
    </row>
    <row r="775" spans="1:17" ht="30" customHeight="1" x14ac:dyDescent="0.2">
      <c r="A775" s="7656"/>
      <c r="B775" s="7704"/>
      <c r="C775" s="7747"/>
      <c r="D775" s="7482"/>
      <c r="E775" s="7870"/>
      <c r="F775" s="7482"/>
      <c r="G775" s="6047">
        <v>3000000</v>
      </c>
      <c r="H775" s="6047" t="s">
        <v>7550</v>
      </c>
      <c r="I775" s="6047" t="s">
        <v>2467</v>
      </c>
      <c r="J775" s="7499"/>
      <c r="K775" s="7499"/>
      <c r="L775" s="6069"/>
      <c r="M775" s="386"/>
      <c r="N775" s="386"/>
      <c r="O775" s="386"/>
      <c r="P775" s="386"/>
      <c r="Q775" s="386"/>
    </row>
    <row r="776" spans="1:17" ht="30" customHeight="1" x14ac:dyDescent="0.2">
      <c r="A776" s="7656"/>
      <c r="B776" s="7704"/>
      <c r="C776" s="7747"/>
      <c r="D776" s="7482"/>
      <c r="E776" s="7870"/>
      <c r="F776" s="7482"/>
      <c r="G776" s="6047">
        <v>10000000</v>
      </c>
      <c r="H776" s="6047" t="s">
        <v>3879</v>
      </c>
      <c r="I776" s="6047" t="s">
        <v>1613</v>
      </c>
      <c r="J776" s="7499"/>
      <c r="K776" s="7499"/>
      <c r="L776" s="6069"/>
      <c r="M776" s="386"/>
      <c r="N776" s="386"/>
      <c r="O776" s="386"/>
      <c r="P776" s="386"/>
      <c r="Q776" s="386"/>
    </row>
    <row r="777" spans="1:17" ht="30" customHeight="1" x14ac:dyDescent="0.2">
      <c r="A777" s="7656"/>
      <c r="B777" s="7704"/>
      <c r="C777" s="7747"/>
      <c r="D777" s="7482"/>
      <c r="E777" s="7870"/>
      <c r="F777" s="7482"/>
      <c r="G777" s="6560">
        <v>5500000</v>
      </c>
      <c r="H777" s="6560" t="s">
        <v>3879</v>
      </c>
      <c r="I777" s="6560" t="s">
        <v>2467</v>
      </c>
      <c r="J777" s="7499"/>
      <c r="K777" s="7499"/>
      <c r="L777" s="6118"/>
      <c r="M777" s="386"/>
      <c r="N777" s="386"/>
      <c r="O777" s="386"/>
      <c r="P777" s="386"/>
      <c r="Q777" s="386"/>
    </row>
    <row r="778" spans="1:17" ht="30" customHeight="1" x14ac:dyDescent="0.2">
      <c r="A778" s="7656"/>
      <c r="B778" s="7704"/>
      <c r="C778" s="7724"/>
      <c r="D778" s="7482"/>
      <c r="E778" s="7870"/>
      <c r="F778" s="7482"/>
      <c r="G778" s="6560">
        <v>4500000</v>
      </c>
      <c r="H778" s="6560" t="s">
        <v>3879</v>
      </c>
      <c r="I778" s="6560" t="s">
        <v>2467</v>
      </c>
      <c r="J778" s="7499"/>
      <c r="K778" s="7499"/>
      <c r="L778" s="6561"/>
      <c r="M778" s="386"/>
      <c r="N778" s="386"/>
      <c r="O778" s="386"/>
      <c r="P778" s="386"/>
      <c r="Q778" s="386"/>
    </row>
    <row r="779" spans="1:17" ht="30" customHeight="1" x14ac:dyDescent="0.2">
      <c r="A779" s="7656"/>
      <c r="B779" s="7704"/>
      <c r="C779" s="7723" t="s">
        <v>371</v>
      </c>
      <c r="D779" s="7563">
        <v>2815000000</v>
      </c>
      <c r="E779" s="7659"/>
      <c r="F779" s="7563">
        <v>106650000</v>
      </c>
      <c r="G779" s="7470" t="s">
        <v>7818</v>
      </c>
      <c r="H779" s="7493"/>
      <c r="I779" s="7510"/>
      <c r="J779" s="7816">
        <f>G780+G782+G783</f>
        <v>43000000</v>
      </c>
      <c r="K779" s="7816">
        <f>112000000-J779</f>
        <v>69000000</v>
      </c>
      <c r="L779" s="6561"/>
      <c r="M779" s="386"/>
      <c r="N779" s="386"/>
      <c r="O779" s="386"/>
      <c r="P779" s="386"/>
      <c r="Q779" s="386"/>
    </row>
    <row r="780" spans="1:17" ht="30" customHeight="1" x14ac:dyDescent="0.2">
      <c r="A780" s="7656"/>
      <c r="B780" s="7704"/>
      <c r="C780" s="7747"/>
      <c r="D780" s="7586"/>
      <c r="E780" s="7676"/>
      <c r="F780" s="7586"/>
      <c r="G780" s="7559">
        <v>18000000</v>
      </c>
      <c r="H780" s="8063" t="s">
        <v>5156</v>
      </c>
      <c r="I780" s="8065"/>
      <c r="J780" s="7882"/>
      <c r="K780" s="7882"/>
      <c r="L780" s="6561"/>
      <c r="M780" s="386"/>
      <c r="N780" s="386"/>
      <c r="O780" s="386"/>
      <c r="P780" s="386"/>
      <c r="Q780" s="386"/>
    </row>
    <row r="781" spans="1:17" ht="30" customHeight="1" x14ac:dyDescent="0.2">
      <c r="A781" s="7656"/>
      <c r="B781" s="7704"/>
      <c r="C781" s="7747"/>
      <c r="D781" s="7586"/>
      <c r="E781" s="7676"/>
      <c r="F781" s="7586"/>
      <c r="G781" s="7560"/>
      <c r="H781" s="8066"/>
      <c r="I781" s="8068"/>
      <c r="J781" s="7882"/>
      <c r="K781" s="7882"/>
      <c r="L781" s="6561"/>
      <c r="M781" s="386"/>
      <c r="N781" s="386"/>
      <c r="O781" s="386"/>
      <c r="P781" s="386"/>
      <c r="Q781" s="386"/>
    </row>
    <row r="782" spans="1:17" ht="30" customHeight="1" x14ac:dyDescent="0.2">
      <c r="A782" s="7656"/>
      <c r="B782" s="7704"/>
      <c r="C782" s="7747"/>
      <c r="D782" s="7586"/>
      <c r="E782" s="7676"/>
      <c r="F782" s="7586"/>
      <c r="G782" s="6560">
        <v>10000000</v>
      </c>
      <c r="H782" s="6560" t="s">
        <v>7786</v>
      </c>
      <c r="I782" s="6560" t="s">
        <v>1613</v>
      </c>
      <c r="J782" s="7882"/>
      <c r="K782" s="7882"/>
      <c r="L782" s="6561"/>
      <c r="M782" s="386"/>
      <c r="N782" s="386"/>
      <c r="O782" s="386"/>
      <c r="P782" s="386"/>
      <c r="Q782" s="386"/>
    </row>
    <row r="783" spans="1:17" ht="30" customHeight="1" x14ac:dyDescent="0.2">
      <c r="A783" s="7655"/>
      <c r="B783" s="7705"/>
      <c r="C783" s="7747"/>
      <c r="D783" s="7586"/>
      <c r="E783" s="7676"/>
      <c r="F783" s="7586"/>
      <c r="G783" s="6560">
        <v>15000000</v>
      </c>
      <c r="H783" s="6560" t="s">
        <v>7795</v>
      </c>
      <c r="I783" s="6560" t="s">
        <v>1613</v>
      </c>
      <c r="J783" s="7817"/>
      <c r="K783" s="7817"/>
      <c r="L783" s="6561"/>
      <c r="M783" s="386"/>
      <c r="N783" s="386"/>
      <c r="O783" s="386"/>
      <c r="P783" s="386"/>
      <c r="Q783" s="386"/>
    </row>
    <row r="784" spans="1:17" ht="30" customHeight="1" x14ac:dyDescent="0.2">
      <c r="A784" s="5596"/>
      <c r="B784" s="5613" t="s">
        <v>4179</v>
      </c>
      <c r="C784" s="5657" t="s">
        <v>2278</v>
      </c>
      <c r="D784" s="5586">
        <v>30000000</v>
      </c>
      <c r="E784" s="5652">
        <v>6.5000000000000002E-2</v>
      </c>
      <c r="F784" s="5586">
        <f>D784*E784</f>
        <v>1950000</v>
      </c>
      <c r="G784" s="5586">
        <v>1950000</v>
      </c>
      <c r="H784" s="5586" t="s">
        <v>7718</v>
      </c>
      <c r="I784" s="5586" t="s">
        <v>2369</v>
      </c>
      <c r="J784" s="5586">
        <f>G784</f>
        <v>1950000</v>
      </c>
      <c r="K784" s="5590">
        <f>F784-J784</f>
        <v>0</v>
      </c>
      <c r="L784" s="5681"/>
      <c r="M784" s="5681"/>
      <c r="N784" s="5681"/>
      <c r="O784" s="5681"/>
      <c r="P784" s="386"/>
      <c r="Q784" s="386"/>
    </row>
    <row r="785" spans="1:17" ht="30" customHeight="1" x14ac:dyDescent="0.2">
      <c r="A785" s="5655">
        <v>362</v>
      </c>
      <c r="B785" s="19" t="s">
        <v>1619</v>
      </c>
      <c r="C785" s="5657" t="s">
        <v>1652</v>
      </c>
      <c r="D785" s="5594">
        <v>360000000</v>
      </c>
      <c r="E785" s="5652">
        <v>4.4999999999999998E-2</v>
      </c>
      <c r="F785" s="5594">
        <v>16500000</v>
      </c>
      <c r="G785" s="5594">
        <v>16500000</v>
      </c>
      <c r="H785" s="5594" t="s">
        <v>7531</v>
      </c>
      <c r="I785" s="472" t="s">
        <v>4776</v>
      </c>
      <c r="J785" s="5594">
        <f t="shared" ref="J785:J796" si="74">G785</f>
        <v>16500000</v>
      </c>
      <c r="K785" s="5650">
        <f t="shared" ref="K785:K796" si="75">F785-J785</f>
        <v>0</v>
      </c>
      <c r="L785" s="5681"/>
      <c r="M785" s="5681"/>
      <c r="N785" s="5681"/>
      <c r="O785" s="5681"/>
      <c r="P785" s="386"/>
      <c r="Q785" s="386"/>
    </row>
    <row r="786" spans="1:17" ht="30" customHeight="1" x14ac:dyDescent="0.2">
      <c r="A786" s="7654">
        <v>363</v>
      </c>
      <c r="B786" s="7652" t="s">
        <v>1641</v>
      </c>
      <c r="C786" s="7723" t="s">
        <v>1172</v>
      </c>
      <c r="D786" s="5594">
        <v>33000000</v>
      </c>
      <c r="E786" s="5652">
        <v>0.05</v>
      </c>
      <c r="F786" s="5594">
        <f>D786*E786</f>
        <v>1650000</v>
      </c>
      <c r="G786" s="7563">
        <v>2150000</v>
      </c>
      <c r="H786" s="7563" t="s">
        <v>7460</v>
      </c>
      <c r="I786" s="7889" t="s">
        <v>1621</v>
      </c>
      <c r="J786" s="7563">
        <f t="shared" si="74"/>
        <v>2150000</v>
      </c>
      <c r="K786" s="7816">
        <f>(F786+F787)-J786</f>
        <v>0</v>
      </c>
      <c r="L786" s="5681"/>
      <c r="M786" s="386"/>
      <c r="N786" s="386"/>
      <c r="O786" s="386"/>
      <c r="P786" s="386"/>
      <c r="Q786" s="386"/>
    </row>
    <row r="787" spans="1:17" ht="30" customHeight="1" x14ac:dyDescent="0.2">
      <c r="A787" s="7655"/>
      <c r="B787" s="7653"/>
      <c r="C787" s="7724"/>
      <c r="D787" s="5593">
        <v>10000000</v>
      </c>
      <c r="E787" s="5604">
        <v>0.05</v>
      </c>
      <c r="F787" s="5594">
        <f>D787*E787</f>
        <v>500000</v>
      </c>
      <c r="G787" s="7564"/>
      <c r="H787" s="7564"/>
      <c r="I787" s="7890"/>
      <c r="J787" s="7564"/>
      <c r="K787" s="7817"/>
      <c r="L787" s="5681"/>
      <c r="M787" s="386"/>
      <c r="N787" s="386"/>
      <c r="O787" s="386"/>
      <c r="P787" s="386"/>
      <c r="Q787" s="386"/>
    </row>
    <row r="788" spans="1:17" ht="30" customHeight="1" x14ac:dyDescent="0.2">
      <c r="A788" s="7654">
        <v>364</v>
      </c>
      <c r="B788" s="7652" t="s">
        <v>6247</v>
      </c>
      <c r="C788" s="7723" t="s">
        <v>1172</v>
      </c>
      <c r="D788" s="5941">
        <v>150000000</v>
      </c>
      <c r="E788" s="5950">
        <v>0.06</v>
      </c>
      <c r="F788" s="5941">
        <f>D788*E788</f>
        <v>9000000</v>
      </c>
      <c r="G788" s="5594"/>
      <c r="H788" s="5594"/>
      <c r="I788" s="472"/>
      <c r="J788" s="227"/>
      <c r="K788" s="847"/>
      <c r="L788" s="5681"/>
      <c r="M788" s="386"/>
      <c r="N788" s="386"/>
      <c r="O788" s="386"/>
      <c r="P788" s="386"/>
      <c r="Q788" s="386"/>
    </row>
    <row r="789" spans="1:17" ht="30" customHeight="1" x14ac:dyDescent="0.2">
      <c r="A789" s="7656"/>
      <c r="B789" s="7665"/>
      <c r="C789" s="7747"/>
      <c r="D789" s="7494" t="s">
        <v>7497</v>
      </c>
      <c r="E789" s="7495"/>
      <c r="F789" s="7768"/>
      <c r="G789" s="5943">
        <v>50000000</v>
      </c>
      <c r="H789" s="5943" t="s">
        <v>7310</v>
      </c>
      <c r="I789" s="472" t="s">
        <v>2776</v>
      </c>
      <c r="J789" s="7563">
        <f>G789+G790+G791</f>
        <v>160000000</v>
      </c>
      <c r="K789" s="7816">
        <f>(F788+D788)-J789</f>
        <v>-1000000</v>
      </c>
      <c r="L789" s="5952"/>
      <c r="M789" s="386"/>
      <c r="N789" s="386"/>
      <c r="O789" s="386"/>
      <c r="P789" s="386"/>
      <c r="Q789" s="386"/>
    </row>
    <row r="790" spans="1:17" ht="30" customHeight="1" x14ac:dyDescent="0.2">
      <c r="A790" s="7656"/>
      <c r="B790" s="7665"/>
      <c r="C790" s="7747"/>
      <c r="D790" s="7877"/>
      <c r="E790" s="7524"/>
      <c r="F790" s="7878"/>
      <c r="G790" s="5943">
        <v>50000000</v>
      </c>
      <c r="H790" s="5943" t="s">
        <v>7424</v>
      </c>
      <c r="I790" s="472" t="s">
        <v>2776</v>
      </c>
      <c r="J790" s="7586"/>
      <c r="K790" s="7882"/>
      <c r="L790" s="5952"/>
      <c r="M790" s="386"/>
      <c r="N790" s="386"/>
      <c r="O790" s="386"/>
      <c r="P790" s="386"/>
      <c r="Q790" s="386"/>
    </row>
    <row r="791" spans="1:17" ht="30" customHeight="1" x14ac:dyDescent="0.2">
      <c r="A791" s="7656"/>
      <c r="B791" s="7665"/>
      <c r="C791" s="7747"/>
      <c r="D791" s="7769"/>
      <c r="E791" s="7805"/>
      <c r="F791" s="7770"/>
      <c r="G791" s="5959">
        <v>60000000</v>
      </c>
      <c r="H791" s="5959" t="s">
        <v>4168</v>
      </c>
      <c r="I791" s="472" t="s">
        <v>2776</v>
      </c>
      <c r="J791" s="7564"/>
      <c r="K791" s="7817"/>
      <c r="L791" s="5981"/>
      <c r="M791" s="386"/>
      <c r="N791" s="386"/>
      <c r="O791" s="386"/>
      <c r="P791" s="386"/>
      <c r="Q791" s="386"/>
    </row>
    <row r="792" spans="1:17" ht="30" customHeight="1" x14ac:dyDescent="0.2">
      <c r="A792" s="7655"/>
      <c r="B792" s="7653"/>
      <c r="C792" s="7724"/>
      <c r="D792" s="5595"/>
      <c r="E792" s="2519"/>
      <c r="F792" s="5594">
        <v>6000000</v>
      </c>
      <c r="G792" s="5594"/>
      <c r="H792" s="5594"/>
      <c r="I792" s="472"/>
      <c r="J792" s="7"/>
      <c r="K792" s="5650">
        <f t="shared" si="75"/>
        <v>6000000</v>
      </c>
      <c r="L792" s="5670"/>
      <c r="M792" s="386"/>
      <c r="N792" s="386"/>
      <c r="O792" s="386"/>
      <c r="P792" s="386"/>
      <c r="Q792" s="386"/>
    </row>
    <row r="793" spans="1:17" ht="30" customHeight="1" x14ac:dyDescent="0.2">
      <c r="A793" s="5655">
        <v>365</v>
      </c>
      <c r="B793" s="5613" t="s">
        <v>1639</v>
      </c>
      <c r="C793" s="5657" t="s">
        <v>1718</v>
      </c>
      <c r="D793" s="5594">
        <v>250000000</v>
      </c>
      <c r="E793" s="5652">
        <v>0.05</v>
      </c>
      <c r="F793" s="5594">
        <f>D793*E793</f>
        <v>12500000</v>
      </c>
      <c r="G793" s="5586">
        <v>12500000</v>
      </c>
      <c r="H793" s="5586" t="s">
        <v>1975</v>
      </c>
      <c r="I793" s="5586" t="s">
        <v>2808</v>
      </c>
      <c r="J793" s="5586">
        <f t="shared" si="74"/>
        <v>12500000</v>
      </c>
      <c r="K793" s="5650">
        <f t="shared" si="75"/>
        <v>0</v>
      </c>
      <c r="L793" s="5670"/>
      <c r="M793" s="386"/>
      <c r="N793" s="386"/>
      <c r="O793" s="386"/>
      <c r="P793" s="386"/>
      <c r="Q793" s="386"/>
    </row>
    <row r="794" spans="1:17" ht="30" customHeight="1" x14ac:dyDescent="0.2">
      <c r="A794" s="7654">
        <v>366</v>
      </c>
      <c r="B794" s="7652" t="s">
        <v>4684</v>
      </c>
      <c r="C794" s="7723" t="s">
        <v>1107</v>
      </c>
      <c r="D794" s="5586">
        <v>70000000</v>
      </c>
      <c r="E794" s="5652">
        <v>6.3E-2</v>
      </c>
      <c r="F794" s="5586">
        <v>4400000</v>
      </c>
      <c r="G794" s="7563"/>
      <c r="H794" s="7563"/>
      <c r="I794" s="7889" t="s">
        <v>4781</v>
      </c>
      <c r="J794" s="7563">
        <f>G794</f>
        <v>0</v>
      </c>
      <c r="K794" s="7816">
        <f>(F794+F795)-J794</f>
        <v>11150000</v>
      </c>
      <c r="L794" s="5681"/>
      <c r="M794" s="386"/>
      <c r="N794" s="386"/>
      <c r="O794" s="386"/>
      <c r="P794" s="386"/>
      <c r="Q794" s="386"/>
    </row>
    <row r="795" spans="1:17" ht="30" customHeight="1" x14ac:dyDescent="0.2">
      <c r="A795" s="7655"/>
      <c r="B795" s="7653"/>
      <c r="C795" s="7724"/>
      <c r="D795" s="5594">
        <v>135000000</v>
      </c>
      <c r="E795" s="5606">
        <v>0.05</v>
      </c>
      <c r="F795" s="5594">
        <f>D795*E795</f>
        <v>6750000</v>
      </c>
      <c r="G795" s="7564"/>
      <c r="H795" s="7564"/>
      <c r="I795" s="7890"/>
      <c r="J795" s="7564"/>
      <c r="K795" s="7817"/>
      <c r="L795" s="5681"/>
      <c r="M795" s="386"/>
      <c r="N795" s="386"/>
      <c r="O795" s="386"/>
      <c r="P795" s="386"/>
      <c r="Q795" s="386"/>
    </row>
    <row r="796" spans="1:17" ht="30" customHeight="1" x14ac:dyDescent="0.2">
      <c r="A796" s="5597">
        <v>367</v>
      </c>
      <c r="B796" s="5602" t="s">
        <v>1666</v>
      </c>
      <c r="C796" s="5634" t="s">
        <v>1172</v>
      </c>
      <c r="D796" s="5594">
        <v>25000000</v>
      </c>
      <c r="E796" s="5652">
        <v>0.05</v>
      </c>
      <c r="F796" s="5594">
        <f>D796*E796</f>
        <v>1250000</v>
      </c>
      <c r="G796" s="5594">
        <v>1250000</v>
      </c>
      <c r="H796" s="5594" t="s">
        <v>7521</v>
      </c>
      <c r="I796" s="472" t="s">
        <v>6259</v>
      </c>
      <c r="J796" s="5594">
        <f t="shared" si="74"/>
        <v>1250000</v>
      </c>
      <c r="K796" s="5650">
        <f t="shared" si="75"/>
        <v>0</v>
      </c>
      <c r="L796" s="5681"/>
      <c r="M796" s="386"/>
      <c r="N796" s="386"/>
      <c r="O796" s="386"/>
      <c r="P796" s="386"/>
      <c r="Q796" s="386"/>
    </row>
    <row r="797" spans="1:17" ht="30" customHeight="1" x14ac:dyDescent="0.2">
      <c r="A797" s="7654">
        <v>368</v>
      </c>
      <c r="B797" s="7652" t="s">
        <v>1793</v>
      </c>
      <c r="C797" s="7723" t="s">
        <v>392</v>
      </c>
      <c r="D797" s="7563">
        <v>818000000</v>
      </c>
      <c r="E797" s="7659">
        <v>7.0000000000000007E-2</v>
      </c>
      <c r="F797" s="7563">
        <f>D797*E797</f>
        <v>57260000.000000007</v>
      </c>
      <c r="G797" s="5594">
        <v>30000000</v>
      </c>
      <c r="H797" s="5594" t="s">
        <v>7424</v>
      </c>
      <c r="I797" s="472" t="s">
        <v>5483</v>
      </c>
      <c r="J797" s="7563">
        <f>G797+G798</f>
        <v>57260000</v>
      </c>
      <c r="K797" s="7816">
        <f>F797-J797</f>
        <v>0</v>
      </c>
      <c r="L797" s="5669"/>
      <c r="M797" s="386"/>
      <c r="N797" s="386"/>
      <c r="O797" s="386"/>
      <c r="P797" s="386"/>
      <c r="Q797" s="386"/>
    </row>
    <row r="798" spans="1:17" ht="30" customHeight="1" x14ac:dyDescent="0.2">
      <c r="A798" s="7655"/>
      <c r="B798" s="7653"/>
      <c r="C798" s="7724"/>
      <c r="D798" s="7564"/>
      <c r="E798" s="7660"/>
      <c r="F798" s="7564"/>
      <c r="G798" s="5958">
        <v>27260000</v>
      </c>
      <c r="H798" s="5958" t="s">
        <v>7460</v>
      </c>
      <c r="I798" s="1663" t="s">
        <v>5483</v>
      </c>
      <c r="J798" s="7564"/>
      <c r="K798" s="7817"/>
      <c r="L798" s="5980"/>
      <c r="M798" s="386"/>
      <c r="N798" s="386"/>
      <c r="O798" s="386"/>
      <c r="P798" s="386"/>
      <c r="Q798" s="386"/>
    </row>
    <row r="799" spans="1:17" ht="30" customHeight="1" x14ac:dyDescent="0.2">
      <c r="A799" s="7654"/>
      <c r="B799" s="7652" t="s">
        <v>5590</v>
      </c>
      <c r="C799" s="7723" t="s">
        <v>371</v>
      </c>
      <c r="D799" s="7563">
        <v>286000000</v>
      </c>
      <c r="E799" s="7659">
        <v>7.0000000000000007E-2</v>
      </c>
      <c r="F799" s="7563">
        <f>D799*E799</f>
        <v>20020000.000000004</v>
      </c>
      <c r="G799" s="7563">
        <v>19840000</v>
      </c>
      <c r="H799" s="7563" t="s">
        <v>7614</v>
      </c>
      <c r="I799" s="7889" t="s">
        <v>6397</v>
      </c>
      <c r="J799" s="7563">
        <f>G799</f>
        <v>19840000</v>
      </c>
      <c r="K799" s="7816">
        <f>F799-J799-180000</f>
        <v>3.7252902984619141E-9</v>
      </c>
      <c r="L799" s="5669" t="s">
        <v>5556</v>
      </c>
      <c r="M799" s="386"/>
      <c r="N799" s="386"/>
      <c r="O799" s="386"/>
      <c r="P799" s="386"/>
      <c r="Q799" s="386"/>
    </row>
    <row r="800" spans="1:17" ht="30" customHeight="1" x14ac:dyDescent="0.2">
      <c r="A800" s="7656"/>
      <c r="B800" s="7665"/>
      <c r="C800" s="7747"/>
      <c r="D800" s="7586"/>
      <c r="E800" s="7676"/>
      <c r="F800" s="7586"/>
      <c r="G800" s="7586"/>
      <c r="H800" s="7586"/>
      <c r="I800" s="8036"/>
      <c r="J800" s="7586"/>
      <c r="K800" s="7882"/>
      <c r="L800" s="5669" t="s">
        <v>5591</v>
      </c>
      <c r="M800" s="386"/>
      <c r="N800" s="386"/>
      <c r="O800" s="386"/>
      <c r="P800" s="386"/>
      <c r="Q800" s="386"/>
    </row>
    <row r="801" spans="1:17" ht="30" customHeight="1" x14ac:dyDescent="0.2">
      <c r="A801" s="7655"/>
      <c r="B801" s="7653"/>
      <c r="C801" s="7724"/>
      <c r="D801" s="7564"/>
      <c r="E801" s="7660"/>
      <c r="F801" s="7564"/>
      <c r="G801" s="7564"/>
      <c r="H801" s="7564"/>
      <c r="I801" s="7890"/>
      <c r="J801" s="7564"/>
      <c r="K801" s="7817"/>
      <c r="L801" s="5669" t="s">
        <v>7023</v>
      </c>
      <c r="M801" s="386"/>
      <c r="N801" s="386"/>
      <c r="O801" s="386"/>
      <c r="P801" s="386"/>
      <c r="Q801" s="386"/>
    </row>
    <row r="802" spans="1:17" ht="30" customHeight="1" x14ac:dyDescent="0.2">
      <c r="A802" s="7879">
        <v>369</v>
      </c>
      <c r="B802" s="7717" t="s">
        <v>1676</v>
      </c>
      <c r="C802" s="7873" t="s">
        <v>1652</v>
      </c>
      <c r="D802" s="5594">
        <v>250000000</v>
      </c>
      <c r="E802" s="5606">
        <v>0.05</v>
      </c>
      <c r="F802" s="5594">
        <f t="shared" ref="F802:F810" si="76">D802*E802</f>
        <v>12500000</v>
      </c>
      <c r="G802" s="7625">
        <v>27800000</v>
      </c>
      <c r="H802" s="7625" t="s">
        <v>7424</v>
      </c>
      <c r="I802" s="8563" t="s">
        <v>4896</v>
      </c>
      <c r="J802" s="7625">
        <f>G802</f>
        <v>27800000</v>
      </c>
      <c r="K802" s="7625">
        <f>(F802+F803+F804+F805)-J802</f>
        <v>0</v>
      </c>
      <c r="L802" s="5669"/>
      <c r="M802" s="386"/>
      <c r="N802" s="386"/>
      <c r="O802" s="386"/>
      <c r="P802" s="386"/>
      <c r="Q802" s="386"/>
    </row>
    <row r="803" spans="1:17" ht="30" customHeight="1" x14ac:dyDescent="0.2">
      <c r="A803" s="7879"/>
      <c r="B803" s="7717"/>
      <c r="C803" s="7873"/>
      <c r="D803" s="5594">
        <v>150000000</v>
      </c>
      <c r="E803" s="5606">
        <v>0.06</v>
      </c>
      <c r="F803" s="5594">
        <f t="shared" si="76"/>
        <v>9000000</v>
      </c>
      <c r="G803" s="7625"/>
      <c r="H803" s="7625"/>
      <c r="I803" s="8563"/>
      <c r="J803" s="7625"/>
      <c r="K803" s="7625"/>
      <c r="L803" s="5680"/>
      <c r="M803" s="386"/>
      <c r="N803" s="386"/>
      <c r="O803" s="386"/>
      <c r="P803" s="386"/>
      <c r="Q803" s="386"/>
    </row>
    <row r="804" spans="1:17" ht="30" customHeight="1" x14ac:dyDescent="0.2">
      <c r="A804" s="7879"/>
      <c r="B804" s="7717"/>
      <c r="C804" s="7873"/>
      <c r="D804" s="5594">
        <v>50000000</v>
      </c>
      <c r="E804" s="5606">
        <v>0.06</v>
      </c>
      <c r="F804" s="5594">
        <f t="shared" si="76"/>
        <v>3000000</v>
      </c>
      <c r="G804" s="7482">
        <v>27800000</v>
      </c>
      <c r="H804" s="7482" t="s">
        <v>7460</v>
      </c>
      <c r="I804" s="7778" t="s">
        <v>6581</v>
      </c>
      <c r="J804" s="7482">
        <f>G804</f>
        <v>27800000</v>
      </c>
      <c r="K804" s="7482">
        <f>(F802+F803+F804+F805)-J804</f>
        <v>0</v>
      </c>
      <c r="L804" s="5980"/>
      <c r="M804" s="386"/>
      <c r="N804" s="386"/>
      <c r="O804" s="386"/>
      <c r="P804" s="386"/>
      <c r="Q804" s="386"/>
    </row>
    <row r="805" spans="1:17" ht="30" customHeight="1" x14ac:dyDescent="0.2">
      <c r="A805" s="7654"/>
      <c r="B805" s="7652"/>
      <c r="C805" s="7723"/>
      <c r="D805" s="6077">
        <v>55000000</v>
      </c>
      <c r="E805" s="6082">
        <v>0.06</v>
      </c>
      <c r="F805" s="6077">
        <f t="shared" si="76"/>
        <v>3300000</v>
      </c>
      <c r="G805" s="7563"/>
      <c r="H805" s="7563"/>
      <c r="I805" s="7846"/>
      <c r="J805" s="7563"/>
      <c r="K805" s="7563"/>
      <c r="L805" s="5990"/>
      <c r="M805" s="386"/>
      <c r="N805" s="386"/>
      <c r="O805" s="386"/>
      <c r="P805" s="386"/>
      <c r="Q805" s="386"/>
    </row>
    <row r="806" spans="1:17" ht="30" customHeight="1" x14ac:dyDescent="0.2">
      <c r="A806" s="7879"/>
      <c r="B806" s="7717" t="s">
        <v>5179</v>
      </c>
      <c r="C806" s="6090" t="s">
        <v>3390</v>
      </c>
      <c r="D806" s="6076">
        <v>400000000</v>
      </c>
      <c r="E806" s="6089">
        <v>7.0000000000000007E-2</v>
      </c>
      <c r="F806" s="6076">
        <f t="shared" si="76"/>
        <v>28000000.000000004</v>
      </c>
      <c r="G806" s="6076"/>
      <c r="H806" s="6087"/>
      <c r="I806" s="6076" t="s">
        <v>6569</v>
      </c>
      <c r="J806" s="6076">
        <f>G806</f>
        <v>0</v>
      </c>
      <c r="K806" s="6076">
        <f>F806-J806</f>
        <v>28000000.000000004</v>
      </c>
      <c r="L806" s="6091"/>
      <c r="M806" s="386"/>
      <c r="N806" s="386"/>
      <c r="O806" s="386"/>
      <c r="P806" s="386"/>
      <c r="Q806" s="386"/>
    </row>
    <row r="807" spans="1:17" ht="30" customHeight="1" x14ac:dyDescent="0.2">
      <c r="A807" s="7879"/>
      <c r="B807" s="7717"/>
      <c r="C807" s="6090"/>
      <c r="D807" s="6076">
        <v>130000000</v>
      </c>
      <c r="E807" s="6089">
        <v>7.0000000000000007E-2</v>
      </c>
      <c r="F807" s="6076">
        <f t="shared" si="76"/>
        <v>9100000</v>
      </c>
      <c r="G807" s="7470" t="s">
        <v>7586</v>
      </c>
      <c r="H807" s="7493"/>
      <c r="I807" s="7493"/>
      <c r="J807" s="7510"/>
      <c r="K807" s="6076"/>
      <c r="L807" s="6091" t="s">
        <v>7587</v>
      </c>
      <c r="M807" s="386"/>
      <c r="N807" s="386"/>
      <c r="O807" s="386"/>
      <c r="P807" s="386"/>
      <c r="Q807" s="386"/>
    </row>
    <row r="808" spans="1:17" ht="30" customHeight="1" x14ac:dyDescent="0.2">
      <c r="A808" s="6080"/>
      <c r="B808" s="5601" t="s">
        <v>5182</v>
      </c>
      <c r="C808" s="5634" t="s">
        <v>3390</v>
      </c>
      <c r="D808" s="5594">
        <v>150000000</v>
      </c>
      <c r="E808" s="5606">
        <v>0.06</v>
      </c>
      <c r="F808" s="5594">
        <f t="shared" si="76"/>
        <v>9000000</v>
      </c>
      <c r="G808" s="5594"/>
      <c r="H808" s="5594"/>
      <c r="I808" s="5643" t="s">
        <v>7097</v>
      </c>
      <c r="J808" s="5594">
        <f>G808</f>
        <v>0</v>
      </c>
      <c r="K808" s="5594">
        <f>F808-J808</f>
        <v>9000000</v>
      </c>
      <c r="L808" s="5670" t="s">
        <v>7366</v>
      </c>
      <c r="M808" s="386"/>
      <c r="N808" s="386"/>
      <c r="O808" s="386"/>
      <c r="P808" s="386"/>
      <c r="Q808" s="386"/>
    </row>
    <row r="809" spans="1:17" ht="30" customHeight="1" x14ac:dyDescent="0.2">
      <c r="A809" s="7654">
        <v>370</v>
      </c>
      <c r="B809" s="7652" t="s">
        <v>1696</v>
      </c>
      <c r="C809" s="7723" t="s">
        <v>3323</v>
      </c>
      <c r="D809" s="5586">
        <v>200000000</v>
      </c>
      <c r="E809" s="5652">
        <v>0.05</v>
      </c>
      <c r="F809" s="5586">
        <f t="shared" si="76"/>
        <v>10000000</v>
      </c>
      <c r="G809" s="5594">
        <v>10000000</v>
      </c>
      <c r="H809" s="5594" t="s">
        <v>7306</v>
      </c>
      <c r="I809" s="472" t="s">
        <v>3400</v>
      </c>
      <c r="J809" s="5594">
        <f t="shared" ref="J809:J829" si="77">G809</f>
        <v>10000000</v>
      </c>
      <c r="K809" s="5650">
        <f>F809-J809</f>
        <v>0</v>
      </c>
      <c r="L809" s="5681"/>
      <c r="M809" s="386"/>
      <c r="N809" s="386"/>
      <c r="O809" s="386"/>
      <c r="P809" s="386"/>
      <c r="Q809" s="386"/>
    </row>
    <row r="810" spans="1:17" ht="30" customHeight="1" x14ac:dyDescent="0.2">
      <c r="A810" s="7656"/>
      <c r="B810" s="7665"/>
      <c r="C810" s="7747"/>
      <c r="D810" s="5888">
        <v>50000000</v>
      </c>
      <c r="E810" s="2519">
        <v>0.05</v>
      </c>
      <c r="F810" s="5888">
        <f t="shared" si="76"/>
        <v>2500000</v>
      </c>
      <c r="G810" s="7850" t="s">
        <v>7162</v>
      </c>
      <c r="H810" s="7851"/>
      <c r="I810" s="7851"/>
      <c r="J810" s="7852"/>
      <c r="K810" s="5902"/>
      <c r="L810" s="1114" t="s">
        <v>7158</v>
      </c>
      <c r="M810" s="386"/>
      <c r="N810" s="386"/>
      <c r="O810" s="386"/>
      <c r="P810" s="386"/>
      <c r="Q810" s="386"/>
    </row>
    <row r="811" spans="1:17" ht="30" customHeight="1" x14ac:dyDescent="0.2">
      <c r="A811" s="7656"/>
      <c r="B811" s="7665"/>
      <c r="C811" s="7747"/>
      <c r="D811" s="5884">
        <v>80000000</v>
      </c>
      <c r="E811" s="5903"/>
      <c r="F811" s="5884"/>
      <c r="G811" s="7732" t="s">
        <v>7391</v>
      </c>
      <c r="H811" s="7733"/>
      <c r="I811" s="7733"/>
      <c r="J811" s="7734"/>
      <c r="K811" s="5900"/>
      <c r="L811" s="5899" t="s">
        <v>7392</v>
      </c>
      <c r="M811" s="386"/>
      <c r="N811" s="386"/>
      <c r="O811" s="386"/>
      <c r="P811" s="386"/>
      <c r="Q811" s="386"/>
    </row>
    <row r="812" spans="1:17" ht="30" customHeight="1" x14ac:dyDescent="0.2">
      <c r="A812" s="7656"/>
      <c r="B812" s="7665"/>
      <c r="C812" s="7747"/>
      <c r="D812" s="5884">
        <v>70000000</v>
      </c>
      <c r="E812" s="5903"/>
      <c r="F812" s="5884"/>
      <c r="G812" s="7732" t="s">
        <v>7393</v>
      </c>
      <c r="H812" s="7733"/>
      <c r="I812" s="7733"/>
      <c r="J812" s="7734"/>
      <c r="K812" s="5900"/>
      <c r="L812" s="5899" t="s">
        <v>7392</v>
      </c>
      <c r="M812" s="386"/>
      <c r="N812" s="386"/>
      <c r="O812" s="386"/>
      <c r="P812" s="386"/>
      <c r="Q812" s="386"/>
    </row>
    <row r="813" spans="1:17" ht="30" customHeight="1" x14ac:dyDescent="0.2">
      <c r="A813" s="7656"/>
      <c r="B813" s="7665"/>
      <c r="C813" s="7747"/>
      <c r="D813" s="5884">
        <v>30000000</v>
      </c>
      <c r="E813" s="5903"/>
      <c r="F813" s="5884"/>
      <c r="G813" s="7732" t="s">
        <v>7394</v>
      </c>
      <c r="H813" s="7733"/>
      <c r="I813" s="7733"/>
      <c r="J813" s="7734"/>
      <c r="K813" s="5900"/>
      <c r="L813" s="5899" t="s">
        <v>7392</v>
      </c>
      <c r="M813" s="386"/>
      <c r="N813" s="386"/>
      <c r="O813" s="386"/>
      <c r="P813" s="386"/>
      <c r="Q813" s="386"/>
    </row>
    <row r="814" spans="1:17" ht="30" customHeight="1" x14ac:dyDescent="0.2">
      <c r="A814" s="7655"/>
      <c r="B814" s="7653"/>
      <c r="C814" s="7724"/>
      <c r="D814" s="5344"/>
      <c r="E814" s="5345"/>
      <c r="F814" s="5344"/>
      <c r="G814" s="5937"/>
      <c r="H814" s="5938"/>
      <c r="I814" s="5938"/>
      <c r="J814" s="5939"/>
      <c r="K814" s="5940"/>
      <c r="L814" s="5584"/>
      <c r="M814" s="386"/>
      <c r="N814" s="386"/>
      <c r="O814" s="386"/>
      <c r="P814" s="386"/>
      <c r="Q814" s="386"/>
    </row>
    <row r="815" spans="1:17" ht="30" customHeight="1" x14ac:dyDescent="0.2">
      <c r="A815" s="5597">
        <v>372</v>
      </c>
      <c r="B815" s="5602" t="s">
        <v>1706</v>
      </c>
      <c r="C815" s="5634"/>
      <c r="D815" s="5611"/>
      <c r="E815" s="2519"/>
      <c r="F815" s="5611"/>
      <c r="G815" s="5594"/>
      <c r="H815" s="5594"/>
      <c r="I815" s="472"/>
      <c r="J815" s="5594">
        <f t="shared" si="77"/>
        <v>0</v>
      </c>
      <c r="K815" s="5651"/>
      <c r="L815" s="5681"/>
      <c r="M815" s="386"/>
      <c r="N815" s="386"/>
      <c r="O815" s="386"/>
      <c r="P815" s="386"/>
      <c r="Q815" s="386"/>
    </row>
    <row r="816" spans="1:17" ht="30" customHeight="1" x14ac:dyDescent="0.2">
      <c r="A816" s="7654"/>
      <c r="B816" s="7652" t="s">
        <v>1725</v>
      </c>
      <c r="C816" s="7723" t="s">
        <v>1718</v>
      </c>
      <c r="D816" s="5586">
        <v>20000000</v>
      </c>
      <c r="E816" s="5652">
        <v>0.05</v>
      </c>
      <c r="F816" s="5586">
        <f>D816*E816</f>
        <v>1000000</v>
      </c>
      <c r="G816" s="7563">
        <v>3000000</v>
      </c>
      <c r="H816" s="7563" t="s">
        <v>7550</v>
      </c>
      <c r="I816" s="7563" t="s">
        <v>3486</v>
      </c>
      <c r="J816" s="7563">
        <f t="shared" si="77"/>
        <v>3000000</v>
      </c>
      <c r="K816" s="7816">
        <f>(F816+F817+F818)-J816</f>
        <v>0</v>
      </c>
      <c r="L816" s="5681"/>
      <c r="M816" s="386"/>
      <c r="N816" s="386"/>
      <c r="O816" s="386"/>
      <c r="P816" s="386"/>
      <c r="Q816" s="386"/>
    </row>
    <row r="817" spans="1:17" ht="30" customHeight="1" x14ac:dyDescent="0.2">
      <c r="A817" s="7656"/>
      <c r="B817" s="7665"/>
      <c r="C817" s="7747"/>
      <c r="D817" s="5594">
        <v>10000000</v>
      </c>
      <c r="E817" s="5652">
        <v>0.05</v>
      </c>
      <c r="F817" s="5586">
        <f>D817*E817</f>
        <v>500000</v>
      </c>
      <c r="G817" s="7564"/>
      <c r="H817" s="7564"/>
      <c r="I817" s="7564"/>
      <c r="J817" s="7564"/>
      <c r="K817" s="7817"/>
      <c r="L817" s="5681"/>
      <c r="M817" s="386"/>
      <c r="N817" s="386"/>
      <c r="O817" s="386"/>
      <c r="P817" s="386"/>
      <c r="Q817" s="386"/>
    </row>
    <row r="818" spans="1:17" ht="30" customHeight="1" x14ac:dyDescent="0.2">
      <c r="A818" s="7656"/>
      <c r="B818" s="7665"/>
      <c r="C818" s="7747"/>
      <c r="D818" s="7563">
        <v>30000000</v>
      </c>
      <c r="E818" s="7659">
        <v>0.05</v>
      </c>
      <c r="F818" s="7563">
        <f>D818*E818</f>
        <v>1500000</v>
      </c>
      <c r="G818" s="7732" t="s">
        <v>7005</v>
      </c>
      <c r="H818" s="7733"/>
      <c r="I818" s="7733"/>
      <c r="J818" s="7734"/>
      <c r="K818" s="5650"/>
      <c r="L818" s="7811" t="s">
        <v>7004</v>
      </c>
      <c r="M818" s="386"/>
      <c r="N818" s="386"/>
      <c r="O818" s="386"/>
      <c r="P818" s="386"/>
      <c r="Q818" s="386"/>
    </row>
    <row r="819" spans="1:17" ht="30" customHeight="1" x14ac:dyDescent="0.2">
      <c r="A819" s="7656"/>
      <c r="B819" s="7665"/>
      <c r="C819" s="7747"/>
      <c r="D819" s="7586"/>
      <c r="E819" s="7676"/>
      <c r="F819" s="7586"/>
      <c r="G819" s="7732" t="s">
        <v>7006</v>
      </c>
      <c r="H819" s="7733"/>
      <c r="I819" s="7733"/>
      <c r="J819" s="7734"/>
      <c r="K819" s="5650"/>
      <c r="L819" s="7897"/>
      <c r="M819" s="386"/>
      <c r="N819" s="386"/>
      <c r="O819" s="386"/>
      <c r="P819" s="386"/>
      <c r="Q819" s="386"/>
    </row>
    <row r="820" spans="1:17" ht="30" customHeight="1" x14ac:dyDescent="0.2">
      <c r="A820" s="7655"/>
      <c r="B820" s="7653"/>
      <c r="C820" s="7724"/>
      <c r="D820" s="7564"/>
      <c r="E820" s="7660"/>
      <c r="F820" s="7564"/>
      <c r="G820" s="7732" t="s">
        <v>7007</v>
      </c>
      <c r="H820" s="7733"/>
      <c r="I820" s="7733"/>
      <c r="J820" s="7734"/>
      <c r="K820" s="5650"/>
      <c r="L820" s="7812"/>
      <c r="M820" s="386"/>
      <c r="N820" s="386"/>
      <c r="O820" s="386"/>
      <c r="P820" s="386"/>
      <c r="Q820" s="386"/>
    </row>
    <row r="821" spans="1:17" ht="30" customHeight="1" x14ac:dyDescent="0.2">
      <c r="A821" s="5597">
        <v>374</v>
      </c>
      <c r="B821" s="5602" t="s">
        <v>1727</v>
      </c>
      <c r="C821" s="5634"/>
      <c r="D821" s="5611"/>
      <c r="E821" s="5618"/>
      <c r="F821" s="5611"/>
      <c r="G821" s="5594"/>
      <c r="H821" s="5594"/>
      <c r="I821" s="472"/>
      <c r="J821" s="5594">
        <f t="shared" si="77"/>
        <v>0</v>
      </c>
      <c r="K821" s="5651">
        <f t="shared" ref="K821:K830" si="78">F821-J821</f>
        <v>0</v>
      </c>
      <c r="L821" s="5681"/>
      <c r="M821" s="386"/>
      <c r="N821" s="386"/>
      <c r="O821" s="386"/>
      <c r="P821" s="386"/>
      <c r="Q821" s="386"/>
    </row>
    <row r="822" spans="1:17" ht="30" customHeight="1" x14ac:dyDescent="0.2">
      <c r="A822" s="7654">
        <v>375</v>
      </c>
      <c r="B822" s="7652" t="s">
        <v>6040</v>
      </c>
      <c r="C822" s="7723" t="s">
        <v>889</v>
      </c>
      <c r="D822" s="7563">
        <v>2000000000</v>
      </c>
      <c r="E822" s="7659">
        <v>7.0000000000000007E-2</v>
      </c>
      <c r="F822" s="7563">
        <f>D822*E822</f>
        <v>140000000</v>
      </c>
      <c r="G822" s="5586">
        <v>40000000</v>
      </c>
      <c r="H822" s="5586" t="s">
        <v>7427</v>
      </c>
      <c r="I822" s="5586" t="s">
        <v>4403</v>
      </c>
      <c r="J822" s="7563">
        <f>G822+G823+G824+G825</f>
        <v>125000000</v>
      </c>
      <c r="K822" s="7816">
        <f>F822-J822</f>
        <v>15000000</v>
      </c>
      <c r="L822" s="7674" t="s">
        <v>6249</v>
      </c>
      <c r="M822" s="386"/>
      <c r="N822" s="386"/>
      <c r="O822" s="386"/>
      <c r="P822" s="386"/>
      <c r="Q822" s="386"/>
    </row>
    <row r="823" spans="1:17" ht="30" customHeight="1" x14ac:dyDescent="0.2">
      <c r="A823" s="7656"/>
      <c r="B823" s="7665"/>
      <c r="C823" s="7747"/>
      <c r="D823" s="7586"/>
      <c r="E823" s="7676"/>
      <c r="F823" s="7586"/>
      <c r="G823" s="5959">
        <v>30000000</v>
      </c>
      <c r="H823" s="5959" t="s">
        <v>4168</v>
      </c>
      <c r="I823" s="5977" t="s">
        <v>4403</v>
      </c>
      <c r="J823" s="7586"/>
      <c r="K823" s="7882"/>
      <c r="L823" s="8186"/>
      <c r="M823" s="386"/>
      <c r="N823" s="386"/>
      <c r="O823" s="386"/>
      <c r="P823" s="386"/>
      <c r="Q823" s="386"/>
    </row>
    <row r="824" spans="1:17" ht="30" customHeight="1" x14ac:dyDescent="0.2">
      <c r="A824" s="7656"/>
      <c r="B824" s="7665"/>
      <c r="C824" s="7747"/>
      <c r="D824" s="7586"/>
      <c r="E824" s="7676"/>
      <c r="F824" s="7586"/>
      <c r="G824" s="6078">
        <v>25000000</v>
      </c>
      <c r="H824" s="6078" t="s">
        <v>1975</v>
      </c>
      <c r="I824" s="6086" t="s">
        <v>4403</v>
      </c>
      <c r="J824" s="7586"/>
      <c r="K824" s="7882"/>
      <c r="L824" s="7675"/>
      <c r="M824" s="386"/>
      <c r="N824" s="386"/>
      <c r="O824" s="386"/>
      <c r="P824" s="386"/>
      <c r="Q824" s="386"/>
    </row>
    <row r="825" spans="1:17" ht="30" customHeight="1" x14ac:dyDescent="0.2">
      <c r="A825" s="7656"/>
      <c r="B825" s="7665"/>
      <c r="C825" s="7747"/>
      <c r="D825" s="7586"/>
      <c r="E825" s="7676"/>
      <c r="F825" s="7586"/>
      <c r="G825" s="6190">
        <v>30000000</v>
      </c>
      <c r="H825" s="6190" t="s">
        <v>7668</v>
      </c>
      <c r="I825" s="6193" t="s">
        <v>4403</v>
      </c>
      <c r="J825" s="7564"/>
      <c r="K825" s="7817"/>
      <c r="L825" s="6192"/>
      <c r="M825" s="386"/>
      <c r="N825" s="386"/>
      <c r="O825" s="386"/>
      <c r="P825" s="386"/>
      <c r="Q825" s="386"/>
    </row>
    <row r="826" spans="1:17" ht="30" customHeight="1" x14ac:dyDescent="0.2">
      <c r="A826" s="7655"/>
      <c r="B826" s="7653"/>
      <c r="C826" s="7724"/>
      <c r="D826" s="7564"/>
      <c r="E826" s="7660"/>
      <c r="F826" s="7564"/>
      <c r="G826" s="5959"/>
      <c r="H826" s="5959"/>
      <c r="I826" s="5977"/>
      <c r="J826" s="5959"/>
      <c r="K826" s="5983"/>
      <c r="L826" s="5993"/>
      <c r="M826" s="386"/>
      <c r="N826" s="386"/>
      <c r="O826" s="386"/>
      <c r="P826" s="386"/>
      <c r="Q826" s="386"/>
    </row>
    <row r="827" spans="1:17" ht="30" customHeight="1" x14ac:dyDescent="0.2">
      <c r="A827" s="5597">
        <v>376</v>
      </c>
      <c r="B827" s="5602" t="s">
        <v>3580</v>
      </c>
      <c r="C827" s="5634" t="s">
        <v>262</v>
      </c>
      <c r="D827" s="5594">
        <v>50000000</v>
      </c>
      <c r="E827" s="5652">
        <v>0.06</v>
      </c>
      <c r="F827" s="5594">
        <f>D827*E827</f>
        <v>3000000</v>
      </c>
      <c r="G827" s="5594">
        <v>3000000</v>
      </c>
      <c r="H827" s="5594" t="s">
        <v>7528</v>
      </c>
      <c r="I827" s="472" t="s">
        <v>1743</v>
      </c>
      <c r="J827" s="5594">
        <f t="shared" si="77"/>
        <v>3000000</v>
      </c>
      <c r="K827" s="5650">
        <f t="shared" si="78"/>
        <v>0</v>
      </c>
      <c r="L827" s="5681"/>
      <c r="M827" s="386"/>
      <c r="N827" s="386"/>
      <c r="O827" s="386"/>
      <c r="P827" s="386"/>
      <c r="Q827" s="386"/>
    </row>
    <row r="828" spans="1:17" ht="30" customHeight="1" x14ac:dyDescent="0.2">
      <c r="A828" s="5597">
        <v>377</v>
      </c>
      <c r="B828" s="5602" t="s">
        <v>1752</v>
      </c>
      <c r="C828" s="5634" t="s">
        <v>1652</v>
      </c>
      <c r="D828" s="5594">
        <v>153000000</v>
      </c>
      <c r="E828" s="5652">
        <v>7.0000000000000007E-2</v>
      </c>
      <c r="F828" s="5594">
        <f>D828*E828</f>
        <v>10710000.000000002</v>
      </c>
      <c r="G828" s="5594">
        <v>10710000</v>
      </c>
      <c r="H828" s="5594" t="s">
        <v>7531</v>
      </c>
      <c r="I828" s="472" t="s">
        <v>1952</v>
      </c>
      <c r="J828" s="5594">
        <f t="shared" si="77"/>
        <v>10710000</v>
      </c>
      <c r="K828" s="5650">
        <f t="shared" si="78"/>
        <v>0</v>
      </c>
      <c r="L828" s="5681"/>
      <c r="M828" s="386"/>
      <c r="N828" s="386"/>
      <c r="O828" s="386"/>
      <c r="P828" s="386"/>
      <c r="Q828" s="386"/>
    </row>
    <row r="829" spans="1:17" ht="30" customHeight="1" x14ac:dyDescent="0.2">
      <c r="A829" s="5597">
        <v>378</v>
      </c>
      <c r="B829" s="5602" t="s">
        <v>1790</v>
      </c>
      <c r="C829" s="5634" t="s">
        <v>889</v>
      </c>
      <c r="D829" s="5594">
        <v>300000000</v>
      </c>
      <c r="E829" s="5652">
        <v>5.0999999999999997E-2</v>
      </c>
      <c r="F829" s="5594">
        <v>15500000</v>
      </c>
      <c r="G829" s="5594">
        <v>15500000</v>
      </c>
      <c r="H829" s="5594" t="s">
        <v>7424</v>
      </c>
      <c r="I829" s="472" t="s">
        <v>3062</v>
      </c>
      <c r="J829" s="5594">
        <f t="shared" si="77"/>
        <v>15500000</v>
      </c>
      <c r="K829" s="5650">
        <f t="shared" si="78"/>
        <v>0</v>
      </c>
      <c r="L829" s="5681"/>
      <c r="M829" s="386"/>
      <c r="N829" s="386"/>
      <c r="O829" s="386"/>
      <c r="P829" s="386"/>
      <c r="Q829" s="386"/>
    </row>
    <row r="830" spans="1:17" ht="30" customHeight="1" x14ac:dyDescent="0.2">
      <c r="A830" s="5596">
        <v>379</v>
      </c>
      <c r="B830" s="19" t="s">
        <v>1753</v>
      </c>
      <c r="C830" s="5657" t="s">
        <v>372</v>
      </c>
      <c r="D830" s="5586">
        <v>60000000</v>
      </c>
      <c r="E830" s="5652">
        <v>0.05</v>
      </c>
      <c r="F830" s="5586">
        <f>D830*E830</f>
        <v>3000000</v>
      </c>
      <c r="G830" s="5586">
        <v>3000000</v>
      </c>
      <c r="H830" s="5586" t="s">
        <v>1975</v>
      </c>
      <c r="I830" s="5718" t="s">
        <v>6367</v>
      </c>
      <c r="J830" s="5586">
        <f>G830</f>
        <v>3000000</v>
      </c>
      <c r="K830" s="5590">
        <f t="shared" si="78"/>
        <v>0</v>
      </c>
      <c r="L830" s="5649"/>
      <c r="M830" s="386"/>
      <c r="N830" s="386"/>
      <c r="O830" s="386"/>
      <c r="P830" s="386"/>
      <c r="Q830" s="386"/>
    </row>
    <row r="831" spans="1:17" ht="30" customHeight="1" x14ac:dyDescent="0.2">
      <c r="A831" s="5597">
        <v>381</v>
      </c>
      <c r="B831" s="5602" t="s">
        <v>1797</v>
      </c>
      <c r="C831" s="5634" t="s">
        <v>889</v>
      </c>
      <c r="D831" s="5594">
        <v>50000000</v>
      </c>
      <c r="E831" s="5652">
        <v>0.05</v>
      </c>
      <c r="F831" s="5594">
        <f>D831*E831</f>
        <v>2500000</v>
      </c>
      <c r="G831" s="5594">
        <v>2500000</v>
      </c>
      <c r="H831" s="5594" t="s">
        <v>7424</v>
      </c>
      <c r="I831" s="472" t="s">
        <v>3516</v>
      </c>
      <c r="J831" s="5594">
        <f>G831</f>
        <v>2500000</v>
      </c>
      <c r="K831" s="5650">
        <f>F831-J831</f>
        <v>0</v>
      </c>
      <c r="L831" s="5681"/>
      <c r="M831" s="386"/>
      <c r="N831" s="386"/>
      <c r="O831" s="386"/>
      <c r="P831" s="386"/>
      <c r="Q831" s="386"/>
    </row>
    <row r="832" spans="1:17" ht="30" customHeight="1" x14ac:dyDescent="0.2">
      <c r="A832" s="5597">
        <v>382</v>
      </c>
      <c r="B832" s="5602" t="s">
        <v>1812</v>
      </c>
      <c r="C832" s="5634" t="s">
        <v>262</v>
      </c>
      <c r="D832" s="5594">
        <v>150000000</v>
      </c>
      <c r="E832" s="5652"/>
      <c r="F832" s="5594"/>
      <c r="G832" s="5594"/>
      <c r="H832" s="5594"/>
      <c r="I832" s="472"/>
      <c r="J832" s="5594"/>
      <c r="K832" s="5650"/>
      <c r="L832" s="5681"/>
      <c r="M832" s="386"/>
      <c r="N832" s="386"/>
      <c r="O832" s="386"/>
      <c r="P832" s="386"/>
      <c r="Q832" s="386"/>
    </row>
    <row r="833" spans="1:17" ht="30" customHeight="1" x14ac:dyDescent="0.2">
      <c r="A833" s="5597">
        <v>383</v>
      </c>
      <c r="B833" s="5602" t="s">
        <v>1823</v>
      </c>
      <c r="C833" s="5634" t="s">
        <v>262</v>
      </c>
      <c r="D833" s="5594">
        <v>10000000</v>
      </c>
      <c r="E833" s="5652">
        <v>7.0000000000000007E-2</v>
      </c>
      <c r="F833" s="5594">
        <f t="shared" ref="F833:F864" si="79">D833*E833</f>
        <v>700000.00000000012</v>
      </c>
      <c r="G833" s="5594">
        <v>700000</v>
      </c>
      <c r="H833" s="5594" t="s">
        <v>1975</v>
      </c>
      <c r="I833" s="472" t="s">
        <v>2928</v>
      </c>
      <c r="J833" s="5594">
        <f>G833</f>
        <v>700000</v>
      </c>
      <c r="K833" s="5650">
        <f>F833-J833</f>
        <v>0</v>
      </c>
      <c r="L833" s="5681"/>
      <c r="M833" s="386"/>
      <c r="N833" s="386"/>
      <c r="O833" s="386"/>
      <c r="P833" s="386"/>
      <c r="Q833" s="386"/>
    </row>
    <row r="834" spans="1:17" ht="30" customHeight="1" x14ac:dyDescent="0.2">
      <c r="A834" s="624">
        <v>384</v>
      </c>
      <c r="B834" s="5602" t="s">
        <v>1861</v>
      </c>
      <c r="C834" s="5634" t="s">
        <v>262</v>
      </c>
      <c r="D834" s="5594">
        <v>150000000</v>
      </c>
      <c r="E834" s="5652">
        <v>7.0000000000000007E-2</v>
      </c>
      <c r="F834" s="5594">
        <f t="shared" si="79"/>
        <v>10500000.000000002</v>
      </c>
      <c r="G834" s="5594">
        <v>10500000</v>
      </c>
      <c r="H834" s="5594" t="s">
        <v>2830</v>
      </c>
      <c r="I834" s="472" t="s">
        <v>7652</v>
      </c>
      <c r="J834" s="5594">
        <f>G834</f>
        <v>10500000</v>
      </c>
      <c r="K834" s="5650">
        <f>F834-J834</f>
        <v>0</v>
      </c>
      <c r="L834" s="5681"/>
      <c r="M834" s="386"/>
      <c r="N834" s="386"/>
      <c r="O834" s="386"/>
      <c r="P834" s="386"/>
      <c r="Q834" s="386"/>
    </row>
    <row r="835" spans="1:17" ht="30" customHeight="1" x14ac:dyDescent="0.2">
      <c r="A835" s="7654">
        <v>385</v>
      </c>
      <c r="B835" s="7652" t="s">
        <v>1877</v>
      </c>
      <c r="C835" s="7723" t="s">
        <v>1652</v>
      </c>
      <c r="D835" s="5594">
        <v>12000000</v>
      </c>
      <c r="E835" s="5652">
        <v>0.05</v>
      </c>
      <c r="F835" s="5586">
        <f>D835*E835</f>
        <v>600000</v>
      </c>
      <c r="G835" s="7563"/>
      <c r="H835" s="7563"/>
      <c r="I835" s="7563" t="s">
        <v>6266</v>
      </c>
      <c r="J835" s="7563">
        <f>G835</f>
        <v>0</v>
      </c>
      <c r="K835" s="7816">
        <f>(F835+F836)-J835</f>
        <v>2150000</v>
      </c>
      <c r="L835" s="5681" t="s">
        <v>6267</v>
      </c>
      <c r="M835" s="386"/>
      <c r="N835" s="386"/>
      <c r="O835" s="386"/>
      <c r="P835" s="386"/>
      <c r="Q835" s="386"/>
    </row>
    <row r="836" spans="1:17" ht="30" customHeight="1" x14ac:dyDescent="0.2">
      <c r="A836" s="7656"/>
      <c r="B836" s="7665"/>
      <c r="C836" s="7747"/>
      <c r="D836" s="5586">
        <v>31000000</v>
      </c>
      <c r="E836" s="5652">
        <v>0.05</v>
      </c>
      <c r="F836" s="5585">
        <f>D836*E836</f>
        <v>1550000</v>
      </c>
      <c r="G836" s="7586"/>
      <c r="H836" s="7586"/>
      <c r="I836" s="7586"/>
      <c r="J836" s="7586"/>
      <c r="K836" s="7882"/>
      <c r="L836" s="5469" t="s">
        <v>7105</v>
      </c>
      <c r="M836" s="386"/>
      <c r="N836" s="386"/>
      <c r="O836" s="386"/>
      <c r="P836" s="386"/>
      <c r="Q836" s="386"/>
    </row>
    <row r="837" spans="1:17" ht="30" customHeight="1" x14ac:dyDescent="0.2">
      <c r="A837" s="7656"/>
      <c r="B837" s="7665"/>
      <c r="C837" s="7747"/>
      <c r="D837" s="5715">
        <f>SUM(D835:D836)</f>
        <v>43000000</v>
      </c>
      <c r="E837" s="5729">
        <v>0.05</v>
      </c>
      <c r="F837" s="5715">
        <f>D837*E837</f>
        <v>2150000</v>
      </c>
      <c r="G837" s="7564"/>
      <c r="H837" s="7564"/>
      <c r="I837" s="7564"/>
      <c r="J837" s="7564"/>
      <c r="K837" s="7817"/>
      <c r="L837" s="5669"/>
      <c r="M837" s="386"/>
      <c r="N837" s="386"/>
      <c r="O837" s="386"/>
      <c r="P837" s="386"/>
      <c r="Q837" s="386"/>
    </row>
    <row r="838" spans="1:17" ht="30" customHeight="1" x14ac:dyDescent="0.2">
      <c r="A838" s="7656"/>
      <c r="B838" s="7665"/>
      <c r="C838" s="7747"/>
      <c r="D838" s="5586">
        <v>7000000</v>
      </c>
      <c r="E838" s="5652"/>
      <c r="F838" s="5586"/>
      <c r="G838" s="8092" t="s">
        <v>7145</v>
      </c>
      <c r="H838" s="8093"/>
      <c r="I838" s="8093"/>
      <c r="J838" s="8094"/>
      <c r="K838" s="5653"/>
      <c r="L838" s="5669"/>
      <c r="M838" s="386"/>
      <c r="N838" s="386"/>
      <c r="O838" s="386"/>
      <c r="P838" s="386"/>
      <c r="Q838" s="386"/>
    </row>
    <row r="839" spans="1:17" ht="30" customHeight="1" x14ac:dyDescent="0.2">
      <c r="A839" s="7656"/>
      <c r="B839" s="7665"/>
      <c r="C839" s="7747"/>
      <c r="D839" s="5586">
        <v>100000000</v>
      </c>
      <c r="E839" s="5652"/>
      <c r="F839" s="5586"/>
      <c r="G839" s="8092" t="s">
        <v>7147</v>
      </c>
      <c r="H839" s="8093"/>
      <c r="I839" s="8093"/>
      <c r="J839" s="8094"/>
      <c r="K839" s="5653"/>
      <c r="L839" s="5669"/>
      <c r="M839" s="386"/>
      <c r="N839" s="386"/>
      <c r="O839" s="386"/>
      <c r="P839" s="386"/>
      <c r="Q839" s="386"/>
    </row>
    <row r="840" spans="1:17" ht="30" customHeight="1" x14ac:dyDescent="0.2">
      <c r="A840" s="7656"/>
      <c r="B840" s="7665"/>
      <c r="C840" s="7747"/>
      <c r="D840" s="5586">
        <v>50000000</v>
      </c>
      <c r="E840" s="5652"/>
      <c r="F840" s="5586"/>
      <c r="G840" s="8092" t="s">
        <v>7146</v>
      </c>
      <c r="H840" s="8093"/>
      <c r="I840" s="8093"/>
      <c r="J840" s="8094"/>
      <c r="K840" s="5653"/>
      <c r="L840" s="5669"/>
      <c r="M840" s="386"/>
      <c r="N840" s="386"/>
      <c r="O840" s="386"/>
      <c r="P840" s="386"/>
      <c r="Q840" s="386"/>
    </row>
    <row r="841" spans="1:17" ht="30" customHeight="1" x14ac:dyDescent="0.2">
      <c r="A841" s="7656"/>
      <c r="B841" s="7665"/>
      <c r="C841" s="7747"/>
      <c r="D841" s="8026">
        <v>200000000</v>
      </c>
      <c r="E841" s="8028">
        <v>7.0000000000000007E-2</v>
      </c>
      <c r="F841" s="8026">
        <f>D841*E841</f>
        <v>14000000.000000002</v>
      </c>
      <c r="G841" s="7563">
        <v>6250000</v>
      </c>
      <c r="H841" s="7563" t="s">
        <v>7550</v>
      </c>
      <c r="I841" s="7889" t="s">
        <v>7551</v>
      </c>
      <c r="J841" s="7563">
        <f>G841</f>
        <v>6250000</v>
      </c>
      <c r="K841" s="5653"/>
      <c r="L841" s="5469" t="s">
        <v>7212</v>
      </c>
      <c r="M841" s="386"/>
      <c r="N841" s="386"/>
      <c r="O841" s="386"/>
      <c r="P841" s="386"/>
      <c r="Q841" s="386"/>
    </row>
    <row r="842" spans="1:17" ht="30" customHeight="1" x14ac:dyDescent="0.2">
      <c r="A842" s="7656"/>
      <c r="B842" s="7665"/>
      <c r="C842" s="7747"/>
      <c r="D842" s="8027"/>
      <c r="E842" s="8029"/>
      <c r="F842" s="8027"/>
      <c r="G842" s="7564"/>
      <c r="H842" s="7564"/>
      <c r="I842" s="7890"/>
      <c r="J842" s="7564"/>
      <c r="K842" s="5653"/>
      <c r="L842" s="5584" t="s">
        <v>7213</v>
      </c>
      <c r="M842" s="386"/>
      <c r="N842" s="386"/>
      <c r="O842" s="386"/>
      <c r="P842" s="386"/>
      <c r="Q842" s="386"/>
    </row>
    <row r="843" spans="1:17" ht="30" customHeight="1" x14ac:dyDescent="0.2">
      <c r="A843" s="7655"/>
      <c r="B843" s="7653"/>
      <c r="C843" s="7724"/>
      <c r="D843" s="5882">
        <v>50000000</v>
      </c>
      <c r="E843" s="5883">
        <v>7.0000000000000007E-2</v>
      </c>
      <c r="F843" s="5882">
        <f>D843*E843</f>
        <v>3500000.0000000005</v>
      </c>
      <c r="G843" s="8092" t="s">
        <v>7359</v>
      </c>
      <c r="H843" s="8093"/>
      <c r="I843" s="8093"/>
      <c r="J843" s="8094"/>
      <c r="K843" s="5868"/>
      <c r="L843" s="5584" t="s">
        <v>7360</v>
      </c>
      <c r="M843" s="386"/>
      <c r="N843" s="386"/>
      <c r="O843" s="386"/>
      <c r="P843" s="386"/>
      <c r="Q843" s="386"/>
    </row>
    <row r="844" spans="1:17" ht="30" customHeight="1" x14ac:dyDescent="0.2">
      <c r="A844" s="7654">
        <v>386</v>
      </c>
      <c r="B844" s="7652" t="s">
        <v>3092</v>
      </c>
      <c r="C844" s="7723" t="s">
        <v>1306</v>
      </c>
      <c r="D844" s="5592">
        <v>100000000</v>
      </c>
      <c r="E844" s="5604">
        <v>7.0000000000000007E-2</v>
      </c>
      <c r="F844" s="5592">
        <f t="shared" si="79"/>
        <v>7000000.0000000009</v>
      </c>
      <c r="G844" s="5594">
        <v>7000000</v>
      </c>
      <c r="H844" s="5586" t="s">
        <v>7709</v>
      </c>
      <c r="I844" s="5718" t="s">
        <v>4476</v>
      </c>
      <c r="J844" s="5592">
        <f t="shared" ref="J844:J848" si="80">G844</f>
        <v>7000000</v>
      </c>
      <c r="K844" s="5649">
        <f>F844-J844</f>
        <v>0</v>
      </c>
      <c r="L844" s="5669"/>
      <c r="M844" s="386"/>
      <c r="N844" s="386"/>
      <c r="O844" s="386"/>
      <c r="P844" s="386"/>
      <c r="Q844" s="386"/>
    </row>
    <row r="845" spans="1:17" ht="30" customHeight="1" x14ac:dyDescent="0.2">
      <c r="A845" s="7656"/>
      <c r="B845" s="7665"/>
      <c r="C845" s="7747"/>
      <c r="D845" s="7470" t="s">
        <v>7540</v>
      </c>
      <c r="E845" s="7493"/>
      <c r="F845" s="7510"/>
      <c r="G845" s="6030"/>
      <c r="H845" s="6028"/>
      <c r="I845" s="6045"/>
      <c r="J845" s="6029"/>
      <c r="K845" s="6037"/>
      <c r="L845" s="6036"/>
      <c r="M845" s="386"/>
      <c r="N845" s="386"/>
      <c r="O845" s="386"/>
      <c r="P845" s="386"/>
      <c r="Q845" s="386"/>
    </row>
    <row r="846" spans="1:17" ht="30" customHeight="1" x14ac:dyDescent="0.2">
      <c r="A846" s="7655"/>
      <c r="B846" s="7653"/>
      <c r="C846" s="7724"/>
      <c r="D846" s="7470" t="s">
        <v>7751</v>
      </c>
      <c r="E846" s="7493"/>
      <c r="F846" s="7510"/>
      <c r="G846" s="6305">
        <v>26000000</v>
      </c>
      <c r="H846" s="6301" t="s">
        <v>7757</v>
      </c>
      <c r="I846" s="6351" t="s">
        <v>7766</v>
      </c>
      <c r="J846" s="6303">
        <f>G846</f>
        <v>26000000</v>
      </c>
      <c r="K846" s="6290"/>
      <c r="L846" s="6289" t="s">
        <v>7750</v>
      </c>
      <c r="M846" s="386"/>
      <c r="N846" s="386"/>
      <c r="O846" s="386"/>
      <c r="P846" s="386"/>
      <c r="Q846" s="386"/>
    </row>
    <row r="847" spans="1:17" ht="30" customHeight="1" x14ac:dyDescent="0.2">
      <c r="A847" s="5655">
        <v>387</v>
      </c>
      <c r="B847" s="5613" t="s">
        <v>1923</v>
      </c>
      <c r="C847" s="5657" t="s">
        <v>1306</v>
      </c>
      <c r="D847" s="5586">
        <v>75000000</v>
      </c>
      <c r="E847" s="5652">
        <v>0.05</v>
      </c>
      <c r="F847" s="5586">
        <f t="shared" si="79"/>
        <v>3750000</v>
      </c>
      <c r="G847" s="5586">
        <v>3750000</v>
      </c>
      <c r="H847" s="5718" t="s">
        <v>7795</v>
      </c>
      <c r="I847" s="5718" t="s">
        <v>7195</v>
      </c>
      <c r="J847" s="5592">
        <f t="shared" si="80"/>
        <v>3750000</v>
      </c>
      <c r="K847" s="5590">
        <f>F847-J847</f>
        <v>0</v>
      </c>
      <c r="L847" s="5681"/>
      <c r="M847" s="386"/>
      <c r="N847" s="386"/>
      <c r="O847" s="386"/>
      <c r="P847" s="386"/>
      <c r="Q847" s="386"/>
    </row>
    <row r="848" spans="1:17" ht="30" customHeight="1" x14ac:dyDescent="0.2">
      <c r="A848" s="7654"/>
      <c r="B848" s="7652" t="s">
        <v>1953</v>
      </c>
      <c r="C848" s="7723" t="s">
        <v>1306</v>
      </c>
      <c r="D848" s="7563">
        <v>150000000</v>
      </c>
      <c r="E848" s="7659">
        <v>0.05</v>
      </c>
      <c r="F848" s="7563">
        <f t="shared" si="79"/>
        <v>7500000</v>
      </c>
      <c r="G848" s="5827">
        <v>7500000</v>
      </c>
      <c r="H848" s="5827" t="s">
        <v>7310</v>
      </c>
      <c r="I848" s="472" t="s">
        <v>7312</v>
      </c>
      <c r="J848" s="5823">
        <f t="shared" si="80"/>
        <v>7500000</v>
      </c>
      <c r="K848" s="5824">
        <f>G848-J848</f>
        <v>0</v>
      </c>
      <c r="L848" s="5693" t="s">
        <v>6807</v>
      </c>
      <c r="M848" s="386"/>
      <c r="N848" s="386"/>
      <c r="O848" s="386"/>
      <c r="P848" s="386"/>
      <c r="Q848" s="386"/>
    </row>
    <row r="849" spans="1:17" ht="30" customHeight="1" x14ac:dyDescent="0.2">
      <c r="A849" s="7655"/>
      <c r="B849" s="7653"/>
      <c r="C849" s="7724"/>
      <c r="D849" s="7564"/>
      <c r="E849" s="7660"/>
      <c r="F849" s="7564"/>
      <c r="G849" s="6244">
        <v>7500000</v>
      </c>
      <c r="H849" s="6244" t="s">
        <v>7723</v>
      </c>
      <c r="I849" s="472" t="s">
        <v>7312</v>
      </c>
      <c r="J849" s="6244">
        <f>G849</f>
        <v>7500000</v>
      </c>
      <c r="K849" s="6252">
        <f>F848-J849</f>
        <v>0</v>
      </c>
      <c r="L849" s="6257" t="s">
        <v>7501</v>
      </c>
      <c r="M849" s="386"/>
      <c r="N849" s="386"/>
      <c r="O849" s="386"/>
      <c r="P849" s="386"/>
      <c r="Q849" s="386"/>
    </row>
    <row r="850" spans="1:17" ht="30" customHeight="1" x14ac:dyDescent="0.2">
      <c r="A850" s="7654">
        <v>390</v>
      </c>
      <c r="B850" s="7652" t="s">
        <v>1996</v>
      </c>
      <c r="C850" s="7723" t="s">
        <v>889</v>
      </c>
      <c r="D850" s="5594">
        <v>5000000</v>
      </c>
      <c r="E850" s="5606">
        <v>0.05</v>
      </c>
      <c r="F850" s="5594">
        <f t="shared" si="79"/>
        <v>250000</v>
      </c>
      <c r="G850" s="5594">
        <v>1400000</v>
      </c>
      <c r="H850" s="5594" t="s">
        <v>7424</v>
      </c>
      <c r="I850" s="472" t="s">
        <v>2533</v>
      </c>
      <c r="J850" s="5594">
        <f>G850</f>
        <v>1400000</v>
      </c>
      <c r="K850" s="5650">
        <f>(F850+F851+F852+F853)-J850</f>
        <v>350000</v>
      </c>
      <c r="L850" s="5681"/>
      <c r="M850" s="386"/>
      <c r="N850" s="386"/>
      <c r="O850" s="386"/>
      <c r="P850" s="386"/>
      <c r="Q850" s="386"/>
    </row>
    <row r="851" spans="1:17" ht="30" customHeight="1" x14ac:dyDescent="0.2">
      <c r="A851" s="7656"/>
      <c r="B851" s="7665"/>
      <c r="C851" s="7747"/>
      <c r="D851" s="5594">
        <v>10000000</v>
      </c>
      <c r="E851" s="5606">
        <v>0.05</v>
      </c>
      <c r="F851" s="5594">
        <f t="shared" si="79"/>
        <v>500000</v>
      </c>
      <c r="G851" s="8092" t="s">
        <v>7034</v>
      </c>
      <c r="H851" s="8093"/>
      <c r="I851" s="8093"/>
      <c r="J851" s="8094"/>
      <c r="K851" s="5650"/>
      <c r="L851" s="7811" t="s">
        <v>7012</v>
      </c>
      <c r="M851" s="386"/>
      <c r="N851" s="386"/>
      <c r="O851" s="386"/>
      <c r="P851" s="386"/>
      <c r="Q851" s="386"/>
    </row>
    <row r="852" spans="1:17" ht="30" customHeight="1" x14ac:dyDescent="0.2">
      <c r="A852" s="7656"/>
      <c r="B852" s="7665"/>
      <c r="C852" s="7747"/>
      <c r="D852" s="5594">
        <v>10000000</v>
      </c>
      <c r="E852" s="5606">
        <v>0.05</v>
      </c>
      <c r="F852" s="5594">
        <f t="shared" si="79"/>
        <v>500000</v>
      </c>
      <c r="G852" s="8092" t="s">
        <v>7035</v>
      </c>
      <c r="H852" s="8093"/>
      <c r="I852" s="8093"/>
      <c r="J852" s="8094"/>
      <c r="K852" s="5650"/>
      <c r="L852" s="7897"/>
      <c r="M852" s="386"/>
      <c r="N852" s="386"/>
      <c r="O852" s="386"/>
      <c r="P852" s="386"/>
      <c r="Q852" s="386"/>
    </row>
    <row r="853" spans="1:17" ht="30" customHeight="1" x14ac:dyDescent="0.2">
      <c r="A853" s="7655"/>
      <c r="B853" s="7653"/>
      <c r="C853" s="7724"/>
      <c r="D853" s="5594">
        <v>10000000</v>
      </c>
      <c r="E853" s="5606">
        <v>0.05</v>
      </c>
      <c r="F853" s="5594">
        <f t="shared" si="79"/>
        <v>500000</v>
      </c>
      <c r="G853" s="8092" t="s">
        <v>7036</v>
      </c>
      <c r="H853" s="8093"/>
      <c r="I853" s="8093"/>
      <c r="J853" s="8094"/>
      <c r="K853" s="5650"/>
      <c r="L853" s="7812"/>
      <c r="M853" s="386"/>
      <c r="N853" s="386"/>
      <c r="O853" s="386"/>
      <c r="P853" s="386"/>
      <c r="Q853" s="386"/>
    </row>
    <row r="854" spans="1:17" ht="30" customHeight="1" x14ac:dyDescent="0.2">
      <c r="A854" s="7654">
        <v>391</v>
      </c>
      <c r="B854" s="7652" t="s">
        <v>2003</v>
      </c>
      <c r="C854" s="7723" t="s">
        <v>3390</v>
      </c>
      <c r="D854" s="7563">
        <v>1000000000</v>
      </c>
      <c r="E854" s="7659">
        <v>0.05</v>
      </c>
      <c r="F854" s="7563">
        <f t="shared" si="79"/>
        <v>50000000</v>
      </c>
      <c r="G854" s="6124"/>
      <c r="H854" s="6124"/>
      <c r="I854" s="6124"/>
      <c r="J854" s="7563"/>
      <c r="K854" s="7816"/>
      <c r="L854" s="5590"/>
      <c r="M854" s="386"/>
      <c r="N854" s="386"/>
      <c r="O854" s="386"/>
      <c r="P854" s="386"/>
      <c r="Q854" s="386"/>
    </row>
    <row r="855" spans="1:17" ht="30" customHeight="1" x14ac:dyDescent="0.2">
      <c r="A855" s="7656"/>
      <c r="B855" s="7665"/>
      <c r="C855" s="7747"/>
      <c r="D855" s="7586"/>
      <c r="E855" s="7676"/>
      <c r="F855" s="7586"/>
      <c r="G855" s="6124"/>
      <c r="H855" s="6124"/>
      <c r="I855" s="6124"/>
      <c r="J855" s="7586"/>
      <c r="K855" s="7882"/>
      <c r="L855" s="6125"/>
      <c r="M855" s="386"/>
      <c r="N855" s="386"/>
      <c r="O855" s="386"/>
      <c r="P855" s="386"/>
      <c r="Q855" s="386"/>
    </row>
    <row r="856" spans="1:17" ht="30" customHeight="1" x14ac:dyDescent="0.2">
      <c r="A856" s="7655"/>
      <c r="B856" s="7653"/>
      <c r="C856" s="7724"/>
      <c r="D856" s="7564"/>
      <c r="E856" s="7660"/>
      <c r="F856" s="7564"/>
      <c r="G856" s="6124"/>
      <c r="H856" s="6124"/>
      <c r="I856" s="6124"/>
      <c r="J856" s="7564"/>
      <c r="K856" s="7817"/>
      <c r="L856" s="6125"/>
      <c r="M856" s="386"/>
      <c r="N856" s="386"/>
      <c r="O856" s="386"/>
      <c r="P856" s="386"/>
      <c r="Q856" s="386"/>
    </row>
    <row r="857" spans="1:17" ht="30" customHeight="1" x14ac:dyDescent="0.2">
      <c r="A857" s="5597">
        <v>392</v>
      </c>
      <c r="B857" s="5602" t="s">
        <v>2048</v>
      </c>
      <c r="C857" s="5634" t="s">
        <v>1294</v>
      </c>
      <c r="D857" s="5594">
        <v>50000000</v>
      </c>
      <c r="E857" s="5652">
        <v>0.05</v>
      </c>
      <c r="F857" s="5594">
        <f t="shared" si="79"/>
        <v>2500000</v>
      </c>
      <c r="G857" s="5594"/>
      <c r="H857" s="5594"/>
      <c r="I857" s="472" t="s">
        <v>3047</v>
      </c>
      <c r="J857" s="5594">
        <f>G857</f>
        <v>0</v>
      </c>
      <c r="K857" s="5650">
        <f>F857-J857</f>
        <v>2500000</v>
      </c>
      <c r="L857" s="5681"/>
      <c r="M857" s="386"/>
      <c r="N857" s="386"/>
      <c r="O857" s="386"/>
      <c r="P857" s="386"/>
      <c r="Q857" s="386"/>
    </row>
    <row r="858" spans="1:17" ht="30" customHeight="1" x14ac:dyDescent="0.2">
      <c r="A858" s="5655"/>
      <c r="B858" s="19" t="s">
        <v>2040</v>
      </c>
      <c r="C858" s="5657"/>
      <c r="D858" s="5586">
        <v>70000000</v>
      </c>
      <c r="E858" s="5652">
        <v>0.05</v>
      </c>
      <c r="F858" s="5586">
        <f t="shared" si="79"/>
        <v>3500000</v>
      </c>
      <c r="G858" s="5586">
        <v>3500000</v>
      </c>
      <c r="H858" s="5586" t="s">
        <v>2830</v>
      </c>
      <c r="I858" s="5586" t="s">
        <v>3701</v>
      </c>
      <c r="J858" s="5586">
        <f>G858</f>
        <v>3500000</v>
      </c>
      <c r="K858" s="5590">
        <f>F858-J858</f>
        <v>0</v>
      </c>
      <c r="L858" s="5681"/>
      <c r="M858" s="386"/>
      <c r="N858" s="386"/>
      <c r="O858" s="386"/>
      <c r="P858" s="386"/>
      <c r="Q858" s="386"/>
    </row>
    <row r="859" spans="1:17" ht="30" customHeight="1" x14ac:dyDescent="0.2">
      <c r="A859" s="7654"/>
      <c r="B859" s="5688" t="s">
        <v>2052</v>
      </c>
      <c r="C859" s="8024" t="s">
        <v>1306</v>
      </c>
      <c r="D859" s="5697">
        <v>600000000</v>
      </c>
      <c r="E859" s="5687">
        <v>0.06</v>
      </c>
      <c r="F859" s="5697">
        <f t="shared" si="79"/>
        <v>36000000</v>
      </c>
      <c r="G859" s="7482"/>
      <c r="H859" s="7482"/>
      <c r="I859" s="8300"/>
      <c r="J859" s="7768"/>
      <c r="K859" s="5650"/>
      <c r="L859" s="5681"/>
      <c r="M859" s="386"/>
      <c r="N859" s="386"/>
      <c r="O859" s="386"/>
      <c r="P859" s="386"/>
      <c r="Q859" s="386"/>
    </row>
    <row r="860" spans="1:17" ht="30" customHeight="1" x14ac:dyDescent="0.2">
      <c r="A860" s="7656"/>
      <c r="B860" s="5688" t="s">
        <v>2049</v>
      </c>
      <c r="C860" s="8024"/>
      <c r="D860" s="5697">
        <v>310000000</v>
      </c>
      <c r="E860" s="679">
        <v>0.06</v>
      </c>
      <c r="F860" s="5697">
        <f t="shared" si="79"/>
        <v>18600000</v>
      </c>
      <c r="G860" s="7482"/>
      <c r="H860" s="7482"/>
      <c r="I860" s="8300"/>
      <c r="J860" s="7878"/>
      <c r="K860" s="5650"/>
      <c r="L860" s="5681"/>
      <c r="M860" s="386"/>
      <c r="N860" s="386"/>
      <c r="O860" s="386"/>
      <c r="P860" s="386"/>
      <c r="Q860" s="386"/>
    </row>
    <row r="861" spans="1:17" ht="30" customHeight="1" x14ac:dyDescent="0.2">
      <c r="A861" s="7656"/>
      <c r="B861" s="5688" t="s">
        <v>2053</v>
      </c>
      <c r="C861" s="8024"/>
      <c r="D861" s="5697">
        <v>50000000</v>
      </c>
      <c r="E861" s="679">
        <v>0.06</v>
      </c>
      <c r="F861" s="5697">
        <f t="shared" si="79"/>
        <v>3000000</v>
      </c>
      <c r="G861" s="7482"/>
      <c r="H861" s="7482"/>
      <c r="I861" s="8300"/>
      <c r="J861" s="7878"/>
      <c r="K861" s="5650"/>
      <c r="L861" s="5681"/>
      <c r="M861" s="386"/>
      <c r="N861" s="386"/>
      <c r="O861" s="386"/>
      <c r="P861" s="386"/>
      <c r="Q861" s="386"/>
    </row>
    <row r="862" spans="1:17" ht="30" customHeight="1" x14ac:dyDescent="0.2">
      <c r="A862" s="7656"/>
      <c r="B862" s="5688" t="s">
        <v>2050</v>
      </c>
      <c r="C862" s="8024"/>
      <c r="D862" s="5697">
        <v>110000000</v>
      </c>
      <c r="E862" s="679">
        <v>0.06</v>
      </c>
      <c r="F862" s="5697">
        <f t="shared" si="79"/>
        <v>6600000</v>
      </c>
      <c r="G862" s="7482"/>
      <c r="H862" s="7482"/>
      <c r="I862" s="8300"/>
      <c r="J862" s="7878"/>
      <c r="K862" s="5650"/>
      <c r="L862" s="5681"/>
      <c r="M862" s="386"/>
      <c r="N862" s="386"/>
      <c r="O862" s="386"/>
      <c r="P862" s="386"/>
      <c r="Q862" s="386"/>
    </row>
    <row r="863" spans="1:17" ht="30" customHeight="1" x14ac:dyDescent="0.2">
      <c r="A863" s="7656"/>
      <c r="B863" s="5688" t="s">
        <v>2051</v>
      </c>
      <c r="C863" s="8025"/>
      <c r="D863" s="5697">
        <v>100000000</v>
      </c>
      <c r="E863" s="679">
        <v>0.06</v>
      </c>
      <c r="F863" s="5697">
        <f t="shared" si="79"/>
        <v>6000000</v>
      </c>
      <c r="G863" s="7482"/>
      <c r="H863" s="7482"/>
      <c r="I863" s="8300"/>
      <c r="J863" s="7878"/>
      <c r="K863" s="5650"/>
      <c r="L863" s="5681"/>
      <c r="M863" s="386"/>
      <c r="N863" s="386"/>
      <c r="O863" s="386"/>
      <c r="P863" s="386"/>
      <c r="Q863" s="386"/>
    </row>
    <row r="864" spans="1:17" ht="30" customHeight="1" x14ac:dyDescent="0.2">
      <c r="A864" s="7656"/>
      <c r="B864" s="5707" t="s">
        <v>4588</v>
      </c>
      <c r="C864" s="5695"/>
      <c r="D864" s="5696">
        <v>50000000</v>
      </c>
      <c r="E864" s="5686">
        <v>0.06</v>
      </c>
      <c r="F864" s="5696">
        <f t="shared" si="79"/>
        <v>3000000</v>
      </c>
      <c r="G864" s="7482"/>
      <c r="H864" s="7482"/>
      <c r="I864" s="8300"/>
      <c r="J864" s="7770"/>
      <c r="K864" s="5653"/>
      <c r="L864" s="5669"/>
      <c r="M864" s="386"/>
      <c r="N864" s="386"/>
      <c r="O864" s="386"/>
      <c r="P864" s="386"/>
      <c r="Q864" s="386"/>
    </row>
    <row r="865" spans="1:17" ht="30" customHeight="1" x14ac:dyDescent="0.2">
      <c r="A865" s="7656"/>
      <c r="B865" s="8021" t="s">
        <v>3423</v>
      </c>
      <c r="C865" s="8023" t="s">
        <v>1306</v>
      </c>
      <c r="D865" s="8001">
        <f>SUM(D859:D864)</f>
        <v>1220000000</v>
      </c>
      <c r="E865" s="8083"/>
      <c r="F865" s="8001">
        <f>SUM(F859:F864)</f>
        <v>73200000</v>
      </c>
      <c r="G865" s="7563">
        <v>13200000</v>
      </c>
      <c r="H865" s="7563" t="s">
        <v>7293</v>
      </c>
      <c r="I865" s="7889" t="s">
        <v>7294</v>
      </c>
      <c r="J865" s="7563">
        <f>G865+G867+G868+G869</f>
        <v>73200000</v>
      </c>
      <c r="K865" s="7816">
        <f>F865-J865</f>
        <v>0</v>
      </c>
      <c r="L865" s="7811" t="s">
        <v>7295</v>
      </c>
      <c r="M865" s="386"/>
      <c r="N865" s="386"/>
      <c r="O865" s="386"/>
      <c r="P865" s="386"/>
      <c r="Q865" s="386"/>
    </row>
    <row r="866" spans="1:17" ht="30" customHeight="1" x14ac:dyDescent="0.2">
      <c r="A866" s="7656"/>
      <c r="B866" s="8269"/>
      <c r="C866" s="8024"/>
      <c r="D866" s="8041"/>
      <c r="E866" s="8142"/>
      <c r="F866" s="8041"/>
      <c r="G866" s="7564"/>
      <c r="H866" s="7564"/>
      <c r="I866" s="7890"/>
      <c r="J866" s="7586"/>
      <c r="K866" s="7882"/>
      <c r="L866" s="7897"/>
      <c r="M866" s="386"/>
      <c r="N866" s="386"/>
      <c r="O866" s="386"/>
      <c r="P866" s="386"/>
      <c r="Q866" s="386"/>
    </row>
    <row r="867" spans="1:17" ht="30" customHeight="1" x14ac:dyDescent="0.2">
      <c r="A867" s="7656"/>
      <c r="B867" s="8269"/>
      <c r="C867" s="8024"/>
      <c r="D867" s="8041"/>
      <c r="E867" s="8142"/>
      <c r="F867" s="8041"/>
      <c r="G867" s="5827">
        <v>30000000</v>
      </c>
      <c r="H867" s="5827" t="s">
        <v>7325</v>
      </c>
      <c r="I867" s="472" t="s">
        <v>7294</v>
      </c>
      <c r="J867" s="7586"/>
      <c r="K867" s="7882"/>
      <c r="L867" s="7812"/>
      <c r="M867" s="386"/>
      <c r="N867" s="386"/>
      <c r="O867" s="386"/>
      <c r="P867" s="386"/>
      <c r="Q867" s="386"/>
    </row>
    <row r="868" spans="1:17" ht="30" customHeight="1" x14ac:dyDescent="0.2">
      <c r="A868" s="7656"/>
      <c r="B868" s="8269"/>
      <c r="C868" s="8024"/>
      <c r="D868" s="8041"/>
      <c r="E868" s="8142"/>
      <c r="F868" s="8041"/>
      <c r="G868" s="6012">
        <v>15000000</v>
      </c>
      <c r="H868" s="6012" t="s">
        <v>7427</v>
      </c>
      <c r="I868" s="472" t="s">
        <v>7518</v>
      </c>
      <c r="J868" s="7586"/>
      <c r="K868" s="7882"/>
      <c r="L868" s="6020" t="s">
        <v>7517</v>
      </c>
      <c r="M868" s="386"/>
      <c r="N868" s="386"/>
      <c r="O868" s="386"/>
      <c r="P868" s="386"/>
      <c r="Q868" s="386"/>
    </row>
    <row r="869" spans="1:17" ht="30" customHeight="1" x14ac:dyDescent="0.2">
      <c r="A869" s="7655"/>
      <c r="B869" s="8022"/>
      <c r="C869" s="8025"/>
      <c r="D869" s="8002"/>
      <c r="E869" s="8084"/>
      <c r="F869" s="8002"/>
      <c r="G869" s="6012">
        <v>15000000</v>
      </c>
      <c r="H869" s="6012" t="s">
        <v>7511</v>
      </c>
      <c r="I869" s="472" t="s">
        <v>7294</v>
      </c>
      <c r="J869" s="7564"/>
      <c r="K869" s="7817"/>
      <c r="L869" s="6020" t="s">
        <v>7295</v>
      </c>
      <c r="M869" s="386"/>
      <c r="N869" s="386"/>
      <c r="O869" s="386"/>
      <c r="P869" s="386"/>
      <c r="Q869" s="386"/>
    </row>
    <row r="870" spans="1:17" ht="30" customHeight="1" x14ac:dyDescent="0.2">
      <c r="A870" s="7654"/>
      <c r="B870" s="7652" t="s">
        <v>2069</v>
      </c>
      <c r="C870" s="7723" t="s">
        <v>3323</v>
      </c>
      <c r="D870" s="7563">
        <v>200000000</v>
      </c>
      <c r="E870" s="7659">
        <v>7.0000000000000007E-2</v>
      </c>
      <c r="F870" s="7563">
        <f t="shared" ref="F870:F876" si="81">D870*E870</f>
        <v>14000000.000000002</v>
      </c>
      <c r="G870" s="5594">
        <v>14000000</v>
      </c>
      <c r="H870" s="5594" t="s">
        <v>7298</v>
      </c>
      <c r="I870" s="472" t="s">
        <v>7305</v>
      </c>
      <c r="J870" s="5586">
        <f>G870</f>
        <v>14000000</v>
      </c>
      <c r="K870" s="5590">
        <f>F870-J870</f>
        <v>0</v>
      </c>
      <c r="L870" s="5669" t="s">
        <v>6807</v>
      </c>
      <c r="M870" s="386"/>
      <c r="N870" s="386"/>
      <c r="O870" s="386"/>
      <c r="P870" s="386"/>
      <c r="Q870" s="386"/>
    </row>
    <row r="871" spans="1:17" ht="30" customHeight="1" x14ac:dyDescent="0.2">
      <c r="A871" s="7655"/>
      <c r="B871" s="7653"/>
      <c r="C871" s="7724"/>
      <c r="D871" s="7564"/>
      <c r="E871" s="7660"/>
      <c r="F871" s="7564"/>
      <c r="G871" s="6305">
        <v>14000000</v>
      </c>
      <c r="H871" s="6305" t="s">
        <v>7786</v>
      </c>
      <c r="I871" s="472" t="s">
        <v>7305</v>
      </c>
      <c r="J871" s="6305">
        <f>G871</f>
        <v>14000000</v>
      </c>
      <c r="K871" s="6332">
        <f>F870-J871</f>
        <v>0</v>
      </c>
      <c r="L871" s="6330" t="s">
        <v>7501</v>
      </c>
      <c r="M871" s="386"/>
      <c r="N871" s="386"/>
      <c r="O871" s="386"/>
      <c r="P871" s="386"/>
      <c r="Q871" s="386"/>
    </row>
    <row r="872" spans="1:17" ht="30" customHeight="1" x14ac:dyDescent="0.2">
      <c r="A872" s="5597"/>
      <c r="B872" s="5602" t="s">
        <v>2089</v>
      </c>
      <c r="C872" s="5634" t="s">
        <v>2278</v>
      </c>
      <c r="D872" s="5594">
        <v>13000000</v>
      </c>
      <c r="E872" s="5652">
        <v>0.05</v>
      </c>
      <c r="F872" s="5594">
        <f t="shared" si="81"/>
        <v>650000</v>
      </c>
      <c r="G872" s="5594">
        <v>650000</v>
      </c>
      <c r="H872" s="5594" t="s">
        <v>7614</v>
      </c>
      <c r="I872" s="472" t="s">
        <v>2984</v>
      </c>
      <c r="J872" s="5594">
        <f>G872</f>
        <v>650000</v>
      </c>
      <c r="K872" s="5650">
        <f>F872-J872</f>
        <v>0</v>
      </c>
      <c r="L872" s="5681"/>
      <c r="M872" s="386"/>
      <c r="N872" s="386"/>
      <c r="O872" s="386"/>
      <c r="P872" s="386"/>
      <c r="Q872" s="386"/>
    </row>
    <row r="873" spans="1:17" ht="30" customHeight="1" x14ac:dyDescent="0.2">
      <c r="A873" s="7654"/>
      <c r="B873" s="7652" t="s">
        <v>2128</v>
      </c>
      <c r="C873" s="7723" t="s">
        <v>1287</v>
      </c>
      <c r="D873" s="5594">
        <v>50000000</v>
      </c>
      <c r="E873" s="5652">
        <v>0.04</v>
      </c>
      <c r="F873" s="5594">
        <f t="shared" si="81"/>
        <v>2000000</v>
      </c>
      <c r="G873" s="7563">
        <v>7000000</v>
      </c>
      <c r="H873" s="7563" t="s">
        <v>7718</v>
      </c>
      <c r="I873" s="7889" t="s">
        <v>5845</v>
      </c>
      <c r="J873" s="7563">
        <f>G873+G874</f>
        <v>7000000</v>
      </c>
      <c r="K873" s="7816">
        <f>(F873+F874)-J873</f>
        <v>0</v>
      </c>
      <c r="L873" s="7816"/>
      <c r="M873" s="386"/>
      <c r="N873" s="386"/>
      <c r="O873" s="386"/>
      <c r="P873" s="386"/>
      <c r="Q873" s="386"/>
    </row>
    <row r="874" spans="1:17" ht="30" customHeight="1" x14ac:dyDescent="0.2">
      <c r="A874" s="7655"/>
      <c r="B874" s="7653"/>
      <c r="C874" s="7724"/>
      <c r="D874" s="5593">
        <v>100000000</v>
      </c>
      <c r="E874" s="5604">
        <v>0.05</v>
      </c>
      <c r="F874" s="5593">
        <f t="shared" si="81"/>
        <v>5000000</v>
      </c>
      <c r="G874" s="7564"/>
      <c r="H874" s="7564"/>
      <c r="I874" s="7890"/>
      <c r="J874" s="7564"/>
      <c r="K874" s="7817"/>
      <c r="L874" s="7817"/>
      <c r="M874" s="386"/>
      <c r="N874" s="386"/>
      <c r="O874" s="386"/>
      <c r="P874" s="386"/>
      <c r="Q874" s="386"/>
    </row>
    <row r="875" spans="1:17" ht="30" customHeight="1" x14ac:dyDescent="0.2">
      <c r="A875" s="5796"/>
      <c r="B875" s="5785" t="s">
        <v>2129</v>
      </c>
      <c r="C875" s="5797" t="s">
        <v>372</v>
      </c>
      <c r="D875" s="5774">
        <v>100000000</v>
      </c>
      <c r="E875" s="5795">
        <v>0.05</v>
      </c>
      <c r="F875" s="5774">
        <f t="shared" si="81"/>
        <v>5000000</v>
      </c>
      <c r="G875" s="5774">
        <v>5000000</v>
      </c>
      <c r="H875" s="5774" t="s">
        <v>1975</v>
      </c>
      <c r="I875" s="5814" t="s">
        <v>3581</v>
      </c>
      <c r="J875" s="5774">
        <f>G875</f>
        <v>5000000</v>
      </c>
      <c r="K875" s="5775">
        <f>F875-J875</f>
        <v>0</v>
      </c>
      <c r="L875" s="5649"/>
      <c r="M875" s="386"/>
      <c r="N875" s="386"/>
      <c r="O875" s="386"/>
      <c r="P875" s="386"/>
      <c r="Q875" s="386"/>
    </row>
    <row r="876" spans="1:17" s="1539" customFormat="1" ht="30" customHeight="1" x14ac:dyDescent="0.2">
      <c r="A876" s="5655"/>
      <c r="B876" s="5613" t="s">
        <v>2208</v>
      </c>
      <c r="C876" s="5657" t="s">
        <v>1306</v>
      </c>
      <c r="D876" s="5586">
        <v>30000000</v>
      </c>
      <c r="E876" s="5652">
        <v>0.05</v>
      </c>
      <c r="F876" s="5586">
        <f t="shared" si="81"/>
        <v>1500000</v>
      </c>
      <c r="G876" s="5586">
        <v>1500000</v>
      </c>
      <c r="H876" s="5586" t="s">
        <v>7614</v>
      </c>
      <c r="I876" s="5586" t="s">
        <v>3204</v>
      </c>
      <c r="J876" s="5586">
        <f>G876</f>
        <v>1500000</v>
      </c>
      <c r="K876" s="5586">
        <f>F876-J876</f>
        <v>0</v>
      </c>
      <c r="L876" s="5681"/>
      <c r="M876" s="387"/>
      <c r="N876" s="387"/>
      <c r="O876" s="387"/>
      <c r="P876" s="387"/>
      <c r="Q876" s="387"/>
    </row>
    <row r="877" spans="1:17" ht="30" customHeight="1" x14ac:dyDescent="0.2">
      <c r="A877" s="5597"/>
      <c r="B877" s="5602" t="s">
        <v>2303</v>
      </c>
      <c r="C877" s="5634"/>
      <c r="D877" s="5594">
        <v>100000000</v>
      </c>
      <c r="E877" s="5652">
        <v>0.05</v>
      </c>
      <c r="F877" s="5594">
        <f>D877*E877</f>
        <v>5000000</v>
      </c>
      <c r="G877" s="5594">
        <v>10000000</v>
      </c>
      <c r="H877" s="5594" t="s">
        <v>7281</v>
      </c>
      <c r="I877" s="472" t="s">
        <v>5949</v>
      </c>
      <c r="J877" s="5594">
        <f t="shared" ref="J877:J883" si="82">G877</f>
        <v>10000000</v>
      </c>
      <c r="K877" s="5650">
        <f>F877-J877</f>
        <v>-5000000</v>
      </c>
      <c r="L877" s="5681" t="s">
        <v>7287</v>
      </c>
      <c r="M877" s="386"/>
      <c r="N877" s="386"/>
      <c r="O877" s="386"/>
      <c r="P877" s="386"/>
      <c r="Q877" s="386"/>
    </row>
    <row r="878" spans="1:17" ht="30" customHeight="1" x14ac:dyDescent="0.2">
      <c r="A878" s="5597"/>
      <c r="B878" s="5602" t="s">
        <v>5996</v>
      </c>
      <c r="C878" s="5634" t="s">
        <v>1306</v>
      </c>
      <c r="D878" s="5594">
        <v>25000000</v>
      </c>
      <c r="E878" s="5652">
        <v>0.04</v>
      </c>
      <c r="F878" s="5594">
        <f>D878*E878</f>
        <v>1000000</v>
      </c>
      <c r="G878" s="5594">
        <v>1000000</v>
      </c>
      <c r="H878" s="5594" t="s">
        <v>7795</v>
      </c>
      <c r="I878" s="472" t="s">
        <v>2346</v>
      </c>
      <c r="J878" s="5594">
        <f t="shared" si="82"/>
        <v>1000000</v>
      </c>
      <c r="K878" s="5650">
        <f>F878-J878</f>
        <v>0</v>
      </c>
      <c r="L878" s="5681"/>
      <c r="M878" s="386"/>
      <c r="N878" s="386"/>
      <c r="O878" s="386"/>
      <c r="P878" s="386"/>
      <c r="Q878" s="386"/>
    </row>
    <row r="879" spans="1:17" ht="30" customHeight="1" x14ac:dyDescent="0.2">
      <c r="A879" s="5597"/>
      <c r="B879" s="5602" t="s">
        <v>2385</v>
      </c>
      <c r="C879" s="5634"/>
      <c r="D879" s="5611"/>
      <c r="E879" s="2519"/>
      <c r="F879" s="5611"/>
      <c r="G879" s="5594"/>
      <c r="H879" s="5594"/>
      <c r="I879" s="472"/>
      <c r="J879" s="5594">
        <f t="shared" si="82"/>
        <v>0</v>
      </c>
      <c r="K879" s="5651">
        <f>F879-J879</f>
        <v>0</v>
      </c>
      <c r="L879" s="5681"/>
      <c r="M879" s="386"/>
      <c r="N879" s="386"/>
      <c r="O879" s="386"/>
      <c r="P879" s="386"/>
      <c r="Q879" s="386"/>
    </row>
    <row r="880" spans="1:17" ht="30" customHeight="1" x14ac:dyDescent="0.2">
      <c r="A880" s="7654"/>
      <c r="B880" s="7652" t="s">
        <v>2388</v>
      </c>
      <c r="C880" s="7723" t="s">
        <v>1172</v>
      </c>
      <c r="D880" s="7563">
        <v>120000000</v>
      </c>
      <c r="E880" s="7659">
        <v>0.05</v>
      </c>
      <c r="F880" s="7563">
        <f>D880*E880</f>
        <v>6000000</v>
      </c>
      <c r="G880" s="5887">
        <v>100000000</v>
      </c>
      <c r="H880" s="5887" t="s">
        <v>7427</v>
      </c>
      <c r="I880" s="472" t="s">
        <v>6933</v>
      </c>
      <c r="J880" s="5887">
        <f>G880</f>
        <v>100000000</v>
      </c>
      <c r="K880" s="5649"/>
      <c r="L880" s="7732" t="s">
        <v>7426</v>
      </c>
      <c r="M880" s="7733"/>
      <c r="N880" s="7733"/>
      <c r="O880" s="7734"/>
      <c r="P880" s="386"/>
      <c r="Q880" s="386"/>
    </row>
    <row r="881" spans="1:17" ht="30" customHeight="1" x14ac:dyDescent="0.2">
      <c r="A881" s="7656"/>
      <c r="B881" s="7665"/>
      <c r="C881" s="7747"/>
      <c r="D881" s="7586"/>
      <c r="E881" s="7676"/>
      <c r="F881" s="7586"/>
      <c r="G881" s="5943">
        <v>100000000</v>
      </c>
      <c r="H881" s="5943" t="s">
        <v>7427</v>
      </c>
      <c r="I881" s="472" t="s">
        <v>6933</v>
      </c>
      <c r="J881" s="5943">
        <f>G881</f>
        <v>100000000</v>
      </c>
      <c r="K881" s="5949"/>
      <c r="L881" s="5946" t="s">
        <v>7493</v>
      </c>
      <c r="M881" s="5954"/>
      <c r="N881" s="5954"/>
      <c r="O881" s="5954"/>
      <c r="P881" s="386"/>
      <c r="Q881" s="386"/>
    </row>
    <row r="882" spans="1:17" ht="30" customHeight="1" x14ac:dyDescent="0.2">
      <c r="A882" s="7655"/>
      <c r="B882" s="7653"/>
      <c r="C882" s="7724"/>
      <c r="D882" s="7564"/>
      <c r="E882" s="7660"/>
      <c r="F882" s="7564"/>
      <c r="G882" s="5959">
        <v>28000000</v>
      </c>
      <c r="H882" s="5959" t="s">
        <v>4168</v>
      </c>
      <c r="I882" s="472" t="s">
        <v>6933</v>
      </c>
      <c r="J882" s="5959">
        <f>G882</f>
        <v>28000000</v>
      </c>
      <c r="K882" s="5982"/>
      <c r="L882" s="5971" t="s">
        <v>7493</v>
      </c>
      <c r="M882" s="5992"/>
      <c r="N882" s="5992"/>
      <c r="O882" s="5992"/>
      <c r="P882" s="386"/>
      <c r="Q882" s="386"/>
    </row>
    <row r="883" spans="1:17" ht="30" customHeight="1" x14ac:dyDescent="0.2">
      <c r="A883" s="7654"/>
      <c r="B883" s="7652" t="s">
        <v>2647</v>
      </c>
      <c r="C883" s="5633" t="s">
        <v>1652</v>
      </c>
      <c r="D883" s="5594">
        <v>100000000</v>
      </c>
      <c r="E883" s="5652">
        <v>0.05</v>
      </c>
      <c r="F883" s="5594">
        <f t="shared" ref="F883:F908" si="83">D883*E883</f>
        <v>5000000</v>
      </c>
      <c r="G883" s="5586">
        <v>5000000</v>
      </c>
      <c r="H883" s="5586" t="s">
        <v>7460</v>
      </c>
      <c r="I883" s="5586" t="s">
        <v>5099</v>
      </c>
      <c r="J883" s="5586">
        <f t="shared" si="82"/>
        <v>5000000</v>
      </c>
      <c r="K883" s="5590">
        <f>F883-J883</f>
        <v>0</v>
      </c>
      <c r="L883" s="5681" t="s">
        <v>6829</v>
      </c>
      <c r="M883" s="386"/>
      <c r="N883" s="386"/>
      <c r="O883" s="386"/>
      <c r="P883" s="386"/>
      <c r="Q883" s="386"/>
    </row>
    <row r="884" spans="1:17" ht="30" customHeight="1" x14ac:dyDescent="0.2">
      <c r="A884" s="7656"/>
      <c r="B884" s="7665"/>
      <c r="C884" s="7723" t="s">
        <v>3390</v>
      </c>
      <c r="D884" s="7563">
        <v>1000000000</v>
      </c>
      <c r="E884" s="7659">
        <v>6.5000000000000002E-2</v>
      </c>
      <c r="F884" s="7563">
        <f>D884*E884</f>
        <v>65000000</v>
      </c>
      <c r="G884" s="5586">
        <v>30000000</v>
      </c>
      <c r="H884" s="5586" t="s">
        <v>7668</v>
      </c>
      <c r="I884" s="5586" t="s">
        <v>7679</v>
      </c>
      <c r="J884" s="7563">
        <f>G884+G885</f>
        <v>65000000</v>
      </c>
      <c r="K884" s="7816">
        <f>F884-J884</f>
        <v>0</v>
      </c>
      <c r="L884" s="7816"/>
      <c r="M884" s="386"/>
      <c r="N884" s="386"/>
      <c r="O884" s="386"/>
      <c r="P884" s="386"/>
      <c r="Q884" s="386"/>
    </row>
    <row r="885" spans="1:17" ht="30" customHeight="1" x14ac:dyDescent="0.2">
      <c r="A885" s="7656"/>
      <c r="B885" s="7665"/>
      <c r="C885" s="7724"/>
      <c r="D885" s="7564"/>
      <c r="E885" s="7660"/>
      <c r="F885" s="7564"/>
      <c r="G885" s="6189">
        <v>35000000</v>
      </c>
      <c r="H885" s="6189" t="s">
        <v>7691</v>
      </c>
      <c r="I885" s="6188" t="s">
        <v>7692</v>
      </c>
      <c r="J885" s="7564"/>
      <c r="K885" s="7817"/>
      <c r="L885" s="7817"/>
      <c r="M885" s="386"/>
      <c r="N885" s="386"/>
      <c r="O885" s="386"/>
      <c r="P885" s="386"/>
      <c r="Q885" s="386"/>
    </row>
    <row r="886" spans="1:17" ht="30" customHeight="1" x14ac:dyDescent="0.2">
      <c r="A886" s="7655"/>
      <c r="B886" s="7653"/>
      <c r="C886" s="6141"/>
      <c r="D886" s="6128">
        <v>1000000000</v>
      </c>
      <c r="E886" s="6148"/>
      <c r="F886" s="6128"/>
      <c r="G886" s="6126"/>
      <c r="H886" s="6126"/>
      <c r="I886" s="6126"/>
      <c r="J886" s="6126"/>
      <c r="K886" s="6146"/>
      <c r="L886" s="6152" t="s">
        <v>7642</v>
      </c>
      <c r="M886" s="386"/>
      <c r="N886" s="386"/>
      <c r="O886" s="386"/>
      <c r="P886" s="386"/>
      <c r="Q886" s="386"/>
    </row>
    <row r="887" spans="1:17" ht="30" customHeight="1" x14ac:dyDescent="0.2">
      <c r="A887" s="7654"/>
      <c r="B887" s="7652" t="s">
        <v>5465</v>
      </c>
      <c r="C887" s="7723" t="s">
        <v>1299</v>
      </c>
      <c r="D887" s="5594">
        <v>20000000</v>
      </c>
      <c r="E887" s="5652">
        <v>0.05</v>
      </c>
      <c r="F887" s="5594">
        <f t="shared" si="83"/>
        <v>1000000</v>
      </c>
      <c r="G887" s="7563">
        <v>2200000</v>
      </c>
      <c r="H887" s="7563" t="s">
        <v>7718</v>
      </c>
      <c r="I887" s="7889" t="s">
        <v>4124</v>
      </c>
      <c r="J887" s="7563">
        <f>G887</f>
        <v>2200000</v>
      </c>
      <c r="K887" s="7816">
        <f>(F887+F888)-J887</f>
        <v>0</v>
      </c>
      <c r="L887" s="5681"/>
      <c r="M887" s="386"/>
      <c r="N887" s="386"/>
      <c r="O887" s="386"/>
      <c r="P887" s="386"/>
      <c r="Q887" s="386"/>
    </row>
    <row r="888" spans="1:17" ht="30" customHeight="1" x14ac:dyDescent="0.2">
      <c r="A888" s="7655"/>
      <c r="B888" s="7653"/>
      <c r="C888" s="7724"/>
      <c r="D888" s="5594">
        <v>20000000</v>
      </c>
      <c r="E888" s="5652">
        <v>0.06</v>
      </c>
      <c r="F888" s="5594">
        <f t="shared" si="83"/>
        <v>1200000</v>
      </c>
      <c r="G888" s="7564"/>
      <c r="H888" s="7564"/>
      <c r="I888" s="7890"/>
      <c r="J888" s="7564"/>
      <c r="K888" s="7817"/>
      <c r="L888" s="5808"/>
      <c r="M888" s="386"/>
      <c r="N888" s="386"/>
      <c r="O888" s="386"/>
      <c r="P888" s="386"/>
      <c r="Q888" s="386"/>
    </row>
    <row r="889" spans="1:17" ht="30" customHeight="1" x14ac:dyDescent="0.2">
      <c r="A889" s="7654"/>
      <c r="B889" s="7652" t="s">
        <v>5464</v>
      </c>
      <c r="C889" s="7723" t="s">
        <v>402</v>
      </c>
      <c r="D889" s="5594">
        <v>30000000</v>
      </c>
      <c r="E889" s="5652">
        <v>0.06</v>
      </c>
      <c r="F889" s="5594">
        <f t="shared" si="83"/>
        <v>1800000</v>
      </c>
      <c r="G889" s="7482">
        <v>3000000</v>
      </c>
      <c r="H889" s="7482" t="s">
        <v>7424</v>
      </c>
      <c r="I889" s="8300" t="s">
        <v>6905</v>
      </c>
      <c r="J889" s="7482">
        <f>G889</f>
        <v>3000000</v>
      </c>
      <c r="K889" s="7499">
        <f>(F889+F890)-J889</f>
        <v>0</v>
      </c>
      <c r="L889" s="5808"/>
      <c r="M889" s="386"/>
      <c r="N889" s="386"/>
      <c r="O889" s="386"/>
      <c r="P889" s="386"/>
      <c r="Q889" s="386"/>
    </row>
    <row r="890" spans="1:17" ht="30" customHeight="1" x14ac:dyDescent="0.2">
      <c r="A890" s="7655"/>
      <c r="B890" s="7653"/>
      <c r="C890" s="7724"/>
      <c r="D890" s="5594">
        <v>20000000</v>
      </c>
      <c r="E890" s="5652">
        <v>0.06</v>
      </c>
      <c r="F890" s="5594">
        <f t="shared" si="83"/>
        <v>1200000</v>
      </c>
      <c r="G890" s="7482"/>
      <c r="H890" s="7482"/>
      <c r="I890" s="8300"/>
      <c r="J890" s="7482"/>
      <c r="K890" s="7499"/>
      <c r="L890" s="5802"/>
      <c r="M890" s="386"/>
      <c r="N890" s="386"/>
      <c r="O890" s="386"/>
      <c r="P890" s="386"/>
      <c r="Q890" s="386"/>
    </row>
    <row r="891" spans="1:17" ht="30" customHeight="1" x14ac:dyDescent="0.2">
      <c r="A891" s="7654"/>
      <c r="B891" s="7652" t="s">
        <v>234</v>
      </c>
      <c r="C891" s="7723" t="s">
        <v>1172</v>
      </c>
      <c r="D891" s="5594">
        <v>60000000</v>
      </c>
      <c r="E891" s="5652">
        <v>0.05</v>
      </c>
      <c r="F891" s="5594">
        <f t="shared" si="83"/>
        <v>3000000</v>
      </c>
      <c r="G891" s="7563">
        <v>4800000</v>
      </c>
      <c r="H891" s="7563" t="s">
        <v>7511</v>
      </c>
      <c r="I891" s="7563" t="s">
        <v>6257</v>
      </c>
      <c r="J891" s="7563">
        <f>G891</f>
        <v>4800000</v>
      </c>
      <c r="K891" s="7816">
        <f>(F891+F892)-J891</f>
        <v>0</v>
      </c>
      <c r="L891" s="5670"/>
      <c r="M891" s="386"/>
      <c r="N891" s="386"/>
      <c r="O891" s="386"/>
      <c r="P891" s="386"/>
      <c r="Q891" s="386"/>
    </row>
    <row r="892" spans="1:17" ht="30" customHeight="1" x14ac:dyDescent="0.2">
      <c r="A892" s="7655"/>
      <c r="B892" s="7653"/>
      <c r="C892" s="7724"/>
      <c r="D892" s="5594">
        <v>30000000</v>
      </c>
      <c r="E892" s="5652">
        <v>0.06</v>
      </c>
      <c r="F892" s="5594">
        <f t="shared" si="83"/>
        <v>1800000</v>
      </c>
      <c r="G892" s="7564"/>
      <c r="H892" s="7564"/>
      <c r="I892" s="7564"/>
      <c r="J892" s="7564"/>
      <c r="K892" s="7817"/>
      <c r="L892" s="5670"/>
      <c r="M892" s="386"/>
      <c r="N892" s="386"/>
      <c r="O892" s="386"/>
      <c r="P892" s="386"/>
      <c r="Q892" s="386"/>
    </row>
    <row r="893" spans="1:17" ht="30" customHeight="1" x14ac:dyDescent="0.2">
      <c r="A893" s="7654"/>
      <c r="B893" s="7652" t="s">
        <v>4946</v>
      </c>
      <c r="C893" s="7723" t="s">
        <v>1299</v>
      </c>
      <c r="D893" s="5777">
        <v>10000000</v>
      </c>
      <c r="E893" s="5795">
        <v>7.0000000000000007E-2</v>
      </c>
      <c r="F893" s="5777">
        <f>D893*E893</f>
        <v>700000.00000000012</v>
      </c>
      <c r="G893" s="7563">
        <v>3200000</v>
      </c>
      <c r="H893" s="7563" t="s">
        <v>7718</v>
      </c>
      <c r="I893" s="7563" t="s">
        <v>5204</v>
      </c>
      <c r="J893" s="7563">
        <f>G893</f>
        <v>3200000</v>
      </c>
      <c r="K893" s="7563">
        <f>(F893+F894)-J893</f>
        <v>0</v>
      </c>
      <c r="L893" s="5670"/>
      <c r="M893" s="386"/>
      <c r="N893" s="386"/>
      <c r="O893" s="386"/>
      <c r="P893" s="386"/>
      <c r="Q893" s="386"/>
    </row>
    <row r="894" spans="1:17" ht="30" customHeight="1" x14ac:dyDescent="0.2">
      <c r="A894" s="7655"/>
      <c r="B894" s="7653"/>
      <c r="C894" s="7724"/>
      <c r="D894" s="5777">
        <v>50000000</v>
      </c>
      <c r="E894" s="5795">
        <v>0.05</v>
      </c>
      <c r="F894" s="5777">
        <f>D894*E894</f>
        <v>2500000</v>
      </c>
      <c r="G894" s="7564"/>
      <c r="H894" s="7564"/>
      <c r="I894" s="7564"/>
      <c r="J894" s="7564"/>
      <c r="K894" s="7564"/>
      <c r="L894" s="5670"/>
      <c r="M894" s="386"/>
      <c r="N894" s="386"/>
      <c r="O894" s="386"/>
      <c r="P894" s="386"/>
      <c r="Q894" s="386"/>
    </row>
    <row r="895" spans="1:17" ht="30" customHeight="1" x14ac:dyDescent="0.2">
      <c r="A895" s="7654"/>
      <c r="B895" s="7652" t="s">
        <v>2471</v>
      </c>
      <c r="C895" s="7723" t="s">
        <v>889</v>
      </c>
      <c r="D895" s="5594">
        <v>110120000</v>
      </c>
      <c r="E895" s="5652">
        <v>0.06</v>
      </c>
      <c r="F895" s="5594">
        <f t="shared" si="83"/>
        <v>6607200</v>
      </c>
      <c r="G895" s="7563"/>
      <c r="H895" s="7563"/>
      <c r="I895" s="7563" t="s">
        <v>6252</v>
      </c>
      <c r="J895" s="7563">
        <f>G895</f>
        <v>0</v>
      </c>
      <c r="K895" s="7563">
        <f>(F895+F896)-J895</f>
        <v>9007200</v>
      </c>
      <c r="L895" s="5681"/>
      <c r="M895" s="386"/>
      <c r="N895" s="386"/>
      <c r="O895" s="386"/>
      <c r="P895" s="386"/>
      <c r="Q895" s="386"/>
    </row>
    <row r="896" spans="1:17" ht="30" customHeight="1" x14ac:dyDescent="0.2">
      <c r="A896" s="7655"/>
      <c r="B896" s="7653"/>
      <c r="C896" s="7724"/>
      <c r="D896" s="5594">
        <v>40000000</v>
      </c>
      <c r="E896" s="5652">
        <v>0.06</v>
      </c>
      <c r="F896" s="5594">
        <f t="shared" si="83"/>
        <v>2400000</v>
      </c>
      <c r="G896" s="7564"/>
      <c r="H896" s="7564"/>
      <c r="I896" s="7564"/>
      <c r="J896" s="7564"/>
      <c r="K896" s="7564"/>
      <c r="L896" s="5669"/>
      <c r="M896" s="386"/>
      <c r="N896" s="386"/>
      <c r="O896" s="386"/>
      <c r="P896" s="386"/>
      <c r="Q896" s="386"/>
    </row>
    <row r="897" spans="1:17" ht="30" customHeight="1" x14ac:dyDescent="0.2">
      <c r="A897" s="7654"/>
      <c r="B897" s="7652" t="s">
        <v>2517</v>
      </c>
      <c r="C897" s="7723" t="s">
        <v>1080</v>
      </c>
      <c r="D897" s="5594">
        <v>262500000</v>
      </c>
      <c r="E897" s="5652">
        <v>0.05</v>
      </c>
      <c r="F897" s="5594">
        <f t="shared" si="83"/>
        <v>13125000</v>
      </c>
      <c r="G897" s="5586"/>
      <c r="H897" s="5586"/>
      <c r="I897" s="5586" t="s">
        <v>5423</v>
      </c>
      <c r="J897" s="5586">
        <f>G897</f>
        <v>0</v>
      </c>
      <c r="K897" s="5586">
        <f>F897-J897</f>
        <v>13125000</v>
      </c>
      <c r="L897" s="5669"/>
      <c r="M897" s="386"/>
      <c r="N897" s="386"/>
      <c r="O897" s="386"/>
      <c r="P897" s="386"/>
      <c r="Q897" s="386"/>
    </row>
    <row r="898" spans="1:17" ht="30" customHeight="1" x14ac:dyDescent="0.2">
      <c r="A898" s="7656"/>
      <c r="B898" s="7665"/>
      <c r="C898" s="7747"/>
      <c r="D898" s="5594">
        <v>13000000</v>
      </c>
      <c r="E898" s="5652">
        <v>0.05</v>
      </c>
      <c r="F898" s="5594">
        <f t="shared" si="83"/>
        <v>650000</v>
      </c>
      <c r="G898" s="7732" t="s">
        <v>6235</v>
      </c>
      <c r="H898" s="7733"/>
      <c r="I898" s="7733"/>
      <c r="J898" s="7734"/>
      <c r="K898" s="5586"/>
      <c r="L898" s="5669" t="s">
        <v>6788</v>
      </c>
      <c r="M898" s="386"/>
      <c r="N898" s="386"/>
      <c r="O898" s="386"/>
      <c r="P898" s="386"/>
      <c r="Q898" s="386"/>
    </row>
    <row r="899" spans="1:17" ht="30" customHeight="1" x14ac:dyDescent="0.2">
      <c r="A899" s="7656"/>
      <c r="B899" s="7665"/>
      <c r="C899" s="7747"/>
      <c r="D899" s="5777">
        <f>D897+D898</f>
        <v>275500000</v>
      </c>
      <c r="E899" s="5795">
        <v>0.06</v>
      </c>
      <c r="F899" s="5777">
        <f>D899*E899</f>
        <v>16530000</v>
      </c>
      <c r="G899" s="5586"/>
      <c r="H899" s="5586"/>
      <c r="I899" s="5586"/>
      <c r="J899" s="5586"/>
      <c r="K899" s="5586"/>
      <c r="L899" s="5669"/>
      <c r="M899" s="386"/>
      <c r="N899" s="386"/>
      <c r="O899" s="386"/>
      <c r="P899" s="386"/>
      <c r="Q899" s="386"/>
    </row>
    <row r="900" spans="1:17" ht="30" customHeight="1" x14ac:dyDescent="0.2">
      <c r="A900" s="7656"/>
      <c r="B900" s="7665"/>
      <c r="C900" s="7747"/>
      <c r="D900" s="5807">
        <v>5000000</v>
      </c>
      <c r="E900" s="1929">
        <v>0.06</v>
      </c>
      <c r="F900" s="5777">
        <f t="shared" ref="F900:F903" si="84">D900*E900</f>
        <v>300000</v>
      </c>
      <c r="G900" s="8092" t="s">
        <v>7041</v>
      </c>
      <c r="H900" s="8093"/>
      <c r="I900" s="8093"/>
      <c r="J900" s="8094"/>
      <c r="K900" s="5586"/>
      <c r="L900" s="5669"/>
      <c r="M900" s="386"/>
      <c r="N900" s="386"/>
      <c r="O900" s="386"/>
      <c r="P900" s="386"/>
      <c r="Q900" s="386"/>
    </row>
    <row r="901" spans="1:17" ht="30" customHeight="1" x14ac:dyDescent="0.2">
      <c r="A901" s="7656"/>
      <c r="B901" s="7665"/>
      <c r="C901" s="7747"/>
      <c r="D901" s="5807">
        <v>10000000</v>
      </c>
      <c r="E901" s="1929">
        <v>0.06</v>
      </c>
      <c r="F901" s="5777">
        <f t="shared" si="84"/>
        <v>600000</v>
      </c>
      <c r="G901" s="8092" t="s">
        <v>7042</v>
      </c>
      <c r="H901" s="8093"/>
      <c r="I901" s="8093"/>
      <c r="J901" s="8094"/>
      <c r="K901" s="5586"/>
      <c r="L901" s="5669"/>
      <c r="M901" s="386"/>
      <c r="N901" s="386"/>
      <c r="O901" s="386"/>
      <c r="P901" s="386"/>
      <c r="Q901" s="386"/>
    </row>
    <row r="902" spans="1:17" ht="30" customHeight="1" x14ac:dyDescent="0.2">
      <c r="A902" s="7656"/>
      <c r="B902" s="7665"/>
      <c r="C902" s="7747"/>
      <c r="D902" s="5807">
        <v>15000000</v>
      </c>
      <c r="E902" s="1929">
        <v>0.06</v>
      </c>
      <c r="F902" s="5777">
        <f t="shared" si="84"/>
        <v>900000</v>
      </c>
      <c r="G902" s="8092" t="s">
        <v>7043</v>
      </c>
      <c r="H902" s="8093"/>
      <c r="I902" s="8093"/>
      <c r="J902" s="8094"/>
      <c r="K902" s="5586"/>
      <c r="L902" s="5669"/>
      <c r="M902" s="386"/>
      <c r="N902" s="386"/>
      <c r="O902" s="386"/>
      <c r="P902" s="386"/>
      <c r="Q902" s="386"/>
    </row>
    <row r="903" spans="1:17" ht="30" customHeight="1" x14ac:dyDescent="0.2">
      <c r="A903" s="7656"/>
      <c r="B903" s="7665"/>
      <c r="C903" s="7747"/>
      <c r="D903" s="5807">
        <v>40000000</v>
      </c>
      <c r="E903" s="1929">
        <v>0.06</v>
      </c>
      <c r="F903" s="5777">
        <f t="shared" si="84"/>
        <v>2400000</v>
      </c>
      <c r="G903" s="8092" t="s">
        <v>7044</v>
      </c>
      <c r="H903" s="8093"/>
      <c r="I903" s="8093"/>
      <c r="J903" s="8094"/>
      <c r="K903" s="5586"/>
      <c r="L903" s="5669"/>
      <c r="M903" s="386"/>
      <c r="N903" s="386"/>
      <c r="O903" s="386"/>
      <c r="P903" s="386"/>
      <c r="Q903" s="386"/>
    </row>
    <row r="904" spans="1:17" ht="30" customHeight="1" x14ac:dyDescent="0.2">
      <c r="A904" s="7656"/>
      <c r="B904" s="7665"/>
      <c r="C904" s="7747"/>
      <c r="D904" s="8564">
        <f>D899+D900+D901+D902+D903</f>
        <v>345500000</v>
      </c>
      <c r="E904" s="7683">
        <v>0.06</v>
      </c>
      <c r="F904" s="7559">
        <f>D904*E904</f>
        <v>20730000</v>
      </c>
      <c r="G904" s="7732" t="s">
        <v>7399</v>
      </c>
      <c r="H904" s="7733"/>
      <c r="I904" s="7733"/>
      <c r="J904" s="7734"/>
      <c r="K904" s="5586"/>
      <c r="L904" s="5669"/>
      <c r="M904" s="386"/>
      <c r="N904" s="386"/>
      <c r="O904" s="386"/>
      <c r="P904" s="386"/>
      <c r="Q904" s="386"/>
    </row>
    <row r="905" spans="1:17" ht="30" customHeight="1" x14ac:dyDescent="0.2">
      <c r="A905" s="7656"/>
      <c r="B905" s="7665"/>
      <c r="C905" s="7747"/>
      <c r="D905" s="8565"/>
      <c r="E905" s="7684"/>
      <c r="F905" s="7560"/>
      <c r="G905" s="7732" t="s">
        <v>7374</v>
      </c>
      <c r="H905" s="7733"/>
      <c r="I905" s="7733"/>
      <c r="J905" s="7734"/>
      <c r="K905" s="5847"/>
      <c r="L905" s="5869"/>
      <c r="M905" s="386"/>
      <c r="N905" s="386"/>
      <c r="O905" s="386"/>
      <c r="P905" s="386"/>
      <c r="Q905" s="386"/>
    </row>
    <row r="906" spans="1:17" ht="30" customHeight="1" x14ac:dyDescent="0.2">
      <c r="A906" s="7656"/>
      <c r="B906" s="7665"/>
      <c r="C906" s="7747"/>
      <c r="D906" s="5851">
        <v>19270000</v>
      </c>
      <c r="E906" s="5867"/>
      <c r="F906" s="5851"/>
      <c r="G906" s="7732" t="s">
        <v>7375</v>
      </c>
      <c r="H906" s="7733"/>
      <c r="I906" s="7733"/>
      <c r="J906" s="7734"/>
      <c r="K906" s="5847"/>
      <c r="L906" s="5869"/>
      <c r="M906" s="386"/>
      <c r="N906" s="386"/>
      <c r="O906" s="386"/>
      <c r="P906" s="386"/>
      <c r="Q906" s="386"/>
    </row>
    <row r="907" spans="1:17" ht="30" customHeight="1" x14ac:dyDescent="0.2">
      <c r="A907" s="7655"/>
      <c r="B907" s="7653"/>
      <c r="C907" s="7724"/>
      <c r="D907" s="5918">
        <f>D904+D906</f>
        <v>364770000</v>
      </c>
      <c r="E907" s="5859">
        <v>0.06</v>
      </c>
      <c r="F907" s="5860">
        <f>D907*E907</f>
        <v>21886200</v>
      </c>
      <c r="G907" s="7732" t="s">
        <v>7376</v>
      </c>
      <c r="H907" s="7733"/>
      <c r="I907" s="7733"/>
      <c r="J907" s="7734"/>
      <c r="K907" s="5847"/>
      <c r="L907" s="5869" t="s">
        <v>7567</v>
      </c>
      <c r="M907" s="386"/>
      <c r="N907" s="386"/>
      <c r="O907" s="386"/>
      <c r="P907" s="386"/>
      <c r="Q907" s="386"/>
    </row>
    <row r="908" spans="1:17" ht="30" customHeight="1" x14ac:dyDescent="0.2">
      <c r="A908" s="5596"/>
      <c r="B908" s="5658" t="s">
        <v>2633</v>
      </c>
      <c r="C908" s="5633" t="s">
        <v>1172</v>
      </c>
      <c r="D908" s="5586">
        <v>60000000</v>
      </c>
      <c r="E908" s="5652">
        <v>0.05</v>
      </c>
      <c r="F908" s="5586">
        <f t="shared" si="83"/>
        <v>3000000</v>
      </c>
      <c r="G908" s="7563">
        <v>4500000</v>
      </c>
      <c r="H908" s="7563" t="s">
        <v>7691</v>
      </c>
      <c r="I908" s="7563" t="s">
        <v>5516</v>
      </c>
      <c r="J908" s="7563">
        <f>G908</f>
        <v>4500000</v>
      </c>
      <c r="K908" s="7563">
        <f>(F908+F909)-J908</f>
        <v>0</v>
      </c>
      <c r="L908" s="7811" t="s">
        <v>7693</v>
      </c>
      <c r="M908" s="386"/>
      <c r="N908" s="386"/>
      <c r="O908" s="386"/>
      <c r="P908" s="386"/>
      <c r="Q908" s="386"/>
    </row>
    <row r="909" spans="1:17" ht="30" customHeight="1" x14ac:dyDescent="0.2">
      <c r="A909" s="7654"/>
      <c r="B909" s="7652" t="s">
        <v>4903</v>
      </c>
      <c r="C909" s="7723" t="s">
        <v>3390</v>
      </c>
      <c r="D909" s="7563">
        <v>30000000</v>
      </c>
      <c r="E909" s="7659">
        <v>0.05</v>
      </c>
      <c r="F909" s="7563">
        <f>D909*E909</f>
        <v>1500000</v>
      </c>
      <c r="G909" s="7564"/>
      <c r="H909" s="7564"/>
      <c r="I909" s="7564"/>
      <c r="J909" s="7564"/>
      <c r="K909" s="7564"/>
      <c r="L909" s="7812"/>
      <c r="M909" s="386"/>
      <c r="N909" s="386"/>
      <c r="O909" s="386"/>
      <c r="P909" s="386"/>
      <c r="Q909" s="386"/>
    </row>
    <row r="910" spans="1:17" ht="30" customHeight="1" x14ac:dyDescent="0.2">
      <c r="A910" s="7655"/>
      <c r="B910" s="7653"/>
      <c r="C910" s="7724"/>
      <c r="D910" s="7564"/>
      <c r="E910" s="7660"/>
      <c r="F910" s="7564"/>
      <c r="G910" s="5586">
        <v>1500000</v>
      </c>
      <c r="H910" s="5586" t="s">
        <v>7281</v>
      </c>
      <c r="I910" s="5586" t="s">
        <v>5516</v>
      </c>
      <c r="J910" s="5586">
        <f>G910</f>
        <v>1500000</v>
      </c>
      <c r="K910" s="5586">
        <f>F909-J910</f>
        <v>0</v>
      </c>
      <c r="L910" s="5681"/>
      <c r="M910" s="386"/>
      <c r="N910" s="386"/>
      <c r="O910" s="386"/>
      <c r="P910" s="386"/>
      <c r="Q910" s="386"/>
    </row>
    <row r="911" spans="1:17" ht="30" customHeight="1" x14ac:dyDescent="0.2">
      <c r="A911" s="7654"/>
      <c r="B911" s="7652" t="s">
        <v>2551</v>
      </c>
      <c r="C911" s="7723"/>
      <c r="D911" s="5594">
        <v>10000000</v>
      </c>
      <c r="E911" s="5652"/>
      <c r="F911" s="5594"/>
      <c r="G911" s="5594"/>
      <c r="H911" s="5594"/>
      <c r="I911" s="472"/>
      <c r="J911" s="5594"/>
      <c r="K911" s="5650"/>
      <c r="L911" s="5681"/>
      <c r="M911" s="386"/>
      <c r="N911" s="386"/>
      <c r="O911" s="386"/>
      <c r="P911" s="386"/>
      <c r="Q911" s="386"/>
    </row>
    <row r="912" spans="1:17" ht="30" customHeight="1" x14ac:dyDescent="0.2">
      <c r="A912" s="7655"/>
      <c r="B912" s="7653"/>
      <c r="C912" s="7724"/>
      <c r="D912" s="5594">
        <v>5000000</v>
      </c>
      <c r="E912" s="5652"/>
      <c r="F912" s="5594"/>
      <c r="G912" s="5594"/>
      <c r="H912" s="5594"/>
      <c r="I912" s="472"/>
      <c r="J912" s="5594"/>
      <c r="K912" s="5650"/>
      <c r="L912" s="5669"/>
      <c r="M912" s="386"/>
      <c r="N912" s="386"/>
      <c r="O912" s="386"/>
      <c r="P912" s="386"/>
      <c r="Q912" s="386"/>
    </row>
    <row r="913" spans="1:17" ht="30" customHeight="1" x14ac:dyDescent="0.2">
      <c r="A913" s="5655"/>
      <c r="B913" s="5613" t="s">
        <v>2573</v>
      </c>
      <c r="C913" s="5657" t="s">
        <v>1172</v>
      </c>
      <c r="D913" s="5586">
        <v>60000000</v>
      </c>
      <c r="E913" s="5652">
        <v>5.5E-2</v>
      </c>
      <c r="F913" s="5586">
        <f t="shared" ref="F913" si="85">D913*E913</f>
        <v>3300000</v>
      </c>
      <c r="G913" s="5586">
        <v>3300000</v>
      </c>
      <c r="H913" s="7563" t="s">
        <v>7550</v>
      </c>
      <c r="I913" s="7889" t="s">
        <v>3103</v>
      </c>
      <c r="J913" s="7563">
        <f>G913+G914+G915</f>
        <v>19750000</v>
      </c>
      <c r="K913" s="7816">
        <v>0</v>
      </c>
      <c r="L913" s="5669" t="s">
        <v>3522</v>
      </c>
      <c r="M913" s="386"/>
      <c r="N913" s="386"/>
      <c r="O913" s="386"/>
      <c r="P913" s="386"/>
      <c r="Q913" s="386"/>
    </row>
    <row r="914" spans="1:17" ht="30" customHeight="1" x14ac:dyDescent="0.2">
      <c r="A914" s="7654"/>
      <c r="B914" s="7652" t="s">
        <v>2714</v>
      </c>
      <c r="C914" s="7723" t="s">
        <v>262</v>
      </c>
      <c r="D914" s="7563">
        <v>230000000</v>
      </c>
      <c r="E914" s="7659">
        <v>5.5E-2</v>
      </c>
      <c r="F914" s="7563">
        <f>D914*E914</f>
        <v>12650000</v>
      </c>
      <c r="G914" s="7563">
        <v>16450000</v>
      </c>
      <c r="H914" s="7586"/>
      <c r="I914" s="8036"/>
      <c r="J914" s="7586"/>
      <c r="K914" s="7882"/>
      <c r="L914" s="5680" t="s">
        <v>5518</v>
      </c>
      <c r="M914" s="386"/>
      <c r="N914" s="386"/>
      <c r="O914" s="386"/>
      <c r="P914" s="386"/>
      <c r="Q914" s="386"/>
    </row>
    <row r="915" spans="1:17" ht="30" customHeight="1" x14ac:dyDescent="0.2">
      <c r="A915" s="7656"/>
      <c r="B915" s="7665"/>
      <c r="C915" s="7747"/>
      <c r="D915" s="7564"/>
      <c r="E915" s="7660"/>
      <c r="F915" s="7564"/>
      <c r="G915" s="7586"/>
      <c r="H915" s="7586"/>
      <c r="I915" s="8036"/>
      <c r="J915" s="7586"/>
      <c r="K915" s="7882"/>
      <c r="L915" s="5680"/>
      <c r="M915" s="386"/>
      <c r="N915" s="386"/>
      <c r="O915" s="386"/>
      <c r="P915" s="386"/>
      <c r="Q915" s="386"/>
    </row>
    <row r="916" spans="1:17" ht="30" customHeight="1" x14ac:dyDescent="0.2">
      <c r="A916" s="7656"/>
      <c r="B916" s="7665"/>
      <c r="C916" s="7747"/>
      <c r="D916" s="5594">
        <v>60000000</v>
      </c>
      <c r="E916" s="5606">
        <v>5.5E-2</v>
      </c>
      <c r="F916" s="5594">
        <f>D916*E916</f>
        <v>3300000</v>
      </c>
      <c r="G916" s="7564"/>
      <c r="H916" s="7564"/>
      <c r="I916" s="7890"/>
      <c r="J916" s="7564"/>
      <c r="K916" s="7817"/>
      <c r="L916" s="5669" t="s">
        <v>6393</v>
      </c>
      <c r="M916" s="386"/>
      <c r="N916" s="386"/>
      <c r="O916" s="386"/>
      <c r="P916" s="386"/>
      <c r="Q916" s="386"/>
    </row>
    <row r="917" spans="1:17" ht="30" customHeight="1" x14ac:dyDescent="0.2">
      <c r="A917" s="7655"/>
      <c r="B917" s="7653"/>
      <c r="C917" s="7724"/>
      <c r="D917" s="5851">
        <v>16000000</v>
      </c>
      <c r="E917" s="5856">
        <v>5.5E-2</v>
      </c>
      <c r="F917" s="5851">
        <f>D917*E917</f>
        <v>880000</v>
      </c>
      <c r="G917" s="8092" t="s">
        <v>7361</v>
      </c>
      <c r="H917" s="8093"/>
      <c r="I917" s="8093"/>
      <c r="J917" s="8094"/>
      <c r="K917" s="5866"/>
      <c r="L917" s="5869"/>
      <c r="M917" s="386"/>
      <c r="N917" s="386"/>
      <c r="O917" s="386"/>
      <c r="P917" s="386"/>
      <c r="Q917" s="386"/>
    </row>
    <row r="918" spans="1:17" ht="30" customHeight="1" x14ac:dyDescent="0.2">
      <c r="A918" s="5597"/>
      <c r="B918" s="5602" t="s">
        <v>2609</v>
      </c>
      <c r="C918" s="5634"/>
      <c r="D918" s="5611"/>
      <c r="E918" s="5618"/>
      <c r="F918" s="5611"/>
      <c r="G918" s="5594">
        <v>1500000</v>
      </c>
      <c r="H918" s="5594" t="s">
        <v>7424</v>
      </c>
      <c r="I918" s="472" t="s">
        <v>4460</v>
      </c>
      <c r="J918" s="5594">
        <f>G918</f>
        <v>1500000</v>
      </c>
      <c r="K918" s="5651">
        <f>F918-J918</f>
        <v>-1500000</v>
      </c>
      <c r="L918" s="5681"/>
      <c r="M918" s="386"/>
      <c r="N918" s="386"/>
      <c r="O918" s="386"/>
      <c r="P918" s="386"/>
      <c r="Q918" s="386"/>
    </row>
    <row r="919" spans="1:17" ht="30" customHeight="1" x14ac:dyDescent="0.2">
      <c r="A919" s="7654"/>
      <c r="B919" s="7652" t="s">
        <v>3818</v>
      </c>
      <c r="C919" s="7723" t="s">
        <v>5649</v>
      </c>
      <c r="D919" s="5679">
        <v>4215000000</v>
      </c>
      <c r="E919" s="3242">
        <v>0.05</v>
      </c>
      <c r="F919" s="5679">
        <f>D919*E919</f>
        <v>210750000</v>
      </c>
      <c r="G919" s="7991" t="s">
        <v>5146</v>
      </c>
      <c r="H919" s="7992"/>
      <c r="I919" s="7992"/>
      <c r="J919" s="7993"/>
      <c r="K919" s="8238">
        <f>SUM(F919:F921)</f>
        <v>577850000</v>
      </c>
      <c r="L919" s="5669"/>
      <c r="M919" s="386"/>
      <c r="N919" s="386"/>
      <c r="O919" s="386"/>
      <c r="P919" s="386"/>
      <c r="Q919" s="386"/>
    </row>
    <row r="920" spans="1:17" ht="30" customHeight="1" x14ac:dyDescent="0.2">
      <c r="A920" s="7656"/>
      <c r="B920" s="7665"/>
      <c r="C920" s="7747"/>
      <c r="D920" s="5679">
        <v>2000000000</v>
      </c>
      <c r="E920" s="3242">
        <v>7.0000000000000007E-2</v>
      </c>
      <c r="F920" s="5679">
        <f t="shared" ref="F920:F924" si="86">D920*E920</f>
        <v>140000000</v>
      </c>
      <c r="G920" s="7994"/>
      <c r="H920" s="7995"/>
      <c r="I920" s="7995"/>
      <c r="J920" s="7996"/>
      <c r="K920" s="8239"/>
      <c r="L920" s="898"/>
      <c r="M920" s="386"/>
      <c r="N920" s="386"/>
      <c r="O920" s="386"/>
      <c r="P920" s="386"/>
      <c r="Q920" s="386"/>
    </row>
    <row r="921" spans="1:17" ht="30" customHeight="1" x14ac:dyDescent="0.2">
      <c r="A921" s="7656"/>
      <c r="B921" s="7665"/>
      <c r="C921" s="7747"/>
      <c r="D921" s="5679">
        <v>3785000000</v>
      </c>
      <c r="E921" s="3242">
        <v>0.06</v>
      </c>
      <c r="F921" s="5679">
        <f t="shared" si="86"/>
        <v>227100000</v>
      </c>
      <c r="G921" s="7997"/>
      <c r="H921" s="7998"/>
      <c r="I921" s="7998"/>
      <c r="J921" s="7999"/>
      <c r="K921" s="8240"/>
      <c r="L921" s="5670"/>
      <c r="M921" s="386"/>
      <c r="N921" s="386"/>
      <c r="O921" s="386"/>
      <c r="P921" s="386"/>
      <c r="Q921" s="386"/>
    </row>
    <row r="922" spans="1:17" ht="30" customHeight="1" x14ac:dyDescent="0.2">
      <c r="A922" s="7656"/>
      <c r="B922" s="7665"/>
      <c r="C922" s="7747"/>
      <c r="D922" s="3237">
        <v>2915000000</v>
      </c>
      <c r="E922" s="3243">
        <v>0.08</v>
      </c>
      <c r="F922" s="3237">
        <f t="shared" si="86"/>
        <v>233200000</v>
      </c>
      <c r="G922" s="7991" t="s">
        <v>5147</v>
      </c>
      <c r="H922" s="7992"/>
      <c r="I922" s="7992"/>
      <c r="J922" s="7993"/>
      <c r="K922" s="8261">
        <f>F922+F923+F924</f>
        <v>362400000</v>
      </c>
      <c r="L922" s="5670"/>
      <c r="M922" s="386"/>
      <c r="N922" s="386"/>
      <c r="O922" s="386"/>
      <c r="P922" s="386"/>
      <c r="Q922" s="386"/>
    </row>
    <row r="923" spans="1:17" ht="30" customHeight="1" x14ac:dyDescent="0.2">
      <c r="A923" s="7656"/>
      <c r="B923" s="7665"/>
      <c r="C923" s="7747"/>
      <c r="D923" s="3237">
        <v>690000000</v>
      </c>
      <c r="E923" s="3243">
        <v>0.08</v>
      </c>
      <c r="F923" s="3237">
        <f t="shared" si="86"/>
        <v>55200000</v>
      </c>
      <c r="G923" s="7994"/>
      <c r="H923" s="7995"/>
      <c r="I923" s="7995"/>
      <c r="J923" s="7996"/>
      <c r="K923" s="8262"/>
      <c r="L923" s="5670"/>
      <c r="M923" s="386"/>
      <c r="N923" s="386"/>
      <c r="O923" s="386"/>
      <c r="P923" s="386"/>
      <c r="Q923" s="386"/>
    </row>
    <row r="924" spans="1:17" ht="30" customHeight="1" x14ac:dyDescent="0.2">
      <c r="A924" s="7656"/>
      <c r="B924" s="7665"/>
      <c r="C924" s="7747"/>
      <c r="D924" s="3238">
        <v>925000000</v>
      </c>
      <c r="E924" s="3243">
        <v>0.08</v>
      </c>
      <c r="F924" s="3238">
        <f t="shared" si="86"/>
        <v>74000000</v>
      </c>
      <c r="G924" s="7997"/>
      <c r="H924" s="7998"/>
      <c r="I924" s="7998"/>
      <c r="J924" s="7999"/>
      <c r="K924" s="8263"/>
      <c r="L924" s="5650"/>
      <c r="M924" s="386"/>
      <c r="N924" s="386"/>
      <c r="O924" s="386"/>
      <c r="P924" s="386"/>
      <c r="Q924" s="386"/>
    </row>
    <row r="925" spans="1:17" ht="30" customHeight="1" x14ac:dyDescent="0.2">
      <c r="A925" s="7656"/>
      <c r="B925" s="7665"/>
      <c r="C925" s="7747"/>
      <c r="D925" s="8004">
        <f>SUM(D919:D924)</f>
        <v>14530000000</v>
      </c>
      <c r="E925" s="8005"/>
      <c r="F925" s="5697">
        <f>SUM(F919:F924)</f>
        <v>940250000</v>
      </c>
      <c r="G925" s="7991" t="s">
        <v>5140</v>
      </c>
      <c r="H925" s="7992"/>
      <c r="I925" s="7992"/>
      <c r="J925" s="7993"/>
      <c r="K925" s="7816"/>
      <c r="L925" s="5650"/>
      <c r="M925" s="386"/>
      <c r="N925" s="386"/>
      <c r="O925" s="386"/>
      <c r="P925" s="386"/>
      <c r="Q925" s="386"/>
    </row>
    <row r="926" spans="1:17" ht="30" customHeight="1" x14ac:dyDescent="0.2">
      <c r="A926" s="7656"/>
      <c r="B926" s="7665"/>
      <c r="C926" s="7747"/>
      <c r="D926" s="8004" t="s">
        <v>5141</v>
      </c>
      <c r="E926" s="8005"/>
      <c r="F926" s="3307">
        <v>1600000</v>
      </c>
      <c r="G926" s="7994"/>
      <c r="H926" s="7995"/>
      <c r="I926" s="7995"/>
      <c r="J926" s="7996"/>
      <c r="K926" s="7882"/>
      <c r="L926" s="5650"/>
      <c r="M926" s="386"/>
      <c r="N926" s="386"/>
      <c r="O926" s="386"/>
      <c r="P926" s="386"/>
      <c r="Q926" s="386"/>
    </row>
    <row r="927" spans="1:17" ht="30" customHeight="1" x14ac:dyDescent="0.2">
      <c r="A927" s="7656"/>
      <c r="B927" s="7665"/>
      <c r="C927" s="7747"/>
      <c r="D927" s="8004" t="s">
        <v>5142</v>
      </c>
      <c r="E927" s="8005"/>
      <c r="F927" s="3307">
        <v>1300000</v>
      </c>
      <c r="G927" s="7994"/>
      <c r="H927" s="7995"/>
      <c r="I927" s="7995"/>
      <c r="J927" s="7996"/>
      <c r="K927" s="7882"/>
      <c r="L927" s="5650"/>
      <c r="M927" s="386"/>
      <c r="N927" s="386"/>
      <c r="O927" s="386"/>
      <c r="P927" s="386"/>
      <c r="Q927" s="386"/>
    </row>
    <row r="928" spans="1:17" ht="30" customHeight="1" x14ac:dyDescent="0.2">
      <c r="A928" s="7656"/>
      <c r="B928" s="7665"/>
      <c r="C928" s="7747"/>
      <c r="D928" s="8004" t="s">
        <v>5143</v>
      </c>
      <c r="E928" s="8005"/>
      <c r="F928" s="5697">
        <f>SUM(F925:F927)</f>
        <v>943150000</v>
      </c>
      <c r="G928" s="7994"/>
      <c r="H928" s="7995"/>
      <c r="I928" s="7995"/>
      <c r="J928" s="7996"/>
      <c r="K928" s="7882"/>
      <c r="L928" s="5650"/>
      <c r="M928" s="386"/>
      <c r="N928" s="386"/>
      <c r="O928" s="386"/>
      <c r="P928" s="386"/>
      <c r="Q928" s="386"/>
    </row>
    <row r="929" spans="1:17" ht="30" customHeight="1" x14ac:dyDescent="0.2">
      <c r="A929" s="7656"/>
      <c r="B929" s="7665"/>
      <c r="C929" s="7747"/>
      <c r="D929" s="8004" t="s">
        <v>5167</v>
      </c>
      <c r="E929" s="8005"/>
      <c r="F929" s="5697">
        <v>6850000</v>
      </c>
      <c r="G929" s="7994"/>
      <c r="H929" s="7995"/>
      <c r="I929" s="7995"/>
      <c r="J929" s="7996"/>
      <c r="K929" s="7882"/>
      <c r="L929" s="5670" t="s">
        <v>5169</v>
      </c>
      <c r="M929" s="386"/>
      <c r="N929" s="386"/>
      <c r="O929" s="386"/>
      <c r="P929" s="386"/>
      <c r="Q929" s="386"/>
    </row>
    <row r="930" spans="1:17" ht="30" customHeight="1" x14ac:dyDescent="0.2">
      <c r="A930" s="7656"/>
      <c r="B930" s="7665"/>
      <c r="C930" s="7747"/>
      <c r="D930" s="8004" t="s">
        <v>5168</v>
      </c>
      <c r="E930" s="8005"/>
      <c r="F930" s="5697">
        <f>F928+F929</f>
        <v>950000000</v>
      </c>
      <c r="G930" s="7997"/>
      <c r="H930" s="7998"/>
      <c r="I930" s="7998"/>
      <c r="J930" s="7999"/>
      <c r="K930" s="7817"/>
      <c r="L930" s="5650"/>
      <c r="M930" s="386"/>
      <c r="N930" s="386"/>
      <c r="O930" s="386"/>
      <c r="P930" s="386"/>
      <c r="Q930" s="386"/>
    </row>
    <row r="931" spans="1:17" ht="30" customHeight="1" x14ac:dyDescent="0.2">
      <c r="A931" s="7656"/>
      <c r="B931" s="7665"/>
      <c r="C931" s="7747"/>
      <c r="D931" s="744">
        <v>850000000</v>
      </c>
      <c r="E931" s="3241">
        <v>0.08</v>
      </c>
      <c r="F931" s="744">
        <f>D931*E931</f>
        <v>68000000</v>
      </c>
      <c r="G931" s="7470" t="s">
        <v>5172</v>
      </c>
      <c r="H931" s="7493"/>
      <c r="I931" s="7493"/>
      <c r="J931" s="7510"/>
      <c r="K931" s="5650"/>
      <c r="L931" s="5670" t="s">
        <v>5145</v>
      </c>
      <c r="M931" s="386"/>
      <c r="N931" s="386"/>
      <c r="O931" s="386"/>
      <c r="P931" s="386"/>
      <c r="Q931" s="386"/>
    </row>
    <row r="932" spans="1:17" ht="30" customHeight="1" x14ac:dyDescent="0.2">
      <c r="A932" s="7656"/>
      <c r="B932" s="7665"/>
      <c r="C932" s="7747"/>
      <c r="D932" s="8212">
        <f>D925+D931</f>
        <v>15380000000</v>
      </c>
      <c r="E932" s="8213"/>
      <c r="F932" s="3244">
        <f>F925+F931</f>
        <v>1008250000</v>
      </c>
      <c r="G932" s="5595"/>
      <c r="H932" s="5595"/>
      <c r="I932" s="5595" t="s">
        <v>2686</v>
      </c>
      <c r="J932" s="5595">
        <f>G932</f>
        <v>0</v>
      </c>
      <c r="K932" s="7816">
        <f>1010250000-140000000-100000000</f>
        <v>770250000</v>
      </c>
      <c r="L932" s="7811" t="s">
        <v>5650</v>
      </c>
      <c r="M932" s="386"/>
      <c r="N932" s="386"/>
      <c r="O932" s="386"/>
      <c r="P932" s="386"/>
      <c r="Q932" s="386"/>
    </row>
    <row r="933" spans="1:17" ht="30" customHeight="1" x14ac:dyDescent="0.2">
      <c r="A933" s="7656"/>
      <c r="B933" s="7665"/>
      <c r="C933" s="7747"/>
      <c r="D933" s="3244">
        <v>50000000</v>
      </c>
      <c r="E933" s="3241">
        <v>0.08</v>
      </c>
      <c r="F933" s="3244">
        <f>D933*E933</f>
        <v>4000000</v>
      </c>
      <c r="G933" s="5586"/>
      <c r="H933" s="5586"/>
      <c r="I933" s="5586" t="s">
        <v>2686</v>
      </c>
      <c r="J933" s="5586">
        <f>G933</f>
        <v>0</v>
      </c>
      <c r="K933" s="7817"/>
      <c r="L933" s="7812"/>
      <c r="M933" s="386"/>
      <c r="N933" s="386"/>
      <c r="O933" s="386"/>
      <c r="P933" s="386"/>
      <c r="Q933" s="386"/>
    </row>
    <row r="934" spans="1:17" ht="30" customHeight="1" x14ac:dyDescent="0.2">
      <c r="A934" s="7656"/>
      <c r="B934" s="7665"/>
      <c r="C934" s="7747"/>
      <c r="D934" s="8212">
        <f>D932+D933</f>
        <v>15430000000</v>
      </c>
      <c r="E934" s="8213"/>
      <c r="F934" s="3244">
        <f>F932+F933</f>
        <v>1012250000</v>
      </c>
      <c r="G934" s="7494" t="s">
        <v>5648</v>
      </c>
      <c r="H934" s="7495"/>
      <c r="I934" s="7495"/>
      <c r="J934" s="7768"/>
      <c r="K934" s="5650"/>
      <c r="L934" s="5650"/>
      <c r="M934" s="386"/>
      <c r="N934" s="386"/>
      <c r="O934" s="386"/>
      <c r="P934" s="386"/>
      <c r="Q934" s="386"/>
    </row>
    <row r="935" spans="1:17" ht="30" customHeight="1" x14ac:dyDescent="0.2">
      <c r="A935" s="7656"/>
      <c r="B935" s="7665"/>
      <c r="C935" s="7747"/>
      <c r="D935" s="3914">
        <v>820000000</v>
      </c>
      <c r="E935" s="3913">
        <v>0.08</v>
      </c>
      <c r="F935" s="3914">
        <f>D935*E935</f>
        <v>65600000</v>
      </c>
      <c r="G935" s="7732" t="s">
        <v>5646</v>
      </c>
      <c r="H935" s="7733"/>
      <c r="I935" s="7733"/>
      <c r="J935" s="7734"/>
      <c r="K935" s="7816">
        <f>F936-500000000-G937</f>
        <v>577850000</v>
      </c>
      <c r="L935" s="387" t="s">
        <v>5645</v>
      </c>
      <c r="M935" s="386"/>
      <c r="N935" s="386"/>
      <c r="O935" s="386"/>
      <c r="P935" s="386"/>
      <c r="Q935" s="386"/>
    </row>
    <row r="936" spans="1:17" ht="30" customHeight="1" x14ac:dyDescent="0.2">
      <c r="A936" s="7656"/>
      <c r="B936" s="7665"/>
      <c r="C936" s="7747"/>
      <c r="D936" s="8335">
        <f>D934+D935</f>
        <v>16250000000</v>
      </c>
      <c r="E936" s="8336"/>
      <c r="F936" s="8339">
        <f>F934+F935</f>
        <v>1077850000</v>
      </c>
      <c r="G936" s="7732" t="s">
        <v>6238</v>
      </c>
      <c r="H936" s="7733"/>
      <c r="I936" s="7733"/>
      <c r="J936" s="7734"/>
      <c r="K936" s="7882"/>
      <c r="L936" s="5681" t="s">
        <v>6237</v>
      </c>
      <c r="M936" s="386"/>
      <c r="N936" s="386"/>
      <c r="O936" s="386"/>
      <c r="P936" s="386"/>
      <c r="Q936" s="386"/>
    </row>
    <row r="937" spans="1:17" ht="30" customHeight="1" x14ac:dyDescent="0.2">
      <c r="A937" s="7656"/>
      <c r="B937" s="7665"/>
      <c r="C937" s="7747"/>
      <c r="D937" s="8413"/>
      <c r="E937" s="8414"/>
      <c r="F937" s="8415"/>
      <c r="G937" s="5586"/>
      <c r="H937" s="5586"/>
      <c r="I937" s="5586" t="s">
        <v>6239</v>
      </c>
      <c r="J937" s="5586">
        <f>G937</f>
        <v>0</v>
      </c>
      <c r="K937" s="7882"/>
      <c r="L937" s="5681" t="s">
        <v>4906</v>
      </c>
      <c r="M937" s="386"/>
      <c r="N937" s="386"/>
      <c r="O937" s="386"/>
      <c r="P937" s="386"/>
      <c r="Q937" s="386"/>
    </row>
    <row r="938" spans="1:17" ht="30" customHeight="1" x14ac:dyDescent="0.2">
      <c r="A938" s="7656"/>
      <c r="B938" s="7665"/>
      <c r="C938" s="7747"/>
      <c r="D938" s="8337"/>
      <c r="E938" s="8338"/>
      <c r="F938" s="8340"/>
      <c r="G938" s="7991" t="s">
        <v>6316</v>
      </c>
      <c r="H938" s="7992"/>
      <c r="I938" s="7992"/>
      <c r="J938" s="7993"/>
      <c r="K938" s="7817"/>
      <c r="L938" s="387"/>
      <c r="M938" s="386"/>
      <c r="N938" s="386"/>
      <c r="O938" s="386"/>
      <c r="P938" s="386"/>
      <c r="Q938" s="386"/>
    </row>
    <row r="939" spans="1:17" ht="30" customHeight="1" x14ac:dyDescent="0.2">
      <c r="A939" s="7656"/>
      <c r="B939" s="7665"/>
      <c r="C939" s="7747"/>
      <c r="D939" s="5703">
        <v>100000000</v>
      </c>
      <c r="E939" s="1298">
        <v>0.08</v>
      </c>
      <c r="F939" s="5648">
        <f>D939*E939</f>
        <v>8000000</v>
      </c>
      <c r="G939" s="7991" t="s">
        <v>6317</v>
      </c>
      <c r="H939" s="7992"/>
      <c r="I939" s="7992"/>
      <c r="J939" s="7993"/>
      <c r="K939" s="5650"/>
      <c r="L939" s="5670"/>
      <c r="M939" s="386"/>
      <c r="N939" s="386"/>
      <c r="O939" s="386"/>
      <c r="P939" s="386"/>
      <c r="Q939" s="386"/>
    </row>
    <row r="940" spans="1:17" ht="30" customHeight="1" x14ac:dyDescent="0.2">
      <c r="A940" s="7656"/>
      <c r="B940" s="7665"/>
      <c r="C940" s="7747"/>
      <c r="D940" s="7858">
        <f>D936+D939</f>
        <v>16350000000</v>
      </c>
      <c r="E940" s="7860"/>
      <c r="F940" s="5648">
        <f>F936+F939</f>
        <v>1085850000</v>
      </c>
      <c r="G940" s="7732" t="s">
        <v>7069</v>
      </c>
      <c r="H940" s="7733"/>
      <c r="I940" s="7733"/>
      <c r="J940" s="7734"/>
      <c r="K940" s="5650"/>
      <c r="L940" s="5670" t="s">
        <v>6752</v>
      </c>
      <c r="M940" s="386"/>
      <c r="N940" s="386"/>
      <c r="O940" s="386"/>
      <c r="P940" s="386"/>
      <c r="Q940" s="386"/>
    </row>
    <row r="941" spans="1:17" ht="30" customHeight="1" x14ac:dyDescent="0.2">
      <c r="A941" s="7656"/>
      <c r="B941" s="7665"/>
      <c r="C941" s="7747"/>
      <c r="D941" s="8199" t="s">
        <v>7070</v>
      </c>
      <c r="E941" s="8199"/>
      <c r="F941" s="8199"/>
      <c r="G941" s="7732" t="s">
        <v>6859</v>
      </c>
      <c r="H941" s="7733"/>
      <c r="I941" s="7733"/>
      <c r="J941" s="7734"/>
      <c r="K941" s="7816">
        <f>F940-290000000-J943</f>
        <v>795850000</v>
      </c>
      <c r="L941" s="5670" t="s">
        <v>6861</v>
      </c>
      <c r="M941" s="386"/>
      <c r="N941" s="386"/>
      <c r="O941" s="386"/>
      <c r="P941" s="386"/>
      <c r="Q941" s="386"/>
    </row>
    <row r="942" spans="1:17" ht="30" customHeight="1" x14ac:dyDescent="0.2">
      <c r="A942" s="7656"/>
      <c r="B942" s="7665"/>
      <c r="C942" s="7747"/>
      <c r="D942" s="8199"/>
      <c r="E942" s="8199"/>
      <c r="F942" s="8199"/>
      <c r="G942" s="7732" t="s">
        <v>6860</v>
      </c>
      <c r="H942" s="7733"/>
      <c r="I942" s="7733"/>
      <c r="J942" s="7734"/>
      <c r="K942" s="7882"/>
      <c r="L942" s="5670" t="s">
        <v>6861</v>
      </c>
      <c r="M942" s="386"/>
      <c r="N942" s="386"/>
      <c r="O942" s="386"/>
      <c r="P942" s="386"/>
      <c r="Q942" s="386"/>
    </row>
    <row r="943" spans="1:17" ht="30" customHeight="1" x14ac:dyDescent="0.2">
      <c r="A943" s="7656"/>
      <c r="B943" s="7665"/>
      <c r="C943" s="7747"/>
      <c r="D943" s="8199"/>
      <c r="E943" s="8199"/>
      <c r="F943" s="8199"/>
      <c r="G943" s="5586"/>
      <c r="H943" s="5586"/>
      <c r="I943" s="5586" t="s">
        <v>6239</v>
      </c>
      <c r="J943" s="7482">
        <f>G943+G944</f>
        <v>0</v>
      </c>
      <c r="K943" s="7882"/>
      <c r="L943" s="5670" t="s">
        <v>7071</v>
      </c>
      <c r="M943" s="386"/>
      <c r="N943" s="386"/>
      <c r="O943" s="386"/>
      <c r="P943" s="386"/>
      <c r="Q943" s="386"/>
    </row>
    <row r="944" spans="1:17" ht="30" customHeight="1" x14ac:dyDescent="0.2">
      <c r="A944" s="7656"/>
      <c r="B944" s="7665"/>
      <c r="C944" s="7747"/>
      <c r="D944" s="8199"/>
      <c r="E944" s="8199"/>
      <c r="F944" s="8199"/>
      <c r="G944" s="233"/>
      <c r="H944" s="5586"/>
      <c r="I944" s="5586" t="s">
        <v>6239</v>
      </c>
      <c r="J944" s="7482"/>
      <c r="K944" s="7882"/>
      <c r="L944" s="5670"/>
      <c r="M944" s="386"/>
      <c r="N944" s="386"/>
      <c r="O944" s="386"/>
      <c r="P944" s="386"/>
      <c r="Q944" s="386"/>
    </row>
    <row r="945" spans="1:17" ht="30" customHeight="1" x14ac:dyDescent="0.2">
      <c r="A945" s="7656"/>
      <c r="B945" s="7665"/>
      <c r="C945" s="7747"/>
      <c r="D945" s="7470" t="s">
        <v>7072</v>
      </c>
      <c r="E945" s="7493"/>
      <c r="F945" s="7510"/>
      <c r="G945" s="5693"/>
      <c r="H945" s="5586"/>
      <c r="I945" s="5586" t="s">
        <v>6239</v>
      </c>
      <c r="J945" s="7"/>
      <c r="K945" s="898"/>
      <c r="L945" s="5670"/>
      <c r="M945" s="386"/>
      <c r="N945" s="386"/>
      <c r="O945" s="386"/>
      <c r="P945" s="386"/>
      <c r="Q945" s="386"/>
    </row>
    <row r="946" spans="1:17" ht="30" customHeight="1" x14ac:dyDescent="0.2">
      <c r="A946" s="7656"/>
      <c r="B946" s="7665"/>
      <c r="C946" s="7747"/>
      <c r="D946" s="8525">
        <f>D940-170000000</f>
        <v>16180000000</v>
      </c>
      <c r="E946" s="8526"/>
      <c r="F946" s="5731">
        <f>F940-13600000</f>
        <v>1072250000</v>
      </c>
      <c r="G946" s="7991" t="s">
        <v>7425</v>
      </c>
      <c r="H946" s="7992"/>
      <c r="I946" s="7992"/>
      <c r="J946" s="7993"/>
      <c r="K946" s="7816">
        <f>F946+F947-4150000</f>
        <v>1073990000</v>
      </c>
      <c r="L946" s="5770"/>
      <c r="M946" s="386"/>
      <c r="N946" s="386"/>
      <c r="O946" s="386"/>
      <c r="P946" s="386"/>
      <c r="Q946" s="386"/>
    </row>
    <row r="947" spans="1:17" ht="30" customHeight="1" x14ac:dyDescent="0.2">
      <c r="A947" s="7656"/>
      <c r="B947" s="7665"/>
      <c r="C947" s="7747"/>
      <c r="D947" s="8527" t="s">
        <v>7073</v>
      </c>
      <c r="E947" s="8527"/>
      <c r="F947" s="5731">
        <v>5890000</v>
      </c>
      <c r="G947" s="7997"/>
      <c r="H947" s="7998"/>
      <c r="I947" s="7998"/>
      <c r="J947" s="7999"/>
      <c r="K947" s="7817"/>
      <c r="L947" s="5670"/>
      <c r="M947" s="386"/>
      <c r="N947" s="386"/>
      <c r="O947" s="386"/>
      <c r="P947" s="386"/>
      <c r="Q947" s="386"/>
    </row>
    <row r="948" spans="1:17" ht="30" customHeight="1" x14ac:dyDescent="0.2">
      <c r="A948" s="7656"/>
      <c r="B948" s="7665"/>
      <c r="C948" s="7747"/>
      <c r="D948" s="8527" t="s">
        <v>8534</v>
      </c>
      <c r="E948" s="8527"/>
      <c r="F948" s="8527"/>
      <c r="G948" s="7426">
        <v>100000000</v>
      </c>
      <c r="H948" s="7426" t="s">
        <v>7424</v>
      </c>
      <c r="I948" s="7426" t="s">
        <v>3366</v>
      </c>
      <c r="J948" s="7482">
        <f>اسفند!G952+اسفند!G953+فروردین!G948+فروردین!G949+فروردین!G950+فروردین!G951</f>
        <v>354000000</v>
      </c>
      <c r="K948" s="7499">
        <f>اسفند!K952-فروردین!J948</f>
        <v>719990000</v>
      </c>
      <c r="L948" s="7732" t="s">
        <v>7423</v>
      </c>
      <c r="M948" s="7733"/>
      <c r="N948" s="7733"/>
      <c r="O948" s="7734"/>
      <c r="P948" s="386"/>
      <c r="Q948" s="386"/>
    </row>
    <row r="949" spans="1:17" ht="30" customHeight="1" x14ac:dyDescent="0.2">
      <c r="A949" s="7656"/>
      <c r="B949" s="7665"/>
      <c r="C949" s="7747"/>
      <c r="D949" s="8527"/>
      <c r="E949" s="8527"/>
      <c r="F949" s="8527"/>
      <c r="G949" s="7426">
        <v>100000000</v>
      </c>
      <c r="H949" s="7426" t="s">
        <v>7427</v>
      </c>
      <c r="I949" s="7426" t="s">
        <v>2686</v>
      </c>
      <c r="J949" s="7482"/>
      <c r="K949" s="7499"/>
      <c r="L949" s="5893"/>
      <c r="M949" s="5906"/>
      <c r="N949" s="5906"/>
      <c r="O949" s="5906"/>
      <c r="P949" s="386"/>
      <c r="Q949" s="386"/>
    </row>
    <row r="950" spans="1:17" ht="30" customHeight="1" x14ac:dyDescent="0.2">
      <c r="A950" s="7656"/>
      <c r="B950" s="7665"/>
      <c r="C950" s="7747"/>
      <c r="D950" s="8527"/>
      <c r="E950" s="8527"/>
      <c r="F950" s="8527"/>
      <c r="G950" s="7426">
        <v>50000000</v>
      </c>
      <c r="H950" s="7426" t="s">
        <v>7424</v>
      </c>
      <c r="I950" s="7426" t="s">
        <v>2686</v>
      </c>
      <c r="J950" s="7482"/>
      <c r="K950" s="7499"/>
      <c r="L950" s="5946"/>
      <c r="M950" s="5954"/>
      <c r="N950" s="5954"/>
      <c r="O950" s="5954"/>
      <c r="P950" s="386"/>
      <c r="Q950" s="386"/>
    </row>
    <row r="951" spans="1:17" ht="30" customHeight="1" x14ac:dyDescent="0.2">
      <c r="A951" s="7656"/>
      <c r="B951" s="7665"/>
      <c r="C951" s="7747"/>
      <c r="D951" s="8527"/>
      <c r="E951" s="8527"/>
      <c r="F951" s="8527"/>
      <c r="G951" s="7426">
        <v>4000000</v>
      </c>
      <c r="H951" s="7426"/>
      <c r="I951" s="7426"/>
      <c r="J951" s="7482"/>
      <c r="K951" s="7499"/>
      <c r="L951" s="7439"/>
      <c r="M951" s="7443"/>
      <c r="N951" s="7443"/>
      <c r="O951" s="7443"/>
      <c r="P951" s="386"/>
      <c r="Q951" s="386"/>
    </row>
    <row r="952" spans="1:17" ht="30" customHeight="1" x14ac:dyDescent="0.2">
      <c r="A952" s="7656"/>
      <c r="B952" s="7665"/>
      <c r="C952" s="7747"/>
      <c r="D952" s="8527"/>
      <c r="E952" s="8527"/>
      <c r="F952" s="8527"/>
      <c r="G952" s="8000" t="s">
        <v>8531</v>
      </c>
      <c r="H952" s="8000"/>
      <c r="I952" s="8000"/>
      <c r="J952" s="8000"/>
      <c r="K952" s="7563"/>
      <c r="L952" s="7439"/>
      <c r="M952" s="7443"/>
      <c r="N952" s="7443"/>
      <c r="O952" s="7443"/>
      <c r="P952" s="386"/>
      <c r="Q952" s="386"/>
    </row>
    <row r="953" spans="1:17" ht="30" customHeight="1" x14ac:dyDescent="0.2">
      <c r="A953" s="7656"/>
      <c r="B953" s="7665"/>
      <c r="C953" s="7747"/>
      <c r="D953" s="7451">
        <v>720000000</v>
      </c>
      <c r="E953" s="7452">
        <v>7.0000000000000007E-2</v>
      </c>
      <c r="F953" s="7451">
        <f>D953*E953</f>
        <v>50400000.000000007</v>
      </c>
      <c r="G953" s="8000"/>
      <c r="H953" s="8000"/>
      <c r="I953" s="8000"/>
      <c r="J953" s="8000"/>
      <c r="K953" s="7564"/>
      <c r="L953" s="7439"/>
      <c r="M953" s="7443"/>
      <c r="N953" s="7443"/>
      <c r="O953" s="7443"/>
      <c r="P953" s="386"/>
      <c r="Q953" s="386"/>
    </row>
    <row r="954" spans="1:17" ht="30" customHeight="1" x14ac:dyDescent="0.2">
      <c r="A954" s="7656"/>
      <c r="B954" s="7665"/>
      <c r="C954" s="7747"/>
      <c r="D954" s="7451">
        <v>16180000000</v>
      </c>
      <c r="E954" s="7452">
        <v>7.0000000000000007E-2</v>
      </c>
      <c r="F954" s="7451">
        <f>D954*E954</f>
        <v>1132600000</v>
      </c>
      <c r="G954" s="8000" t="s">
        <v>8535</v>
      </c>
      <c r="H954" s="8000"/>
      <c r="I954" s="8000"/>
      <c r="J954" s="8000"/>
      <c r="K954" s="7563"/>
      <c r="L954" s="7439"/>
      <c r="M954" s="7443"/>
      <c r="N954" s="7443"/>
      <c r="O954" s="7443"/>
      <c r="P954" s="386"/>
      <c r="Q954" s="386"/>
    </row>
    <row r="955" spans="1:17" ht="30" customHeight="1" x14ac:dyDescent="0.2">
      <c r="A955" s="7656"/>
      <c r="B955" s="7665"/>
      <c r="C955" s="7747"/>
      <c r="D955" s="7451">
        <f>D953+D954-170000000</f>
        <v>16730000000</v>
      </c>
      <c r="E955" s="7452">
        <v>7.0000000000000007E-2</v>
      </c>
      <c r="F955" s="7451">
        <f>D955*E955</f>
        <v>1171100000</v>
      </c>
      <c r="G955" s="8000"/>
      <c r="H955" s="8000"/>
      <c r="I955" s="8000"/>
      <c r="J955" s="7674"/>
      <c r="K955" s="7564"/>
      <c r="L955" s="7439"/>
      <c r="M955" s="7443"/>
      <c r="N955" s="7443"/>
      <c r="O955" s="7443"/>
      <c r="P955" s="386"/>
      <c r="Q955" s="386"/>
    </row>
    <row r="956" spans="1:17" ht="30" customHeight="1" x14ac:dyDescent="0.2">
      <c r="A956" s="7656"/>
      <c r="B956" s="7665"/>
      <c r="C956" s="7747"/>
      <c r="D956" s="8557" t="s">
        <v>8536</v>
      </c>
      <c r="E956" s="8557"/>
      <c r="F956" s="8557"/>
      <c r="G956" s="7434"/>
      <c r="H956" s="7434"/>
      <c r="I956" s="7434"/>
      <c r="J956" s="7444"/>
      <c r="K956" s="233"/>
      <c r="L956" s="7439"/>
      <c r="M956" s="7443"/>
      <c r="N956" s="7443"/>
      <c r="O956" s="7443"/>
      <c r="P956" s="386"/>
      <c r="Q956" s="386"/>
    </row>
    <row r="957" spans="1:17" ht="30" customHeight="1" x14ac:dyDescent="0.2">
      <c r="A957" s="7656"/>
      <c r="B957" s="7665"/>
      <c r="C957" s="7747"/>
      <c r="D957" s="8557" t="s">
        <v>8537</v>
      </c>
      <c r="E957" s="8557"/>
      <c r="F957" s="8557"/>
      <c r="G957" s="7563"/>
      <c r="H957" s="7563"/>
      <c r="I957" s="7563"/>
      <c r="J957" s="7563"/>
      <c r="K957" s="7563"/>
      <c r="L957" s="7439"/>
      <c r="M957" s="7443"/>
      <c r="N957" s="7443"/>
      <c r="O957" s="7443"/>
      <c r="P957" s="386"/>
      <c r="Q957" s="386"/>
    </row>
    <row r="958" spans="1:17" ht="30" customHeight="1" x14ac:dyDescent="0.2">
      <c r="A958" s="7656"/>
      <c r="B958" s="7665"/>
      <c r="C958" s="7747"/>
      <c r="D958" s="8557"/>
      <c r="E958" s="8557"/>
      <c r="F958" s="8557"/>
      <c r="G958" s="7564"/>
      <c r="H958" s="7564"/>
      <c r="I958" s="7564"/>
      <c r="J958" s="7564"/>
      <c r="K958" s="7564"/>
      <c r="L958" s="7439"/>
      <c r="M958" s="7443"/>
      <c r="N958" s="7443"/>
      <c r="O958" s="7443"/>
      <c r="P958" s="386"/>
      <c r="Q958" s="386"/>
    </row>
    <row r="959" spans="1:17" ht="30" customHeight="1" x14ac:dyDescent="0.2">
      <c r="A959" s="7656"/>
      <c r="B959" s="7665"/>
      <c r="C959" s="7747"/>
      <c r="D959" s="7451">
        <f>D955-3000000000-50000000</f>
        <v>13680000000</v>
      </c>
      <c r="E959" s="7452">
        <v>7.0000000000000007E-2</v>
      </c>
      <c r="F959" s="7451">
        <f>D959*E959</f>
        <v>957600000.00000012</v>
      </c>
      <c r="G959" s="7732" t="s">
        <v>8540</v>
      </c>
      <c r="H959" s="7733"/>
      <c r="I959" s="7733"/>
      <c r="J959" s="7734"/>
      <c r="K959" s="233"/>
      <c r="L959" s="7439"/>
      <c r="M959" s="7443"/>
      <c r="N959" s="7443"/>
      <c r="O959" s="7443"/>
      <c r="P959" s="386"/>
      <c r="Q959" s="386"/>
    </row>
    <row r="960" spans="1:17" ht="30" customHeight="1" x14ac:dyDescent="0.2">
      <c r="A960" s="7656"/>
      <c r="B960" s="7665"/>
      <c r="C960" s="7747"/>
      <c r="D960" s="8567" t="s">
        <v>8538</v>
      </c>
      <c r="E960" s="8567"/>
      <c r="F960" s="7451">
        <v>140000000</v>
      </c>
      <c r="G960" s="7732" t="s">
        <v>1026</v>
      </c>
      <c r="H960" s="7733"/>
      <c r="I960" s="7733"/>
      <c r="J960" s="7734"/>
      <c r="K960" s="233"/>
      <c r="L960" s="7439"/>
      <c r="M960" s="7443"/>
      <c r="N960" s="7443"/>
      <c r="O960" s="7443"/>
      <c r="P960" s="386"/>
      <c r="Q960" s="386"/>
    </row>
    <row r="961" spans="1:17" ht="30" customHeight="1" x14ac:dyDescent="0.2">
      <c r="A961" s="7656"/>
      <c r="B961" s="7665"/>
      <c r="C961" s="7747"/>
      <c r="D961" s="8567" t="s">
        <v>8539</v>
      </c>
      <c r="E961" s="8567"/>
      <c r="F961" s="7451">
        <v>2300000</v>
      </c>
      <c r="G961" s="7732" t="s">
        <v>1026</v>
      </c>
      <c r="H961" s="7733"/>
      <c r="I961" s="7733"/>
      <c r="J961" s="7734"/>
      <c r="K961" s="233"/>
      <c r="L961" s="7439"/>
      <c r="M961" s="7443"/>
      <c r="N961" s="7443"/>
      <c r="O961" s="7443"/>
      <c r="P961" s="386"/>
      <c r="Q961" s="386"/>
    </row>
    <row r="962" spans="1:17" ht="30" customHeight="1" x14ac:dyDescent="0.2">
      <c r="A962" s="7656"/>
      <c r="B962" s="7665"/>
      <c r="C962" s="7747"/>
      <c r="D962" s="8568" t="s">
        <v>8541</v>
      </c>
      <c r="E962" s="8569"/>
      <c r="F962" s="7451">
        <f>F959+F960+F961</f>
        <v>1099900000</v>
      </c>
      <c r="G962" s="7426">
        <v>20000000</v>
      </c>
      <c r="H962" s="7426" t="s">
        <v>7795</v>
      </c>
      <c r="I962" s="7426" t="s">
        <v>7465</v>
      </c>
      <c r="J962" s="7426">
        <f>G962</f>
        <v>20000000</v>
      </c>
      <c r="K962" s="7426">
        <f>F962-J962</f>
        <v>1079900000</v>
      </c>
      <c r="L962" s="7439"/>
      <c r="M962" s="7443"/>
      <c r="N962" s="7443"/>
      <c r="O962" s="7443"/>
      <c r="P962" s="386"/>
      <c r="Q962" s="386"/>
    </row>
    <row r="963" spans="1:17" ht="30" customHeight="1" x14ac:dyDescent="0.2">
      <c r="A963" s="7656"/>
      <c r="B963" s="7665"/>
      <c r="C963" s="7747"/>
      <c r="D963" s="7442">
        <v>1079900000</v>
      </c>
      <c r="E963" s="3242">
        <v>7.0000000000000007E-2</v>
      </c>
      <c r="F963" s="7442">
        <f>D963*E963</f>
        <v>75593000</v>
      </c>
      <c r="G963" s="7991" t="s">
        <v>8542</v>
      </c>
      <c r="H963" s="7992"/>
      <c r="I963" s="7992"/>
      <c r="J963" s="7993"/>
      <c r="K963" s="7432"/>
      <c r="L963" s="7439"/>
      <c r="M963" s="7443"/>
      <c r="N963" s="7443"/>
      <c r="O963" s="7443"/>
      <c r="P963" s="386"/>
      <c r="Q963" s="386"/>
    </row>
    <row r="964" spans="1:17" ht="30" customHeight="1" x14ac:dyDescent="0.2">
      <c r="A964" s="7656"/>
      <c r="B964" s="7665"/>
      <c r="C964" s="7747"/>
      <c r="D964" s="7442">
        <f>D959+D963+100000</f>
        <v>14760000000</v>
      </c>
      <c r="E964" s="3242">
        <v>7.0000000000000007E-2</v>
      </c>
      <c r="F964" s="7442">
        <f>D964*E964</f>
        <v>1033200000.0000001</v>
      </c>
      <c r="G964" s="7732" t="s">
        <v>8543</v>
      </c>
      <c r="H964" s="7733"/>
      <c r="I964" s="7733"/>
      <c r="J964" s="7734"/>
      <c r="K964" s="7432"/>
      <c r="L964" s="7439"/>
      <c r="M964" s="7443"/>
      <c r="N964" s="7443"/>
      <c r="O964" s="7443"/>
      <c r="P964" s="386"/>
      <c r="Q964" s="386"/>
    </row>
    <row r="965" spans="1:17" ht="30" customHeight="1" x14ac:dyDescent="0.2">
      <c r="A965" s="7656"/>
      <c r="B965" s="7665"/>
      <c r="C965" s="7747"/>
      <c r="D965" s="7453"/>
      <c r="E965" s="7454"/>
      <c r="F965" s="7455"/>
      <c r="G965" s="7435">
        <v>100000000</v>
      </c>
      <c r="H965" s="7435" t="s">
        <v>7424</v>
      </c>
      <c r="I965" s="7435" t="s">
        <v>3366</v>
      </c>
      <c r="J965" s="7456"/>
      <c r="K965" s="7457"/>
      <c r="L965" s="5946"/>
      <c r="M965" s="5954"/>
      <c r="N965" s="5954"/>
      <c r="O965" s="5954"/>
      <c r="P965" s="386"/>
      <c r="Q965" s="386"/>
    </row>
    <row r="966" spans="1:17" ht="30" customHeight="1" x14ac:dyDescent="0.2">
      <c r="A966" s="7656"/>
      <c r="B966" s="7665"/>
      <c r="C966" s="7747"/>
      <c r="D966" s="7453"/>
      <c r="E966" s="7454"/>
      <c r="F966" s="7455"/>
      <c r="G966" s="7433">
        <v>10000000</v>
      </c>
      <c r="H966" s="7433" t="s">
        <v>7460</v>
      </c>
      <c r="I966" s="7433" t="s">
        <v>7465</v>
      </c>
      <c r="J966" s="7456"/>
      <c r="K966" s="7457"/>
      <c r="L966" s="5971"/>
      <c r="M966" s="5992"/>
      <c r="N966" s="5992"/>
      <c r="O966" s="5992"/>
      <c r="P966" s="386"/>
      <c r="Q966" s="386"/>
    </row>
    <row r="967" spans="1:17" ht="30" customHeight="1" x14ac:dyDescent="0.2">
      <c r="A967" s="7656"/>
      <c r="B967" s="7665"/>
      <c r="C967" s="7747"/>
      <c r="D967" s="7453"/>
      <c r="E967" s="7454"/>
      <c r="F967" s="7455"/>
      <c r="G967" s="7433">
        <v>30000000</v>
      </c>
      <c r="H967" s="7433" t="s">
        <v>4168</v>
      </c>
      <c r="I967" s="7433" t="s">
        <v>7465</v>
      </c>
      <c r="J967" s="7456"/>
      <c r="K967" s="7457"/>
      <c r="L967" s="5971"/>
      <c r="M967" s="5992"/>
      <c r="N967" s="5992"/>
      <c r="O967" s="5992"/>
      <c r="P967" s="386"/>
      <c r="Q967" s="386"/>
    </row>
    <row r="968" spans="1:17" ht="30" customHeight="1" x14ac:dyDescent="0.2">
      <c r="A968" s="7656"/>
      <c r="B968" s="7665"/>
      <c r="C968" s="7747"/>
      <c r="D968" s="7453"/>
      <c r="E968" s="7454"/>
      <c r="F968" s="7455"/>
      <c r="G968" s="7433">
        <v>10000000</v>
      </c>
      <c r="H968" s="7433" t="s">
        <v>4168</v>
      </c>
      <c r="I968" s="7433" t="s">
        <v>7465</v>
      </c>
      <c r="J968" s="7456"/>
      <c r="K968" s="7457"/>
      <c r="L968" s="5971"/>
      <c r="M968" s="5992"/>
      <c r="N968" s="5992"/>
      <c r="O968" s="5992"/>
      <c r="P968" s="386"/>
      <c r="Q968" s="386"/>
    </row>
    <row r="969" spans="1:17" ht="30" customHeight="1" x14ac:dyDescent="0.2">
      <c r="A969" s="7656"/>
      <c r="B969" s="7665"/>
      <c r="C969" s="7747"/>
      <c r="D969" s="7453"/>
      <c r="E969" s="7454"/>
      <c r="F969" s="7455"/>
      <c r="G969" s="7433">
        <v>4000000</v>
      </c>
      <c r="H969" s="7433" t="s">
        <v>1975</v>
      </c>
      <c r="I969" s="7433" t="s">
        <v>7526</v>
      </c>
      <c r="J969" s="7456"/>
      <c r="K969" s="7457"/>
      <c r="L969" s="5971"/>
      <c r="M969" s="5992"/>
      <c r="N969" s="5992"/>
      <c r="O969" s="5992"/>
      <c r="P969" s="386"/>
      <c r="Q969" s="386"/>
    </row>
    <row r="970" spans="1:17" ht="30" customHeight="1" x14ac:dyDescent="0.2">
      <c r="A970" s="7656"/>
      <c r="B970" s="7665"/>
      <c r="C970" s="7747"/>
      <c r="D970" s="7440"/>
      <c r="E970" s="7440"/>
      <c r="F970" s="7440"/>
      <c r="G970" s="7426"/>
      <c r="H970" s="7426"/>
      <c r="I970" s="7426"/>
      <c r="J970" s="7"/>
      <c r="K970" s="898"/>
      <c r="L970" s="6314"/>
      <c r="M970" s="6341"/>
      <c r="N970" s="6341"/>
      <c r="O970" s="6341"/>
      <c r="P970" s="386"/>
      <c r="Q970" s="386"/>
    </row>
    <row r="971" spans="1:17" ht="30" customHeight="1" x14ac:dyDescent="0.2">
      <c r="A971" s="7655"/>
      <c r="B971" s="7653"/>
      <c r="C971" s="7724"/>
      <c r="D971" s="233"/>
      <c r="E971" s="233"/>
      <c r="F971" s="233"/>
      <c r="G971" s="5884"/>
      <c r="H971" s="5884"/>
      <c r="I971" s="5884"/>
      <c r="J971" s="5887"/>
      <c r="K971" s="5900"/>
      <c r="L971" s="5893"/>
      <c r="M971" s="5906"/>
      <c r="N971" s="5906"/>
      <c r="O971" s="5906"/>
      <c r="P971" s="386"/>
      <c r="Q971" s="386"/>
    </row>
    <row r="972" spans="1:17" ht="30" customHeight="1" x14ac:dyDescent="0.2">
      <c r="A972" s="5655"/>
      <c r="B972" s="5613" t="s">
        <v>2622</v>
      </c>
      <c r="C972" s="5657" t="s">
        <v>889</v>
      </c>
      <c r="D972" s="5586">
        <v>160000000</v>
      </c>
      <c r="E972" s="5652">
        <v>0.05</v>
      </c>
      <c r="F972" s="5586">
        <f t="shared" ref="F972:F986" si="87">D972*E972</f>
        <v>8000000</v>
      </c>
      <c r="G972" s="5586">
        <v>8000000</v>
      </c>
      <c r="H972" s="5586" t="s">
        <v>7424</v>
      </c>
      <c r="I972" s="5718" t="s">
        <v>4364</v>
      </c>
      <c r="J972" s="5586">
        <f>G972</f>
        <v>8000000</v>
      </c>
      <c r="K972" s="5590">
        <f>F972-J972</f>
        <v>0</v>
      </c>
      <c r="L972" s="5681"/>
      <c r="M972" s="386"/>
      <c r="N972" s="386"/>
      <c r="O972" s="386"/>
      <c r="P972" s="386"/>
      <c r="Q972" s="386"/>
    </row>
    <row r="973" spans="1:17" ht="30" customHeight="1" x14ac:dyDescent="0.2">
      <c r="A973" s="7654"/>
      <c r="B973" s="7652" t="s">
        <v>2639</v>
      </c>
      <c r="C973" s="7723" t="s">
        <v>1172</v>
      </c>
      <c r="D973" s="7563">
        <v>80000000</v>
      </c>
      <c r="E973" s="7659">
        <v>0.05</v>
      </c>
      <c r="F973" s="7563">
        <f t="shared" si="87"/>
        <v>4000000</v>
      </c>
      <c r="G973" s="5594">
        <v>4000000</v>
      </c>
      <c r="H973" s="5594" t="s">
        <v>7531</v>
      </c>
      <c r="I973" s="472" t="s">
        <v>7554</v>
      </c>
      <c r="J973" s="5594">
        <f t="shared" ref="J973:J986" si="88">G973</f>
        <v>4000000</v>
      </c>
      <c r="K973" s="5650">
        <f t="shared" ref="K973:K986" si="89">F973-J973</f>
        <v>0</v>
      </c>
      <c r="L973" s="6152" t="s">
        <v>7555</v>
      </c>
      <c r="M973" s="386"/>
      <c r="N973" s="386"/>
      <c r="O973" s="386"/>
      <c r="P973" s="386"/>
      <c r="Q973" s="386"/>
    </row>
    <row r="974" spans="1:17" ht="30" customHeight="1" x14ac:dyDescent="0.2">
      <c r="A974" s="7655"/>
      <c r="B974" s="7653"/>
      <c r="C974" s="7724"/>
      <c r="D974" s="7564"/>
      <c r="E974" s="7660"/>
      <c r="F974" s="7564"/>
      <c r="G974" s="6050">
        <v>4000000</v>
      </c>
      <c r="H974" s="6050" t="s">
        <v>7550</v>
      </c>
      <c r="I974" s="472" t="s">
        <v>4020</v>
      </c>
      <c r="J974" s="6050">
        <f>G974</f>
        <v>4000000</v>
      </c>
      <c r="K974" s="6063">
        <f>F973-J974</f>
        <v>0</v>
      </c>
      <c r="L974" s="7811" t="s">
        <v>7641</v>
      </c>
      <c r="M974" s="386"/>
      <c r="N974" s="386"/>
      <c r="O974" s="386"/>
      <c r="P974" s="386"/>
      <c r="Q974" s="386"/>
    </row>
    <row r="975" spans="1:17" ht="30" customHeight="1" x14ac:dyDescent="0.2">
      <c r="A975" s="5655"/>
      <c r="B975" s="5613" t="s">
        <v>4021</v>
      </c>
      <c r="C975" s="5634" t="s">
        <v>1172</v>
      </c>
      <c r="D975" s="5594">
        <v>100000000</v>
      </c>
      <c r="E975" s="5652">
        <v>0.05</v>
      </c>
      <c r="F975" s="5594">
        <f t="shared" si="87"/>
        <v>5000000</v>
      </c>
      <c r="G975" s="5594">
        <v>5000000</v>
      </c>
      <c r="H975" s="5594" t="s">
        <v>7531</v>
      </c>
      <c r="I975" s="472" t="s">
        <v>4063</v>
      </c>
      <c r="J975" s="5594">
        <f t="shared" ref="J975:J979" si="90">G975</f>
        <v>5000000</v>
      </c>
      <c r="K975" s="5650">
        <f>F975-J975</f>
        <v>0</v>
      </c>
      <c r="L975" s="7812"/>
      <c r="M975" s="386"/>
      <c r="N975" s="386"/>
      <c r="O975" s="386"/>
      <c r="P975" s="386"/>
      <c r="Q975" s="386"/>
    </row>
    <row r="976" spans="1:17" ht="30" customHeight="1" x14ac:dyDescent="0.2">
      <c r="A976" s="5655"/>
      <c r="B976" s="5613" t="s">
        <v>3997</v>
      </c>
      <c r="C976" s="5657" t="s">
        <v>1652</v>
      </c>
      <c r="D976" s="5586">
        <v>25000000</v>
      </c>
      <c r="E976" s="5652">
        <v>0.04</v>
      </c>
      <c r="F976" s="5586">
        <f t="shared" si="87"/>
        <v>1000000</v>
      </c>
      <c r="G976" s="5586">
        <v>1000000</v>
      </c>
      <c r="H976" s="5586" t="s">
        <v>7531</v>
      </c>
      <c r="I976" s="5718" t="s">
        <v>6262</v>
      </c>
      <c r="J976" s="5586">
        <f t="shared" si="90"/>
        <v>1000000</v>
      </c>
      <c r="K976" s="5590">
        <f t="shared" si="89"/>
        <v>0</v>
      </c>
      <c r="L976" s="5681"/>
      <c r="M976" s="386"/>
      <c r="N976" s="386"/>
      <c r="O976" s="386"/>
      <c r="P976" s="386"/>
      <c r="Q976" s="386"/>
    </row>
    <row r="977" spans="1:17" ht="30" customHeight="1" x14ac:dyDescent="0.2">
      <c r="A977" s="5655"/>
      <c r="B977" s="5632" t="s">
        <v>2692</v>
      </c>
      <c r="C977" s="5657" t="s">
        <v>371</v>
      </c>
      <c r="D977" s="5592">
        <v>500000000</v>
      </c>
      <c r="E977" s="5604">
        <v>7.0000000000000007E-2</v>
      </c>
      <c r="F977" s="5592">
        <f t="shared" si="87"/>
        <v>35000000</v>
      </c>
      <c r="G977" s="5586">
        <v>35000000</v>
      </c>
      <c r="H977" s="5586" t="s">
        <v>2830</v>
      </c>
      <c r="I977" s="5586" t="s">
        <v>2693</v>
      </c>
      <c r="J977" s="5586">
        <f t="shared" si="90"/>
        <v>35000000</v>
      </c>
      <c r="K977" s="5650">
        <f t="shared" si="89"/>
        <v>0</v>
      </c>
      <c r="L977" s="5681"/>
      <c r="M977" s="386"/>
      <c r="N977" s="386"/>
      <c r="O977" s="386"/>
      <c r="P977" s="386"/>
      <c r="Q977" s="386"/>
    </row>
    <row r="978" spans="1:17" ht="30" customHeight="1" x14ac:dyDescent="0.2">
      <c r="A978" s="5655"/>
      <c r="B978" s="5632" t="s">
        <v>7628</v>
      </c>
      <c r="C978" s="5657" t="s">
        <v>371</v>
      </c>
      <c r="D978" s="1455">
        <v>40000000</v>
      </c>
      <c r="E978" s="1929">
        <v>7.0000000000000007E-2</v>
      </c>
      <c r="F978" s="1455">
        <f t="shared" si="87"/>
        <v>2800000.0000000005</v>
      </c>
      <c r="G978" s="5586">
        <v>2800000</v>
      </c>
      <c r="H978" s="5586" t="s">
        <v>7614</v>
      </c>
      <c r="I978" s="5586" t="s">
        <v>7627</v>
      </c>
      <c r="J978" s="5586">
        <f t="shared" si="90"/>
        <v>2800000</v>
      </c>
      <c r="K978" s="5650">
        <f t="shared" si="89"/>
        <v>0</v>
      </c>
      <c r="L978" s="6130" t="s">
        <v>5513</v>
      </c>
      <c r="M978" s="386"/>
      <c r="N978" s="386"/>
      <c r="O978" s="386"/>
      <c r="P978" s="386"/>
      <c r="Q978" s="386"/>
    </row>
    <row r="979" spans="1:17" ht="30" customHeight="1" x14ac:dyDescent="0.2">
      <c r="A979" s="5596"/>
      <c r="B979" s="5598" t="s">
        <v>5727</v>
      </c>
      <c r="C979" s="5633" t="s">
        <v>3007</v>
      </c>
      <c r="D979" s="1455">
        <v>130000000</v>
      </c>
      <c r="E979" s="1929">
        <v>0.05</v>
      </c>
      <c r="F979" s="1455">
        <f t="shared" si="87"/>
        <v>6500000</v>
      </c>
      <c r="G979" s="5586">
        <v>6500000</v>
      </c>
      <c r="H979" s="5586" t="s">
        <v>7691</v>
      </c>
      <c r="I979" s="5586" t="s">
        <v>3982</v>
      </c>
      <c r="J979" s="5586">
        <f t="shared" si="90"/>
        <v>6500000</v>
      </c>
      <c r="K979" s="5650">
        <f t="shared" si="89"/>
        <v>0</v>
      </c>
      <c r="L979" s="5708"/>
      <c r="M979" s="386"/>
      <c r="N979" s="386"/>
      <c r="O979" s="386"/>
      <c r="P979" s="386"/>
      <c r="Q979" s="386"/>
    </row>
    <row r="980" spans="1:17" ht="30" customHeight="1" x14ac:dyDescent="0.2">
      <c r="A980" s="7654"/>
      <c r="B980" s="7661" t="s">
        <v>4699</v>
      </c>
      <c r="C980" s="7723" t="s">
        <v>371</v>
      </c>
      <c r="D980" s="7563">
        <v>400000000</v>
      </c>
      <c r="E980" s="7659">
        <v>7.0000000000000007E-2</v>
      </c>
      <c r="F980" s="7563">
        <f t="shared" si="87"/>
        <v>28000000.000000004</v>
      </c>
      <c r="G980" s="5774">
        <v>11000000</v>
      </c>
      <c r="H980" s="5774" t="s">
        <v>2830</v>
      </c>
      <c r="I980" s="638" t="s">
        <v>4403</v>
      </c>
      <c r="J980" s="7563">
        <f>G980+G981</f>
        <v>28000000</v>
      </c>
      <c r="K980" s="7816">
        <f>F980-J980</f>
        <v>0</v>
      </c>
      <c r="L980" s="5669"/>
      <c r="M980" s="386"/>
      <c r="N980" s="386"/>
      <c r="O980" s="386"/>
      <c r="P980" s="386"/>
      <c r="Q980" s="386"/>
    </row>
    <row r="981" spans="1:17" ht="30" customHeight="1" x14ac:dyDescent="0.2">
      <c r="A981" s="7655"/>
      <c r="B981" s="7663"/>
      <c r="C981" s="7724"/>
      <c r="D981" s="7564"/>
      <c r="E981" s="7660"/>
      <c r="F981" s="7564"/>
      <c r="G981" s="6226">
        <v>17000000</v>
      </c>
      <c r="H981" s="6226" t="s">
        <v>7718</v>
      </c>
      <c r="I981" s="6231" t="s">
        <v>4403</v>
      </c>
      <c r="J981" s="7564"/>
      <c r="K981" s="7817"/>
      <c r="L981" s="6236"/>
      <c r="M981" s="386"/>
      <c r="N981" s="386"/>
      <c r="O981" s="386"/>
      <c r="P981" s="386"/>
      <c r="Q981" s="386"/>
    </row>
    <row r="982" spans="1:17" ht="30" customHeight="1" x14ac:dyDescent="0.2">
      <c r="A982" s="5778"/>
      <c r="B982" s="5779" t="s">
        <v>2702</v>
      </c>
      <c r="C982" s="5634" t="s">
        <v>262</v>
      </c>
      <c r="D982" s="5594">
        <v>30000000</v>
      </c>
      <c r="E982" s="5781">
        <v>0.05</v>
      </c>
      <c r="F982" s="5594">
        <f t="shared" si="87"/>
        <v>1500000</v>
      </c>
      <c r="G982" s="5777">
        <v>1500000</v>
      </c>
      <c r="H982" s="5777" t="s">
        <v>7531</v>
      </c>
      <c r="I982" s="5777" t="s">
        <v>3536</v>
      </c>
      <c r="J982" s="5777">
        <f t="shared" si="88"/>
        <v>1500000</v>
      </c>
      <c r="K982" s="5650">
        <f t="shared" si="89"/>
        <v>0</v>
      </c>
      <c r="L982" s="5681"/>
      <c r="M982" s="386"/>
      <c r="N982" s="386"/>
      <c r="O982" s="386"/>
      <c r="P982" s="386"/>
      <c r="Q982" s="386"/>
    </row>
    <row r="983" spans="1:17" ht="30" customHeight="1" x14ac:dyDescent="0.2">
      <c r="A983" s="5655"/>
      <c r="B983" s="5613" t="s">
        <v>2727</v>
      </c>
      <c r="C983" s="5634" t="s">
        <v>392</v>
      </c>
      <c r="D983" s="5594">
        <v>140000000</v>
      </c>
      <c r="E983" s="5652">
        <v>7.0000000000000007E-2</v>
      </c>
      <c r="F983" s="5594">
        <f t="shared" si="87"/>
        <v>9800000.0000000019</v>
      </c>
      <c r="G983" s="5586">
        <v>9800000</v>
      </c>
      <c r="H983" s="5586" t="s">
        <v>7531</v>
      </c>
      <c r="I983" s="5586" t="s">
        <v>4380</v>
      </c>
      <c r="J983" s="5586">
        <f t="shared" si="88"/>
        <v>9800000</v>
      </c>
      <c r="K983" s="5650">
        <f t="shared" si="89"/>
        <v>0</v>
      </c>
      <c r="L983" s="5681"/>
      <c r="M983" s="386"/>
      <c r="N983" s="386"/>
      <c r="O983" s="386"/>
      <c r="P983" s="386"/>
      <c r="Q983" s="386"/>
    </row>
    <row r="984" spans="1:17" ht="30" customHeight="1" x14ac:dyDescent="0.2">
      <c r="A984" s="5655"/>
      <c r="B984" s="5613" t="s">
        <v>2735</v>
      </c>
      <c r="C984" s="5634" t="s">
        <v>889</v>
      </c>
      <c r="D984" s="5594">
        <v>85000000</v>
      </c>
      <c r="E984" s="5652">
        <v>0.05</v>
      </c>
      <c r="F984" s="5594">
        <f t="shared" si="87"/>
        <v>4250000</v>
      </c>
      <c r="G984" s="5586">
        <v>4250000</v>
      </c>
      <c r="H984" s="5586" t="s">
        <v>7424</v>
      </c>
      <c r="I984" s="5718" t="s">
        <v>3529</v>
      </c>
      <c r="J984" s="5586">
        <f t="shared" si="88"/>
        <v>4250000</v>
      </c>
      <c r="K984" s="5650">
        <f t="shared" si="89"/>
        <v>0</v>
      </c>
      <c r="L984" s="5681"/>
      <c r="M984" s="386"/>
      <c r="N984" s="386"/>
      <c r="O984" s="386"/>
      <c r="P984" s="386"/>
      <c r="Q984" s="386"/>
    </row>
    <row r="985" spans="1:17" ht="30" customHeight="1" x14ac:dyDescent="0.2">
      <c r="A985" s="5655"/>
      <c r="B985" s="5613" t="s">
        <v>3534</v>
      </c>
      <c r="C985" s="5634" t="s">
        <v>372</v>
      </c>
      <c r="D985" s="5594">
        <v>50000000</v>
      </c>
      <c r="E985" s="5652">
        <v>0.05</v>
      </c>
      <c r="F985" s="5594">
        <f t="shared" si="87"/>
        <v>2500000</v>
      </c>
      <c r="G985" s="5586">
        <v>2500000</v>
      </c>
      <c r="H985" s="5586" t="s">
        <v>7550</v>
      </c>
      <c r="I985" s="5586" t="s">
        <v>4091</v>
      </c>
      <c r="J985" s="5586">
        <f t="shared" si="88"/>
        <v>2500000</v>
      </c>
      <c r="K985" s="5650">
        <f t="shared" si="89"/>
        <v>0</v>
      </c>
      <c r="L985" s="5681"/>
      <c r="M985" s="386"/>
      <c r="N985" s="386"/>
      <c r="O985" s="386"/>
      <c r="P985" s="386"/>
      <c r="Q985" s="386"/>
    </row>
    <row r="986" spans="1:17" ht="30" customHeight="1" x14ac:dyDescent="0.2">
      <c r="A986" s="5655"/>
      <c r="B986" s="5613" t="s">
        <v>2738</v>
      </c>
      <c r="C986" s="5634" t="s">
        <v>372</v>
      </c>
      <c r="D986" s="5594">
        <v>25000000</v>
      </c>
      <c r="E986" s="5652">
        <v>0.05</v>
      </c>
      <c r="F986" s="5594">
        <f t="shared" si="87"/>
        <v>1250000</v>
      </c>
      <c r="G986" s="5586">
        <v>1250000</v>
      </c>
      <c r="H986" s="5586" t="s">
        <v>3879</v>
      </c>
      <c r="I986" s="5586" t="s">
        <v>4017</v>
      </c>
      <c r="J986" s="5586">
        <f t="shared" si="88"/>
        <v>1250000</v>
      </c>
      <c r="K986" s="5650">
        <f t="shared" si="89"/>
        <v>0</v>
      </c>
      <c r="L986" s="5681"/>
      <c r="M986" s="386"/>
      <c r="N986" s="386"/>
      <c r="O986" s="386"/>
      <c r="P986" s="386"/>
      <c r="Q986" s="386"/>
    </row>
    <row r="987" spans="1:17" ht="30" customHeight="1" x14ac:dyDescent="0.2">
      <c r="A987" s="7654"/>
      <c r="B987" s="7652" t="s">
        <v>2767</v>
      </c>
      <c r="C987" s="7723" t="s">
        <v>262</v>
      </c>
      <c r="D987" s="5586">
        <v>650000000</v>
      </c>
      <c r="E987" s="5652">
        <v>0.06</v>
      </c>
      <c r="F987" s="5586">
        <f>D987*E987</f>
        <v>39000000</v>
      </c>
      <c r="G987" s="7563">
        <v>45000000</v>
      </c>
      <c r="H987" s="7563" t="s">
        <v>4168</v>
      </c>
      <c r="I987" s="7563" t="s">
        <v>3477</v>
      </c>
      <c r="J987" s="7563">
        <f>G987</f>
        <v>45000000</v>
      </c>
      <c r="K987" s="7816">
        <f>(F987+F988+F989)-J987</f>
        <v>0</v>
      </c>
      <c r="L987" s="5709"/>
      <c r="M987" s="386"/>
      <c r="N987" s="386"/>
      <c r="O987" s="386"/>
      <c r="P987" s="386"/>
      <c r="Q987" s="386"/>
    </row>
    <row r="988" spans="1:17" ht="30" customHeight="1" x14ac:dyDescent="0.2">
      <c r="A988" s="7656"/>
      <c r="B988" s="7665"/>
      <c r="C988" s="7747"/>
      <c r="D988" s="5594">
        <v>50000000</v>
      </c>
      <c r="E988" s="5652">
        <v>0.06</v>
      </c>
      <c r="F988" s="5594">
        <f>D988*E988</f>
        <v>3000000</v>
      </c>
      <c r="G988" s="7586"/>
      <c r="H988" s="7586"/>
      <c r="I988" s="7586"/>
      <c r="J988" s="7586"/>
      <c r="K988" s="7882"/>
      <c r="L988" s="5681"/>
      <c r="M988" s="386"/>
      <c r="N988" s="386"/>
      <c r="O988" s="386"/>
      <c r="P988" s="386"/>
      <c r="Q988" s="386"/>
    </row>
    <row r="989" spans="1:17" ht="30" customHeight="1" x14ac:dyDescent="0.2">
      <c r="A989" s="7655"/>
      <c r="B989" s="7653"/>
      <c r="C989" s="7724"/>
      <c r="D989" s="5594">
        <v>50000000</v>
      </c>
      <c r="E989" s="5652">
        <v>0.06</v>
      </c>
      <c r="F989" s="5594">
        <f>D989*E989</f>
        <v>3000000</v>
      </c>
      <c r="G989" s="7564"/>
      <c r="H989" s="7564"/>
      <c r="I989" s="7564"/>
      <c r="J989" s="7564"/>
      <c r="K989" s="7817"/>
      <c r="L989" s="5681"/>
      <c r="M989" s="386"/>
      <c r="N989" s="386"/>
      <c r="O989" s="386"/>
      <c r="P989" s="386"/>
      <c r="Q989" s="386"/>
    </row>
    <row r="990" spans="1:17" ht="30" customHeight="1" x14ac:dyDescent="0.2">
      <c r="A990" s="5655"/>
      <c r="B990" s="5613" t="s">
        <v>2802</v>
      </c>
      <c r="C990" s="5634" t="s">
        <v>359</v>
      </c>
      <c r="D990" s="5594">
        <v>20000000</v>
      </c>
      <c r="E990" s="5652">
        <v>0.05</v>
      </c>
      <c r="F990" s="5594">
        <f t="shared" ref="F990:F998" si="91">D990*E990</f>
        <v>1000000</v>
      </c>
      <c r="G990" s="5586">
        <v>1000000</v>
      </c>
      <c r="H990" s="5586" t="s">
        <v>1975</v>
      </c>
      <c r="I990" s="5586" t="s">
        <v>3556</v>
      </c>
      <c r="J990" s="5586">
        <f>G990</f>
        <v>1000000</v>
      </c>
      <c r="K990" s="5650">
        <f>F990-J990</f>
        <v>0</v>
      </c>
      <c r="L990" s="5681"/>
      <c r="M990" s="386"/>
      <c r="N990" s="386"/>
      <c r="O990" s="386"/>
      <c r="P990" s="386"/>
      <c r="Q990" s="386"/>
    </row>
    <row r="991" spans="1:17" ht="30" customHeight="1" x14ac:dyDescent="0.2">
      <c r="A991" s="7879"/>
      <c r="B991" s="7717" t="s">
        <v>2904</v>
      </c>
      <c r="C991" s="7873" t="s">
        <v>1081</v>
      </c>
      <c r="D991" s="7482">
        <v>40000000</v>
      </c>
      <c r="E991" s="7870">
        <v>0.04</v>
      </c>
      <c r="F991" s="7482">
        <f t="shared" si="91"/>
        <v>1600000</v>
      </c>
      <c r="G991" s="6301">
        <v>1600000</v>
      </c>
      <c r="H991" s="6301" t="s">
        <v>7298</v>
      </c>
      <c r="I991" s="6301" t="s">
        <v>4314</v>
      </c>
      <c r="J991" s="6301">
        <f>G991</f>
        <v>1600000</v>
      </c>
      <c r="K991" s="6302">
        <f>F991-J991</f>
        <v>0</v>
      </c>
      <c r="L991" s="5681" t="s">
        <v>6807</v>
      </c>
      <c r="M991" s="386"/>
      <c r="N991" s="386"/>
      <c r="O991" s="386"/>
      <c r="P991" s="386"/>
      <c r="Q991" s="386"/>
    </row>
    <row r="992" spans="1:17" ht="30" customHeight="1" x14ac:dyDescent="0.2">
      <c r="A992" s="7879"/>
      <c r="B992" s="7717"/>
      <c r="C992" s="7873"/>
      <c r="D992" s="7482"/>
      <c r="E992" s="7870"/>
      <c r="F992" s="7482"/>
      <c r="G992" s="6301">
        <v>1600000</v>
      </c>
      <c r="H992" s="6301" t="s">
        <v>7795</v>
      </c>
      <c r="I992" s="6301" t="s">
        <v>7800</v>
      </c>
      <c r="J992" s="6301">
        <f>G992</f>
        <v>1600000</v>
      </c>
      <c r="K992" s="6302">
        <f>F991-J992</f>
        <v>0</v>
      </c>
      <c r="L992" s="6338" t="s">
        <v>7501</v>
      </c>
      <c r="M992" s="386"/>
      <c r="N992" s="386"/>
      <c r="O992" s="386"/>
      <c r="P992" s="386"/>
      <c r="Q992" s="386"/>
    </row>
    <row r="993" spans="1:17" ht="30" customHeight="1" x14ac:dyDescent="0.2">
      <c r="A993" s="6343"/>
      <c r="B993" s="5799" t="s">
        <v>2834</v>
      </c>
      <c r="C993" s="5792" t="s">
        <v>2849</v>
      </c>
      <c r="D993" s="5594">
        <v>40000000</v>
      </c>
      <c r="E993" s="5606">
        <v>0.05</v>
      </c>
      <c r="F993" s="5594">
        <f t="shared" si="91"/>
        <v>2000000</v>
      </c>
      <c r="G993" s="6305">
        <v>2000000</v>
      </c>
      <c r="H993" s="6305" t="s">
        <v>1975</v>
      </c>
      <c r="I993" s="6305" t="s">
        <v>3681</v>
      </c>
      <c r="J993" s="6305">
        <f>G993</f>
        <v>2000000</v>
      </c>
      <c r="K993" s="6332">
        <f>G993-J993</f>
        <v>0</v>
      </c>
      <c r="L993" s="5681"/>
      <c r="M993" s="386"/>
      <c r="N993" s="386"/>
      <c r="O993" s="386"/>
      <c r="P993" s="386"/>
      <c r="Q993" s="386"/>
    </row>
    <row r="994" spans="1:17" ht="30" customHeight="1" x14ac:dyDescent="0.2">
      <c r="A994" s="7879"/>
      <c r="B994" s="7717" t="s">
        <v>2899</v>
      </c>
      <c r="C994" s="5657" t="s">
        <v>1718</v>
      </c>
      <c r="D994" s="5594">
        <v>400000000</v>
      </c>
      <c r="E994" s="5652">
        <v>7.0000000000000007E-2</v>
      </c>
      <c r="F994" s="5594">
        <f t="shared" si="91"/>
        <v>28000000.000000004</v>
      </c>
      <c r="G994" s="5594">
        <v>28000000</v>
      </c>
      <c r="H994" s="5594" t="s">
        <v>7668</v>
      </c>
      <c r="I994" s="5643" t="s">
        <v>2868</v>
      </c>
      <c r="J994" s="5594">
        <f t="shared" ref="J994:J1007" si="92">G994</f>
        <v>28000000</v>
      </c>
      <c r="K994" s="5650">
        <f>F994-J994</f>
        <v>0</v>
      </c>
      <c r="L994" s="5680"/>
      <c r="M994" s="386"/>
      <c r="N994" s="386"/>
      <c r="O994" s="386"/>
      <c r="P994" s="386"/>
      <c r="Q994" s="386"/>
    </row>
    <row r="995" spans="1:17" ht="30" customHeight="1" x14ac:dyDescent="0.2">
      <c r="A995" s="7879"/>
      <c r="B995" s="7717"/>
      <c r="C995" s="5797" t="s">
        <v>990</v>
      </c>
      <c r="D995" s="5774">
        <v>200000000</v>
      </c>
      <c r="E995" s="5795">
        <v>7.0000000000000007E-2</v>
      </c>
      <c r="F995" s="5774">
        <f t="shared" si="91"/>
        <v>14000000.000000002</v>
      </c>
      <c r="G995" s="5774">
        <v>14000000</v>
      </c>
      <c r="H995" s="5774" t="s">
        <v>7325</v>
      </c>
      <c r="I995" s="5774" t="s">
        <v>7339</v>
      </c>
      <c r="J995" s="5774">
        <f>G995</f>
        <v>14000000</v>
      </c>
      <c r="K995" s="5775">
        <f>F995-J995</f>
        <v>0</v>
      </c>
      <c r="L995" s="5680"/>
      <c r="M995" s="386"/>
      <c r="N995" s="386"/>
      <c r="O995" s="386"/>
      <c r="P995" s="386"/>
      <c r="Q995" s="386"/>
    </row>
    <row r="996" spans="1:17" ht="30" customHeight="1" x14ac:dyDescent="0.2">
      <c r="A996" s="7654"/>
      <c r="B996" s="7652" t="s">
        <v>4692</v>
      </c>
      <c r="C996" s="7723" t="s">
        <v>2278</v>
      </c>
      <c r="D996" s="7563">
        <v>100000000</v>
      </c>
      <c r="E996" s="7659">
        <v>7.0000000000000007E-2</v>
      </c>
      <c r="F996" s="7563">
        <f>D996*E996</f>
        <v>7000000.0000000009</v>
      </c>
      <c r="G996" s="6204">
        <v>7000000</v>
      </c>
      <c r="H996" s="6204" t="s">
        <v>7293</v>
      </c>
      <c r="I996" s="6204" t="s">
        <v>2868</v>
      </c>
      <c r="J996" s="6204">
        <f>G996</f>
        <v>7000000</v>
      </c>
      <c r="K996" s="6215">
        <f>F996-J996</f>
        <v>0</v>
      </c>
      <c r="L996" s="6217" t="s">
        <v>6807</v>
      </c>
      <c r="M996" s="386"/>
      <c r="N996" s="386"/>
      <c r="O996" s="386"/>
      <c r="P996" s="386"/>
      <c r="Q996" s="386"/>
    </row>
    <row r="997" spans="1:17" ht="30" customHeight="1" x14ac:dyDescent="0.2">
      <c r="A997" s="7655"/>
      <c r="B997" s="7653"/>
      <c r="C997" s="7724"/>
      <c r="D997" s="7564"/>
      <c r="E997" s="7660"/>
      <c r="F997" s="7564"/>
      <c r="G997" s="5774">
        <v>7000000</v>
      </c>
      <c r="H997" s="5774" t="s">
        <v>7709</v>
      </c>
      <c r="I997" s="5774" t="s">
        <v>2868</v>
      </c>
      <c r="J997" s="5774">
        <f>G997</f>
        <v>7000000</v>
      </c>
      <c r="K997" s="5650">
        <f>F996-J997</f>
        <v>0</v>
      </c>
      <c r="L997" s="5808" t="s">
        <v>7711</v>
      </c>
      <c r="M997" s="386"/>
      <c r="N997" s="386"/>
      <c r="O997" s="386"/>
      <c r="P997" s="386"/>
      <c r="Q997" s="386"/>
    </row>
    <row r="998" spans="1:17" ht="30" customHeight="1" x14ac:dyDescent="0.2">
      <c r="A998" s="7654"/>
      <c r="B998" s="7652" t="s">
        <v>2206</v>
      </c>
      <c r="C998" s="7723" t="s">
        <v>1306</v>
      </c>
      <c r="D998" s="7563">
        <v>150000000</v>
      </c>
      <c r="E998" s="7659">
        <v>0.05</v>
      </c>
      <c r="F998" s="7846">
        <f t="shared" si="91"/>
        <v>7500000</v>
      </c>
      <c r="G998" s="5594">
        <v>7500000</v>
      </c>
      <c r="H998" s="5594" t="s">
        <v>7293</v>
      </c>
      <c r="I998" s="5643" t="s">
        <v>4539</v>
      </c>
      <c r="J998" s="5594">
        <f t="shared" si="92"/>
        <v>7500000</v>
      </c>
      <c r="K998" s="5650">
        <f>F998-J998</f>
        <v>0</v>
      </c>
      <c r="L998" s="6376" t="s">
        <v>6807</v>
      </c>
      <c r="M998" s="386"/>
      <c r="N998" s="386"/>
      <c r="O998" s="386"/>
      <c r="P998" s="386"/>
      <c r="Q998" s="386"/>
    </row>
    <row r="999" spans="1:17" ht="30" customHeight="1" x14ac:dyDescent="0.2">
      <c r="A999" s="7655"/>
      <c r="B999" s="7653"/>
      <c r="C999" s="7724"/>
      <c r="D999" s="7564"/>
      <c r="E999" s="7660"/>
      <c r="F999" s="7848"/>
      <c r="G999" s="6366">
        <v>7500000</v>
      </c>
      <c r="H999" s="6366" t="s">
        <v>7795</v>
      </c>
      <c r="I999" s="6370" t="s">
        <v>4539</v>
      </c>
      <c r="J999" s="6366">
        <f t="shared" si="92"/>
        <v>7500000</v>
      </c>
      <c r="K999" s="6371">
        <f>F998-J999</f>
        <v>0</v>
      </c>
      <c r="L999" s="6376" t="s">
        <v>7711</v>
      </c>
      <c r="M999" s="386"/>
      <c r="N999" s="386"/>
      <c r="O999" s="386"/>
      <c r="P999" s="386"/>
      <c r="Q999" s="386"/>
    </row>
    <row r="1000" spans="1:17" ht="30" customHeight="1" x14ac:dyDescent="0.2">
      <c r="A1000" s="5655"/>
      <c r="B1000" s="19" t="s">
        <v>180</v>
      </c>
      <c r="C1000" s="5634" t="s">
        <v>2849</v>
      </c>
      <c r="D1000" s="5594">
        <v>126000000</v>
      </c>
      <c r="E1000" s="5652">
        <f>F1000/D1000</f>
        <v>0.05</v>
      </c>
      <c r="F1000" s="5594">
        <v>6300000</v>
      </c>
      <c r="G1000" s="5586">
        <v>6300000</v>
      </c>
      <c r="H1000" s="5586" t="s">
        <v>7427</v>
      </c>
      <c r="I1000" s="5586" t="s">
        <v>4880</v>
      </c>
      <c r="J1000" s="5586">
        <f t="shared" si="92"/>
        <v>6300000</v>
      </c>
      <c r="K1000" s="5650">
        <f t="shared" ref="K1000:K1006" si="93">F1000-J1000</f>
        <v>0</v>
      </c>
      <c r="L1000" s="5681"/>
      <c r="M1000" s="386"/>
      <c r="N1000" s="386"/>
      <c r="O1000" s="386"/>
      <c r="P1000" s="386"/>
      <c r="Q1000" s="386"/>
    </row>
    <row r="1001" spans="1:17" ht="30" customHeight="1" x14ac:dyDescent="0.2">
      <c r="A1001" s="7654"/>
      <c r="B1001" s="7652" t="s">
        <v>4695</v>
      </c>
      <c r="C1001" s="7723" t="s">
        <v>989</v>
      </c>
      <c r="D1001" s="7563">
        <v>50000000</v>
      </c>
      <c r="E1001" s="7659">
        <v>0.05</v>
      </c>
      <c r="F1001" s="7563">
        <f t="shared" ref="F1001:F1006" si="94">D1001*E1001</f>
        <v>2500000</v>
      </c>
      <c r="G1001" s="5594">
        <v>2500000</v>
      </c>
      <c r="H1001" s="5594" t="s">
        <v>7293</v>
      </c>
      <c r="I1001" s="5643" t="s">
        <v>4764</v>
      </c>
      <c r="J1001" s="5594">
        <f t="shared" si="92"/>
        <v>2500000</v>
      </c>
      <c r="K1001" s="5650">
        <f>F1001-J1001</f>
        <v>0</v>
      </c>
      <c r="L1001" s="2700"/>
      <c r="M1001" s="386"/>
      <c r="N1001" s="386"/>
      <c r="O1001" s="386"/>
      <c r="P1001" s="386"/>
      <c r="Q1001" s="386"/>
    </row>
    <row r="1002" spans="1:17" ht="30" customHeight="1" x14ac:dyDescent="0.2">
      <c r="A1002" s="7655"/>
      <c r="B1002" s="7653"/>
      <c r="C1002" s="7724"/>
      <c r="D1002" s="7564"/>
      <c r="E1002" s="7660"/>
      <c r="F1002" s="7564"/>
      <c r="G1002" s="6206">
        <v>2500000</v>
      </c>
      <c r="H1002" s="6206" t="s">
        <v>7709</v>
      </c>
      <c r="I1002" s="6213" t="s">
        <v>4764</v>
      </c>
      <c r="J1002" s="6206">
        <f t="shared" si="92"/>
        <v>2500000</v>
      </c>
      <c r="K1002" s="6215">
        <f>F1001-J1002</f>
        <v>0</v>
      </c>
      <c r="L1002" s="2700"/>
      <c r="M1002" s="386"/>
      <c r="N1002" s="386"/>
      <c r="O1002" s="386"/>
      <c r="P1002" s="386"/>
      <c r="Q1002" s="386"/>
    </row>
    <row r="1003" spans="1:17" ht="30" customHeight="1" x14ac:dyDescent="0.2">
      <c r="A1003" s="6052"/>
      <c r="B1003" s="6055" t="s">
        <v>2873</v>
      </c>
      <c r="C1003" s="6065" t="s">
        <v>1172</v>
      </c>
      <c r="D1003" s="6047">
        <v>100000000</v>
      </c>
      <c r="E1003" s="6064">
        <v>0.05</v>
      </c>
      <c r="F1003" s="6047">
        <f t="shared" si="94"/>
        <v>5000000</v>
      </c>
      <c r="G1003" s="6047">
        <v>5000000</v>
      </c>
      <c r="H1003" s="6047" t="s">
        <v>7550</v>
      </c>
      <c r="I1003" s="6047" t="s">
        <v>6261</v>
      </c>
      <c r="J1003" s="6047">
        <f t="shared" si="92"/>
        <v>5000000</v>
      </c>
      <c r="K1003" s="6048">
        <f>F1003-J1003</f>
        <v>0</v>
      </c>
      <c r="L1003" s="5681"/>
      <c r="M1003" s="386"/>
      <c r="N1003" s="386"/>
      <c r="O1003" s="386"/>
      <c r="P1003" s="386"/>
      <c r="Q1003" s="386"/>
    </row>
    <row r="1004" spans="1:17" ht="30" customHeight="1" x14ac:dyDescent="0.2">
      <c r="A1004" s="5655"/>
      <c r="B1004" s="6051" t="s">
        <v>2878</v>
      </c>
      <c r="C1004" s="5634" t="s">
        <v>1718</v>
      </c>
      <c r="D1004" s="5594">
        <v>25000000</v>
      </c>
      <c r="E1004" s="6053">
        <v>0.04</v>
      </c>
      <c r="F1004" s="5594">
        <f t="shared" si="94"/>
        <v>1000000</v>
      </c>
      <c r="G1004" s="5594">
        <v>1000000</v>
      </c>
      <c r="H1004" s="5594" t="s">
        <v>7531</v>
      </c>
      <c r="I1004" s="5643" t="s">
        <v>4062</v>
      </c>
      <c r="J1004" s="5594">
        <f t="shared" si="92"/>
        <v>1000000</v>
      </c>
      <c r="K1004" s="5650">
        <f t="shared" si="93"/>
        <v>0</v>
      </c>
      <c r="L1004" s="5681"/>
      <c r="M1004" s="386"/>
      <c r="N1004" s="386"/>
      <c r="O1004" s="386"/>
      <c r="P1004" s="386"/>
      <c r="Q1004" s="386"/>
    </row>
    <row r="1005" spans="1:17" ht="30" customHeight="1" x14ac:dyDescent="0.2">
      <c r="A1005" s="5596"/>
      <c r="B1005" s="19" t="s">
        <v>2938</v>
      </c>
      <c r="C1005" s="5657" t="s">
        <v>1138</v>
      </c>
      <c r="D1005" s="5586">
        <v>10000000</v>
      </c>
      <c r="E1005" s="5652">
        <v>0.05</v>
      </c>
      <c r="F1005" s="5586">
        <f t="shared" si="94"/>
        <v>500000</v>
      </c>
      <c r="G1005" s="5586">
        <v>500000</v>
      </c>
      <c r="H1005" s="5586" t="s">
        <v>7531</v>
      </c>
      <c r="I1005" s="5586" t="s">
        <v>2939</v>
      </c>
      <c r="J1005" s="5586">
        <f t="shared" si="92"/>
        <v>500000</v>
      </c>
      <c r="K1005" s="5650">
        <f t="shared" si="93"/>
        <v>0</v>
      </c>
      <c r="L1005" s="5681"/>
      <c r="M1005" s="386"/>
      <c r="N1005" s="386"/>
      <c r="O1005" s="386"/>
      <c r="P1005" s="386"/>
      <c r="Q1005" s="386"/>
    </row>
    <row r="1006" spans="1:17" ht="30" customHeight="1" x14ac:dyDescent="0.2">
      <c r="A1006" s="5796"/>
      <c r="B1006" s="5785" t="s">
        <v>5360</v>
      </c>
      <c r="C1006" s="5797" t="s">
        <v>2278</v>
      </c>
      <c r="D1006" s="5774">
        <v>50000000</v>
      </c>
      <c r="E1006" s="5795">
        <v>0.05</v>
      </c>
      <c r="F1006" s="5774">
        <f t="shared" si="94"/>
        <v>2500000</v>
      </c>
      <c r="G1006" s="5774">
        <v>2500000</v>
      </c>
      <c r="H1006" s="5774" t="s">
        <v>7709</v>
      </c>
      <c r="I1006" s="5774" t="s">
        <v>7712</v>
      </c>
      <c r="J1006" s="5774">
        <f t="shared" si="92"/>
        <v>2500000</v>
      </c>
      <c r="K1006" s="5775">
        <f t="shared" si="93"/>
        <v>0</v>
      </c>
      <c r="L1006" s="5681"/>
      <c r="M1006" s="386"/>
      <c r="N1006" s="386"/>
      <c r="O1006" s="386"/>
      <c r="P1006" s="386"/>
      <c r="Q1006" s="386"/>
    </row>
    <row r="1007" spans="1:17" ht="30" customHeight="1" x14ac:dyDescent="0.2">
      <c r="A1007" s="7654"/>
      <c r="B1007" s="8291" t="s">
        <v>3037</v>
      </c>
      <c r="C1007" s="8341" t="s">
        <v>1306</v>
      </c>
      <c r="D1007" s="5594">
        <v>30000000</v>
      </c>
      <c r="E1007" s="5652">
        <v>0.05</v>
      </c>
      <c r="F1007" s="5594">
        <f t="shared" ref="F1007:F1023" si="95">D1007*E1007</f>
        <v>1500000</v>
      </c>
      <c r="G1007" s="7778">
        <v>4750000</v>
      </c>
      <c r="H1007" s="7482" t="s">
        <v>7281</v>
      </c>
      <c r="I1007" s="7482" t="s">
        <v>3729</v>
      </c>
      <c r="J1007" s="7482">
        <f t="shared" si="92"/>
        <v>4750000</v>
      </c>
      <c r="K1007" s="7499">
        <f>(F1007+F1008+F1009+F1010)-J1007</f>
        <v>0</v>
      </c>
      <c r="L1007" s="7811" t="s">
        <v>6807</v>
      </c>
      <c r="M1007" s="386"/>
      <c r="N1007" s="386"/>
      <c r="O1007" s="386"/>
      <c r="P1007" s="386"/>
      <c r="Q1007" s="386"/>
    </row>
    <row r="1008" spans="1:17" ht="30" customHeight="1" x14ac:dyDescent="0.2">
      <c r="A1008" s="7656"/>
      <c r="B1008" s="8292"/>
      <c r="C1008" s="8342"/>
      <c r="D1008" s="5594">
        <v>15000000</v>
      </c>
      <c r="E1008" s="5652">
        <v>0.05</v>
      </c>
      <c r="F1008" s="5594">
        <f t="shared" si="95"/>
        <v>750000</v>
      </c>
      <c r="G1008" s="7778"/>
      <c r="H1008" s="7482"/>
      <c r="I1008" s="7482"/>
      <c r="J1008" s="7482"/>
      <c r="K1008" s="7499"/>
      <c r="L1008" s="7897"/>
      <c r="M1008" s="386"/>
      <c r="N1008" s="386"/>
      <c r="O1008" s="386"/>
      <c r="P1008" s="386"/>
      <c r="Q1008" s="386"/>
    </row>
    <row r="1009" spans="1:17" ht="30" customHeight="1" x14ac:dyDescent="0.2">
      <c r="A1009" s="7656"/>
      <c r="B1009" s="8292"/>
      <c r="C1009" s="8342"/>
      <c r="D1009" s="5594">
        <v>15000000</v>
      </c>
      <c r="E1009" s="5652">
        <v>0.05</v>
      </c>
      <c r="F1009" s="5594">
        <f t="shared" si="95"/>
        <v>750000</v>
      </c>
      <c r="G1009" s="7778"/>
      <c r="H1009" s="7482"/>
      <c r="I1009" s="7482"/>
      <c r="J1009" s="7482"/>
      <c r="K1009" s="7499"/>
      <c r="L1009" s="7812"/>
      <c r="M1009" s="386"/>
      <c r="N1009" s="386"/>
      <c r="O1009" s="386"/>
      <c r="P1009" s="386"/>
      <c r="Q1009" s="386"/>
    </row>
    <row r="1010" spans="1:17" ht="30" customHeight="1" x14ac:dyDescent="0.2">
      <c r="A1010" s="7656"/>
      <c r="B1010" s="8292"/>
      <c r="C1010" s="8342"/>
      <c r="D1010" s="7563">
        <v>35000000</v>
      </c>
      <c r="E1010" s="7659">
        <v>0.05</v>
      </c>
      <c r="F1010" s="7563">
        <f t="shared" si="95"/>
        <v>1750000</v>
      </c>
      <c r="G1010" s="7846">
        <v>4750000</v>
      </c>
      <c r="H1010" s="7563" t="s">
        <v>7691</v>
      </c>
      <c r="I1010" s="7563" t="s">
        <v>7697</v>
      </c>
      <c r="J1010" s="7563">
        <f>G1010</f>
        <v>4750000</v>
      </c>
      <c r="K1010" s="7816">
        <f>(F1007+F1008+F1009+F1010)-J1010</f>
        <v>0</v>
      </c>
      <c r="L1010" s="7811" t="s">
        <v>7698</v>
      </c>
      <c r="M1010" s="386"/>
      <c r="N1010" s="386"/>
      <c r="O1010" s="386"/>
      <c r="P1010" s="386"/>
      <c r="Q1010" s="386"/>
    </row>
    <row r="1011" spans="1:17" ht="30" customHeight="1" x14ac:dyDescent="0.2">
      <c r="A1011" s="7656"/>
      <c r="B1011" s="8292"/>
      <c r="C1011" s="8342"/>
      <c r="D1011" s="7586"/>
      <c r="E1011" s="7676"/>
      <c r="F1011" s="7586"/>
      <c r="G1011" s="7847"/>
      <c r="H1011" s="7586"/>
      <c r="I1011" s="7586"/>
      <c r="J1011" s="7586"/>
      <c r="K1011" s="7882"/>
      <c r="L1011" s="7897"/>
      <c r="M1011" s="386"/>
      <c r="N1011" s="386"/>
      <c r="O1011" s="386"/>
      <c r="P1011" s="386"/>
      <c r="Q1011" s="386"/>
    </row>
    <row r="1012" spans="1:17" ht="30" customHeight="1" x14ac:dyDescent="0.2">
      <c r="A1012" s="7656"/>
      <c r="B1012" s="8292"/>
      <c r="C1012" s="8342"/>
      <c r="D1012" s="7586"/>
      <c r="E1012" s="7676"/>
      <c r="F1012" s="7586"/>
      <c r="G1012" s="7847"/>
      <c r="H1012" s="7586"/>
      <c r="I1012" s="7586"/>
      <c r="J1012" s="7586"/>
      <c r="K1012" s="7882"/>
      <c r="L1012" s="7897"/>
      <c r="M1012" s="386"/>
      <c r="N1012" s="386"/>
      <c r="O1012" s="386"/>
      <c r="P1012" s="386"/>
      <c r="Q1012" s="386"/>
    </row>
    <row r="1013" spans="1:17" ht="30" customHeight="1" x14ac:dyDescent="0.2">
      <c r="A1013" s="7655"/>
      <c r="B1013" s="8293"/>
      <c r="C1013" s="8343"/>
      <c r="D1013" s="7564"/>
      <c r="E1013" s="7660"/>
      <c r="F1013" s="7564"/>
      <c r="G1013" s="7848"/>
      <c r="H1013" s="7564"/>
      <c r="I1013" s="7564"/>
      <c r="J1013" s="7564"/>
      <c r="K1013" s="7817"/>
      <c r="L1013" s="7812"/>
      <c r="M1013" s="386"/>
      <c r="N1013" s="386"/>
      <c r="O1013" s="386"/>
      <c r="P1013" s="386"/>
      <c r="Q1013" s="386"/>
    </row>
    <row r="1014" spans="1:17" ht="30" customHeight="1" x14ac:dyDescent="0.2">
      <c r="A1014" s="7654"/>
      <c r="B1014" s="8291" t="s">
        <v>6093</v>
      </c>
      <c r="C1014" s="8341" t="s">
        <v>942</v>
      </c>
      <c r="D1014" s="7563">
        <v>60000000</v>
      </c>
      <c r="E1014" s="7659">
        <v>0.05</v>
      </c>
      <c r="F1014" s="7563">
        <f>D1014*E1014</f>
        <v>3000000</v>
      </c>
      <c r="G1014" s="5774">
        <v>3000000</v>
      </c>
      <c r="H1014" s="5774" t="s">
        <v>7298</v>
      </c>
      <c r="I1014" s="5774" t="s">
        <v>6784</v>
      </c>
      <c r="J1014" s="5774">
        <f>G1014</f>
        <v>3000000</v>
      </c>
      <c r="K1014" s="5775">
        <f>F1014-J1014</f>
        <v>0</v>
      </c>
      <c r="L1014" s="6338" t="s">
        <v>6807</v>
      </c>
      <c r="M1014" s="386"/>
      <c r="N1014" s="386"/>
      <c r="O1014" s="386"/>
      <c r="P1014" s="386"/>
      <c r="Q1014" s="386"/>
    </row>
    <row r="1015" spans="1:17" ht="30" customHeight="1" x14ac:dyDescent="0.2">
      <c r="A1015" s="7655"/>
      <c r="B1015" s="8293"/>
      <c r="C1015" s="8343"/>
      <c r="D1015" s="7564"/>
      <c r="E1015" s="7660"/>
      <c r="F1015" s="7564"/>
      <c r="G1015" s="6305">
        <v>3000000</v>
      </c>
      <c r="H1015" s="6305" t="s">
        <v>7795</v>
      </c>
      <c r="I1015" s="6305" t="s">
        <v>6784</v>
      </c>
      <c r="J1015" s="6305">
        <f>G1015</f>
        <v>3000000</v>
      </c>
      <c r="K1015" s="6332">
        <f>F1014-J1015</f>
        <v>0</v>
      </c>
      <c r="L1015" s="6338" t="s">
        <v>7501</v>
      </c>
      <c r="M1015" s="386"/>
      <c r="N1015" s="386"/>
      <c r="O1015" s="386"/>
      <c r="P1015" s="386"/>
      <c r="Q1015" s="386"/>
    </row>
    <row r="1016" spans="1:17" ht="30" customHeight="1" x14ac:dyDescent="0.2">
      <c r="A1016" s="7703"/>
      <c r="B1016" s="8291" t="s">
        <v>6302</v>
      </c>
      <c r="C1016" s="8341" t="s">
        <v>1172</v>
      </c>
      <c r="D1016" s="7563">
        <v>40000000</v>
      </c>
      <c r="E1016" s="7659">
        <v>0.05</v>
      </c>
      <c r="F1016" s="7563">
        <f>D1016*E1016</f>
        <v>2000000</v>
      </c>
      <c r="G1016" s="5777">
        <v>2000000</v>
      </c>
      <c r="H1016" s="5777" t="s">
        <v>7424</v>
      </c>
      <c r="I1016" s="5777" t="s">
        <v>7444</v>
      </c>
      <c r="J1016" s="5777">
        <f>G1016</f>
        <v>2000000</v>
      </c>
      <c r="K1016" s="5650">
        <f>F1016-J1016</f>
        <v>0</v>
      </c>
      <c r="L1016" s="2555" t="s">
        <v>7263</v>
      </c>
      <c r="M1016" s="386"/>
      <c r="N1016" s="386"/>
      <c r="O1016" s="386"/>
      <c r="P1016" s="386"/>
      <c r="Q1016" s="386"/>
    </row>
    <row r="1017" spans="1:17" ht="30" customHeight="1" x14ac:dyDescent="0.2">
      <c r="A1017" s="7705"/>
      <c r="B1017" s="8293"/>
      <c r="C1017" s="8343"/>
      <c r="D1017" s="7564"/>
      <c r="E1017" s="7660"/>
      <c r="F1017" s="7564"/>
      <c r="G1017" s="6128">
        <v>2000000</v>
      </c>
      <c r="H1017" s="6128" t="s">
        <v>7614</v>
      </c>
      <c r="I1017" s="6128" t="s">
        <v>7444</v>
      </c>
      <c r="J1017" s="6128">
        <f>G1017</f>
        <v>2000000</v>
      </c>
      <c r="K1017" s="6151">
        <f>F1016-J1017</f>
        <v>0</v>
      </c>
      <c r="L1017" s="2555" t="s">
        <v>6571</v>
      </c>
      <c r="M1017" s="386"/>
      <c r="N1017" s="386"/>
      <c r="O1017" s="386"/>
      <c r="P1017" s="386"/>
      <c r="Q1017" s="386"/>
    </row>
    <row r="1018" spans="1:17" ht="30" customHeight="1" x14ac:dyDescent="0.2">
      <c r="A1018" s="7654"/>
      <c r="B1018" s="7652" t="s">
        <v>3040</v>
      </c>
      <c r="C1018" s="7723" t="s">
        <v>1172</v>
      </c>
      <c r="D1018" s="7563">
        <v>1050000000</v>
      </c>
      <c r="E1018" s="7659">
        <v>7.0000000000000007E-2</v>
      </c>
      <c r="F1018" s="7563">
        <f>D1018*E1018</f>
        <v>73500000</v>
      </c>
      <c r="G1018" s="7482" t="s">
        <v>7150</v>
      </c>
      <c r="H1018" s="7482"/>
      <c r="I1018" s="7482"/>
      <c r="J1018" s="7482"/>
      <c r="K1018" s="7816"/>
      <c r="L1018" s="5669" t="s">
        <v>6917</v>
      </c>
      <c r="M1018" s="386"/>
      <c r="N1018" s="386"/>
      <c r="O1018" s="386"/>
      <c r="P1018" s="386"/>
      <c r="Q1018" s="386"/>
    </row>
    <row r="1019" spans="1:17" ht="30" customHeight="1" x14ac:dyDescent="0.2">
      <c r="A1019" s="7656"/>
      <c r="B1019" s="7665"/>
      <c r="C1019" s="7747"/>
      <c r="D1019" s="7564"/>
      <c r="E1019" s="7660"/>
      <c r="F1019" s="7564"/>
      <c r="G1019" s="7482"/>
      <c r="H1019" s="7482"/>
      <c r="I1019" s="7482"/>
      <c r="J1019" s="7482"/>
      <c r="K1019" s="7882"/>
      <c r="L1019" s="5669" t="s">
        <v>6918</v>
      </c>
      <c r="M1019" s="386"/>
      <c r="N1019" s="386"/>
      <c r="O1019" s="386"/>
      <c r="P1019" s="386"/>
      <c r="Q1019" s="386"/>
    </row>
    <row r="1020" spans="1:17" ht="30" customHeight="1" x14ac:dyDescent="0.2">
      <c r="A1020" s="7656"/>
      <c r="B1020" s="7665"/>
      <c r="C1020" s="7747"/>
      <c r="D1020" s="5594">
        <v>65000000</v>
      </c>
      <c r="E1020" s="5652">
        <v>7.0000000000000007E-2</v>
      </c>
      <c r="F1020" s="5594">
        <f>D1020*E1020</f>
        <v>4550000</v>
      </c>
      <c r="G1020" s="5594"/>
      <c r="H1020" s="5594"/>
      <c r="I1020" s="5774"/>
      <c r="J1020" s="5774"/>
      <c r="K1020" s="848"/>
      <c r="L1020" s="5669"/>
      <c r="M1020" s="386"/>
      <c r="N1020" s="386"/>
      <c r="O1020" s="386"/>
      <c r="P1020" s="386"/>
      <c r="Q1020" s="386"/>
    </row>
    <row r="1021" spans="1:17" ht="30" customHeight="1" x14ac:dyDescent="0.2">
      <c r="A1021" s="7655"/>
      <c r="B1021" s="7653"/>
      <c r="C1021" s="7724"/>
      <c r="D1021" s="5699">
        <v>1000000000</v>
      </c>
      <c r="E1021" s="5729">
        <v>7.0000000000000007E-2</v>
      </c>
      <c r="F1021" s="5699">
        <f>D1021*E1021</f>
        <v>70000000</v>
      </c>
      <c r="G1021" s="5594"/>
      <c r="H1021" s="5594"/>
      <c r="I1021" s="5643"/>
      <c r="J1021" s="7"/>
      <c r="K1021" s="898"/>
      <c r="L1021" s="5669" t="s">
        <v>6919</v>
      </c>
      <c r="M1021" s="386"/>
      <c r="N1021" s="386"/>
      <c r="O1021" s="386"/>
      <c r="P1021" s="386"/>
      <c r="Q1021" s="386"/>
    </row>
    <row r="1022" spans="1:17" ht="30" customHeight="1" x14ac:dyDescent="0.2">
      <c r="A1022" s="5655"/>
      <c r="B1022" s="5613" t="s">
        <v>3071</v>
      </c>
      <c r="C1022" s="5634" t="s">
        <v>889</v>
      </c>
      <c r="D1022" s="5594">
        <v>100000000</v>
      </c>
      <c r="E1022" s="5652">
        <v>0.05</v>
      </c>
      <c r="F1022" s="5594">
        <f t="shared" si="95"/>
        <v>5000000</v>
      </c>
      <c r="G1022" s="5594">
        <v>5000000</v>
      </c>
      <c r="H1022" s="5594" t="s">
        <v>7424</v>
      </c>
      <c r="I1022" s="5643" t="s">
        <v>3966</v>
      </c>
      <c r="J1022" s="5594">
        <f>G1022</f>
        <v>5000000</v>
      </c>
      <c r="K1022" s="5650">
        <f>F1022-J1022</f>
        <v>0</v>
      </c>
      <c r="L1022" s="5681"/>
      <c r="M1022" s="5681"/>
      <c r="N1022" s="5681"/>
      <c r="O1022" s="5681"/>
      <c r="P1022" s="5681"/>
      <c r="Q1022" s="386"/>
    </row>
    <row r="1023" spans="1:17" ht="30" customHeight="1" x14ac:dyDescent="0.2">
      <c r="A1023" s="7654"/>
      <c r="B1023" s="7652" t="s">
        <v>3764</v>
      </c>
      <c r="C1023" s="7723" t="s">
        <v>1107</v>
      </c>
      <c r="D1023" s="7563">
        <v>30000000</v>
      </c>
      <c r="E1023" s="7659">
        <v>7.0000000000000007E-2</v>
      </c>
      <c r="F1023" s="7563">
        <f t="shared" si="95"/>
        <v>2100000</v>
      </c>
      <c r="G1023" s="5586">
        <v>2100000</v>
      </c>
      <c r="H1023" s="5586" t="s">
        <v>7293</v>
      </c>
      <c r="I1023" s="5586" t="s">
        <v>4141</v>
      </c>
      <c r="J1023" s="5586">
        <f>G1023</f>
        <v>2100000</v>
      </c>
      <c r="K1023" s="5590">
        <f>F1023-J1023</f>
        <v>0</v>
      </c>
      <c r="L1023" s="5669" t="s">
        <v>6807</v>
      </c>
      <c r="M1023" s="386"/>
      <c r="N1023" s="386"/>
      <c r="O1023" s="386"/>
      <c r="P1023" s="386"/>
      <c r="Q1023" s="386"/>
    </row>
    <row r="1024" spans="1:17" ht="30" customHeight="1" x14ac:dyDescent="0.2">
      <c r="A1024" s="7655"/>
      <c r="B1024" s="7653"/>
      <c r="C1024" s="7724"/>
      <c r="D1024" s="7564"/>
      <c r="E1024" s="7660"/>
      <c r="F1024" s="7564"/>
      <c r="G1024" s="6301">
        <v>2100000</v>
      </c>
      <c r="H1024" s="6301" t="s">
        <v>7786</v>
      </c>
      <c r="I1024" s="6301" t="s">
        <v>4141</v>
      </c>
      <c r="J1024" s="6301">
        <f>G1024</f>
        <v>2100000</v>
      </c>
      <c r="K1024" s="6302">
        <f>F1023-J1024</f>
        <v>0</v>
      </c>
      <c r="L1024" s="6330" t="s">
        <v>7501</v>
      </c>
      <c r="M1024" s="386"/>
      <c r="N1024" s="386"/>
      <c r="O1024" s="386"/>
      <c r="P1024" s="386"/>
      <c r="Q1024" s="386"/>
    </row>
    <row r="1025" spans="1:17" ht="30" customHeight="1" x14ac:dyDescent="0.2">
      <c r="A1025" s="7654"/>
      <c r="B1025" s="7652" t="s">
        <v>3954</v>
      </c>
      <c r="C1025" s="7723" t="s">
        <v>989</v>
      </c>
      <c r="D1025" s="5586">
        <v>300000000</v>
      </c>
      <c r="E1025" s="5652">
        <v>0.05</v>
      </c>
      <c r="F1025" s="5586">
        <f>D1025*E1025</f>
        <v>15000000</v>
      </c>
      <c r="G1025" s="7482">
        <v>18000000</v>
      </c>
      <c r="H1025" s="7482" t="s">
        <v>7325</v>
      </c>
      <c r="I1025" s="7482" t="s">
        <v>7326</v>
      </c>
      <c r="J1025" s="7482">
        <f>G1025</f>
        <v>18000000</v>
      </c>
      <c r="K1025" s="7499">
        <f>(F1025+F1026)-J1025</f>
        <v>0</v>
      </c>
      <c r="L1025" s="7811" t="s">
        <v>6807</v>
      </c>
      <c r="M1025" s="386"/>
      <c r="N1025" s="386"/>
      <c r="O1025" s="386"/>
      <c r="P1025" s="386"/>
      <c r="Q1025" s="386"/>
    </row>
    <row r="1026" spans="1:17" ht="30" customHeight="1" x14ac:dyDescent="0.2">
      <c r="A1026" s="7656"/>
      <c r="B1026" s="7665"/>
      <c r="C1026" s="7747"/>
      <c r="D1026" s="5594">
        <v>60000000</v>
      </c>
      <c r="E1026" s="5606">
        <v>0.05</v>
      </c>
      <c r="F1026" s="5594">
        <f>D1026*E1026</f>
        <v>3000000</v>
      </c>
      <c r="G1026" s="7482"/>
      <c r="H1026" s="7482"/>
      <c r="I1026" s="7482"/>
      <c r="J1026" s="7482"/>
      <c r="K1026" s="7499"/>
      <c r="L1026" s="7812"/>
      <c r="M1026" s="386"/>
      <c r="N1026" s="386"/>
      <c r="O1026" s="386"/>
      <c r="P1026" s="386"/>
      <c r="Q1026" s="386"/>
    </row>
    <row r="1027" spans="1:17" ht="30" customHeight="1" x14ac:dyDescent="0.2">
      <c r="A1027" s="7656"/>
      <c r="B1027" s="7665"/>
      <c r="C1027" s="7747"/>
      <c r="D1027" s="6301">
        <v>300000000</v>
      </c>
      <c r="E1027" s="6335">
        <v>0.05</v>
      </c>
      <c r="F1027" s="6301">
        <f>D1027*E1027</f>
        <v>15000000</v>
      </c>
      <c r="G1027" s="233">
        <v>14000000</v>
      </c>
      <c r="H1027" s="6301" t="s">
        <v>7786</v>
      </c>
      <c r="I1027" s="6301" t="s">
        <v>7789</v>
      </c>
      <c r="J1027" s="7563">
        <f>G1027+G1028</f>
        <v>18000000</v>
      </c>
      <c r="K1027" s="7816">
        <f>(F1027+F1028)-J1027</f>
        <v>0</v>
      </c>
      <c r="L1027" s="7811" t="s">
        <v>7501</v>
      </c>
      <c r="M1027" s="386"/>
      <c r="N1027" s="386"/>
      <c r="O1027" s="386"/>
      <c r="P1027" s="386"/>
      <c r="Q1027" s="386"/>
    </row>
    <row r="1028" spans="1:17" ht="30" customHeight="1" x14ac:dyDescent="0.2">
      <c r="A1028" s="7655"/>
      <c r="B1028" s="7653"/>
      <c r="C1028" s="7724"/>
      <c r="D1028" s="6305">
        <v>60000000</v>
      </c>
      <c r="E1028" s="6308">
        <v>0.05</v>
      </c>
      <c r="F1028" s="6305">
        <f>D1028*E1028</f>
        <v>3000000</v>
      </c>
      <c r="G1028" s="6305">
        <v>4000000</v>
      </c>
      <c r="H1028" s="6301" t="s">
        <v>7786</v>
      </c>
      <c r="I1028" s="6301" t="s">
        <v>7789</v>
      </c>
      <c r="J1028" s="7564"/>
      <c r="K1028" s="7817"/>
      <c r="L1028" s="7812"/>
      <c r="M1028" s="386"/>
      <c r="N1028" s="386"/>
      <c r="O1028" s="386"/>
      <c r="P1028" s="386"/>
      <c r="Q1028" s="386"/>
    </row>
    <row r="1029" spans="1:17" ht="30" customHeight="1" x14ac:dyDescent="0.2">
      <c r="A1029" s="7654"/>
      <c r="B1029" s="7652" t="s">
        <v>3159</v>
      </c>
      <c r="C1029" s="7723" t="s">
        <v>989</v>
      </c>
      <c r="D1029" s="7563">
        <v>50000000</v>
      </c>
      <c r="E1029" s="7659">
        <v>0.05</v>
      </c>
      <c r="F1029" s="7563">
        <f>D1029*E1029</f>
        <v>2500000</v>
      </c>
      <c r="G1029" s="5586">
        <v>2500000</v>
      </c>
      <c r="H1029" s="5586" t="s">
        <v>7281</v>
      </c>
      <c r="I1029" s="5586" t="s">
        <v>5854</v>
      </c>
      <c r="J1029" s="5586">
        <f>G1029</f>
        <v>2500000</v>
      </c>
      <c r="K1029" s="5650">
        <f>F1029-J1029</f>
        <v>0</v>
      </c>
      <c r="L1029" s="5670" t="s">
        <v>6807</v>
      </c>
      <c r="M1029" s="386"/>
      <c r="N1029" s="386"/>
      <c r="O1029" s="386"/>
      <c r="P1029" s="386"/>
      <c r="Q1029" s="386"/>
    </row>
    <row r="1030" spans="1:17" ht="30" customHeight="1" x14ac:dyDescent="0.2">
      <c r="A1030" s="7655"/>
      <c r="B1030" s="7653"/>
      <c r="C1030" s="7724"/>
      <c r="D1030" s="7564"/>
      <c r="E1030" s="7660"/>
      <c r="F1030" s="7564"/>
      <c r="G1030" s="6301">
        <v>2500000</v>
      </c>
      <c r="H1030" s="6301" t="s">
        <v>7795</v>
      </c>
      <c r="I1030" s="6301" t="s">
        <v>7803</v>
      </c>
      <c r="J1030" s="6301">
        <f>G1030</f>
        <v>2500000</v>
      </c>
      <c r="K1030" s="6332">
        <f>F1029-J1030</f>
        <v>0</v>
      </c>
      <c r="L1030" s="6331" t="s">
        <v>7501</v>
      </c>
      <c r="M1030" s="386"/>
      <c r="N1030" s="386"/>
      <c r="O1030" s="386"/>
      <c r="P1030" s="386"/>
      <c r="Q1030" s="386"/>
    </row>
    <row r="1031" spans="1:17" ht="30" customHeight="1" x14ac:dyDescent="0.2">
      <c r="A1031" s="5655"/>
      <c r="B1031" s="5632" t="s">
        <v>3164</v>
      </c>
      <c r="C1031" s="5657" t="s">
        <v>3323</v>
      </c>
      <c r="D1031" s="5586">
        <v>416000000</v>
      </c>
      <c r="E1031" s="5652">
        <v>0.04</v>
      </c>
      <c r="F1031" s="5586">
        <f>D1031*E1031</f>
        <v>16640000</v>
      </c>
      <c r="G1031" s="5586"/>
      <c r="H1031" s="5586"/>
      <c r="I1031" s="5586" t="s">
        <v>4844</v>
      </c>
      <c r="J1031" s="5586">
        <f>G1031</f>
        <v>0</v>
      </c>
      <c r="K1031" s="5650">
        <f>F1031-J1031</f>
        <v>16640000</v>
      </c>
      <c r="L1031" s="5681"/>
      <c r="M1031" s="386"/>
      <c r="N1031" s="386"/>
      <c r="O1031" s="386"/>
      <c r="P1031" s="386"/>
      <c r="Q1031" s="386"/>
    </row>
    <row r="1032" spans="1:17" ht="30" customHeight="1" x14ac:dyDescent="0.2">
      <c r="A1032" s="7654"/>
      <c r="B1032" s="7661" t="s">
        <v>825</v>
      </c>
      <c r="C1032" s="7703"/>
      <c r="D1032" s="7962" t="s">
        <v>7506</v>
      </c>
      <c r="E1032" s="7963"/>
      <c r="F1032" s="7964"/>
      <c r="G1032" s="7991" t="s">
        <v>7504</v>
      </c>
      <c r="H1032" s="7992"/>
      <c r="I1032" s="7992"/>
      <c r="J1032" s="7993"/>
      <c r="K1032" s="7816"/>
      <c r="L1032" s="5681"/>
      <c r="M1032" s="386"/>
      <c r="N1032" s="386"/>
      <c r="O1032" s="386"/>
      <c r="P1032" s="386"/>
      <c r="Q1032" s="386"/>
    </row>
    <row r="1033" spans="1:17" ht="30" customHeight="1" x14ac:dyDescent="0.2">
      <c r="A1033" s="7656"/>
      <c r="B1033" s="7662"/>
      <c r="C1033" s="7704"/>
      <c r="D1033" s="7965"/>
      <c r="E1033" s="7966"/>
      <c r="F1033" s="7967"/>
      <c r="G1033" s="7997"/>
      <c r="H1033" s="7998"/>
      <c r="I1033" s="7998"/>
      <c r="J1033" s="7999"/>
      <c r="K1033" s="7817"/>
      <c r="L1033" s="5681"/>
      <c r="M1033" s="386"/>
      <c r="N1033" s="386"/>
      <c r="O1033" s="386"/>
      <c r="P1033" s="386"/>
      <c r="Q1033" s="386"/>
    </row>
    <row r="1034" spans="1:17" ht="30" customHeight="1" x14ac:dyDescent="0.2">
      <c r="A1034" s="7656"/>
      <c r="B1034" s="7662"/>
      <c r="C1034" s="7704"/>
      <c r="D1034" s="7965"/>
      <c r="E1034" s="7966"/>
      <c r="F1034" s="7967"/>
      <c r="G1034" s="7991" t="s">
        <v>7505</v>
      </c>
      <c r="H1034" s="7992"/>
      <c r="I1034" s="7992"/>
      <c r="J1034" s="7993"/>
      <c r="K1034" s="5983"/>
      <c r="L1034" s="5989"/>
      <c r="M1034" s="386"/>
      <c r="N1034" s="386"/>
      <c r="O1034" s="386"/>
      <c r="P1034" s="386"/>
      <c r="Q1034" s="386"/>
    </row>
    <row r="1035" spans="1:17" ht="30" customHeight="1" x14ac:dyDescent="0.2">
      <c r="A1035" s="7656"/>
      <c r="B1035" s="7662"/>
      <c r="C1035" s="7704"/>
      <c r="D1035" s="7965"/>
      <c r="E1035" s="7966"/>
      <c r="F1035" s="7967"/>
      <c r="G1035" s="7997"/>
      <c r="H1035" s="7998"/>
      <c r="I1035" s="7998"/>
      <c r="J1035" s="7999"/>
      <c r="K1035" s="5983"/>
      <c r="L1035" s="5989"/>
      <c r="M1035" s="386"/>
      <c r="N1035" s="386"/>
      <c r="O1035" s="386"/>
      <c r="P1035" s="386"/>
      <c r="Q1035" s="386"/>
    </row>
    <row r="1036" spans="1:17" ht="30" customHeight="1" x14ac:dyDescent="0.2">
      <c r="A1036" s="7656"/>
      <c r="B1036" s="7662"/>
      <c r="C1036" s="7704"/>
      <c r="D1036" s="7965"/>
      <c r="E1036" s="7966"/>
      <c r="F1036" s="7967"/>
      <c r="G1036" s="7732" t="s">
        <v>7507</v>
      </c>
      <c r="H1036" s="7733"/>
      <c r="I1036" s="7733"/>
      <c r="J1036" s="7734"/>
      <c r="K1036" s="5650"/>
      <c r="L1036" s="5681" t="s">
        <v>7508</v>
      </c>
      <c r="M1036" s="386"/>
      <c r="N1036" s="386"/>
      <c r="O1036" s="386"/>
      <c r="P1036" s="386"/>
      <c r="Q1036" s="386"/>
    </row>
    <row r="1037" spans="1:17" ht="30" customHeight="1" x14ac:dyDescent="0.2">
      <c r="A1037" s="7655"/>
      <c r="B1037" s="7663"/>
      <c r="C1037" s="7705"/>
      <c r="D1037" s="7968"/>
      <c r="E1037" s="7969"/>
      <c r="F1037" s="7970"/>
      <c r="G1037" s="7732" t="s">
        <v>7509</v>
      </c>
      <c r="H1037" s="7733"/>
      <c r="I1037" s="7733"/>
      <c r="J1037" s="7734"/>
      <c r="K1037" s="5983"/>
      <c r="L1037" s="5989"/>
      <c r="M1037" s="386"/>
      <c r="N1037" s="386"/>
      <c r="O1037" s="386"/>
      <c r="P1037" s="386"/>
      <c r="Q1037" s="386"/>
    </row>
    <row r="1038" spans="1:17" ht="30" customHeight="1" x14ac:dyDescent="0.2">
      <c r="A1038" s="7654"/>
      <c r="B1038" s="7661" t="s">
        <v>3215</v>
      </c>
      <c r="C1038" s="7723" t="s">
        <v>3216</v>
      </c>
      <c r="D1038" s="7563">
        <v>120000000</v>
      </c>
      <c r="E1038" s="7659">
        <v>0.04</v>
      </c>
      <c r="F1038" s="7563">
        <f>D1038*E1038</f>
        <v>4800000</v>
      </c>
      <c r="G1038" s="5594">
        <v>4800000</v>
      </c>
      <c r="H1038" s="5594" t="s">
        <v>7281</v>
      </c>
      <c r="I1038" s="5594" t="s">
        <v>1946</v>
      </c>
      <c r="J1038" s="5594">
        <f t="shared" ref="J1038:J1059" si="96">G1038</f>
        <v>4800000</v>
      </c>
      <c r="K1038" s="5650">
        <f t="shared" ref="K1038:K1050" si="97">F1038-J1038</f>
        <v>0</v>
      </c>
      <c r="L1038" s="6376" t="s">
        <v>6807</v>
      </c>
      <c r="M1038" s="386"/>
      <c r="N1038" s="386"/>
      <c r="O1038" s="386"/>
      <c r="P1038" s="386"/>
      <c r="Q1038" s="386"/>
    </row>
    <row r="1039" spans="1:17" ht="30" customHeight="1" x14ac:dyDescent="0.2">
      <c r="A1039" s="7655"/>
      <c r="B1039" s="7663"/>
      <c r="C1039" s="7724"/>
      <c r="D1039" s="7564"/>
      <c r="E1039" s="7660"/>
      <c r="F1039" s="7564"/>
      <c r="G1039" s="6366">
        <v>4800000</v>
      </c>
      <c r="H1039" s="6366" t="s">
        <v>7810</v>
      </c>
      <c r="I1039" s="6366" t="s">
        <v>1946</v>
      </c>
      <c r="J1039" s="6366">
        <f>G1039</f>
        <v>4800000</v>
      </c>
      <c r="K1039" s="6371">
        <f>F1038-J1039</f>
        <v>0</v>
      </c>
      <c r="L1039" s="6376" t="s">
        <v>7501</v>
      </c>
      <c r="M1039" s="386"/>
      <c r="N1039" s="386"/>
      <c r="O1039" s="386"/>
      <c r="P1039" s="386"/>
      <c r="Q1039" s="386"/>
    </row>
    <row r="1040" spans="1:17" ht="30" customHeight="1" x14ac:dyDescent="0.2">
      <c r="A1040" s="7654"/>
      <c r="B1040" s="7661" t="s">
        <v>3218</v>
      </c>
      <c r="C1040" s="7723" t="s">
        <v>3219</v>
      </c>
      <c r="D1040" s="7563">
        <v>100000000</v>
      </c>
      <c r="E1040" s="7659">
        <v>0.05</v>
      </c>
      <c r="F1040" s="7563">
        <f>D1040*E1040</f>
        <v>5000000</v>
      </c>
      <c r="G1040" s="5586">
        <v>5000000</v>
      </c>
      <c r="H1040" s="5586" t="s">
        <v>7427</v>
      </c>
      <c r="I1040" s="5586" t="s">
        <v>7432</v>
      </c>
      <c r="J1040" s="5586">
        <f t="shared" si="96"/>
        <v>5000000</v>
      </c>
      <c r="K1040" s="5650">
        <f t="shared" si="97"/>
        <v>0</v>
      </c>
      <c r="L1040" s="6376" t="s">
        <v>6807</v>
      </c>
      <c r="M1040" s="386"/>
      <c r="N1040" s="386"/>
      <c r="O1040" s="386"/>
      <c r="P1040" s="386"/>
      <c r="Q1040" s="386"/>
    </row>
    <row r="1041" spans="1:17" ht="30" customHeight="1" x14ac:dyDescent="0.2">
      <c r="A1041" s="7655"/>
      <c r="B1041" s="7663"/>
      <c r="C1041" s="7724"/>
      <c r="D1041" s="7564"/>
      <c r="E1041" s="7660"/>
      <c r="F1041" s="7564"/>
      <c r="G1041" s="6364">
        <v>5000000</v>
      </c>
      <c r="H1041" s="6364" t="s">
        <v>7810</v>
      </c>
      <c r="I1041" s="6364" t="s">
        <v>7814</v>
      </c>
      <c r="J1041" s="6364">
        <f>G1041</f>
        <v>5000000</v>
      </c>
      <c r="K1041" s="6371">
        <f>F1040-J1041</f>
        <v>0</v>
      </c>
      <c r="L1041" s="6376" t="s">
        <v>7501</v>
      </c>
      <c r="M1041" s="386"/>
      <c r="N1041" s="386"/>
      <c r="O1041" s="386"/>
      <c r="P1041" s="386"/>
      <c r="Q1041" s="386"/>
    </row>
    <row r="1042" spans="1:17" ht="30" customHeight="1" x14ac:dyDescent="0.2">
      <c r="A1042" s="7654"/>
      <c r="B1042" s="7661" t="s">
        <v>3221</v>
      </c>
      <c r="C1042" s="7723" t="s">
        <v>1796</v>
      </c>
      <c r="D1042" s="7563">
        <v>50000000</v>
      </c>
      <c r="E1042" s="7659">
        <v>0.05</v>
      </c>
      <c r="F1042" s="7563">
        <f>D1042*E1042</f>
        <v>2500000</v>
      </c>
      <c r="G1042" s="5586">
        <v>2500000</v>
      </c>
      <c r="H1042" s="5586" t="s">
        <v>7298</v>
      </c>
      <c r="I1042" s="5586" t="s">
        <v>4777</v>
      </c>
      <c r="J1042" s="5586">
        <f t="shared" si="96"/>
        <v>2500000</v>
      </c>
      <c r="K1042" s="5650">
        <f t="shared" si="97"/>
        <v>0</v>
      </c>
      <c r="L1042" s="5681" t="s">
        <v>6807</v>
      </c>
      <c r="M1042" s="386"/>
      <c r="N1042" s="386"/>
      <c r="O1042" s="386"/>
      <c r="P1042" s="386"/>
      <c r="Q1042" s="386"/>
    </row>
    <row r="1043" spans="1:17" ht="30" customHeight="1" x14ac:dyDescent="0.2">
      <c r="A1043" s="7655"/>
      <c r="B1043" s="7663"/>
      <c r="C1043" s="7724"/>
      <c r="D1043" s="7564"/>
      <c r="E1043" s="7660"/>
      <c r="F1043" s="7564"/>
      <c r="G1043" s="6272">
        <v>2500000</v>
      </c>
      <c r="H1043" s="6272" t="s">
        <v>7727</v>
      </c>
      <c r="I1043" s="6272" t="s">
        <v>7735</v>
      </c>
      <c r="J1043" s="6272">
        <f>G1043</f>
        <v>2500000</v>
      </c>
      <c r="K1043" s="6291">
        <f>F1042-J1043</f>
        <v>0</v>
      </c>
      <c r="L1043" s="6293" t="s">
        <v>7501</v>
      </c>
      <c r="M1043" s="386"/>
      <c r="N1043" s="386"/>
      <c r="O1043" s="386"/>
      <c r="P1043" s="386"/>
      <c r="Q1043" s="386"/>
    </row>
    <row r="1044" spans="1:17" ht="30" customHeight="1" x14ac:dyDescent="0.2">
      <c r="A1044" s="146"/>
      <c r="B1044" s="5612" t="s">
        <v>3224</v>
      </c>
      <c r="C1044" s="5671"/>
      <c r="D1044" s="5671"/>
      <c r="E1044" s="2519"/>
      <c r="F1044" s="5611"/>
      <c r="G1044" s="5595"/>
      <c r="H1044" s="5595"/>
      <c r="I1044" s="5595" t="s">
        <v>3226</v>
      </c>
      <c r="J1044" s="5595">
        <f t="shared" si="96"/>
        <v>0</v>
      </c>
      <c r="K1044" s="5651">
        <f t="shared" si="97"/>
        <v>0</v>
      </c>
      <c r="L1044" s="2177" t="s">
        <v>4831</v>
      </c>
      <c r="M1044" s="386"/>
      <c r="N1044" s="386"/>
      <c r="O1044" s="386"/>
      <c r="P1044" s="386"/>
      <c r="Q1044" s="386"/>
    </row>
    <row r="1045" spans="1:17" ht="30" customHeight="1" x14ac:dyDescent="0.2">
      <c r="A1045" s="146"/>
      <c r="B1045" s="5599" t="s">
        <v>3257</v>
      </c>
      <c r="C1045" s="5634" t="s">
        <v>402</v>
      </c>
      <c r="D1045" s="5594">
        <v>40000000</v>
      </c>
      <c r="E1045" s="5652">
        <v>0.05</v>
      </c>
      <c r="F1045" s="5594">
        <f>D1045*E1045</f>
        <v>2000000</v>
      </c>
      <c r="G1045" s="5586">
        <v>2000000</v>
      </c>
      <c r="H1045" s="5586" t="s">
        <v>7531</v>
      </c>
      <c r="I1045" s="5586" t="s">
        <v>5536</v>
      </c>
      <c r="J1045" s="5586">
        <f t="shared" si="96"/>
        <v>2000000</v>
      </c>
      <c r="K1045" s="2352">
        <f t="shared" si="97"/>
        <v>0</v>
      </c>
      <c r="L1045" s="5681"/>
      <c r="M1045" s="386"/>
      <c r="N1045" s="386"/>
      <c r="O1045" s="386"/>
      <c r="P1045" s="386"/>
      <c r="Q1045" s="386"/>
    </row>
    <row r="1046" spans="1:17" ht="30" customHeight="1" x14ac:dyDescent="0.2">
      <c r="A1046" s="7654"/>
      <c r="B1046" s="7661" t="s">
        <v>3293</v>
      </c>
      <c r="C1046" s="7723" t="s">
        <v>1796</v>
      </c>
      <c r="D1046" s="7563">
        <v>15000000</v>
      </c>
      <c r="E1046" s="7659">
        <v>0.05</v>
      </c>
      <c r="F1046" s="7563">
        <f>D1046*E1046</f>
        <v>750000</v>
      </c>
      <c r="G1046" s="5586">
        <v>750000</v>
      </c>
      <c r="H1046" s="5586" t="s">
        <v>7298</v>
      </c>
      <c r="I1046" s="5586" t="s">
        <v>5416</v>
      </c>
      <c r="J1046" s="5586">
        <f t="shared" si="96"/>
        <v>750000</v>
      </c>
      <c r="K1046" s="5650">
        <f t="shared" si="97"/>
        <v>0</v>
      </c>
      <c r="L1046" s="5681" t="s">
        <v>6123</v>
      </c>
      <c r="M1046" s="386"/>
      <c r="N1046" s="386"/>
      <c r="O1046" s="386"/>
      <c r="P1046" s="386"/>
      <c r="Q1046" s="386"/>
    </row>
    <row r="1047" spans="1:17" ht="30" customHeight="1" x14ac:dyDescent="0.2">
      <c r="A1047" s="7655"/>
      <c r="B1047" s="7663"/>
      <c r="C1047" s="7724"/>
      <c r="D1047" s="7564"/>
      <c r="E1047" s="7660"/>
      <c r="F1047" s="7564"/>
      <c r="G1047" s="6272">
        <v>750000</v>
      </c>
      <c r="H1047" s="6272" t="s">
        <v>7727</v>
      </c>
      <c r="I1047" s="6272" t="s">
        <v>5416</v>
      </c>
      <c r="J1047" s="6272">
        <f t="shared" si="96"/>
        <v>750000</v>
      </c>
      <c r="K1047" s="6291">
        <f>F1046-J1047</f>
        <v>0</v>
      </c>
      <c r="L1047" s="6293" t="s">
        <v>7501</v>
      </c>
      <c r="M1047" s="386"/>
      <c r="N1047" s="386"/>
      <c r="O1047" s="386"/>
      <c r="P1047" s="386"/>
      <c r="Q1047" s="386"/>
    </row>
    <row r="1048" spans="1:17" ht="30" customHeight="1" x14ac:dyDescent="0.2">
      <c r="A1048" s="5655"/>
      <c r="B1048" s="5632" t="s">
        <v>3296</v>
      </c>
      <c r="C1048" s="5657" t="s">
        <v>942</v>
      </c>
      <c r="D1048" s="5586">
        <v>150000000</v>
      </c>
      <c r="E1048" s="5652">
        <v>0.05</v>
      </c>
      <c r="F1048" s="5586">
        <f>D1048*E1048</f>
        <v>7500000</v>
      </c>
      <c r="G1048" s="5586">
        <v>7500000</v>
      </c>
      <c r="H1048" s="5586" t="s">
        <v>7310</v>
      </c>
      <c r="I1048" s="5586" t="s">
        <v>7314</v>
      </c>
      <c r="J1048" s="5586">
        <f t="shared" si="96"/>
        <v>7500000</v>
      </c>
      <c r="K1048" s="5590">
        <f t="shared" si="97"/>
        <v>0</v>
      </c>
      <c r="L1048" s="5681"/>
      <c r="M1048" s="386"/>
      <c r="N1048" s="386"/>
      <c r="O1048" s="386"/>
      <c r="P1048" s="386"/>
      <c r="Q1048" s="386"/>
    </row>
    <row r="1049" spans="1:17" ht="30" customHeight="1" x14ac:dyDescent="0.2">
      <c r="A1049" s="5655"/>
      <c r="B1049" s="5632" t="s">
        <v>3308</v>
      </c>
      <c r="C1049" s="5634" t="s">
        <v>3323</v>
      </c>
      <c r="D1049" s="5594">
        <v>20000000</v>
      </c>
      <c r="E1049" s="5652">
        <v>0.05</v>
      </c>
      <c r="F1049" s="5594">
        <f>D1049*E1049</f>
        <v>1000000</v>
      </c>
      <c r="G1049" s="5586">
        <v>1000000</v>
      </c>
      <c r="H1049" s="5586" t="s">
        <v>7427</v>
      </c>
      <c r="I1049" s="5586" t="s">
        <v>6136</v>
      </c>
      <c r="J1049" s="5586">
        <f t="shared" si="96"/>
        <v>1000000</v>
      </c>
      <c r="K1049" s="5650">
        <f t="shared" si="97"/>
        <v>0</v>
      </c>
      <c r="L1049" s="5681"/>
      <c r="M1049" s="386"/>
      <c r="N1049" s="386"/>
      <c r="O1049" s="386"/>
      <c r="P1049" s="386"/>
      <c r="Q1049" s="386"/>
    </row>
    <row r="1050" spans="1:17" ht="30" customHeight="1" x14ac:dyDescent="0.2">
      <c r="A1050" s="5655"/>
      <c r="B1050" s="5632" t="s">
        <v>4305</v>
      </c>
      <c r="C1050" s="5634" t="s">
        <v>889</v>
      </c>
      <c r="D1050" s="5594">
        <v>200000000</v>
      </c>
      <c r="E1050" s="5652">
        <v>0.05</v>
      </c>
      <c r="F1050" s="5594">
        <f>D1050*E1050</f>
        <v>10000000</v>
      </c>
      <c r="G1050" s="5586">
        <v>10000000</v>
      </c>
      <c r="H1050" s="5586" t="s">
        <v>7427</v>
      </c>
      <c r="I1050" s="5586" t="s">
        <v>7431</v>
      </c>
      <c r="J1050" s="5586">
        <f t="shared" si="96"/>
        <v>10000000</v>
      </c>
      <c r="K1050" s="5650">
        <f t="shared" si="97"/>
        <v>0</v>
      </c>
      <c r="L1050" s="5681"/>
      <c r="M1050" s="386"/>
      <c r="N1050" s="386"/>
      <c r="O1050" s="386"/>
      <c r="P1050" s="386"/>
      <c r="Q1050" s="386"/>
    </row>
    <row r="1051" spans="1:17" ht="30" customHeight="1" x14ac:dyDescent="0.2">
      <c r="A1051" s="5655"/>
      <c r="B1051" s="5632" t="s">
        <v>3332</v>
      </c>
      <c r="C1051" s="5599"/>
      <c r="D1051" s="5671"/>
      <c r="E1051" s="2519"/>
      <c r="F1051" s="5611"/>
      <c r="G1051" s="5586"/>
      <c r="H1051" s="5586"/>
      <c r="I1051" s="5586"/>
      <c r="J1051" s="5586">
        <f t="shared" si="96"/>
        <v>0</v>
      </c>
      <c r="K1051" s="5651"/>
      <c r="L1051" s="5681"/>
      <c r="M1051" s="386"/>
      <c r="N1051" s="386"/>
      <c r="O1051" s="386"/>
      <c r="P1051" s="386"/>
      <c r="Q1051" s="386"/>
    </row>
    <row r="1052" spans="1:17" ht="30" customHeight="1" x14ac:dyDescent="0.2">
      <c r="A1052" s="7654"/>
      <c r="B1052" s="7652" t="s">
        <v>3395</v>
      </c>
      <c r="C1052" s="7723" t="s">
        <v>889</v>
      </c>
      <c r="D1052" s="7563">
        <v>1000000000</v>
      </c>
      <c r="E1052" s="7659">
        <v>6.5000000000000002E-2</v>
      </c>
      <c r="F1052" s="7563">
        <f>D1052*E1052</f>
        <v>65000000</v>
      </c>
      <c r="G1052" s="5774">
        <v>10000000</v>
      </c>
      <c r="H1052" s="5774" t="s">
        <v>7325</v>
      </c>
      <c r="I1052" s="5774" t="s">
        <v>7346</v>
      </c>
      <c r="J1052" s="7563">
        <f>G1052+G1053+G1054</f>
        <v>65000000</v>
      </c>
      <c r="K1052" s="7816">
        <f>F1052-J1052</f>
        <v>0</v>
      </c>
      <c r="L1052" s="2700" t="s">
        <v>7347</v>
      </c>
      <c r="M1052" s="386"/>
      <c r="N1052" s="386"/>
      <c r="O1052" s="386"/>
      <c r="P1052" s="386"/>
      <c r="Q1052" s="386"/>
    </row>
    <row r="1053" spans="1:17" ht="30" customHeight="1" x14ac:dyDescent="0.2">
      <c r="A1053" s="7656"/>
      <c r="B1053" s="7665"/>
      <c r="C1053" s="7747"/>
      <c r="D1053" s="7586"/>
      <c r="E1053" s="7676"/>
      <c r="F1053" s="7586"/>
      <c r="G1053" s="5919">
        <v>20000000</v>
      </c>
      <c r="H1053" s="5919" t="s">
        <v>7427</v>
      </c>
      <c r="I1053" s="5919" t="s">
        <v>7434</v>
      </c>
      <c r="J1053" s="7586"/>
      <c r="K1053" s="7882"/>
      <c r="L1053" s="2700"/>
      <c r="M1053" s="386"/>
      <c r="N1053" s="386"/>
      <c r="O1053" s="386"/>
      <c r="P1053" s="386"/>
      <c r="Q1053" s="386"/>
    </row>
    <row r="1054" spans="1:17" ht="30" customHeight="1" x14ac:dyDescent="0.2">
      <c r="A1054" s="7656"/>
      <c r="B1054" s="7665"/>
      <c r="C1054" s="7724"/>
      <c r="D1054" s="7564"/>
      <c r="E1054" s="7660"/>
      <c r="F1054" s="7564"/>
      <c r="G1054" s="5919">
        <v>35000000</v>
      </c>
      <c r="H1054" s="5919" t="s">
        <v>7424</v>
      </c>
      <c r="I1054" s="5919" t="s">
        <v>7451</v>
      </c>
      <c r="J1054" s="7564"/>
      <c r="K1054" s="7817"/>
      <c r="L1054" s="2700"/>
      <c r="M1054" s="386"/>
      <c r="N1054" s="386"/>
      <c r="O1054" s="386"/>
      <c r="P1054" s="386"/>
      <c r="Q1054" s="386"/>
    </row>
    <row r="1055" spans="1:17" ht="30" customHeight="1" x14ac:dyDescent="0.2">
      <c r="A1055" s="7656"/>
      <c r="B1055" s="7665"/>
      <c r="C1055" s="7873" t="s">
        <v>1298</v>
      </c>
      <c r="D1055" s="7482">
        <v>500000000</v>
      </c>
      <c r="E1055" s="7870">
        <v>6.5000000000000002E-2</v>
      </c>
      <c r="F1055" s="7482">
        <f>D1055*E1055</f>
        <v>32500000</v>
      </c>
      <c r="G1055" s="6104">
        <v>20000000</v>
      </c>
      <c r="H1055" s="6104" t="s">
        <v>3879</v>
      </c>
      <c r="I1055" s="6104" t="s">
        <v>7603</v>
      </c>
      <c r="J1055" s="7482">
        <f>G1055+G1056+G1057</f>
        <v>32500000</v>
      </c>
      <c r="K1055" s="7499">
        <f>F1055-J1055</f>
        <v>0</v>
      </c>
      <c r="L1055" s="2700" t="s">
        <v>7604</v>
      </c>
      <c r="M1055" s="386"/>
      <c r="N1055" s="386"/>
      <c r="O1055" s="386"/>
      <c r="P1055" s="386"/>
      <c r="Q1055" s="386"/>
    </row>
    <row r="1056" spans="1:17" ht="30" customHeight="1" x14ac:dyDescent="0.2">
      <c r="A1056" s="7656"/>
      <c r="B1056" s="7665"/>
      <c r="C1056" s="7873"/>
      <c r="D1056" s="7482"/>
      <c r="E1056" s="7870"/>
      <c r="F1056" s="7482"/>
      <c r="G1056" s="6104">
        <v>10000000</v>
      </c>
      <c r="H1056" s="6104" t="s">
        <v>7668</v>
      </c>
      <c r="I1056" s="6104" t="s">
        <v>7451</v>
      </c>
      <c r="J1056" s="7482"/>
      <c r="K1056" s="7499"/>
      <c r="L1056" s="2700"/>
      <c r="M1056" s="386"/>
      <c r="N1056" s="386"/>
      <c r="O1056" s="386"/>
      <c r="P1056" s="386"/>
      <c r="Q1056" s="386"/>
    </row>
    <row r="1057" spans="1:17" ht="30" customHeight="1" x14ac:dyDescent="0.2">
      <c r="A1057" s="7656"/>
      <c r="B1057" s="7665"/>
      <c r="C1057" s="7873"/>
      <c r="D1057" s="7482"/>
      <c r="E1057" s="7870"/>
      <c r="F1057" s="7482"/>
      <c r="G1057" s="6204">
        <v>2500000</v>
      </c>
      <c r="H1057" s="7563" t="s">
        <v>7709</v>
      </c>
      <c r="I1057" s="7563" t="s">
        <v>7451</v>
      </c>
      <c r="J1057" s="7482"/>
      <c r="K1057" s="7499"/>
      <c r="L1057" s="2700"/>
      <c r="M1057" s="386"/>
      <c r="N1057" s="386"/>
      <c r="O1057" s="386"/>
      <c r="P1057" s="386"/>
      <c r="Q1057" s="386"/>
    </row>
    <row r="1058" spans="1:17" ht="30" customHeight="1" x14ac:dyDescent="0.2">
      <c r="A1058" s="7655"/>
      <c r="B1058" s="7653"/>
      <c r="C1058" s="7873"/>
      <c r="D1058" s="7482"/>
      <c r="E1058" s="7870"/>
      <c r="F1058" s="7482"/>
      <c r="G1058" s="6104">
        <v>7500000</v>
      </c>
      <c r="H1058" s="7564"/>
      <c r="I1058" s="7564"/>
      <c r="J1058" s="6206">
        <f>G1058</f>
        <v>7500000</v>
      </c>
      <c r="K1058" s="898"/>
      <c r="L1058" s="2700" t="s">
        <v>7717</v>
      </c>
      <c r="M1058" s="386"/>
      <c r="N1058" s="386"/>
      <c r="O1058" s="386"/>
      <c r="P1058" s="386"/>
      <c r="Q1058" s="386"/>
    </row>
    <row r="1059" spans="1:17" ht="30" customHeight="1" x14ac:dyDescent="0.2">
      <c r="A1059" s="7654"/>
      <c r="B1059" s="7661" t="s">
        <v>3514</v>
      </c>
      <c r="C1059" s="7747" t="s">
        <v>1652</v>
      </c>
      <c r="D1059" s="5636">
        <v>120000000</v>
      </c>
      <c r="E1059" s="5821">
        <v>0.05</v>
      </c>
      <c r="F1059" s="5636">
        <f>D1059*E1059</f>
        <v>6000000</v>
      </c>
      <c r="G1059" s="7760">
        <v>7500000</v>
      </c>
      <c r="H1059" s="7760" t="s">
        <v>7460</v>
      </c>
      <c r="I1059" s="7760" t="s">
        <v>3418</v>
      </c>
      <c r="J1059" s="7760">
        <f t="shared" si="96"/>
        <v>7500000</v>
      </c>
      <c r="K1059" s="8566">
        <f>(F1059+F1060)-J1059</f>
        <v>0</v>
      </c>
      <c r="L1059" s="6116"/>
      <c r="M1059" s="386"/>
      <c r="N1059" s="386"/>
      <c r="O1059" s="386"/>
      <c r="P1059" s="386"/>
      <c r="Q1059" s="386"/>
    </row>
    <row r="1060" spans="1:17" ht="30" customHeight="1" x14ac:dyDescent="0.2">
      <c r="A1060" s="7655"/>
      <c r="B1060" s="7663"/>
      <c r="C1060" s="7724"/>
      <c r="D1060" s="3928">
        <v>30000000</v>
      </c>
      <c r="E1060" s="2348">
        <v>0.05</v>
      </c>
      <c r="F1060" s="3928">
        <f>D1060*E1060</f>
        <v>1500000</v>
      </c>
      <c r="G1060" s="7761"/>
      <c r="H1060" s="7761"/>
      <c r="I1060" s="7761"/>
      <c r="J1060" s="7761"/>
      <c r="K1060" s="8418"/>
      <c r="L1060" s="5669"/>
      <c r="M1060" s="386"/>
      <c r="N1060" s="386"/>
      <c r="O1060" s="386"/>
      <c r="P1060" s="386"/>
      <c r="Q1060" s="386"/>
    </row>
    <row r="1061" spans="1:17" s="1539" customFormat="1" ht="30" customHeight="1" x14ac:dyDescent="0.2">
      <c r="A1061" s="5786"/>
      <c r="B1061" s="5786" t="s">
        <v>3455</v>
      </c>
      <c r="C1061" s="5789" t="s">
        <v>3483</v>
      </c>
      <c r="D1061" s="5774">
        <v>80000000</v>
      </c>
      <c r="E1061" s="5795">
        <v>0.05</v>
      </c>
      <c r="F1061" s="5774">
        <f t="shared" ref="F1061:F1073" si="98">D1061*E1061</f>
        <v>4000000</v>
      </c>
      <c r="G1061" s="5774">
        <v>4000000</v>
      </c>
      <c r="H1061" s="5774" t="s">
        <v>7460</v>
      </c>
      <c r="I1061" s="5774" t="s">
        <v>3992</v>
      </c>
      <c r="J1061" s="5774">
        <f>G1061</f>
        <v>4000000</v>
      </c>
      <c r="K1061" s="5775">
        <f>F1061-J1061</f>
        <v>0</v>
      </c>
      <c r="L1061" s="5775"/>
      <c r="M1061" s="387"/>
      <c r="N1061" s="387"/>
      <c r="O1061" s="387"/>
      <c r="P1061" s="387"/>
      <c r="Q1061" s="387"/>
    </row>
    <row r="1062" spans="1:17" s="184" customFormat="1" ht="30" customHeight="1" x14ac:dyDescent="0.2">
      <c r="A1062" s="7654"/>
      <c r="B1062" s="7661" t="s">
        <v>3459</v>
      </c>
      <c r="C1062" s="7723" t="s">
        <v>262</v>
      </c>
      <c r="D1062" s="8026">
        <v>2050000000</v>
      </c>
      <c r="E1062" s="8028">
        <v>0.08</v>
      </c>
      <c r="F1062" s="8026">
        <f>D1062*E1062</f>
        <v>164000000</v>
      </c>
      <c r="G1062" s="7732" t="s">
        <v>5456</v>
      </c>
      <c r="H1062" s="7733"/>
      <c r="I1062" s="7733"/>
      <c r="J1062" s="7734"/>
      <c r="K1062" s="5590"/>
      <c r="L1062" s="5681" t="s">
        <v>6281</v>
      </c>
      <c r="M1062" s="386"/>
      <c r="N1062" s="386"/>
      <c r="O1062" s="386"/>
      <c r="P1062" s="386"/>
      <c r="Q1062" s="386"/>
    </row>
    <row r="1063" spans="1:17" s="184" customFormat="1" ht="30" customHeight="1" x14ac:dyDescent="0.2">
      <c r="A1063" s="7656"/>
      <c r="B1063" s="7662"/>
      <c r="C1063" s="7747"/>
      <c r="D1063" s="8497"/>
      <c r="E1063" s="8498"/>
      <c r="F1063" s="8497"/>
      <c r="G1063" s="7732" t="s">
        <v>6364</v>
      </c>
      <c r="H1063" s="7733"/>
      <c r="I1063" s="7733"/>
      <c r="J1063" s="7734"/>
      <c r="K1063" s="5590"/>
      <c r="L1063" s="5681"/>
      <c r="M1063" s="386"/>
      <c r="N1063" s="386"/>
      <c r="O1063" s="386"/>
      <c r="P1063" s="386"/>
      <c r="Q1063" s="386"/>
    </row>
    <row r="1064" spans="1:17" s="184" customFormat="1" ht="30" customHeight="1" x14ac:dyDescent="0.2">
      <c r="A1064" s="7656"/>
      <c r="B1064" s="7662"/>
      <c r="C1064" s="7747"/>
      <c r="D1064" s="8027"/>
      <c r="E1064" s="8029"/>
      <c r="F1064" s="8027"/>
      <c r="G1064" s="7732" t="s">
        <v>6282</v>
      </c>
      <c r="H1064" s="7733"/>
      <c r="I1064" s="7733"/>
      <c r="J1064" s="7734"/>
      <c r="K1064" s="5590"/>
      <c r="L1064" s="5681" t="s">
        <v>6283</v>
      </c>
      <c r="M1064" s="386"/>
      <c r="N1064" s="386"/>
      <c r="O1064" s="386"/>
      <c r="P1064" s="386"/>
      <c r="Q1064" s="386"/>
    </row>
    <row r="1065" spans="1:17" s="184" customFormat="1" ht="30" customHeight="1" x14ac:dyDescent="0.2">
      <c r="A1065" s="7656"/>
      <c r="B1065" s="7662"/>
      <c r="C1065" s="7747"/>
      <c r="D1065" s="5887">
        <v>100000000</v>
      </c>
      <c r="E1065" s="5889"/>
      <c r="F1065" s="5887"/>
      <c r="G1065" s="7732" t="s">
        <v>7417</v>
      </c>
      <c r="H1065" s="7733"/>
      <c r="I1065" s="7733"/>
      <c r="J1065" s="7734"/>
      <c r="K1065" s="5885"/>
      <c r="L1065" s="5904"/>
      <c r="M1065" s="386"/>
      <c r="N1065" s="386"/>
      <c r="O1065" s="386"/>
      <c r="P1065" s="386"/>
      <c r="Q1065" s="386"/>
    </row>
    <row r="1066" spans="1:17" s="184" customFormat="1" ht="30" customHeight="1" x14ac:dyDescent="0.2">
      <c r="A1066" s="7656"/>
      <c r="B1066" s="7662"/>
      <c r="C1066" s="7747"/>
      <c r="D1066" s="5887">
        <v>100000000</v>
      </c>
      <c r="E1066" s="5889"/>
      <c r="F1066" s="5887"/>
      <c r="G1066" s="7732" t="s">
        <v>7418</v>
      </c>
      <c r="H1066" s="7733"/>
      <c r="I1066" s="7733"/>
      <c r="J1066" s="7734"/>
      <c r="K1066" s="5885"/>
      <c r="L1066" s="5904"/>
      <c r="M1066" s="386"/>
      <c r="N1066" s="386"/>
      <c r="O1066" s="386"/>
      <c r="P1066" s="386"/>
      <c r="Q1066" s="386"/>
    </row>
    <row r="1067" spans="1:17" s="184" customFormat="1" ht="30" customHeight="1" x14ac:dyDescent="0.2">
      <c r="A1067" s="7656"/>
      <c r="B1067" s="7662"/>
      <c r="C1067" s="7747"/>
      <c r="D1067" s="5887">
        <v>300000000</v>
      </c>
      <c r="E1067" s="5889"/>
      <c r="F1067" s="5887"/>
      <c r="G1067" s="7732" t="s">
        <v>7419</v>
      </c>
      <c r="H1067" s="7733"/>
      <c r="I1067" s="7733"/>
      <c r="J1067" s="7734"/>
      <c r="K1067" s="5885"/>
      <c r="L1067" s="5904" t="s">
        <v>7420</v>
      </c>
      <c r="M1067" s="386"/>
      <c r="N1067" s="386"/>
      <c r="O1067" s="386"/>
      <c r="P1067" s="386"/>
      <c r="Q1067" s="386"/>
    </row>
    <row r="1068" spans="1:17" s="184" customFormat="1" ht="30" customHeight="1" x14ac:dyDescent="0.2">
      <c r="A1068" s="7656"/>
      <c r="B1068" s="7662"/>
      <c r="C1068" s="7747"/>
      <c r="D1068" s="5887">
        <v>62000000</v>
      </c>
      <c r="E1068" s="5889"/>
      <c r="F1068" s="5887"/>
      <c r="G1068" s="7732" t="s">
        <v>7421</v>
      </c>
      <c r="H1068" s="7733"/>
      <c r="I1068" s="7733"/>
      <c r="J1068" s="7734"/>
      <c r="K1068" s="5885"/>
      <c r="L1068" s="5904"/>
      <c r="M1068" s="386"/>
      <c r="N1068" s="386"/>
      <c r="O1068" s="386"/>
      <c r="P1068" s="386"/>
      <c r="Q1068" s="386"/>
    </row>
    <row r="1069" spans="1:17" s="184" customFormat="1" ht="30" customHeight="1" x14ac:dyDescent="0.2">
      <c r="A1069" s="7656"/>
      <c r="B1069" s="7662"/>
      <c r="C1069" s="7747"/>
      <c r="D1069" s="5887">
        <v>138000000</v>
      </c>
      <c r="E1069" s="5889"/>
      <c r="F1069" s="5887"/>
      <c r="G1069" s="5893"/>
      <c r="H1069" s="5894"/>
      <c r="I1069" s="5894"/>
      <c r="J1069" s="5895"/>
      <c r="K1069" s="5885"/>
      <c r="L1069" s="5904" t="s">
        <v>7422</v>
      </c>
      <c r="M1069" s="386"/>
      <c r="N1069" s="386"/>
      <c r="O1069" s="386"/>
      <c r="P1069" s="386"/>
      <c r="Q1069" s="386"/>
    </row>
    <row r="1070" spans="1:17" s="184" customFormat="1" ht="30" customHeight="1" x14ac:dyDescent="0.2">
      <c r="A1070" s="7655"/>
      <c r="B1070" s="7663"/>
      <c r="C1070" s="7724"/>
      <c r="D1070" s="5910">
        <f>SUM(D1065:D1069)</f>
        <v>700000000</v>
      </c>
      <c r="E1070" s="5911"/>
      <c r="F1070" s="5910"/>
      <c r="G1070" s="5893"/>
      <c r="H1070" s="5894"/>
      <c r="I1070" s="5894"/>
      <c r="J1070" s="5895"/>
      <c r="K1070" s="5885"/>
      <c r="L1070" s="5904"/>
      <c r="M1070" s="386"/>
      <c r="N1070" s="386"/>
      <c r="O1070" s="386"/>
      <c r="P1070" s="386"/>
      <c r="Q1070" s="386"/>
    </row>
    <row r="1071" spans="1:17" s="184" customFormat="1" ht="30" customHeight="1" x14ac:dyDescent="0.2">
      <c r="A1071" s="5655"/>
      <c r="B1071" s="5632" t="s">
        <v>3480</v>
      </c>
      <c r="C1071" s="5657" t="s">
        <v>372</v>
      </c>
      <c r="D1071" s="5586">
        <v>85000000</v>
      </c>
      <c r="E1071" s="5652">
        <v>7.0000000000000007E-2</v>
      </c>
      <c r="F1071" s="5586">
        <f t="shared" si="98"/>
        <v>5950000.0000000009</v>
      </c>
      <c r="G1071" s="5586">
        <v>5950000</v>
      </c>
      <c r="H1071" s="5586" t="s">
        <v>3879</v>
      </c>
      <c r="I1071" s="5586" t="s">
        <v>3481</v>
      </c>
      <c r="J1071" s="5586">
        <f t="shared" ref="J1071:J1076" si="99">G1071</f>
        <v>5950000</v>
      </c>
      <c r="K1071" s="5590">
        <f t="shared" ref="K1071:K1073" si="100">F1071-J1071</f>
        <v>0</v>
      </c>
      <c r="L1071" s="5681"/>
      <c r="M1071" s="386"/>
      <c r="N1071" s="386"/>
      <c r="O1071" s="386"/>
      <c r="P1071" s="386"/>
      <c r="Q1071" s="386"/>
    </row>
    <row r="1072" spans="1:17" s="184" customFormat="1" ht="30" customHeight="1" x14ac:dyDescent="0.2">
      <c r="A1072" s="5655"/>
      <c r="B1072" s="5632" t="s">
        <v>3482</v>
      </c>
      <c r="C1072" s="5657" t="s">
        <v>3483</v>
      </c>
      <c r="D1072" s="5586">
        <v>70000000</v>
      </c>
      <c r="E1072" s="5652">
        <v>0.05</v>
      </c>
      <c r="F1072" s="5586">
        <f t="shared" si="98"/>
        <v>3500000</v>
      </c>
      <c r="G1072" s="5586">
        <v>3500000</v>
      </c>
      <c r="H1072" s="5586" t="s">
        <v>7550</v>
      </c>
      <c r="I1072" s="5586" t="s">
        <v>4428</v>
      </c>
      <c r="J1072" s="5586">
        <f t="shared" si="99"/>
        <v>3500000</v>
      </c>
      <c r="K1072" s="5590">
        <f t="shared" si="100"/>
        <v>0</v>
      </c>
      <c r="L1072" s="5681"/>
      <c r="M1072" s="386"/>
      <c r="N1072" s="386"/>
      <c r="O1072" s="386"/>
      <c r="P1072" s="386"/>
      <c r="Q1072" s="386"/>
    </row>
    <row r="1073" spans="1:17" s="184" customFormat="1" ht="30" customHeight="1" x14ac:dyDescent="0.2">
      <c r="A1073" s="5655"/>
      <c r="B1073" s="5632" t="s">
        <v>3979</v>
      </c>
      <c r="C1073" s="5657" t="s">
        <v>889</v>
      </c>
      <c r="D1073" s="5586">
        <v>20000000</v>
      </c>
      <c r="E1073" s="5652">
        <v>0.05</v>
      </c>
      <c r="F1073" s="5586">
        <f t="shared" si="98"/>
        <v>1000000</v>
      </c>
      <c r="G1073" s="5586">
        <v>1000000</v>
      </c>
      <c r="H1073" s="5586" t="s">
        <v>7427</v>
      </c>
      <c r="I1073" s="5586" t="s">
        <v>2494</v>
      </c>
      <c r="J1073" s="5586">
        <f t="shared" si="99"/>
        <v>1000000</v>
      </c>
      <c r="K1073" s="5590">
        <f t="shared" si="100"/>
        <v>0</v>
      </c>
      <c r="L1073" s="5681"/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675"/>
      <c r="B1074" s="5613" t="s">
        <v>3554</v>
      </c>
      <c r="C1074" s="5634" t="s">
        <v>372</v>
      </c>
      <c r="D1074" s="5586">
        <v>10000000</v>
      </c>
      <c r="E1074" s="5652">
        <v>0.05</v>
      </c>
      <c r="F1074" s="5586">
        <f>D1074*E1074</f>
        <v>500000</v>
      </c>
      <c r="G1074" s="5594">
        <v>500000</v>
      </c>
      <c r="H1074" s="5594" t="s">
        <v>1975</v>
      </c>
      <c r="I1074" s="5643" t="s">
        <v>3555</v>
      </c>
      <c r="J1074" s="5594">
        <f t="shared" si="99"/>
        <v>500000</v>
      </c>
      <c r="K1074" s="5594">
        <f>F1074-J1074</f>
        <v>0</v>
      </c>
      <c r="L1074" s="5670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607"/>
      <c r="B1075" s="5658" t="s">
        <v>4442</v>
      </c>
      <c r="C1075" s="5633" t="s">
        <v>4223</v>
      </c>
      <c r="D1075" s="5586">
        <v>100000000</v>
      </c>
      <c r="E1075" s="5652">
        <v>0.05</v>
      </c>
      <c r="F1075" s="5586">
        <f>D1075*E1075</f>
        <v>5000000</v>
      </c>
      <c r="G1075" s="5586">
        <v>5000000</v>
      </c>
      <c r="H1075" s="5586" t="s">
        <v>1975</v>
      </c>
      <c r="I1075" s="5586" t="s">
        <v>6388</v>
      </c>
      <c r="J1075" s="5592">
        <f t="shared" si="99"/>
        <v>5000000</v>
      </c>
      <c r="K1075" s="5592">
        <f>F1075-J1075</f>
        <v>0</v>
      </c>
      <c r="L1075" s="847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5675"/>
      <c r="B1076" s="5613" t="s">
        <v>3566</v>
      </c>
      <c r="C1076" s="5657"/>
      <c r="D1076" s="5586">
        <v>6000000</v>
      </c>
      <c r="E1076" s="5652">
        <f>F1076/D1076</f>
        <v>0.05</v>
      </c>
      <c r="F1076" s="5586">
        <v>300000</v>
      </c>
      <c r="G1076" s="5586"/>
      <c r="H1076" s="5586"/>
      <c r="I1076" s="5586" t="s">
        <v>3567</v>
      </c>
      <c r="J1076" s="5586">
        <f t="shared" si="99"/>
        <v>0</v>
      </c>
      <c r="K1076" s="5586">
        <f>F1076-J1076</f>
        <v>300000</v>
      </c>
      <c r="L1076" s="2177" t="s">
        <v>3568</v>
      </c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7703"/>
      <c r="B1077" s="7652" t="s">
        <v>3590</v>
      </c>
      <c r="C1077" s="7723" t="s">
        <v>2278</v>
      </c>
      <c r="D1077" s="7563">
        <v>870000000</v>
      </c>
      <c r="E1077" s="7659">
        <v>7.0999999999999994E-2</v>
      </c>
      <c r="F1077" s="7563">
        <v>62000000</v>
      </c>
      <c r="G1077" s="7563">
        <v>100000000</v>
      </c>
      <c r="H1077" s="7563" t="s">
        <v>7550</v>
      </c>
      <c r="I1077" s="7563" t="s">
        <v>7564</v>
      </c>
      <c r="J1077" s="7563">
        <f>G1077+G1080</f>
        <v>100000000</v>
      </c>
      <c r="K1077" s="7563">
        <f>F1081-J1077</f>
        <v>4500000</v>
      </c>
      <c r="L1077" s="5670" t="s">
        <v>6974</v>
      </c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7704"/>
      <c r="B1078" s="7665"/>
      <c r="C1078" s="7747"/>
      <c r="D1078" s="7586"/>
      <c r="E1078" s="7676"/>
      <c r="F1078" s="7586"/>
      <c r="G1078" s="7586"/>
      <c r="H1078" s="7586"/>
      <c r="I1078" s="7586"/>
      <c r="J1078" s="7586"/>
      <c r="K1078" s="7586"/>
      <c r="L1078" s="5670" t="s">
        <v>6975</v>
      </c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7704"/>
      <c r="B1079" s="7665"/>
      <c r="C1079" s="7747"/>
      <c r="D1079" s="5592">
        <v>150000000</v>
      </c>
      <c r="E1079" s="5604">
        <v>7.0999999999999994E-2</v>
      </c>
      <c r="F1079" s="5586">
        <f>D1079*E1079</f>
        <v>10649999.999999998</v>
      </c>
      <c r="G1079" s="7564"/>
      <c r="H1079" s="7564"/>
      <c r="I1079" s="7564"/>
      <c r="J1079" s="7586"/>
      <c r="K1079" s="7586"/>
      <c r="L1079" s="5670" t="s">
        <v>6976</v>
      </c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7704"/>
      <c r="B1080" s="7665"/>
      <c r="C1080" s="7747"/>
      <c r="D1080" s="5592">
        <f>D1077+D1079+1000000</f>
        <v>1021000000</v>
      </c>
      <c r="E1080" s="5604">
        <v>7.0999999999999994E-2</v>
      </c>
      <c r="F1080" s="5586">
        <v>72500000</v>
      </c>
      <c r="G1080" s="7563"/>
      <c r="H1080" s="7563"/>
      <c r="I1080" s="7563"/>
      <c r="J1080" s="7586"/>
      <c r="K1080" s="7586"/>
      <c r="L1080" s="5670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7705"/>
      <c r="B1081" s="7653"/>
      <c r="C1081" s="7724"/>
      <c r="D1081" s="5698">
        <v>1478000000</v>
      </c>
      <c r="E1081" s="5700">
        <v>7.0999999999999994E-2</v>
      </c>
      <c r="F1081" s="5715">
        <v>104500000</v>
      </c>
      <c r="G1081" s="7564"/>
      <c r="H1081" s="7564"/>
      <c r="I1081" s="7564"/>
      <c r="J1081" s="7564"/>
      <c r="K1081" s="7564"/>
      <c r="L1081" s="5709"/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675"/>
      <c r="B1082" s="5613" t="s">
        <v>3597</v>
      </c>
      <c r="C1082" s="5657" t="s">
        <v>889</v>
      </c>
      <c r="D1082" s="5586">
        <v>200000000</v>
      </c>
      <c r="E1082" s="5652">
        <v>0.05</v>
      </c>
      <c r="F1082" s="5586">
        <f>D1082*E1082</f>
        <v>10000000</v>
      </c>
      <c r="G1082" s="5586">
        <v>10000000</v>
      </c>
      <c r="H1082" s="5586" t="s">
        <v>7511</v>
      </c>
      <c r="I1082" s="5586" t="s">
        <v>3598</v>
      </c>
      <c r="J1082" s="5586">
        <f>G1082</f>
        <v>10000000</v>
      </c>
      <c r="K1082" s="5586">
        <f>F1082-J1082</f>
        <v>0</v>
      </c>
      <c r="L1082" s="5670"/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703"/>
      <c r="B1083" s="7652" t="s">
        <v>3612</v>
      </c>
      <c r="C1083" s="7723" t="s">
        <v>2278</v>
      </c>
      <c r="D1083" s="5586">
        <v>100000000</v>
      </c>
      <c r="E1083" s="5652">
        <v>0.05</v>
      </c>
      <c r="F1083" s="5586">
        <f t="shared" ref="F1083:F1093" si="101">D1083*E1083</f>
        <v>5000000</v>
      </c>
      <c r="G1083" s="7732" t="s">
        <v>6812</v>
      </c>
      <c r="H1083" s="7733"/>
      <c r="I1083" s="7733"/>
      <c r="J1083" s="7734"/>
      <c r="K1083" s="5586">
        <f>F1083-J1083</f>
        <v>5000000</v>
      </c>
      <c r="L1083" s="5670" t="s">
        <v>6881</v>
      </c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704"/>
      <c r="B1084" s="7665"/>
      <c r="C1084" s="7747"/>
      <c r="D1084" s="5586">
        <v>100000000</v>
      </c>
      <c r="E1084" s="5652">
        <v>0.05</v>
      </c>
      <c r="F1084" s="5586">
        <f>D1084*E1084</f>
        <v>5000000</v>
      </c>
      <c r="G1084" s="7732" t="s">
        <v>6875</v>
      </c>
      <c r="H1084" s="7733"/>
      <c r="I1084" s="7733"/>
      <c r="J1084" s="7734"/>
      <c r="K1084" s="5586"/>
      <c r="L1084" s="5670" t="s">
        <v>6879</v>
      </c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705"/>
      <c r="B1085" s="7653"/>
      <c r="C1085" s="7724"/>
      <c r="D1085" s="6185">
        <v>200000000</v>
      </c>
      <c r="E1085" s="6187">
        <v>0.05</v>
      </c>
      <c r="F1085" s="6185">
        <f>D1085*E1085</f>
        <v>10000000</v>
      </c>
      <c r="G1085" s="6165">
        <v>10000000</v>
      </c>
      <c r="H1085" s="6165" t="s">
        <v>7668</v>
      </c>
      <c r="I1085" s="6165" t="s">
        <v>4125</v>
      </c>
      <c r="J1085" s="6165">
        <f>G1085</f>
        <v>10000000</v>
      </c>
      <c r="K1085" s="6165">
        <f>F1085-J1085</f>
        <v>0</v>
      </c>
      <c r="L1085" s="6179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5675"/>
      <c r="B1086" s="5613" t="s">
        <v>4055</v>
      </c>
      <c r="C1086" s="5657" t="s">
        <v>2278</v>
      </c>
      <c r="D1086" s="5586">
        <v>200000000</v>
      </c>
      <c r="E1086" s="5652">
        <v>0.05</v>
      </c>
      <c r="F1086" s="5586">
        <f>D1086*E1086</f>
        <v>10000000</v>
      </c>
      <c r="G1086" s="5586">
        <v>10000000</v>
      </c>
      <c r="H1086" s="5586" t="s">
        <v>7691</v>
      </c>
      <c r="I1086" s="5586" t="s">
        <v>6428</v>
      </c>
      <c r="J1086" s="5586">
        <f>G1086</f>
        <v>10000000</v>
      </c>
      <c r="K1086" s="5586">
        <f>F1086-J1086</f>
        <v>0</v>
      </c>
      <c r="L1086" s="1660" t="s">
        <v>4520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703"/>
      <c r="B1087" s="7652" t="s">
        <v>3674</v>
      </c>
      <c r="C1087" s="7723" t="s">
        <v>402</v>
      </c>
      <c r="D1087" s="7563">
        <v>1300000000</v>
      </c>
      <c r="E1087" s="7659">
        <v>7.0000000000000007E-2</v>
      </c>
      <c r="F1087" s="7563">
        <f t="shared" si="101"/>
        <v>91000000.000000015</v>
      </c>
      <c r="G1087" s="5586">
        <v>8000000</v>
      </c>
      <c r="H1087" s="5586" t="s">
        <v>4168</v>
      </c>
      <c r="I1087" s="5586" t="s">
        <v>7503</v>
      </c>
      <c r="J1087" s="7563">
        <f>G1087+G1088</f>
        <v>8000000</v>
      </c>
      <c r="K1087" s="7563">
        <f>F1087-J1087</f>
        <v>83000000.000000015</v>
      </c>
      <c r="L1087" s="5670" t="s">
        <v>3709</v>
      </c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7704"/>
      <c r="B1088" s="7665"/>
      <c r="C1088" s="7747"/>
      <c r="D1088" s="7564"/>
      <c r="E1088" s="7660"/>
      <c r="F1088" s="7564"/>
      <c r="G1088" s="5586"/>
      <c r="H1088" s="5586"/>
      <c r="I1088" s="5586" t="s">
        <v>6896</v>
      </c>
      <c r="J1088" s="7564"/>
      <c r="K1088" s="7564"/>
      <c r="L1088" s="5670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7705"/>
      <c r="B1089" s="7653"/>
      <c r="C1089" s="7724"/>
      <c r="D1089" s="5594">
        <v>500000000</v>
      </c>
      <c r="E1089" s="5606"/>
      <c r="F1089" s="5594"/>
      <c r="G1089" s="5586"/>
      <c r="H1089" s="5586"/>
      <c r="I1089" s="5586"/>
      <c r="J1089" s="5594"/>
      <c r="K1089" s="5594"/>
      <c r="L1089" s="5670" t="s">
        <v>7167</v>
      </c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7703"/>
      <c r="B1090" s="7652" t="s">
        <v>3707</v>
      </c>
      <c r="C1090" s="7723" t="s">
        <v>3390</v>
      </c>
      <c r="D1090" s="7563">
        <v>10000000</v>
      </c>
      <c r="E1090" s="7659">
        <v>0.05</v>
      </c>
      <c r="F1090" s="7563">
        <f t="shared" si="101"/>
        <v>500000</v>
      </c>
      <c r="G1090" s="5586">
        <v>500000</v>
      </c>
      <c r="H1090" s="5586" t="s">
        <v>7306</v>
      </c>
      <c r="I1090" s="5586" t="s">
        <v>6570</v>
      </c>
      <c r="J1090" s="5586">
        <f>G1090</f>
        <v>500000</v>
      </c>
      <c r="K1090" s="5586">
        <f>F1090-J1090</f>
        <v>0</v>
      </c>
      <c r="L1090" s="5670" t="s">
        <v>6807</v>
      </c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7705"/>
      <c r="B1091" s="7653"/>
      <c r="C1091" s="7724"/>
      <c r="D1091" s="7564"/>
      <c r="E1091" s="7660"/>
      <c r="F1091" s="7564"/>
      <c r="G1091" s="6224">
        <v>500000</v>
      </c>
      <c r="H1091" s="6224" t="s">
        <v>7718</v>
      </c>
      <c r="I1091" s="6224" t="s">
        <v>6570</v>
      </c>
      <c r="J1091" s="6224">
        <f>G1091</f>
        <v>500000</v>
      </c>
      <c r="K1091" s="6224">
        <f>F1090-J1091</f>
        <v>0</v>
      </c>
      <c r="L1091" s="6237" t="s">
        <v>7501</v>
      </c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703"/>
      <c r="B1092" s="7652" t="s">
        <v>3710</v>
      </c>
      <c r="C1092" s="7723" t="s">
        <v>262</v>
      </c>
      <c r="D1092" s="5586">
        <v>58000000</v>
      </c>
      <c r="E1092" s="5652">
        <v>0.05</v>
      </c>
      <c r="F1092" s="5586">
        <f t="shared" si="101"/>
        <v>2900000</v>
      </c>
      <c r="G1092" s="5586"/>
      <c r="H1092" s="5586"/>
      <c r="I1092" s="5586"/>
      <c r="J1092" s="5586"/>
      <c r="K1092" s="5586"/>
      <c r="L1092" s="5670"/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704"/>
      <c r="B1093" s="7665"/>
      <c r="C1093" s="7747"/>
      <c r="D1093" s="5586">
        <v>39500000</v>
      </c>
      <c r="E1093" s="5652">
        <v>0.05</v>
      </c>
      <c r="F1093" s="5586">
        <f t="shared" si="101"/>
        <v>1975000</v>
      </c>
      <c r="G1093" s="5586"/>
      <c r="H1093" s="5586"/>
      <c r="I1093" s="5586"/>
      <c r="J1093" s="5586"/>
      <c r="K1093" s="5586"/>
      <c r="L1093" s="5670" t="s">
        <v>5276</v>
      </c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705"/>
      <c r="B1094" s="7653"/>
      <c r="C1094" s="7724"/>
      <c r="D1094" s="5715">
        <f>D1092+D1093</f>
        <v>97500000</v>
      </c>
      <c r="E1094" s="5729"/>
      <c r="F1094" s="5715"/>
      <c r="G1094" s="5586"/>
      <c r="H1094" s="5586"/>
      <c r="I1094" s="5586"/>
      <c r="J1094" s="5586"/>
      <c r="K1094" s="5586"/>
      <c r="L1094" s="5670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5675"/>
      <c r="B1095" s="5613" t="s">
        <v>3742</v>
      </c>
      <c r="C1095" s="5657" t="s">
        <v>1300</v>
      </c>
      <c r="D1095" s="5586">
        <v>100000000</v>
      </c>
      <c r="E1095" s="5652">
        <v>0.05</v>
      </c>
      <c r="F1095" s="5586">
        <f>D1095*E1095</f>
        <v>5000000</v>
      </c>
      <c r="G1095" s="5586">
        <v>5000000</v>
      </c>
      <c r="H1095" s="5586" t="s">
        <v>1269</v>
      </c>
      <c r="I1095" s="5586" t="s">
        <v>4776</v>
      </c>
      <c r="J1095" s="5586">
        <f>G1095</f>
        <v>5000000</v>
      </c>
      <c r="K1095" s="5586">
        <f>F1095-J1095</f>
        <v>0</v>
      </c>
      <c r="L1095" s="5670"/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5675"/>
      <c r="B1096" s="5613" t="s">
        <v>3743</v>
      </c>
      <c r="C1096" s="5657" t="s">
        <v>1300</v>
      </c>
      <c r="D1096" s="5594">
        <v>96000000</v>
      </c>
      <c r="E1096" s="5606">
        <v>0.05</v>
      </c>
      <c r="F1096" s="5594">
        <v>5000000</v>
      </c>
      <c r="G1096" s="5586">
        <v>5000000</v>
      </c>
      <c r="H1096" s="5586" t="s">
        <v>1269</v>
      </c>
      <c r="I1096" s="5586" t="s">
        <v>3525</v>
      </c>
      <c r="J1096" s="5586">
        <f>G1096</f>
        <v>5000000</v>
      </c>
      <c r="K1096" s="5586">
        <f>F1096-J1096</f>
        <v>0</v>
      </c>
      <c r="L1096" s="5670"/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5675"/>
      <c r="B1097" s="5613" t="s">
        <v>3871</v>
      </c>
      <c r="C1097" s="5657" t="s">
        <v>3390</v>
      </c>
      <c r="D1097" s="5586">
        <v>50000000</v>
      </c>
      <c r="E1097" s="5606">
        <v>0.05</v>
      </c>
      <c r="F1097" s="5594">
        <f>D1097*E1097</f>
        <v>2500000</v>
      </c>
      <c r="G1097" s="5594"/>
      <c r="H1097" s="5594"/>
      <c r="I1097" s="5643"/>
      <c r="J1097" s="5594"/>
      <c r="K1097" s="5594"/>
      <c r="L1097" s="5670"/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5675"/>
      <c r="B1098" s="5613" t="s">
        <v>3890</v>
      </c>
      <c r="C1098" s="5657"/>
      <c r="D1098" s="5595"/>
      <c r="E1098" s="5595"/>
      <c r="F1098" s="5595"/>
      <c r="G1098" s="5594"/>
      <c r="H1098" s="5594"/>
      <c r="I1098" s="5643" t="s">
        <v>3891</v>
      </c>
      <c r="J1098" s="5594">
        <f>G1098</f>
        <v>0</v>
      </c>
      <c r="K1098" s="5594">
        <f>F1098-J1098</f>
        <v>0</v>
      </c>
      <c r="L1098" s="5670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7703"/>
      <c r="B1099" s="7652" t="s">
        <v>3895</v>
      </c>
      <c r="C1099" s="7723" t="s">
        <v>4105</v>
      </c>
      <c r="D1099" s="5586">
        <v>120000000</v>
      </c>
      <c r="E1099" s="5606">
        <v>0.05</v>
      </c>
      <c r="F1099" s="5594">
        <f t="shared" ref="F1099:F1110" si="102">D1099*E1099</f>
        <v>6000000</v>
      </c>
      <c r="G1099" s="7563">
        <v>8100000</v>
      </c>
      <c r="H1099" s="7563" t="s">
        <v>7310</v>
      </c>
      <c r="I1099" s="7563" t="s">
        <v>4313</v>
      </c>
      <c r="J1099" s="7563">
        <f>G1099</f>
        <v>8100000</v>
      </c>
      <c r="K1099" s="7563">
        <f>(F1099+F1100)-J1099</f>
        <v>0</v>
      </c>
      <c r="L1099" s="7811" t="s">
        <v>6807</v>
      </c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7704"/>
      <c r="B1100" s="7665"/>
      <c r="C1100" s="7747"/>
      <c r="D1100" s="5594">
        <v>30000000</v>
      </c>
      <c r="E1100" s="5606">
        <v>7.0000000000000007E-2</v>
      </c>
      <c r="F1100" s="5594">
        <f t="shared" si="102"/>
        <v>2100000</v>
      </c>
      <c r="G1100" s="7564"/>
      <c r="H1100" s="7564"/>
      <c r="I1100" s="7564"/>
      <c r="J1100" s="7564"/>
      <c r="K1100" s="7564"/>
      <c r="L1100" s="7812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7704"/>
      <c r="B1101" s="7665"/>
      <c r="C1101" s="7747"/>
      <c r="D1101" s="5586">
        <v>120000000</v>
      </c>
      <c r="E1101" s="5606">
        <v>0.05</v>
      </c>
      <c r="F1101" s="5594">
        <f t="shared" si="102"/>
        <v>6000000</v>
      </c>
      <c r="G1101" s="7563">
        <v>8100000</v>
      </c>
      <c r="H1101" s="7563" t="s">
        <v>7810</v>
      </c>
      <c r="I1101" s="7563" t="s">
        <v>4313</v>
      </c>
      <c r="J1101" s="7563">
        <f>G1101</f>
        <v>8100000</v>
      </c>
      <c r="K1101" s="7563">
        <f>(F1101+F1102)-J1101</f>
        <v>0</v>
      </c>
      <c r="L1101" s="7811" t="s">
        <v>7501</v>
      </c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7705"/>
      <c r="B1102" s="7653"/>
      <c r="C1102" s="7724"/>
      <c r="D1102" s="5594">
        <v>30000000</v>
      </c>
      <c r="E1102" s="5606">
        <v>7.0000000000000007E-2</v>
      </c>
      <c r="F1102" s="5594">
        <f t="shared" si="102"/>
        <v>2100000</v>
      </c>
      <c r="G1102" s="7564"/>
      <c r="H1102" s="7564"/>
      <c r="I1102" s="7564"/>
      <c r="J1102" s="7564"/>
      <c r="K1102" s="7564"/>
      <c r="L1102" s="7812"/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7703"/>
      <c r="B1103" s="7652" t="s">
        <v>3956</v>
      </c>
      <c r="C1103" s="7723" t="s">
        <v>3390</v>
      </c>
      <c r="D1103" s="7563">
        <v>50000000</v>
      </c>
      <c r="E1103" s="7659">
        <v>0.05</v>
      </c>
      <c r="F1103" s="7563">
        <f t="shared" si="102"/>
        <v>2500000</v>
      </c>
      <c r="G1103" s="5594">
        <v>2500000</v>
      </c>
      <c r="H1103" s="5594" t="s">
        <v>7293</v>
      </c>
      <c r="I1103" s="5643" t="s">
        <v>4121</v>
      </c>
      <c r="J1103" s="5594">
        <f>G1103</f>
        <v>2500000</v>
      </c>
      <c r="K1103" s="5594">
        <f>F1103-J1103</f>
        <v>0</v>
      </c>
      <c r="L1103" s="5670" t="s">
        <v>6807</v>
      </c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705"/>
      <c r="B1104" s="7653"/>
      <c r="C1104" s="7724"/>
      <c r="D1104" s="7564"/>
      <c r="E1104" s="7660"/>
      <c r="F1104" s="7564"/>
      <c r="G1104" s="6244">
        <v>2500000</v>
      </c>
      <c r="H1104" s="6244" t="s">
        <v>7723</v>
      </c>
      <c r="I1104" s="6250" t="s">
        <v>4121</v>
      </c>
      <c r="J1104" s="6244">
        <f>G1104</f>
        <v>2500000</v>
      </c>
      <c r="K1104" s="6244">
        <f>F1103-J1104</f>
        <v>0</v>
      </c>
      <c r="L1104" s="6251" t="s">
        <v>7501</v>
      </c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703"/>
      <c r="B1105" s="7717" t="s">
        <v>4902</v>
      </c>
      <c r="C1105" s="7873" t="s">
        <v>942</v>
      </c>
      <c r="D1105" s="7482">
        <v>800000000</v>
      </c>
      <c r="E1105" s="7870">
        <v>6.5000000000000002E-2</v>
      </c>
      <c r="F1105" s="7778">
        <f t="shared" si="102"/>
        <v>52000000</v>
      </c>
      <c r="G1105" s="5586">
        <v>52000000</v>
      </c>
      <c r="H1105" s="5586" t="s">
        <v>7310</v>
      </c>
      <c r="I1105" s="5586" t="s">
        <v>4147</v>
      </c>
      <c r="J1105" s="5586">
        <f>G1105</f>
        <v>52000000</v>
      </c>
      <c r="K1105" s="5586">
        <f>F1105-J1105</f>
        <v>0</v>
      </c>
      <c r="L1105" s="5709" t="s">
        <v>6807</v>
      </c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7704"/>
      <c r="B1106" s="7717"/>
      <c r="C1106" s="7873"/>
      <c r="D1106" s="7482"/>
      <c r="E1106" s="7870"/>
      <c r="F1106" s="7778"/>
      <c r="G1106" s="6301">
        <v>22000000</v>
      </c>
      <c r="H1106" s="6301" t="s">
        <v>7786</v>
      </c>
      <c r="I1106" s="6301" t="s">
        <v>4147</v>
      </c>
      <c r="J1106" s="7563">
        <f>G1106+G1107</f>
        <v>52000000</v>
      </c>
      <c r="K1106" s="7563">
        <f>F1105-J1106</f>
        <v>0</v>
      </c>
      <c r="L1106" s="8265" t="s">
        <v>7501</v>
      </c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7705"/>
      <c r="B1107" s="7717"/>
      <c r="C1107" s="7873"/>
      <c r="D1107" s="7482"/>
      <c r="E1107" s="7870"/>
      <c r="F1107" s="7778"/>
      <c r="G1107" s="6301">
        <v>30000000</v>
      </c>
      <c r="H1107" s="6301" t="s">
        <v>7795</v>
      </c>
      <c r="I1107" s="6301" t="s">
        <v>4147</v>
      </c>
      <c r="J1107" s="7564"/>
      <c r="K1107" s="7564"/>
      <c r="L1107" s="8266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7703"/>
      <c r="B1108" s="7665" t="s">
        <v>3964</v>
      </c>
      <c r="C1108" s="7747" t="s">
        <v>4223</v>
      </c>
      <c r="D1108" s="5594">
        <v>58000000</v>
      </c>
      <c r="E1108" s="5606">
        <v>0.05</v>
      </c>
      <c r="F1108" s="5594">
        <f t="shared" si="102"/>
        <v>2900000</v>
      </c>
      <c r="G1108" s="7586">
        <v>4900000</v>
      </c>
      <c r="H1108" s="7586" t="s">
        <v>3879</v>
      </c>
      <c r="I1108" s="7586" t="s">
        <v>5535</v>
      </c>
      <c r="J1108" s="7586">
        <f>G1108</f>
        <v>4900000</v>
      </c>
      <c r="K1108" s="7586">
        <f>(F1108+F1109)-J1108</f>
        <v>0</v>
      </c>
      <c r="L1108" s="5670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7705"/>
      <c r="B1109" s="7653"/>
      <c r="C1109" s="7724"/>
      <c r="D1109" s="5594">
        <v>40000000</v>
      </c>
      <c r="E1109" s="5606">
        <v>0.05</v>
      </c>
      <c r="F1109" s="5594">
        <f t="shared" si="102"/>
        <v>2000000</v>
      </c>
      <c r="G1109" s="7564"/>
      <c r="H1109" s="7564"/>
      <c r="I1109" s="7564"/>
      <c r="J1109" s="7564"/>
      <c r="K1109" s="7564"/>
      <c r="L1109" s="5670"/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703"/>
      <c r="B1110" s="7652" t="s">
        <v>896</v>
      </c>
      <c r="C1110" s="6115"/>
      <c r="D1110" s="5594">
        <v>130000000</v>
      </c>
      <c r="E1110" s="5606">
        <v>0.05</v>
      </c>
      <c r="F1110" s="5594">
        <f t="shared" si="102"/>
        <v>6500000</v>
      </c>
      <c r="G1110" s="5594">
        <v>6500000</v>
      </c>
      <c r="H1110" s="5594" t="s">
        <v>7424</v>
      </c>
      <c r="I1110" s="5643" t="s">
        <v>4869</v>
      </c>
      <c r="J1110" s="5594">
        <f t="shared" ref="J1110:J1117" si="103">G1110</f>
        <v>6500000</v>
      </c>
      <c r="K1110" s="5594">
        <f>F1110-J1110</f>
        <v>0</v>
      </c>
      <c r="L1110" s="5670"/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704"/>
      <c r="B1111" s="7665"/>
      <c r="C1111" s="6115" t="s">
        <v>262</v>
      </c>
      <c r="D1111" s="5586">
        <v>342000000</v>
      </c>
      <c r="E1111" s="5606">
        <v>5.5E-2</v>
      </c>
      <c r="F1111" s="5586">
        <v>18800000</v>
      </c>
      <c r="G1111" s="5919">
        <v>18800000</v>
      </c>
      <c r="H1111" s="5919" t="s">
        <v>2830</v>
      </c>
      <c r="I1111" s="5919" t="s">
        <v>4869</v>
      </c>
      <c r="J1111" s="5919">
        <f>G1111</f>
        <v>18800000</v>
      </c>
      <c r="K1111" s="5594">
        <f>F1111-J1111</f>
        <v>0</v>
      </c>
      <c r="L1111" s="5670" t="s">
        <v>7348</v>
      </c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7704"/>
      <c r="B1112" s="7665"/>
      <c r="C1112" s="735"/>
      <c r="D1112" s="7494" t="s">
        <v>7000</v>
      </c>
      <c r="E1112" s="7495"/>
      <c r="F1112" s="7768"/>
      <c r="G1112" s="5919">
        <v>20000000</v>
      </c>
      <c r="H1112" s="5919" t="s">
        <v>7427</v>
      </c>
      <c r="I1112" s="5919" t="s">
        <v>3987</v>
      </c>
      <c r="J1112" s="7563">
        <f>G1112+G1113+G1114+G1115</f>
        <v>80000000</v>
      </c>
      <c r="K1112" s="7563">
        <f>120000000-J1112</f>
        <v>40000000</v>
      </c>
      <c r="L1112" s="5670"/>
      <c r="M1112" s="386"/>
      <c r="N1112" s="386"/>
      <c r="O1112" s="386"/>
      <c r="P1112" s="386"/>
      <c r="Q1112" s="386"/>
    </row>
    <row r="1113" spans="1:17" s="1659" customFormat="1" ht="30" customHeight="1" x14ac:dyDescent="0.2">
      <c r="A1113" s="7704"/>
      <c r="B1113" s="7665"/>
      <c r="C1113" s="735"/>
      <c r="D1113" s="7877"/>
      <c r="E1113" s="7524"/>
      <c r="F1113" s="7878"/>
      <c r="G1113" s="5919">
        <v>25000000</v>
      </c>
      <c r="H1113" s="5919" t="s">
        <v>1975</v>
      </c>
      <c r="I1113" s="5919" t="s">
        <v>7566</v>
      </c>
      <c r="J1113" s="7586"/>
      <c r="K1113" s="7586"/>
      <c r="L1113" s="5930"/>
      <c r="M1113" s="386"/>
      <c r="N1113" s="386"/>
      <c r="O1113" s="386"/>
      <c r="P1113" s="386"/>
      <c r="Q1113" s="386"/>
    </row>
    <row r="1114" spans="1:17" s="1659" customFormat="1" ht="30" customHeight="1" x14ac:dyDescent="0.2">
      <c r="A1114" s="7704"/>
      <c r="B1114" s="7665"/>
      <c r="C1114" s="735"/>
      <c r="D1114" s="7877"/>
      <c r="E1114" s="7524"/>
      <c r="F1114" s="7878"/>
      <c r="G1114" s="5919">
        <v>35000000</v>
      </c>
      <c r="H1114" s="5919" t="s">
        <v>7774</v>
      </c>
      <c r="I1114" s="5919" t="s">
        <v>7566</v>
      </c>
      <c r="J1114" s="7586"/>
      <c r="K1114" s="7586"/>
      <c r="L1114" s="5930"/>
      <c r="M1114" s="386"/>
      <c r="N1114" s="386"/>
      <c r="O1114" s="386"/>
      <c r="P1114" s="386"/>
      <c r="Q1114" s="386"/>
    </row>
    <row r="1115" spans="1:17" s="1659" customFormat="1" ht="30" customHeight="1" x14ac:dyDescent="0.2">
      <c r="A1115" s="7705"/>
      <c r="B1115" s="7653"/>
      <c r="C1115" s="710"/>
      <c r="D1115" s="7769"/>
      <c r="E1115" s="7805"/>
      <c r="F1115" s="7770"/>
      <c r="G1115" s="5919"/>
      <c r="H1115" s="5919"/>
      <c r="I1115" s="5919"/>
      <c r="J1115" s="7564"/>
      <c r="K1115" s="7564"/>
      <c r="L1115" s="5930"/>
      <c r="M1115" s="386"/>
      <c r="N1115" s="386"/>
      <c r="O1115" s="386"/>
      <c r="P1115" s="386"/>
      <c r="Q1115" s="386"/>
    </row>
    <row r="1116" spans="1:17" s="1659" customFormat="1" ht="30" customHeight="1" x14ac:dyDescent="0.2">
      <c r="A1116" s="5675"/>
      <c r="B1116" s="5613" t="s">
        <v>4014</v>
      </c>
      <c r="C1116" s="5634" t="s">
        <v>4223</v>
      </c>
      <c r="D1116" s="5594">
        <v>100000000</v>
      </c>
      <c r="E1116" s="5606">
        <v>0.06</v>
      </c>
      <c r="F1116" s="5594">
        <f>D1116*E1116</f>
        <v>6000000</v>
      </c>
      <c r="G1116" s="5586">
        <v>6000000</v>
      </c>
      <c r="H1116" s="5586" t="s">
        <v>1975</v>
      </c>
      <c r="I1116" s="5586" t="s">
        <v>5085</v>
      </c>
      <c r="J1116" s="5586">
        <f t="shared" si="103"/>
        <v>6000000</v>
      </c>
      <c r="K1116" s="5594">
        <f>F1116-J1116</f>
        <v>0</v>
      </c>
      <c r="L1116" s="5670"/>
      <c r="M1116" s="386"/>
      <c r="N1116" s="386"/>
      <c r="O1116" s="386"/>
      <c r="P1116" s="386"/>
      <c r="Q1116" s="386"/>
    </row>
    <row r="1117" spans="1:17" s="1659" customFormat="1" ht="30" customHeight="1" x14ac:dyDescent="0.2">
      <c r="A1117" s="5675"/>
      <c r="B1117" s="5613" t="s">
        <v>4025</v>
      </c>
      <c r="C1117" s="5634" t="s">
        <v>1718</v>
      </c>
      <c r="D1117" s="5594">
        <v>110000000</v>
      </c>
      <c r="E1117" s="5606">
        <v>0.04</v>
      </c>
      <c r="F1117" s="5594">
        <f>D1117*E1117</f>
        <v>4400000</v>
      </c>
      <c r="G1117" s="5594"/>
      <c r="H1117" s="5594"/>
      <c r="I1117" s="5643" t="s">
        <v>3469</v>
      </c>
      <c r="J1117" s="5594">
        <f t="shared" si="103"/>
        <v>0</v>
      </c>
      <c r="K1117" s="5594">
        <f>F1117-J1117</f>
        <v>4400000</v>
      </c>
      <c r="L1117" s="5670"/>
      <c r="M1117" s="386"/>
      <c r="N1117" s="386"/>
      <c r="O1117" s="386"/>
      <c r="P1117" s="386"/>
      <c r="Q1117" s="386"/>
    </row>
    <row r="1118" spans="1:17" s="1659" customFormat="1" ht="30" customHeight="1" x14ac:dyDescent="0.2">
      <c r="A1118" s="5675"/>
      <c r="B1118" s="5613" t="s">
        <v>1455</v>
      </c>
      <c r="C1118" s="5634"/>
      <c r="D1118" s="5594">
        <v>50000000</v>
      </c>
      <c r="E1118" s="5606">
        <v>0.05</v>
      </c>
      <c r="F1118" s="5594">
        <f>D1118*E1118</f>
        <v>2500000</v>
      </c>
      <c r="G1118" s="5586"/>
      <c r="H1118" s="5586"/>
      <c r="I1118" s="5586"/>
      <c r="J1118" s="5586"/>
      <c r="K1118" s="5594"/>
      <c r="L1118" s="5670"/>
      <c r="M1118" s="386"/>
      <c r="N1118" s="386"/>
      <c r="O1118" s="386"/>
      <c r="P1118" s="386"/>
      <c r="Q1118" s="386"/>
    </row>
    <row r="1119" spans="1:17" s="1659" customFormat="1" ht="30" customHeight="1" x14ac:dyDescent="0.2">
      <c r="A1119" s="7703"/>
      <c r="B1119" s="7652" t="s">
        <v>4037</v>
      </c>
      <c r="C1119" s="7723"/>
      <c r="D1119" s="5592">
        <v>21000000</v>
      </c>
      <c r="E1119" s="5586"/>
      <c r="F1119" s="5592"/>
      <c r="G1119" s="5592"/>
      <c r="H1119" s="5592"/>
      <c r="I1119" s="5592"/>
      <c r="J1119" s="5592"/>
      <c r="K1119" s="5593"/>
      <c r="L1119" s="5680" t="s">
        <v>4219</v>
      </c>
      <c r="M1119" s="386"/>
      <c r="N1119" s="386"/>
      <c r="O1119" s="386"/>
      <c r="P1119" s="386"/>
      <c r="Q1119" s="386"/>
    </row>
    <row r="1120" spans="1:17" s="1659" customFormat="1" ht="30" customHeight="1" x14ac:dyDescent="0.2">
      <c r="A1120" s="7705"/>
      <c r="B1120" s="7653"/>
      <c r="C1120" s="7724"/>
      <c r="D1120" s="5592">
        <v>520000000</v>
      </c>
      <c r="E1120" s="5594"/>
      <c r="F1120" s="5592"/>
      <c r="G1120" s="5592"/>
      <c r="H1120" s="5592"/>
      <c r="I1120" s="5592"/>
      <c r="J1120" s="5592"/>
      <c r="K1120" s="5593"/>
      <c r="L1120" s="5680" t="s">
        <v>5126</v>
      </c>
      <c r="M1120" s="386"/>
      <c r="N1120" s="386"/>
      <c r="O1120" s="386"/>
      <c r="P1120" s="386"/>
      <c r="Q1120" s="386"/>
    </row>
    <row r="1121" spans="1:17" s="1659" customFormat="1" ht="30" customHeight="1" x14ac:dyDescent="0.2">
      <c r="A1121" s="7703"/>
      <c r="B1121" s="7652" t="s">
        <v>4046</v>
      </c>
      <c r="C1121" s="7723" t="s">
        <v>990</v>
      </c>
      <c r="D1121" s="5586">
        <v>47000000</v>
      </c>
      <c r="E1121" s="5606">
        <v>0.05</v>
      </c>
      <c r="F1121" s="5586">
        <f>D1121*E1121</f>
        <v>2350000</v>
      </c>
      <c r="G1121" s="7563">
        <v>7750000</v>
      </c>
      <c r="H1121" s="7563" t="s">
        <v>7293</v>
      </c>
      <c r="I1121" s="7563" t="s">
        <v>4766</v>
      </c>
      <c r="J1121" s="7563">
        <f>G1121</f>
        <v>7750000</v>
      </c>
      <c r="K1121" s="7563"/>
      <c r="L1121" s="5681"/>
      <c r="M1121" s="386"/>
      <c r="N1121" s="386"/>
      <c r="O1121" s="386"/>
      <c r="P1121" s="386"/>
      <c r="Q1121" s="386"/>
    </row>
    <row r="1122" spans="1:17" s="1659" customFormat="1" ht="30" customHeight="1" x14ac:dyDescent="0.2">
      <c r="A1122" s="7704"/>
      <c r="B1122" s="7665"/>
      <c r="C1122" s="7747"/>
      <c r="D1122" s="5643">
        <v>90000000</v>
      </c>
      <c r="E1122" s="5606">
        <v>0.05</v>
      </c>
      <c r="F1122" s="5644">
        <f>D1122*E1122</f>
        <v>4500000</v>
      </c>
      <c r="G1122" s="7586"/>
      <c r="H1122" s="7586"/>
      <c r="I1122" s="7586"/>
      <c r="J1122" s="7586"/>
      <c r="K1122" s="7586"/>
      <c r="L1122" s="5670"/>
      <c r="M1122" s="386"/>
      <c r="N1122" s="386"/>
      <c r="O1122" s="386"/>
      <c r="P1122" s="386"/>
      <c r="Q1122" s="386"/>
    </row>
    <row r="1123" spans="1:17" s="1659" customFormat="1" ht="30" customHeight="1" x14ac:dyDescent="0.2">
      <c r="A1123" s="7704"/>
      <c r="B1123" s="7665"/>
      <c r="C1123" s="7747"/>
      <c r="D1123" s="5643">
        <v>3000000</v>
      </c>
      <c r="E1123" s="5606">
        <v>0.05</v>
      </c>
      <c r="F1123" s="5644">
        <f>D1123*E1123</f>
        <v>150000</v>
      </c>
      <c r="G1123" s="7564"/>
      <c r="H1123" s="7564"/>
      <c r="I1123" s="7564"/>
      <c r="J1123" s="7564"/>
      <c r="K1123" s="7564"/>
      <c r="L1123" s="5670"/>
      <c r="M1123" s="386"/>
      <c r="N1123" s="386"/>
      <c r="O1123" s="386"/>
      <c r="P1123" s="386"/>
      <c r="Q1123" s="386"/>
    </row>
    <row r="1124" spans="1:17" s="1659" customFormat="1" ht="30" customHeight="1" x14ac:dyDescent="0.2">
      <c r="A1124" s="7704"/>
      <c r="B1124" s="7665"/>
      <c r="C1124" s="7747"/>
      <c r="D1124" s="5643">
        <v>10000000</v>
      </c>
      <c r="E1124" s="5606">
        <v>0.05</v>
      </c>
      <c r="F1124" s="5644">
        <f t="shared" ref="F1124:F1125" si="104">D1124*E1124</f>
        <v>500000</v>
      </c>
      <c r="G1124" s="7732" t="s">
        <v>7141</v>
      </c>
      <c r="H1124" s="7733"/>
      <c r="I1124" s="7733"/>
      <c r="J1124" s="7734"/>
      <c r="K1124" s="5594"/>
      <c r="L1124" s="5670"/>
      <c r="M1124" s="386"/>
      <c r="N1124" s="386"/>
      <c r="O1124" s="386"/>
      <c r="P1124" s="386"/>
      <c r="Q1124" s="386"/>
    </row>
    <row r="1125" spans="1:17" s="1659" customFormat="1" ht="30" customHeight="1" x14ac:dyDescent="0.2">
      <c r="A1125" s="7704"/>
      <c r="B1125" s="7665"/>
      <c r="C1125" s="7747"/>
      <c r="D1125" s="5643">
        <v>10000000</v>
      </c>
      <c r="E1125" s="5606">
        <v>0.05</v>
      </c>
      <c r="F1125" s="5644">
        <f t="shared" si="104"/>
        <v>500000</v>
      </c>
      <c r="G1125" s="7732" t="s">
        <v>7142</v>
      </c>
      <c r="H1125" s="7733"/>
      <c r="I1125" s="7733"/>
      <c r="J1125" s="7734"/>
      <c r="K1125" s="5594"/>
      <c r="L1125" s="5670"/>
      <c r="M1125" s="386"/>
      <c r="N1125" s="386"/>
      <c r="O1125" s="386"/>
      <c r="P1125" s="386"/>
      <c r="Q1125" s="386"/>
    </row>
    <row r="1126" spans="1:17" s="1659" customFormat="1" ht="30" customHeight="1" x14ac:dyDescent="0.2">
      <c r="A1126" s="7705"/>
      <c r="B1126" s="7653"/>
      <c r="C1126" s="7724"/>
      <c r="D1126" s="6382">
        <f>SUM(D1121:D1125)</f>
        <v>160000000</v>
      </c>
      <c r="E1126" s="6380">
        <v>0.05</v>
      </c>
      <c r="F1126" s="6383">
        <f>D1126*E1126</f>
        <v>8000000</v>
      </c>
      <c r="G1126" s="6364">
        <v>8000000</v>
      </c>
      <c r="H1126" s="6364" t="s">
        <v>7810</v>
      </c>
      <c r="I1126" s="6364" t="s">
        <v>7813</v>
      </c>
      <c r="J1126" s="6364">
        <f>G1126</f>
        <v>8000000</v>
      </c>
      <c r="K1126" s="6366">
        <f>F1126-J1126</f>
        <v>0</v>
      </c>
      <c r="L1126" s="6374"/>
      <c r="M1126" s="386"/>
      <c r="N1126" s="386"/>
      <c r="O1126" s="386"/>
      <c r="P1126" s="386"/>
      <c r="Q1126" s="386"/>
    </row>
    <row r="1127" spans="1:17" s="1659" customFormat="1" ht="30" customHeight="1" x14ac:dyDescent="0.2">
      <c r="A1127" s="5675"/>
      <c r="B1127" s="5602" t="s">
        <v>4079</v>
      </c>
      <c r="C1127" s="5634" t="s">
        <v>1652</v>
      </c>
      <c r="D1127" s="5643">
        <v>100000000</v>
      </c>
      <c r="E1127" s="5606">
        <v>0.05</v>
      </c>
      <c r="F1127" s="5644">
        <f>D1127*E1127</f>
        <v>5000000</v>
      </c>
      <c r="G1127" s="5594">
        <v>5000000</v>
      </c>
      <c r="H1127" s="5594" t="s">
        <v>7521</v>
      </c>
      <c r="I1127" s="5643" t="s">
        <v>7526</v>
      </c>
      <c r="J1127" s="5594">
        <f t="shared" ref="J1127:J1129" si="105">G1127</f>
        <v>5000000</v>
      </c>
      <c r="K1127" s="5594">
        <f>F1127-J1127</f>
        <v>0</v>
      </c>
      <c r="L1127" s="5670"/>
      <c r="M1127" s="386"/>
      <c r="N1127" s="386"/>
      <c r="O1127" s="386"/>
      <c r="P1127" s="386"/>
      <c r="Q1127" s="386"/>
    </row>
    <row r="1128" spans="1:17" s="1659" customFormat="1" ht="30" customHeight="1" x14ac:dyDescent="0.2">
      <c r="A1128" s="5675"/>
      <c r="B1128" s="5613" t="s">
        <v>4083</v>
      </c>
      <c r="C1128" s="5634"/>
      <c r="D1128" s="452"/>
      <c r="E1128" s="5618"/>
      <c r="F1128" s="597"/>
      <c r="G1128" s="5594"/>
      <c r="H1128" s="5594"/>
      <c r="I1128" s="937">
        <v>5423044873</v>
      </c>
      <c r="J1128" s="5594">
        <f t="shared" si="105"/>
        <v>0</v>
      </c>
      <c r="K1128" s="5611"/>
      <c r="L1128" s="5670"/>
      <c r="M1128" s="386"/>
      <c r="N1128" s="386"/>
      <c r="O1128" s="386"/>
      <c r="P1128" s="386"/>
      <c r="Q1128" s="386"/>
    </row>
    <row r="1129" spans="1:17" s="1659" customFormat="1" ht="30" customHeight="1" x14ac:dyDescent="0.2">
      <c r="A1129" s="7703"/>
      <c r="B1129" s="7652" t="s">
        <v>4100</v>
      </c>
      <c r="C1129" s="7723" t="s">
        <v>1796</v>
      </c>
      <c r="D1129" s="5586">
        <v>11000000</v>
      </c>
      <c r="E1129" s="5652">
        <v>0.05</v>
      </c>
      <c r="F1129" s="5586">
        <f>D1129*E1129</f>
        <v>550000</v>
      </c>
      <c r="G1129" s="6301">
        <v>2050000</v>
      </c>
      <c r="H1129" s="6301" t="s">
        <v>7298</v>
      </c>
      <c r="I1129" s="6301" t="s">
        <v>7300</v>
      </c>
      <c r="J1129" s="6301">
        <f t="shared" si="105"/>
        <v>2050000</v>
      </c>
      <c r="K1129" s="6301">
        <f>(F1129+F1130)-J1129</f>
        <v>0</v>
      </c>
      <c r="L1129" s="5670" t="s">
        <v>6807</v>
      </c>
      <c r="M1129" s="386"/>
      <c r="N1129" s="386"/>
      <c r="O1129" s="386"/>
      <c r="P1129" s="386"/>
      <c r="Q1129" s="386"/>
    </row>
    <row r="1130" spans="1:17" s="1659" customFormat="1" ht="30" customHeight="1" x14ac:dyDescent="0.2">
      <c r="A1130" s="7705"/>
      <c r="B1130" s="7653"/>
      <c r="C1130" s="7724"/>
      <c r="D1130" s="5643">
        <v>30000000</v>
      </c>
      <c r="E1130" s="5606">
        <v>0.05</v>
      </c>
      <c r="F1130" s="5644">
        <f>D1130*E1130</f>
        <v>1500000</v>
      </c>
      <c r="G1130" s="6301">
        <v>2050000</v>
      </c>
      <c r="H1130" s="6301" t="s">
        <v>7795</v>
      </c>
      <c r="I1130" s="6301" t="s">
        <v>7802</v>
      </c>
      <c r="J1130" s="6301">
        <f>G1130</f>
        <v>2050000</v>
      </c>
      <c r="K1130" s="6301">
        <f>(F1129+F1130)-J1130</f>
        <v>0</v>
      </c>
      <c r="L1130" s="5670" t="s">
        <v>7501</v>
      </c>
      <c r="M1130" s="386"/>
      <c r="N1130" s="386"/>
      <c r="O1130" s="386"/>
      <c r="P1130" s="386"/>
      <c r="Q1130" s="386"/>
    </row>
    <row r="1131" spans="1:17" s="1659" customFormat="1" ht="30" customHeight="1" x14ac:dyDescent="0.2">
      <c r="A1131" s="5675"/>
      <c r="B1131" s="5613" t="s">
        <v>4114</v>
      </c>
      <c r="C1131" s="5634" t="s">
        <v>1172</v>
      </c>
      <c r="D1131" s="5643">
        <v>50000000</v>
      </c>
      <c r="E1131" s="5606">
        <v>0.05</v>
      </c>
      <c r="F1131" s="5644">
        <f>D1131*E1131</f>
        <v>2500000</v>
      </c>
      <c r="G1131" s="5594"/>
      <c r="H1131" s="5594"/>
      <c r="I1131" s="5643"/>
      <c r="J1131" s="5594"/>
      <c r="K1131" s="5594"/>
      <c r="L1131" s="5670"/>
      <c r="M1131" s="386"/>
      <c r="N1131" s="386"/>
      <c r="O1131" s="386"/>
      <c r="P1131" s="386"/>
      <c r="Q1131" s="386"/>
    </row>
    <row r="1132" spans="1:17" s="1659" customFormat="1" ht="30" customHeight="1" x14ac:dyDescent="0.2">
      <c r="A1132" s="5675"/>
      <c r="B1132" s="5613" t="s">
        <v>4115</v>
      </c>
      <c r="C1132" s="5634"/>
      <c r="D1132" s="5643">
        <v>5000000</v>
      </c>
      <c r="E1132" s="5606"/>
      <c r="F1132" s="5644"/>
      <c r="G1132" s="5594"/>
      <c r="H1132" s="5594"/>
      <c r="I1132" s="5643"/>
      <c r="J1132" s="5594"/>
      <c r="K1132" s="5594"/>
      <c r="L1132" s="5670"/>
      <c r="M1132" s="386"/>
      <c r="N1132" s="386"/>
      <c r="O1132" s="386"/>
      <c r="P1132" s="386"/>
      <c r="Q1132" s="386"/>
    </row>
    <row r="1133" spans="1:17" s="1659" customFormat="1" ht="30" customHeight="1" x14ac:dyDescent="0.2">
      <c r="A1133" s="5675"/>
      <c r="B1133" s="5613" t="s">
        <v>4131</v>
      </c>
      <c r="C1133" s="5634"/>
      <c r="D1133" s="5643">
        <v>45000000</v>
      </c>
      <c r="E1133" s="5606">
        <v>0.05</v>
      </c>
      <c r="F1133" s="5644">
        <f>D1133*E1133</f>
        <v>2250000</v>
      </c>
      <c r="G1133" s="5586">
        <v>2250000</v>
      </c>
      <c r="H1133" s="5586" t="s">
        <v>7460</v>
      </c>
      <c r="I1133" s="5586" t="s">
        <v>7474</v>
      </c>
      <c r="J1133" s="5586">
        <f>G1133</f>
        <v>2250000</v>
      </c>
      <c r="K1133" s="5594">
        <f>F1133-J1133</f>
        <v>0</v>
      </c>
      <c r="L1133" s="5670"/>
      <c r="M1133" s="386"/>
      <c r="N1133" s="386"/>
      <c r="O1133" s="386"/>
      <c r="P1133" s="386"/>
      <c r="Q1133" s="386"/>
    </row>
    <row r="1134" spans="1:17" s="1659" customFormat="1" ht="30" customHeight="1" x14ac:dyDescent="0.2">
      <c r="A1134" s="5806"/>
      <c r="B1134" s="5785" t="s">
        <v>4242</v>
      </c>
      <c r="C1134" s="5797" t="s">
        <v>1299</v>
      </c>
      <c r="D1134" s="5774">
        <v>60000000</v>
      </c>
      <c r="E1134" s="5795">
        <v>0.05</v>
      </c>
      <c r="F1134" s="5774">
        <f>D1134*E1134</f>
        <v>3000000</v>
      </c>
      <c r="G1134" s="6124">
        <v>3000000</v>
      </c>
      <c r="H1134" s="6124" t="s">
        <v>2830</v>
      </c>
      <c r="I1134" s="6124" t="s">
        <v>5760</v>
      </c>
      <c r="J1134" s="6124">
        <f>G1134</f>
        <v>3000000</v>
      </c>
      <c r="K1134" s="5774">
        <f>F1134-J1134</f>
        <v>0</v>
      </c>
      <c r="L1134" s="5808"/>
      <c r="M1134" s="386"/>
      <c r="N1134" s="386"/>
      <c r="O1134" s="386"/>
      <c r="P1134" s="386"/>
      <c r="Q1134" s="386"/>
    </row>
    <row r="1135" spans="1:17" s="1659" customFormat="1" ht="30" customHeight="1" x14ac:dyDescent="0.2">
      <c r="A1135" s="5783"/>
      <c r="B1135" s="5779" t="s">
        <v>4139</v>
      </c>
      <c r="C1135" s="5634"/>
      <c r="D1135" s="5643">
        <v>10000000</v>
      </c>
      <c r="E1135" s="5606"/>
      <c r="F1135" s="5644"/>
      <c r="G1135" s="5594"/>
      <c r="H1135" s="5594"/>
      <c r="I1135" s="5643"/>
      <c r="J1135" s="5594"/>
      <c r="K1135" s="5594"/>
      <c r="L1135" s="7997"/>
      <c r="M1135" s="7733"/>
      <c r="N1135" s="7733"/>
      <c r="O1135" s="7734"/>
      <c r="P1135" s="386"/>
      <c r="Q1135" s="386"/>
    </row>
    <row r="1136" spans="1:17" s="1659" customFormat="1" ht="30" customHeight="1" x14ac:dyDescent="0.2">
      <c r="A1136" s="7703"/>
      <c r="B1136" s="7652" t="s">
        <v>4142</v>
      </c>
      <c r="C1136" s="7723"/>
      <c r="D1136" s="7563">
        <v>200000000</v>
      </c>
      <c r="E1136" s="7659">
        <v>7.0000000000000007E-2</v>
      </c>
      <c r="F1136" s="7563">
        <f>D1136*E1136</f>
        <v>14000000.000000002</v>
      </c>
      <c r="G1136" s="5643">
        <v>11500000</v>
      </c>
      <c r="H1136" s="5606" t="s">
        <v>7281</v>
      </c>
      <c r="I1136" s="5644" t="s">
        <v>815</v>
      </c>
      <c r="J1136" s="5643">
        <f t="shared" ref="J1136:J1145" si="106">G1136</f>
        <v>11500000</v>
      </c>
      <c r="K1136" s="5594">
        <f>F1136-J1136</f>
        <v>2500000.0000000019</v>
      </c>
      <c r="L1136" s="7732" t="s">
        <v>6807</v>
      </c>
      <c r="M1136" s="7733"/>
      <c r="N1136" s="7733"/>
      <c r="O1136" s="7734"/>
      <c r="P1136" s="386"/>
      <c r="Q1136" s="386"/>
    </row>
    <row r="1137" spans="1:17" s="1659" customFormat="1" ht="30" customHeight="1" x14ac:dyDescent="0.2">
      <c r="A1137" s="7705"/>
      <c r="B1137" s="7653"/>
      <c r="C1137" s="7724"/>
      <c r="D1137" s="7564"/>
      <c r="E1137" s="7660"/>
      <c r="F1137" s="7564"/>
      <c r="G1137" s="6324">
        <v>14000000</v>
      </c>
      <c r="H1137" s="6308" t="s">
        <v>7786</v>
      </c>
      <c r="I1137" s="6329" t="s">
        <v>815</v>
      </c>
      <c r="J1137" s="6324">
        <f>G1137</f>
        <v>14000000</v>
      </c>
      <c r="K1137" s="6305">
        <f>F1136-J1137</f>
        <v>0</v>
      </c>
      <c r="L1137" s="6342" t="s">
        <v>7501</v>
      </c>
      <c r="M1137" s="6341"/>
      <c r="N1137" s="6341"/>
      <c r="O1137" s="6341"/>
      <c r="P1137" s="386"/>
      <c r="Q1137" s="386"/>
    </row>
    <row r="1138" spans="1:17" s="1659" customFormat="1" ht="30" customHeight="1" x14ac:dyDescent="0.2">
      <c r="A1138" s="5675"/>
      <c r="B1138" s="5717" t="s">
        <v>4155</v>
      </c>
      <c r="C1138" s="5634"/>
      <c r="D1138" s="452"/>
      <c r="E1138" s="5618"/>
      <c r="F1138" s="597"/>
      <c r="G1138" s="5594"/>
      <c r="H1138" s="5594"/>
      <c r="I1138" s="5643" t="s">
        <v>4156</v>
      </c>
      <c r="J1138" s="5594">
        <f t="shared" si="106"/>
        <v>0</v>
      </c>
      <c r="K1138" s="5594"/>
      <c r="L1138" s="5670"/>
      <c r="M1138" s="5682"/>
      <c r="N1138" s="5682"/>
      <c r="O1138" s="5682"/>
      <c r="P1138" s="386"/>
      <c r="Q1138" s="386"/>
    </row>
    <row r="1139" spans="1:17" s="1659" customFormat="1" ht="30" customHeight="1" x14ac:dyDescent="0.2">
      <c r="A1139" s="5675"/>
      <c r="B1139" s="5717" t="s">
        <v>4157</v>
      </c>
      <c r="C1139" s="5634"/>
      <c r="D1139" s="452"/>
      <c r="E1139" s="5618"/>
      <c r="F1139" s="597"/>
      <c r="G1139" s="5594"/>
      <c r="H1139" s="5594"/>
      <c r="I1139" s="5643" t="s">
        <v>4158</v>
      </c>
      <c r="J1139" s="5594">
        <f t="shared" si="106"/>
        <v>0</v>
      </c>
      <c r="K1139" s="5594"/>
      <c r="L1139" s="5670"/>
      <c r="M1139" s="5682"/>
      <c r="N1139" s="5682"/>
      <c r="O1139" s="5682"/>
      <c r="P1139" s="386"/>
      <c r="Q1139" s="386"/>
    </row>
    <row r="1140" spans="1:17" s="1659" customFormat="1" ht="30" customHeight="1" x14ac:dyDescent="0.2">
      <c r="A1140" s="5675"/>
      <c r="B1140" s="5717" t="s">
        <v>4160</v>
      </c>
      <c r="C1140" s="5634"/>
      <c r="D1140" s="452"/>
      <c r="E1140" s="5618"/>
      <c r="F1140" s="597"/>
      <c r="G1140" s="5594"/>
      <c r="H1140" s="5594"/>
      <c r="I1140" s="5643" t="s">
        <v>4161</v>
      </c>
      <c r="J1140" s="5594">
        <f t="shared" si="106"/>
        <v>0</v>
      </c>
      <c r="K1140" s="5594"/>
      <c r="L1140" s="5670"/>
      <c r="M1140" s="5682"/>
      <c r="N1140" s="5682"/>
      <c r="O1140" s="5682"/>
      <c r="P1140" s="386"/>
      <c r="Q1140" s="386"/>
    </row>
    <row r="1141" spans="1:17" s="1659" customFormat="1" ht="30" customHeight="1" x14ac:dyDescent="0.2">
      <c r="A1141" s="5800"/>
      <c r="B1141" s="5798" t="s">
        <v>4162</v>
      </c>
      <c r="C1141" s="5789" t="s">
        <v>392</v>
      </c>
      <c r="D1141" s="5774">
        <v>95281280</v>
      </c>
      <c r="E1141" s="5795">
        <v>0.06</v>
      </c>
      <c r="F1141" s="5774">
        <v>5716876.7999999998</v>
      </c>
      <c r="G1141" s="5777">
        <v>6000000</v>
      </c>
      <c r="H1141" s="5777" t="s">
        <v>7325</v>
      </c>
      <c r="I1141" s="5774" t="s">
        <v>1840</v>
      </c>
      <c r="J1141" s="5774">
        <f t="shared" si="106"/>
        <v>6000000</v>
      </c>
      <c r="K1141" s="5774">
        <f>F1141-J1141</f>
        <v>-283123.20000000019</v>
      </c>
      <c r="L1141" s="5808" t="s">
        <v>7671</v>
      </c>
      <c r="M1141" s="5809"/>
      <c r="N1141" s="5809"/>
      <c r="O1141" s="5809"/>
      <c r="P1141" s="386"/>
      <c r="Q1141" s="386"/>
    </row>
    <row r="1142" spans="1:17" s="1659" customFormat="1" ht="30" customHeight="1" x14ac:dyDescent="0.2">
      <c r="A1142" s="5675"/>
      <c r="B1142" s="5613" t="s">
        <v>4186</v>
      </c>
      <c r="C1142" s="5657" t="s">
        <v>392</v>
      </c>
      <c r="D1142" s="5586">
        <v>120000000</v>
      </c>
      <c r="E1142" s="5652">
        <v>0.05</v>
      </c>
      <c r="F1142" s="5586">
        <f t="shared" ref="F1142:F1145" si="107">D1142*E1142</f>
        <v>6000000</v>
      </c>
      <c r="G1142" s="5594">
        <v>6000000</v>
      </c>
      <c r="H1142" s="5594" t="s">
        <v>7511</v>
      </c>
      <c r="I1142" s="5586" t="s">
        <v>5061</v>
      </c>
      <c r="J1142" s="5586">
        <f t="shared" si="106"/>
        <v>6000000</v>
      </c>
      <c r="K1142" s="5586">
        <f>F1142-J1142</f>
        <v>0</v>
      </c>
      <c r="L1142" s="5670"/>
      <c r="M1142" s="5682"/>
      <c r="N1142" s="5682"/>
      <c r="O1142" s="5682"/>
      <c r="P1142" s="386"/>
      <c r="Q1142" s="386"/>
    </row>
    <row r="1143" spans="1:17" s="1659" customFormat="1" ht="30" customHeight="1" x14ac:dyDescent="0.2">
      <c r="A1143" s="7703"/>
      <c r="B1143" s="7652" t="s">
        <v>4196</v>
      </c>
      <c r="C1143" s="7723" t="s">
        <v>1306</v>
      </c>
      <c r="D1143" s="7563">
        <v>100000000</v>
      </c>
      <c r="E1143" s="7659">
        <v>0.05</v>
      </c>
      <c r="F1143" s="7563">
        <f t="shared" si="107"/>
        <v>5000000</v>
      </c>
      <c r="G1143" s="5594">
        <v>5000000</v>
      </c>
      <c r="H1143" s="5594" t="s">
        <v>7281</v>
      </c>
      <c r="I1143" s="5643" t="s">
        <v>5844</v>
      </c>
      <c r="J1143" s="5594">
        <f t="shared" si="106"/>
        <v>5000000</v>
      </c>
      <c r="K1143" s="5594">
        <f>F1143-J1143</f>
        <v>0</v>
      </c>
      <c r="L1143" s="5670" t="s">
        <v>6807</v>
      </c>
      <c r="M1143" s="5682"/>
      <c r="N1143" s="5682"/>
      <c r="O1143" s="5682"/>
      <c r="P1143" s="386"/>
      <c r="Q1143" s="386"/>
    </row>
    <row r="1144" spans="1:17" s="1659" customFormat="1" ht="30" customHeight="1" x14ac:dyDescent="0.2">
      <c r="A1144" s="7705"/>
      <c r="B1144" s="7653"/>
      <c r="C1144" s="7724"/>
      <c r="D1144" s="7564"/>
      <c r="E1144" s="7660"/>
      <c r="F1144" s="7564"/>
      <c r="G1144" s="6244">
        <v>5000000</v>
      </c>
      <c r="H1144" s="6244" t="s">
        <v>7723</v>
      </c>
      <c r="I1144" s="6250" t="s">
        <v>5844</v>
      </c>
      <c r="J1144" s="6244">
        <f t="shared" si="106"/>
        <v>5000000</v>
      </c>
      <c r="K1144" s="6244">
        <f>F1143-J1144</f>
        <v>0</v>
      </c>
      <c r="L1144" s="6251" t="s">
        <v>7501</v>
      </c>
      <c r="M1144" s="6256"/>
      <c r="N1144" s="6256"/>
      <c r="O1144" s="6256"/>
      <c r="P1144" s="386"/>
      <c r="Q1144" s="386"/>
    </row>
    <row r="1145" spans="1:17" s="1659" customFormat="1" ht="30" customHeight="1" x14ac:dyDescent="0.2">
      <c r="A1145" s="5675"/>
      <c r="B1145" s="5613" t="s">
        <v>4213</v>
      </c>
      <c r="C1145" s="5657" t="s">
        <v>4105</v>
      </c>
      <c r="D1145" s="5586">
        <v>100000000</v>
      </c>
      <c r="E1145" s="5652">
        <v>7.0000000000000007E-2</v>
      </c>
      <c r="F1145" s="5586">
        <f t="shared" si="107"/>
        <v>7000000.0000000009</v>
      </c>
      <c r="G1145" s="5594">
        <v>7000000</v>
      </c>
      <c r="H1145" s="5594" t="s">
        <v>7427</v>
      </c>
      <c r="I1145" s="5643" t="s">
        <v>4845</v>
      </c>
      <c r="J1145" s="5594">
        <f t="shared" si="106"/>
        <v>7000000</v>
      </c>
      <c r="K1145" s="5594">
        <f>F1145-J1145</f>
        <v>0</v>
      </c>
      <c r="L1145" s="5709"/>
      <c r="M1145" s="5682"/>
      <c r="N1145" s="5682"/>
      <c r="O1145" s="5682"/>
      <c r="P1145" s="386"/>
      <c r="Q1145" s="386"/>
    </row>
    <row r="1146" spans="1:17" s="1659" customFormat="1" ht="30" customHeight="1" x14ac:dyDescent="0.2">
      <c r="A1146" s="5675"/>
      <c r="B1146" s="5613" t="s">
        <v>4292</v>
      </c>
      <c r="C1146" s="5657"/>
      <c r="D1146" s="5586"/>
      <c r="E1146" s="5606"/>
      <c r="F1146" s="5594"/>
      <c r="G1146" s="5594"/>
      <c r="H1146" s="5594"/>
      <c r="I1146" s="5643"/>
      <c r="J1146" s="5594"/>
      <c r="K1146" s="5594"/>
      <c r="L1146" s="4242" t="s">
        <v>6056</v>
      </c>
      <c r="M1146" s="5682"/>
      <c r="N1146" s="5682"/>
      <c r="O1146" s="5682"/>
      <c r="P1146" s="386"/>
      <c r="Q1146" s="386"/>
    </row>
    <row r="1147" spans="1:17" s="1659" customFormat="1" ht="30" customHeight="1" x14ac:dyDescent="0.2">
      <c r="A1147" s="7703"/>
      <c r="B1147" s="7652" t="s">
        <v>4295</v>
      </c>
      <c r="C1147" s="7723" t="s">
        <v>4296</v>
      </c>
      <c r="D1147" s="7563">
        <v>80000000</v>
      </c>
      <c r="E1147" s="7659">
        <v>0.05</v>
      </c>
      <c r="F1147" s="7563">
        <f>D1147*E1147</f>
        <v>4000000</v>
      </c>
      <c r="G1147" s="5594">
        <v>4000000</v>
      </c>
      <c r="H1147" s="5594" t="s">
        <v>7298</v>
      </c>
      <c r="I1147" s="5643" t="s">
        <v>1720</v>
      </c>
      <c r="J1147" s="5594">
        <f t="shared" ref="J1147:J1167" si="108">G1147</f>
        <v>4000000</v>
      </c>
      <c r="K1147" s="5594">
        <f>F1147-J1147</f>
        <v>0</v>
      </c>
      <c r="L1147" s="5709"/>
      <c r="M1147" s="5682"/>
      <c r="N1147" s="5682"/>
      <c r="O1147" s="5682"/>
      <c r="P1147" s="386"/>
      <c r="Q1147" s="386"/>
    </row>
    <row r="1148" spans="1:17" s="1659" customFormat="1" ht="30" customHeight="1" x14ac:dyDescent="0.2">
      <c r="A1148" s="7704"/>
      <c r="B1148" s="7665"/>
      <c r="C1148" s="7747"/>
      <c r="D1148" s="7586"/>
      <c r="E1148" s="7676"/>
      <c r="F1148" s="7586"/>
      <c r="G1148" s="6366">
        <v>2000000</v>
      </c>
      <c r="H1148" s="6366" t="s">
        <v>7810</v>
      </c>
      <c r="I1148" s="6370" t="s">
        <v>7815</v>
      </c>
      <c r="J1148" s="7563">
        <f t="shared" si="108"/>
        <v>2000000</v>
      </c>
      <c r="K1148" s="7563">
        <f>F1147-J1148</f>
        <v>2000000</v>
      </c>
      <c r="L1148" s="8265"/>
      <c r="M1148" s="6377"/>
      <c r="N1148" s="6377"/>
      <c r="O1148" s="6377"/>
      <c r="P1148" s="386"/>
      <c r="Q1148" s="386"/>
    </row>
    <row r="1149" spans="1:17" s="1659" customFormat="1" ht="30" customHeight="1" x14ac:dyDescent="0.2">
      <c r="A1149" s="7705"/>
      <c r="B1149" s="7653"/>
      <c r="C1149" s="7724"/>
      <c r="D1149" s="7564"/>
      <c r="E1149" s="7660"/>
      <c r="F1149" s="7564"/>
      <c r="G1149" s="6366"/>
      <c r="H1149" s="6366"/>
      <c r="I1149" s="6370"/>
      <c r="J1149" s="7564"/>
      <c r="K1149" s="7564"/>
      <c r="L1149" s="8266"/>
      <c r="M1149" s="6377"/>
      <c r="N1149" s="6377"/>
      <c r="O1149" s="6377"/>
      <c r="P1149" s="386"/>
      <c r="Q1149" s="386"/>
    </row>
    <row r="1150" spans="1:17" s="1659" customFormat="1" ht="30" customHeight="1" x14ac:dyDescent="0.2">
      <c r="A1150" s="5798"/>
      <c r="B1150" s="5798" t="s">
        <v>4332</v>
      </c>
      <c r="C1150" s="5797" t="s">
        <v>402</v>
      </c>
      <c r="D1150" s="5774">
        <v>200000000</v>
      </c>
      <c r="E1150" s="5795">
        <v>0.05</v>
      </c>
      <c r="F1150" s="5774">
        <f>D1150*E1150</f>
        <v>10000000</v>
      </c>
      <c r="G1150" s="5774">
        <v>10000000</v>
      </c>
      <c r="H1150" s="5774" t="s">
        <v>7531</v>
      </c>
      <c r="I1150" s="5774" t="s">
        <v>1220</v>
      </c>
      <c r="J1150" s="5774">
        <f t="shared" si="108"/>
        <v>10000000</v>
      </c>
      <c r="K1150" s="5774">
        <f>F1150-J1150</f>
        <v>0</v>
      </c>
      <c r="L1150" s="2700"/>
      <c r="M1150" s="5682"/>
      <c r="N1150" s="5682"/>
      <c r="O1150" s="5682"/>
      <c r="P1150" s="386"/>
      <c r="Q1150" s="386"/>
    </row>
    <row r="1151" spans="1:17" s="1659" customFormat="1" ht="30" customHeight="1" x14ac:dyDescent="0.2">
      <c r="A1151" s="5675"/>
      <c r="B1151" s="5613" t="s">
        <v>4368</v>
      </c>
      <c r="C1151" s="5790"/>
      <c r="D1151" s="452"/>
      <c r="E1151" s="5618"/>
      <c r="F1151" s="597"/>
      <c r="G1151" s="5594"/>
      <c r="H1151" s="5594"/>
      <c r="I1151" s="5643" t="s">
        <v>2986</v>
      </c>
      <c r="J1151" s="5594">
        <f t="shared" si="108"/>
        <v>0</v>
      </c>
      <c r="K1151" s="5594"/>
      <c r="L1151" s="5709"/>
      <c r="M1151" s="5682"/>
      <c r="N1151" s="5682"/>
      <c r="O1151" s="5682"/>
      <c r="P1151" s="386"/>
      <c r="Q1151" s="386"/>
    </row>
    <row r="1152" spans="1:17" s="1659" customFormat="1" ht="30" customHeight="1" x14ac:dyDescent="0.2">
      <c r="A1152" s="5806"/>
      <c r="B1152" s="5785" t="s">
        <v>4374</v>
      </c>
      <c r="C1152" s="5797" t="s">
        <v>1718</v>
      </c>
      <c r="D1152" s="5774">
        <v>100000000</v>
      </c>
      <c r="E1152" s="5795">
        <v>0.05</v>
      </c>
      <c r="F1152" s="5774">
        <f>D1152*E1152</f>
        <v>5000000</v>
      </c>
      <c r="G1152" s="5594">
        <v>5000000</v>
      </c>
      <c r="H1152" s="5594" t="s">
        <v>7550</v>
      </c>
      <c r="I1152" s="5643" t="s">
        <v>5014</v>
      </c>
      <c r="J1152" s="5592">
        <f>G1152</f>
        <v>5000000</v>
      </c>
      <c r="K1152" s="5586">
        <f>F1152-J1152</f>
        <v>0</v>
      </c>
      <c r="L1152" s="5670"/>
      <c r="M1152" s="5682"/>
      <c r="N1152" s="5682"/>
      <c r="O1152" s="5682"/>
      <c r="P1152" s="386"/>
      <c r="Q1152" s="386"/>
    </row>
    <row r="1153" spans="1:17" s="1659" customFormat="1" ht="30" customHeight="1" x14ac:dyDescent="0.2">
      <c r="A1153" s="7703"/>
      <c r="B1153" s="7652" t="s">
        <v>5361</v>
      </c>
      <c r="C1153" s="7723" t="s">
        <v>262</v>
      </c>
      <c r="D1153" s="5774">
        <v>115000000</v>
      </c>
      <c r="E1153" s="5795">
        <v>0.05</v>
      </c>
      <c r="F1153" s="5774">
        <f>D1153*E1153</f>
        <v>5750000</v>
      </c>
      <c r="G1153" s="7563">
        <v>6000000</v>
      </c>
      <c r="H1153" s="7563" t="s">
        <v>1975</v>
      </c>
      <c r="I1153" s="7563" t="s">
        <v>6933</v>
      </c>
      <c r="J1153" s="7563">
        <f>G1153</f>
        <v>6000000</v>
      </c>
      <c r="K1153" s="7563">
        <f>(F1153+F1154)-J1153</f>
        <v>0</v>
      </c>
      <c r="L1153" s="5670"/>
      <c r="M1153" s="5682"/>
      <c r="N1153" s="5682"/>
      <c r="O1153" s="5682"/>
      <c r="P1153" s="386"/>
      <c r="Q1153" s="386"/>
    </row>
    <row r="1154" spans="1:17" s="1659" customFormat="1" ht="30" customHeight="1" x14ac:dyDescent="0.2">
      <c r="A1154" s="7705"/>
      <c r="B1154" s="7653"/>
      <c r="C1154" s="7724"/>
      <c r="D1154" s="5643">
        <v>5000000</v>
      </c>
      <c r="E1154" s="5606">
        <v>0.05</v>
      </c>
      <c r="F1154" s="5644">
        <f>D1154*E1154</f>
        <v>250000</v>
      </c>
      <c r="G1154" s="7564"/>
      <c r="H1154" s="7564"/>
      <c r="I1154" s="7564"/>
      <c r="J1154" s="7564"/>
      <c r="K1154" s="7564"/>
      <c r="L1154" s="5670"/>
      <c r="M1154" s="5682"/>
      <c r="N1154" s="5682"/>
      <c r="O1154" s="5682"/>
      <c r="P1154" s="386"/>
      <c r="Q1154" s="386"/>
    </row>
    <row r="1155" spans="1:17" s="1659" customFormat="1" ht="30" customHeight="1" x14ac:dyDescent="0.2">
      <c r="A1155" s="5675"/>
      <c r="B1155" s="5613" t="s">
        <v>4376</v>
      </c>
      <c r="C1155" s="5657" t="s">
        <v>1718</v>
      </c>
      <c r="D1155" s="5643">
        <v>70000000</v>
      </c>
      <c r="E1155" s="5606">
        <v>7.0000000000000007E-2</v>
      </c>
      <c r="F1155" s="5644">
        <f>D1155*E1155</f>
        <v>4900000.0000000009</v>
      </c>
      <c r="G1155" s="5594">
        <v>4900000</v>
      </c>
      <c r="H1155" s="5594" t="s">
        <v>7550</v>
      </c>
      <c r="I1155" s="5643" t="s">
        <v>4928</v>
      </c>
      <c r="J1155" s="5594">
        <f t="shared" si="108"/>
        <v>4900000</v>
      </c>
      <c r="K1155" s="5594">
        <f t="shared" ref="K1155:K1166" si="109">F1155-J1155</f>
        <v>0</v>
      </c>
      <c r="L1155" s="5709"/>
      <c r="M1155" s="5682"/>
      <c r="N1155" s="5682"/>
      <c r="O1155" s="5682"/>
      <c r="P1155" s="386"/>
      <c r="Q1155" s="386"/>
    </row>
    <row r="1156" spans="1:17" s="1659" customFormat="1" ht="30" customHeight="1" x14ac:dyDescent="0.2">
      <c r="A1156" s="5675"/>
      <c r="B1156" s="5613" t="s">
        <v>4393</v>
      </c>
      <c r="C1156" s="5657" t="s">
        <v>1718</v>
      </c>
      <c r="D1156" s="5643">
        <v>350000000</v>
      </c>
      <c r="E1156" s="5606">
        <v>7.0000000000000007E-2</v>
      </c>
      <c r="F1156" s="5644">
        <f>D1156*E1156</f>
        <v>24500000.000000004</v>
      </c>
      <c r="G1156" s="5594">
        <v>24500000</v>
      </c>
      <c r="H1156" s="5594" t="s">
        <v>3879</v>
      </c>
      <c r="I1156" s="5643" t="s">
        <v>7605</v>
      </c>
      <c r="J1156" s="5594">
        <f t="shared" si="108"/>
        <v>24500000</v>
      </c>
      <c r="K1156" s="5594">
        <f t="shared" si="109"/>
        <v>0</v>
      </c>
      <c r="L1156" s="5709"/>
      <c r="M1156" s="5682"/>
      <c r="N1156" s="5682"/>
      <c r="O1156" s="5682"/>
      <c r="P1156" s="386"/>
      <c r="Q1156" s="386"/>
    </row>
    <row r="1157" spans="1:17" s="1659" customFormat="1" ht="30" customHeight="1" x14ac:dyDescent="0.2">
      <c r="A1157" s="5675"/>
      <c r="B1157" s="5613" t="s">
        <v>4397</v>
      </c>
      <c r="C1157" s="5657"/>
      <c r="D1157" s="5643">
        <v>50000000</v>
      </c>
      <c r="E1157" s="5606">
        <v>0.05</v>
      </c>
      <c r="F1157" s="5644">
        <f t="shared" ref="F1157:F1168" si="110">D1157*E1157</f>
        <v>2500000</v>
      </c>
      <c r="G1157" s="5594">
        <v>2500000</v>
      </c>
      <c r="H1157" s="5594" t="s">
        <v>7460</v>
      </c>
      <c r="I1157" s="5643" t="s">
        <v>7464</v>
      </c>
      <c r="J1157" s="5594">
        <f t="shared" si="108"/>
        <v>2500000</v>
      </c>
      <c r="K1157" s="5594">
        <f t="shared" si="109"/>
        <v>0</v>
      </c>
      <c r="L1157" s="5709"/>
      <c r="M1157" s="5682"/>
      <c r="N1157" s="5682"/>
      <c r="O1157" s="5682"/>
      <c r="P1157" s="386"/>
      <c r="Q1157" s="386"/>
    </row>
    <row r="1158" spans="1:17" s="1659" customFormat="1" ht="30" customHeight="1" x14ac:dyDescent="0.2">
      <c r="A1158" s="5675"/>
      <c r="B1158" s="5613" t="s">
        <v>5013</v>
      </c>
      <c r="C1158" s="5657" t="s">
        <v>1652</v>
      </c>
      <c r="D1158" s="5643">
        <v>100000000</v>
      </c>
      <c r="E1158" s="5606">
        <v>0.05</v>
      </c>
      <c r="F1158" s="5644">
        <f t="shared" si="110"/>
        <v>5000000</v>
      </c>
      <c r="G1158" s="5594">
        <v>5000000</v>
      </c>
      <c r="H1158" s="5594" t="s">
        <v>7521</v>
      </c>
      <c r="I1158" s="5643" t="s">
        <v>7522</v>
      </c>
      <c r="J1158" s="5594">
        <f t="shared" si="108"/>
        <v>5000000</v>
      </c>
      <c r="K1158" s="5594">
        <f t="shared" si="109"/>
        <v>0</v>
      </c>
      <c r="L1158" s="5709" t="s">
        <v>7523</v>
      </c>
      <c r="M1158" s="5682"/>
      <c r="N1158" s="5682"/>
      <c r="O1158" s="5682"/>
      <c r="P1158" s="386"/>
      <c r="Q1158" s="386"/>
    </row>
    <row r="1159" spans="1:17" s="1659" customFormat="1" ht="30" customHeight="1" x14ac:dyDescent="0.2">
      <c r="A1159" s="5675"/>
      <c r="B1159" s="5613" t="s">
        <v>4410</v>
      </c>
      <c r="C1159" s="5657"/>
      <c r="D1159" s="5643">
        <v>50000000</v>
      </c>
      <c r="E1159" s="5606">
        <v>0.05</v>
      </c>
      <c r="F1159" s="5644">
        <f t="shared" si="110"/>
        <v>2500000</v>
      </c>
      <c r="G1159" s="5594">
        <v>2500000</v>
      </c>
      <c r="H1159" s="5594" t="s">
        <v>7550</v>
      </c>
      <c r="I1159" s="5643" t="s">
        <v>4411</v>
      </c>
      <c r="J1159" s="5594">
        <f t="shared" si="108"/>
        <v>2500000</v>
      </c>
      <c r="K1159" s="5594">
        <f t="shared" si="109"/>
        <v>0</v>
      </c>
      <c r="L1159" s="5709"/>
      <c r="M1159" s="5682"/>
      <c r="N1159" s="5682"/>
      <c r="O1159" s="5682"/>
      <c r="P1159" s="386"/>
      <c r="Q1159" s="386"/>
    </row>
    <row r="1160" spans="1:17" s="1659" customFormat="1" ht="30" customHeight="1" x14ac:dyDescent="0.2">
      <c r="A1160" s="7703"/>
      <c r="B1160" s="7652" t="s">
        <v>5005</v>
      </c>
      <c r="C1160" s="7723" t="s">
        <v>262</v>
      </c>
      <c r="D1160" s="5643">
        <v>20000000</v>
      </c>
      <c r="E1160" s="5606">
        <v>0.05</v>
      </c>
      <c r="F1160" s="5644">
        <f t="shared" si="110"/>
        <v>1000000</v>
      </c>
      <c r="G1160" s="7732" t="s">
        <v>2889</v>
      </c>
      <c r="H1160" s="7733"/>
      <c r="I1160" s="7733"/>
      <c r="J1160" s="7734"/>
      <c r="K1160" s="5594">
        <f t="shared" si="109"/>
        <v>1000000</v>
      </c>
      <c r="L1160" s="5709" t="s">
        <v>7486</v>
      </c>
      <c r="M1160" s="5682"/>
      <c r="N1160" s="5682"/>
      <c r="O1160" s="5682"/>
      <c r="P1160" s="386"/>
      <c r="Q1160" s="386"/>
    </row>
    <row r="1161" spans="1:17" s="1659" customFormat="1" ht="30" customHeight="1" x14ac:dyDescent="0.2">
      <c r="A1161" s="7704"/>
      <c r="B1161" s="7665"/>
      <c r="C1161" s="7747"/>
      <c r="D1161" s="5863">
        <v>30000000</v>
      </c>
      <c r="E1161" s="5856"/>
      <c r="F1161" s="5864"/>
      <c r="G1161" s="7732" t="s">
        <v>7369</v>
      </c>
      <c r="H1161" s="7733"/>
      <c r="I1161" s="7733"/>
      <c r="J1161" s="7734"/>
      <c r="K1161" s="5851"/>
      <c r="L1161" s="5876"/>
      <c r="M1161" s="5870"/>
      <c r="N1161" s="5870"/>
      <c r="O1161" s="5870"/>
      <c r="P1161" s="386"/>
      <c r="Q1161" s="386"/>
    </row>
    <row r="1162" spans="1:17" s="1659" customFormat="1" ht="30" customHeight="1" x14ac:dyDescent="0.2">
      <c r="A1162" s="7704"/>
      <c r="B1162" s="7665"/>
      <c r="C1162" s="7747"/>
      <c r="D1162" s="5863">
        <v>9000000</v>
      </c>
      <c r="E1162" s="5856"/>
      <c r="F1162" s="5864"/>
      <c r="G1162" s="7732" t="s">
        <v>7370</v>
      </c>
      <c r="H1162" s="7733"/>
      <c r="I1162" s="7733"/>
      <c r="J1162" s="7734"/>
      <c r="K1162" s="5851"/>
      <c r="L1162" s="5876"/>
      <c r="M1162" s="5870"/>
      <c r="N1162" s="5870"/>
      <c r="O1162" s="5870"/>
      <c r="P1162" s="386"/>
      <c r="Q1162" s="386"/>
    </row>
    <row r="1163" spans="1:17" s="1659" customFormat="1" ht="30" customHeight="1" x14ac:dyDescent="0.2">
      <c r="A1163" s="7705"/>
      <c r="B1163" s="7653"/>
      <c r="C1163" s="7724"/>
      <c r="D1163" s="5880">
        <v>60000000</v>
      </c>
      <c r="E1163" s="5875">
        <v>7.0000000000000007E-2</v>
      </c>
      <c r="F1163" s="5881">
        <f>D1163*E1163</f>
        <v>4200000</v>
      </c>
      <c r="G1163" s="5871"/>
      <c r="H1163" s="5872"/>
      <c r="I1163" s="5872"/>
      <c r="J1163" s="5873"/>
      <c r="K1163" s="5851"/>
      <c r="L1163" s="5876" t="s">
        <v>7487</v>
      </c>
      <c r="M1163" s="5870"/>
      <c r="N1163" s="5870"/>
      <c r="O1163" s="5870"/>
      <c r="P1163" s="386"/>
      <c r="Q1163" s="386"/>
    </row>
    <row r="1164" spans="1:17" s="1659" customFormat="1" ht="30" customHeight="1" x14ac:dyDescent="0.2">
      <c r="A1164" s="5675"/>
      <c r="B1164" s="5613" t="s">
        <v>4432</v>
      </c>
      <c r="C1164" s="5657" t="s">
        <v>2644</v>
      </c>
      <c r="D1164" s="5643">
        <v>300000000</v>
      </c>
      <c r="E1164" s="5606">
        <v>0.05</v>
      </c>
      <c r="F1164" s="5644">
        <f t="shared" si="110"/>
        <v>15000000</v>
      </c>
      <c r="G1164" s="5594">
        <v>15000000</v>
      </c>
      <c r="H1164" s="5594" t="s">
        <v>7427</v>
      </c>
      <c r="I1164" s="5643" t="s">
        <v>7433</v>
      </c>
      <c r="J1164" s="5594">
        <f t="shared" si="108"/>
        <v>15000000</v>
      </c>
      <c r="K1164" s="5594">
        <f t="shared" si="109"/>
        <v>0</v>
      </c>
      <c r="L1164" s="5709"/>
      <c r="M1164" s="5682"/>
      <c r="N1164" s="5682"/>
      <c r="O1164" s="5682"/>
      <c r="P1164" s="386"/>
      <c r="Q1164" s="386"/>
    </row>
    <row r="1165" spans="1:17" s="1659" customFormat="1" ht="30" customHeight="1" x14ac:dyDescent="0.2">
      <c r="A1165" s="5675"/>
      <c r="B1165" s="5613" t="s">
        <v>4433</v>
      </c>
      <c r="C1165" s="5657" t="s">
        <v>371</v>
      </c>
      <c r="D1165" s="5643">
        <v>200000000</v>
      </c>
      <c r="E1165" s="5606">
        <v>0.05</v>
      </c>
      <c r="F1165" s="5644">
        <f t="shared" si="110"/>
        <v>10000000</v>
      </c>
      <c r="G1165" s="5594">
        <v>10000000</v>
      </c>
      <c r="H1165" s="5594" t="s">
        <v>3879</v>
      </c>
      <c r="I1165" s="5643" t="s">
        <v>4167</v>
      </c>
      <c r="J1165" s="5594">
        <f t="shared" si="108"/>
        <v>10000000</v>
      </c>
      <c r="K1165" s="5594">
        <f t="shared" si="109"/>
        <v>0</v>
      </c>
      <c r="L1165" s="5709"/>
      <c r="M1165" s="5682"/>
      <c r="N1165" s="5682"/>
      <c r="O1165" s="5682"/>
      <c r="P1165" s="386"/>
      <c r="Q1165" s="386"/>
    </row>
    <row r="1166" spans="1:17" s="1659" customFormat="1" ht="30" customHeight="1" x14ac:dyDescent="0.2">
      <c r="A1166" s="5675"/>
      <c r="B1166" s="5613" t="s">
        <v>4454</v>
      </c>
      <c r="C1166" s="5657" t="s">
        <v>262</v>
      </c>
      <c r="D1166" s="5643">
        <v>120000000</v>
      </c>
      <c r="E1166" s="5606">
        <v>0.06</v>
      </c>
      <c r="F1166" s="5644">
        <f t="shared" si="110"/>
        <v>7200000</v>
      </c>
      <c r="G1166" s="5594">
        <v>7200000</v>
      </c>
      <c r="H1166" s="5594" t="s">
        <v>7709</v>
      </c>
      <c r="I1166" s="5643" t="s">
        <v>4455</v>
      </c>
      <c r="J1166" s="5594">
        <f t="shared" si="108"/>
        <v>7200000</v>
      </c>
      <c r="K1166" s="5594">
        <f t="shared" si="109"/>
        <v>0</v>
      </c>
      <c r="L1166" s="5709"/>
      <c r="M1166" s="5682"/>
      <c r="N1166" s="5682"/>
      <c r="O1166" s="5682"/>
      <c r="P1166" s="386"/>
      <c r="Q1166" s="386"/>
    </row>
    <row r="1167" spans="1:17" s="1659" customFormat="1" ht="30" customHeight="1" x14ac:dyDescent="0.2">
      <c r="A1167" s="7703"/>
      <c r="B1167" s="7652" t="s">
        <v>4468</v>
      </c>
      <c r="C1167" s="7723" t="s">
        <v>1300</v>
      </c>
      <c r="D1167" s="5643">
        <v>75000000</v>
      </c>
      <c r="E1167" s="5606">
        <v>0.05</v>
      </c>
      <c r="F1167" s="5644">
        <f t="shared" si="110"/>
        <v>3750000</v>
      </c>
      <c r="G1167" s="7563">
        <v>5500000</v>
      </c>
      <c r="H1167" s="7563" t="s">
        <v>7691</v>
      </c>
      <c r="I1167" s="7563" t="s">
        <v>7081</v>
      </c>
      <c r="J1167" s="7563">
        <f t="shared" si="108"/>
        <v>5500000</v>
      </c>
      <c r="K1167" s="7563">
        <f>(F1167+F1168)-J1167</f>
        <v>0</v>
      </c>
      <c r="L1167" s="5709"/>
      <c r="M1167" s="5682"/>
      <c r="N1167" s="5682"/>
      <c r="O1167" s="5682"/>
      <c r="P1167" s="386"/>
      <c r="Q1167" s="386"/>
    </row>
    <row r="1168" spans="1:17" s="1659" customFormat="1" ht="30" customHeight="1" x14ac:dyDescent="0.2">
      <c r="A1168" s="7704"/>
      <c r="B1168" s="7665"/>
      <c r="C1168" s="7747"/>
      <c r="D1168" s="5774">
        <v>35000000</v>
      </c>
      <c r="E1168" s="5795">
        <v>0.05</v>
      </c>
      <c r="F1168" s="5774">
        <f t="shared" si="110"/>
        <v>1750000</v>
      </c>
      <c r="G1168" s="7586"/>
      <c r="H1168" s="7586"/>
      <c r="I1168" s="7586"/>
      <c r="J1168" s="7586"/>
      <c r="K1168" s="7586"/>
      <c r="L1168" s="5709"/>
      <c r="M1168" s="5682"/>
      <c r="N1168" s="5682"/>
      <c r="O1168" s="5682"/>
      <c r="P1168" s="386"/>
      <c r="Q1168" s="386"/>
    </row>
    <row r="1169" spans="1:17" s="1659" customFormat="1" ht="30" customHeight="1" x14ac:dyDescent="0.2">
      <c r="A1169" s="7703"/>
      <c r="B1169" s="7652" t="s">
        <v>4496</v>
      </c>
      <c r="C1169" s="7723" t="s">
        <v>1287</v>
      </c>
      <c r="D1169" s="5643">
        <v>100000000</v>
      </c>
      <c r="E1169" s="5606">
        <v>0.06</v>
      </c>
      <c r="F1169" s="5644">
        <f t="shared" ref="F1169:F1174" si="111">D1169*E1169</f>
        <v>6000000</v>
      </c>
      <c r="G1169" s="7482">
        <v>1600000</v>
      </c>
      <c r="H1169" s="7482" t="s">
        <v>7668</v>
      </c>
      <c r="I1169" s="7482" t="s">
        <v>5133</v>
      </c>
      <c r="J1169" s="7563">
        <f>G1169+G1171</f>
        <v>15600000</v>
      </c>
      <c r="K1169" s="7563">
        <f>F1171-J1169</f>
        <v>0</v>
      </c>
      <c r="L1169" s="5709"/>
      <c r="M1169" s="5682"/>
      <c r="N1169" s="5682"/>
      <c r="O1169" s="5682"/>
      <c r="P1169" s="386"/>
      <c r="Q1169" s="386"/>
    </row>
    <row r="1170" spans="1:17" s="1659" customFormat="1" ht="30" customHeight="1" x14ac:dyDescent="0.2">
      <c r="A1170" s="7704"/>
      <c r="B1170" s="7665"/>
      <c r="C1170" s="7747"/>
      <c r="D1170" s="5774">
        <v>160000000</v>
      </c>
      <c r="E1170" s="5795">
        <v>0.06</v>
      </c>
      <c r="F1170" s="5774">
        <f t="shared" si="111"/>
        <v>9600000</v>
      </c>
      <c r="G1170" s="7482"/>
      <c r="H1170" s="7482"/>
      <c r="I1170" s="7482"/>
      <c r="J1170" s="7586"/>
      <c r="K1170" s="7586"/>
      <c r="L1170" s="5709"/>
      <c r="M1170" s="5682"/>
      <c r="N1170" s="5682"/>
      <c r="O1170" s="5682"/>
      <c r="P1170" s="386"/>
      <c r="Q1170" s="386"/>
    </row>
    <row r="1171" spans="1:17" s="1659" customFormat="1" ht="30" customHeight="1" x14ac:dyDescent="0.2">
      <c r="A1171" s="7705"/>
      <c r="B1171" s="7653"/>
      <c r="C1171" s="7724"/>
      <c r="D1171" s="5691">
        <f>D1169+D1170</f>
        <v>260000000</v>
      </c>
      <c r="E1171" s="5628">
        <v>0.06</v>
      </c>
      <c r="F1171" s="5692">
        <f t="shared" si="111"/>
        <v>15600000</v>
      </c>
      <c r="G1171" s="5777">
        <v>14000000</v>
      </c>
      <c r="H1171" s="5777" t="s">
        <v>7691</v>
      </c>
      <c r="I1171" s="5777" t="s">
        <v>7082</v>
      </c>
      <c r="J1171" s="7564"/>
      <c r="K1171" s="7564"/>
      <c r="L1171" s="5709"/>
      <c r="M1171" s="5682"/>
      <c r="N1171" s="5682"/>
      <c r="O1171" s="5682"/>
      <c r="P1171" s="386"/>
      <c r="Q1171" s="386"/>
    </row>
    <row r="1172" spans="1:17" s="1659" customFormat="1" ht="30" customHeight="1" x14ac:dyDescent="0.2">
      <c r="A1172" s="7703"/>
      <c r="B1172" s="7652" t="s">
        <v>4494</v>
      </c>
      <c r="C1172" s="7723" t="s">
        <v>1287</v>
      </c>
      <c r="D1172" s="5586">
        <v>150000000</v>
      </c>
      <c r="E1172" s="5606">
        <v>0.06</v>
      </c>
      <c r="F1172" s="5594">
        <f t="shared" si="111"/>
        <v>9000000</v>
      </c>
      <c r="G1172" s="7563">
        <v>16800000</v>
      </c>
      <c r="H1172" s="7563" t="s">
        <v>7709</v>
      </c>
      <c r="I1172" s="7563" t="s">
        <v>2078</v>
      </c>
      <c r="J1172" s="7563">
        <f>G1172</f>
        <v>16800000</v>
      </c>
      <c r="K1172" s="7563">
        <f>F1174-J1172</f>
        <v>0</v>
      </c>
      <c r="L1172" s="5673"/>
      <c r="M1172" s="5682"/>
      <c r="N1172" s="5682"/>
      <c r="O1172" s="5682"/>
      <c r="P1172" s="386"/>
      <c r="Q1172" s="386"/>
    </row>
    <row r="1173" spans="1:17" s="1659" customFormat="1" ht="30" customHeight="1" x14ac:dyDescent="0.2">
      <c r="A1173" s="7704"/>
      <c r="B1173" s="7665"/>
      <c r="C1173" s="7747"/>
      <c r="D1173" s="5586">
        <v>130000000</v>
      </c>
      <c r="E1173" s="5606">
        <v>0.06</v>
      </c>
      <c r="F1173" s="5594">
        <f t="shared" si="111"/>
        <v>7800000</v>
      </c>
      <c r="G1173" s="7586"/>
      <c r="H1173" s="7586"/>
      <c r="I1173" s="7586"/>
      <c r="J1173" s="7586"/>
      <c r="K1173" s="7586"/>
      <c r="L1173" s="5709"/>
      <c r="M1173" s="5682"/>
      <c r="N1173" s="5682"/>
      <c r="O1173" s="5682"/>
      <c r="P1173" s="386"/>
      <c r="Q1173" s="386"/>
    </row>
    <row r="1174" spans="1:17" s="1659" customFormat="1" ht="30" customHeight="1" x14ac:dyDescent="0.2">
      <c r="A1174" s="7705"/>
      <c r="B1174" s="7653"/>
      <c r="C1174" s="7724"/>
      <c r="D1174" s="5591">
        <f>D1172+D1173</f>
        <v>280000000</v>
      </c>
      <c r="E1174" s="5628">
        <v>0.06</v>
      </c>
      <c r="F1174" s="5630">
        <f t="shared" si="111"/>
        <v>16800000</v>
      </c>
      <c r="G1174" s="7564"/>
      <c r="H1174" s="7564"/>
      <c r="I1174" s="7564"/>
      <c r="J1174" s="7564"/>
      <c r="K1174" s="7564"/>
      <c r="L1174" s="5673"/>
      <c r="M1174" s="5682"/>
      <c r="N1174" s="5682"/>
      <c r="O1174" s="5682"/>
      <c r="P1174" s="386"/>
      <c r="Q1174" s="386"/>
    </row>
    <row r="1175" spans="1:17" s="1659" customFormat="1" ht="30" customHeight="1" x14ac:dyDescent="0.2">
      <c r="A1175" s="7703"/>
      <c r="B1175" s="7864" t="s">
        <v>4513</v>
      </c>
      <c r="C1175" s="5657" t="s">
        <v>1299</v>
      </c>
      <c r="D1175" s="5586">
        <v>20000000</v>
      </c>
      <c r="E1175" s="5606">
        <f>F1175/D1175</f>
        <v>0.06</v>
      </c>
      <c r="F1175" s="5594">
        <v>1200000</v>
      </c>
      <c r="G1175" s="5594"/>
      <c r="H1175" s="5594"/>
      <c r="I1175" s="5643" t="s">
        <v>2026</v>
      </c>
      <c r="J1175" s="5594">
        <f>G1175</f>
        <v>0</v>
      </c>
      <c r="K1175" s="5594"/>
      <c r="L1175" s="5673" t="s">
        <v>7280</v>
      </c>
      <c r="M1175" s="5682"/>
      <c r="N1175" s="5682"/>
      <c r="O1175" s="5682"/>
      <c r="P1175" s="386"/>
      <c r="Q1175" s="386"/>
    </row>
    <row r="1176" spans="1:17" s="1659" customFormat="1" ht="30" customHeight="1" x14ac:dyDescent="0.2">
      <c r="A1176" s="7704"/>
      <c r="B1176" s="7865"/>
      <c r="C1176" s="5657" t="s">
        <v>1138</v>
      </c>
      <c r="D1176" s="5586">
        <v>130000000</v>
      </c>
      <c r="E1176" s="5606">
        <v>7.0000000000000007E-2</v>
      </c>
      <c r="F1176" s="5594">
        <v>9000000</v>
      </c>
      <c r="G1176" s="5594"/>
      <c r="H1176" s="5594"/>
      <c r="I1176" s="5643" t="s">
        <v>4526</v>
      </c>
      <c r="J1176" s="5594">
        <f>G1176</f>
        <v>0</v>
      </c>
      <c r="K1176" s="5594"/>
      <c r="L1176" s="5673" t="s">
        <v>6034</v>
      </c>
      <c r="M1176" s="5682"/>
      <c r="N1176" s="5682"/>
      <c r="O1176" s="5682"/>
      <c r="P1176" s="386"/>
      <c r="Q1176" s="386"/>
    </row>
    <row r="1177" spans="1:17" s="1659" customFormat="1" ht="30" customHeight="1" x14ac:dyDescent="0.2">
      <c r="A1177" s="7705"/>
      <c r="B1177" s="7866"/>
      <c r="C1177" s="6320" t="s">
        <v>2644</v>
      </c>
      <c r="D1177" s="6344">
        <v>200000000</v>
      </c>
      <c r="E1177" s="6360"/>
      <c r="F1177" s="6359"/>
      <c r="G1177" s="7732" t="s">
        <v>7767</v>
      </c>
      <c r="H1177" s="7733"/>
      <c r="I1177" s="7733"/>
      <c r="J1177" s="7734"/>
      <c r="K1177" s="6304"/>
      <c r="L1177" s="6306" t="s">
        <v>7768</v>
      </c>
      <c r="M1177" s="6341"/>
      <c r="N1177" s="6341"/>
      <c r="O1177" s="6341"/>
      <c r="P1177" s="386"/>
      <c r="Q1177" s="386"/>
    </row>
    <row r="1178" spans="1:17" s="1659" customFormat="1" ht="30" customHeight="1" x14ac:dyDescent="0.2">
      <c r="A1178" s="7703"/>
      <c r="B1178" s="7652" t="s">
        <v>3186</v>
      </c>
      <c r="C1178" s="7723" t="s">
        <v>889</v>
      </c>
      <c r="D1178" s="7563">
        <v>150000000</v>
      </c>
      <c r="E1178" s="7659">
        <v>0.06</v>
      </c>
      <c r="F1178" s="7563">
        <f>D1178*E1178</f>
        <v>9000000</v>
      </c>
      <c r="G1178" s="7563"/>
      <c r="H1178" s="7563"/>
      <c r="I1178" s="7563" t="s">
        <v>4782</v>
      </c>
      <c r="J1178" s="7563">
        <f>G1178</f>
        <v>0</v>
      </c>
      <c r="K1178" s="7563">
        <f>G1178-J1178</f>
        <v>0</v>
      </c>
      <c r="L1178" s="5673" t="s">
        <v>4682</v>
      </c>
      <c r="M1178" s="5682"/>
      <c r="N1178" s="5682"/>
      <c r="O1178" s="5682"/>
      <c r="P1178" s="386"/>
      <c r="Q1178" s="386"/>
    </row>
    <row r="1179" spans="1:17" s="1659" customFormat="1" ht="30" customHeight="1" x14ac:dyDescent="0.2">
      <c r="A1179" s="7705"/>
      <c r="B1179" s="7653"/>
      <c r="C1179" s="7724"/>
      <c r="D1179" s="7564"/>
      <c r="E1179" s="7660"/>
      <c r="F1179" s="7564"/>
      <c r="G1179" s="7564"/>
      <c r="H1179" s="7564"/>
      <c r="I1179" s="7564"/>
      <c r="J1179" s="7564"/>
      <c r="K1179" s="7564"/>
      <c r="L1179" s="5673" t="s">
        <v>4681</v>
      </c>
      <c r="M1179" s="5682"/>
      <c r="N1179" s="5682"/>
      <c r="O1179" s="5682"/>
      <c r="P1179" s="386"/>
      <c r="Q1179" s="386"/>
    </row>
    <row r="1180" spans="1:17" s="1659" customFormat="1" ht="30" customHeight="1" x14ac:dyDescent="0.2">
      <c r="A1180" s="7703"/>
      <c r="B1180" s="7652" t="s">
        <v>4527</v>
      </c>
      <c r="C1180" s="8341" t="s">
        <v>2278</v>
      </c>
      <c r="D1180" s="5586">
        <v>100000000</v>
      </c>
      <c r="E1180" s="5606">
        <v>0.05</v>
      </c>
      <c r="F1180" s="5594">
        <v>5000000</v>
      </c>
      <c r="G1180" s="7563">
        <v>6500000</v>
      </c>
      <c r="H1180" s="7563" t="s">
        <v>7691</v>
      </c>
      <c r="I1180" s="7563" t="s">
        <v>5757</v>
      </c>
      <c r="J1180" s="7563">
        <f>G1180</f>
        <v>6500000</v>
      </c>
      <c r="K1180" s="7563">
        <f>(F1180+F1181)-J1180</f>
        <v>0</v>
      </c>
      <c r="L1180" s="5673"/>
      <c r="M1180" s="5682"/>
      <c r="N1180" s="5682"/>
      <c r="O1180" s="5682"/>
      <c r="P1180" s="386"/>
      <c r="Q1180" s="386"/>
    </row>
    <row r="1181" spans="1:17" s="1659" customFormat="1" ht="30" customHeight="1" x14ac:dyDescent="0.2">
      <c r="A1181" s="7705"/>
      <c r="B1181" s="7653"/>
      <c r="C1181" s="8343"/>
      <c r="D1181" s="5586">
        <v>30000000</v>
      </c>
      <c r="E1181" s="5606">
        <v>0.05</v>
      </c>
      <c r="F1181" s="5594">
        <f t="shared" ref="F1181:F1191" si="112">D1181*E1181</f>
        <v>1500000</v>
      </c>
      <c r="G1181" s="7564"/>
      <c r="H1181" s="7564"/>
      <c r="I1181" s="7564"/>
      <c r="J1181" s="7564"/>
      <c r="K1181" s="7564"/>
      <c r="L1181" s="5673"/>
      <c r="M1181" s="5682"/>
      <c r="N1181" s="5682"/>
      <c r="O1181" s="5682"/>
      <c r="P1181" s="386"/>
      <c r="Q1181" s="386"/>
    </row>
    <row r="1182" spans="1:17" s="1659" customFormat="1" ht="30" customHeight="1" x14ac:dyDescent="0.2">
      <c r="A1182" s="3428"/>
      <c r="B1182" s="2551" t="s">
        <v>5135</v>
      </c>
      <c r="C1182" s="3024" t="s">
        <v>3007</v>
      </c>
      <c r="D1182" s="2548">
        <v>10000000</v>
      </c>
      <c r="E1182" s="2556">
        <v>0.05</v>
      </c>
      <c r="F1182" s="6182">
        <f t="shared" si="112"/>
        <v>500000</v>
      </c>
      <c r="G1182" s="6182">
        <v>9000000</v>
      </c>
      <c r="H1182" s="6182" t="s">
        <v>7668</v>
      </c>
      <c r="I1182" s="6183" t="s">
        <v>4125</v>
      </c>
      <c r="J1182" s="6182">
        <f t="shared" ref="J1182:J1187" si="113">G1182</f>
        <v>9000000</v>
      </c>
      <c r="K1182" s="6182"/>
      <c r="L1182" s="3836"/>
      <c r="M1182" s="5682"/>
      <c r="N1182" s="5682"/>
      <c r="O1182" s="5682"/>
      <c r="P1182" s="386"/>
      <c r="Q1182" s="386"/>
    </row>
    <row r="1183" spans="1:17" s="1659" customFormat="1" ht="30" customHeight="1" x14ac:dyDescent="0.2">
      <c r="A1183" s="7703"/>
      <c r="B1183" s="7652" t="s">
        <v>4537</v>
      </c>
      <c r="C1183" s="7723" t="s">
        <v>1299</v>
      </c>
      <c r="D1183" s="7563">
        <v>100000000</v>
      </c>
      <c r="E1183" s="7659">
        <v>0.05</v>
      </c>
      <c r="F1183" s="7563">
        <f t="shared" si="112"/>
        <v>5000000</v>
      </c>
      <c r="G1183" s="5594">
        <v>5000000</v>
      </c>
      <c r="H1183" s="5594" t="s">
        <v>7281</v>
      </c>
      <c r="I1183" s="5643" t="s">
        <v>7285</v>
      </c>
      <c r="J1183" s="5594">
        <f t="shared" si="113"/>
        <v>5000000</v>
      </c>
      <c r="K1183" s="5594">
        <f>F1183-J1183</f>
        <v>0</v>
      </c>
      <c r="L1183" s="5673" t="s">
        <v>7286</v>
      </c>
      <c r="M1183" s="5682"/>
      <c r="N1183" s="5682"/>
      <c r="O1183" s="5682"/>
      <c r="P1183" s="386"/>
      <c r="Q1183" s="386"/>
    </row>
    <row r="1184" spans="1:17" s="1659" customFormat="1" ht="30" customHeight="1" x14ac:dyDescent="0.2">
      <c r="A1184" s="7705"/>
      <c r="B1184" s="7653"/>
      <c r="C1184" s="7724"/>
      <c r="D1184" s="7564"/>
      <c r="E1184" s="7660"/>
      <c r="F1184" s="7564"/>
      <c r="G1184" s="6226">
        <v>5000000</v>
      </c>
      <c r="H1184" s="6226" t="s">
        <v>7718</v>
      </c>
      <c r="I1184" s="6230" t="s">
        <v>7285</v>
      </c>
      <c r="J1184" s="6226">
        <f t="shared" si="113"/>
        <v>5000000</v>
      </c>
      <c r="K1184" s="6226">
        <f>F1183-J1184</f>
        <v>0</v>
      </c>
      <c r="L1184" s="6229"/>
      <c r="M1184" s="6239"/>
      <c r="N1184" s="6239"/>
      <c r="O1184" s="6239"/>
      <c r="P1184" s="386"/>
      <c r="Q1184" s="386"/>
    </row>
    <row r="1185" spans="1:17" s="1659" customFormat="1" ht="30" customHeight="1" x14ac:dyDescent="0.2">
      <c r="A1185" s="7703"/>
      <c r="B1185" s="7652" t="s">
        <v>105</v>
      </c>
      <c r="C1185" s="7723" t="s">
        <v>990</v>
      </c>
      <c r="D1185" s="7563">
        <v>200000000</v>
      </c>
      <c r="E1185" s="7659">
        <v>7.0000000000000007E-2</v>
      </c>
      <c r="F1185" s="7563">
        <f t="shared" si="112"/>
        <v>14000000.000000002</v>
      </c>
      <c r="G1185" s="5594">
        <v>14000000</v>
      </c>
      <c r="H1185" s="5594" t="s">
        <v>7281</v>
      </c>
      <c r="I1185" s="5643" t="s">
        <v>2794</v>
      </c>
      <c r="J1185" s="5594">
        <f t="shared" si="113"/>
        <v>14000000</v>
      </c>
      <c r="K1185" s="5594">
        <f>F1185-J1185</f>
        <v>0</v>
      </c>
      <c r="L1185" s="6350" t="s">
        <v>6807</v>
      </c>
      <c r="M1185" s="5682"/>
      <c r="N1185" s="5682"/>
      <c r="O1185" s="5682"/>
      <c r="P1185" s="386"/>
      <c r="Q1185" s="386"/>
    </row>
    <row r="1186" spans="1:17" s="1659" customFormat="1" ht="30" customHeight="1" x14ac:dyDescent="0.2">
      <c r="A1186" s="7705"/>
      <c r="B1186" s="7653"/>
      <c r="C1186" s="7724"/>
      <c r="D1186" s="7564"/>
      <c r="E1186" s="7660"/>
      <c r="F1186" s="7564"/>
      <c r="G1186" s="6305">
        <v>14000000</v>
      </c>
      <c r="H1186" s="6305" t="s">
        <v>7774</v>
      </c>
      <c r="I1186" s="6324" t="s">
        <v>2794</v>
      </c>
      <c r="J1186" s="6305">
        <f t="shared" si="113"/>
        <v>14000000</v>
      </c>
      <c r="K1186" s="6305">
        <f>F1185-J1186</f>
        <v>0</v>
      </c>
      <c r="L1186" s="6306" t="s">
        <v>7501</v>
      </c>
      <c r="M1186" s="6341"/>
      <c r="N1186" s="6341"/>
      <c r="O1186" s="6341"/>
      <c r="P1186" s="386"/>
      <c r="Q1186" s="386"/>
    </row>
    <row r="1187" spans="1:17" s="1659" customFormat="1" ht="30" customHeight="1" x14ac:dyDescent="0.2">
      <c r="A1187" s="5806"/>
      <c r="B1187" s="5785" t="s">
        <v>4550</v>
      </c>
      <c r="C1187" s="5797" t="s">
        <v>1299</v>
      </c>
      <c r="D1187" s="5774">
        <v>120000000</v>
      </c>
      <c r="E1187" s="5795">
        <v>7.0000000000000007E-2</v>
      </c>
      <c r="F1187" s="5774">
        <f t="shared" si="112"/>
        <v>8400000</v>
      </c>
      <c r="G1187" s="5774">
        <v>8400000</v>
      </c>
      <c r="H1187" s="5774" t="s">
        <v>7718</v>
      </c>
      <c r="I1187" s="5774" t="s">
        <v>5178</v>
      </c>
      <c r="J1187" s="5774">
        <f t="shared" si="113"/>
        <v>8400000</v>
      </c>
      <c r="K1187" s="5774">
        <f>F1187-J1187</f>
        <v>0</v>
      </c>
      <c r="L1187" s="5673"/>
      <c r="M1187" s="5682"/>
      <c r="N1187" s="5682"/>
      <c r="O1187" s="5682"/>
      <c r="P1187" s="386"/>
      <c r="Q1187" s="386"/>
    </row>
    <row r="1188" spans="1:17" s="1659" customFormat="1" ht="30" customHeight="1" x14ac:dyDescent="0.2">
      <c r="A1188" s="5675"/>
      <c r="B1188" s="5613" t="s">
        <v>4577</v>
      </c>
      <c r="C1188" s="5657" t="s">
        <v>371</v>
      </c>
      <c r="D1188" s="5586">
        <v>50000000</v>
      </c>
      <c r="E1188" s="5606">
        <v>0.05</v>
      </c>
      <c r="F1188" s="5594">
        <f t="shared" si="112"/>
        <v>2500000</v>
      </c>
      <c r="G1188" s="5594">
        <v>2500000</v>
      </c>
      <c r="H1188" s="5594" t="s">
        <v>3879</v>
      </c>
      <c r="I1188" s="5643" t="s">
        <v>4578</v>
      </c>
      <c r="J1188" s="5594">
        <f t="shared" ref="J1188:J1205" si="114">G1188</f>
        <v>2500000</v>
      </c>
      <c r="K1188" s="5594">
        <f>F1188-G1188</f>
        <v>0</v>
      </c>
      <c r="L1188" s="5673"/>
      <c r="M1188" s="5682"/>
      <c r="N1188" s="5682"/>
      <c r="O1188" s="5682"/>
      <c r="P1188" s="386"/>
      <c r="Q1188" s="386"/>
    </row>
    <row r="1189" spans="1:17" s="1659" customFormat="1" ht="30" customHeight="1" x14ac:dyDescent="0.2">
      <c r="A1189" s="7703"/>
      <c r="B1189" s="7652" t="s">
        <v>4657</v>
      </c>
      <c r="C1189" s="7723" t="s">
        <v>990</v>
      </c>
      <c r="D1189" s="7563">
        <v>10000000</v>
      </c>
      <c r="E1189" s="7659">
        <v>0.05</v>
      </c>
      <c r="F1189" s="7563">
        <f t="shared" si="112"/>
        <v>500000</v>
      </c>
      <c r="G1189" s="5586">
        <v>500000</v>
      </c>
      <c r="H1189" s="5586" t="s">
        <v>7531</v>
      </c>
      <c r="I1189" s="5586" t="s">
        <v>4841</v>
      </c>
      <c r="J1189" s="5586">
        <f t="shared" si="114"/>
        <v>500000</v>
      </c>
      <c r="K1189" s="5594">
        <f t="shared" ref="K1189:K1196" si="115">F1189-J1189</f>
        <v>0</v>
      </c>
      <c r="L1189" s="5709" t="s">
        <v>6807</v>
      </c>
      <c r="M1189" s="5682"/>
      <c r="N1189" s="5682"/>
      <c r="O1189" s="5682"/>
      <c r="P1189" s="386"/>
      <c r="Q1189" s="386"/>
    </row>
    <row r="1190" spans="1:17" s="1659" customFormat="1" ht="30" customHeight="1" x14ac:dyDescent="0.2">
      <c r="A1190" s="7705"/>
      <c r="B1190" s="7653"/>
      <c r="C1190" s="7724"/>
      <c r="D1190" s="7564"/>
      <c r="E1190" s="7660"/>
      <c r="F1190" s="7564"/>
      <c r="G1190" s="6305">
        <v>500000</v>
      </c>
      <c r="H1190" s="6305" t="s">
        <v>7795</v>
      </c>
      <c r="I1190" s="6324" t="s">
        <v>4841</v>
      </c>
      <c r="J1190" s="6305">
        <f t="shared" si="114"/>
        <v>500000</v>
      </c>
      <c r="K1190" s="6305">
        <f>F1189-J1190</f>
        <v>0</v>
      </c>
      <c r="L1190" s="6306" t="s">
        <v>7501</v>
      </c>
      <c r="M1190" s="6341"/>
      <c r="N1190" s="6341"/>
      <c r="O1190" s="6341"/>
      <c r="P1190" s="386"/>
      <c r="Q1190" s="386"/>
    </row>
    <row r="1191" spans="1:17" s="1659" customFormat="1" ht="30" customHeight="1" x14ac:dyDescent="0.2">
      <c r="A1191" s="5675"/>
      <c r="B1191" s="5613" t="s">
        <v>4667</v>
      </c>
      <c r="C1191" s="5657" t="s">
        <v>1796</v>
      </c>
      <c r="D1191" s="5586">
        <v>100000000</v>
      </c>
      <c r="E1191" s="5606">
        <v>7.0000000000000007E-2</v>
      </c>
      <c r="F1191" s="5594">
        <f t="shared" si="112"/>
        <v>7000000.0000000009</v>
      </c>
      <c r="G1191" s="5594"/>
      <c r="H1191" s="5594"/>
      <c r="I1191" s="5643" t="s">
        <v>4787</v>
      </c>
      <c r="J1191" s="5594">
        <f t="shared" si="114"/>
        <v>0</v>
      </c>
      <c r="K1191" s="5594">
        <f t="shared" si="115"/>
        <v>7000000.0000000009</v>
      </c>
      <c r="L1191" s="5673"/>
      <c r="M1191" s="5682"/>
      <c r="N1191" s="5682"/>
      <c r="O1191" s="5682"/>
      <c r="P1191" s="386"/>
      <c r="Q1191" s="386"/>
    </row>
    <row r="1192" spans="1:17" s="1659" customFormat="1" ht="30" customHeight="1" x14ac:dyDescent="0.2">
      <c r="A1192" s="5675"/>
      <c r="B1192" s="5613" t="s">
        <v>4668</v>
      </c>
      <c r="C1192" s="5657"/>
      <c r="D1192" s="5586">
        <v>100000000</v>
      </c>
      <c r="E1192" s="5606">
        <v>7.0000000000000007E-2</v>
      </c>
      <c r="F1192" s="5594">
        <f t="shared" ref="F1192:F1196" si="116">D1192*E1192</f>
        <v>7000000.0000000009</v>
      </c>
      <c r="G1192" s="5594"/>
      <c r="H1192" s="5594"/>
      <c r="I1192" s="5643" t="s">
        <v>4861</v>
      </c>
      <c r="J1192" s="5594">
        <f t="shared" si="114"/>
        <v>0</v>
      </c>
      <c r="K1192" s="5594">
        <f t="shared" si="115"/>
        <v>7000000.0000000009</v>
      </c>
      <c r="L1192" s="5673"/>
      <c r="M1192" s="5682"/>
      <c r="N1192" s="5682"/>
      <c r="O1192" s="5682"/>
      <c r="P1192" s="386"/>
      <c r="Q1192" s="386"/>
    </row>
    <row r="1193" spans="1:17" s="1659" customFormat="1" ht="30" customHeight="1" x14ac:dyDescent="0.2">
      <c r="A1193" s="5675"/>
      <c r="B1193" s="5613" t="s">
        <v>4669</v>
      </c>
      <c r="C1193" s="5657"/>
      <c r="D1193" s="5586">
        <v>35000000</v>
      </c>
      <c r="E1193" s="5606">
        <v>7.0000000000000007E-2</v>
      </c>
      <c r="F1193" s="5594">
        <f t="shared" si="116"/>
        <v>2450000.0000000005</v>
      </c>
      <c r="G1193" s="5594"/>
      <c r="H1193" s="5594"/>
      <c r="I1193" s="5643" t="s">
        <v>4862</v>
      </c>
      <c r="J1193" s="5594">
        <f t="shared" si="114"/>
        <v>0</v>
      </c>
      <c r="K1193" s="5594">
        <f t="shared" si="115"/>
        <v>2450000.0000000005</v>
      </c>
      <c r="L1193" s="5673"/>
      <c r="M1193" s="5682"/>
      <c r="N1193" s="5682"/>
      <c r="O1193" s="5682"/>
      <c r="P1193" s="386"/>
      <c r="Q1193" s="386"/>
    </row>
    <row r="1194" spans="1:17" s="1659" customFormat="1" ht="30" customHeight="1" x14ac:dyDescent="0.2">
      <c r="A1194" s="7703"/>
      <c r="B1194" s="7652" t="s">
        <v>4676</v>
      </c>
      <c r="C1194" s="7723" t="s">
        <v>1287</v>
      </c>
      <c r="D1194" s="5586">
        <v>110000000</v>
      </c>
      <c r="E1194" s="5606">
        <v>0.05</v>
      </c>
      <c r="F1194" s="5594">
        <f t="shared" si="116"/>
        <v>5500000</v>
      </c>
      <c r="G1194" s="5594">
        <v>5500000</v>
      </c>
      <c r="H1194" s="5594" t="s">
        <v>7668</v>
      </c>
      <c r="I1194" s="5643" t="s">
        <v>7669</v>
      </c>
      <c r="J1194" s="5594">
        <f t="shared" si="114"/>
        <v>5500000</v>
      </c>
      <c r="K1194" s="5594">
        <f t="shared" si="115"/>
        <v>0</v>
      </c>
      <c r="L1194" s="5673"/>
      <c r="M1194" s="5682"/>
      <c r="N1194" s="5682"/>
      <c r="O1194" s="5682"/>
      <c r="P1194" s="386"/>
      <c r="Q1194" s="386"/>
    </row>
    <row r="1195" spans="1:17" s="1659" customFormat="1" ht="30" customHeight="1" x14ac:dyDescent="0.2">
      <c r="A1195" s="7705"/>
      <c r="B1195" s="7653"/>
      <c r="C1195" s="7724"/>
      <c r="D1195" s="7470" t="s">
        <v>4531</v>
      </c>
      <c r="E1195" s="7493"/>
      <c r="F1195" s="7510"/>
      <c r="G1195" s="6275">
        <v>10000000</v>
      </c>
      <c r="H1195" s="6275" t="s">
        <v>7727</v>
      </c>
      <c r="I1195" s="6287" t="s">
        <v>7746</v>
      </c>
      <c r="J1195" s="6275">
        <f>G1195</f>
        <v>10000000</v>
      </c>
      <c r="K1195" s="6275">
        <f>D1194-J1195</f>
        <v>100000000</v>
      </c>
      <c r="L1195" s="6277"/>
      <c r="M1195" s="6294"/>
      <c r="N1195" s="6294"/>
      <c r="O1195" s="6294"/>
      <c r="P1195" s="386"/>
      <c r="Q1195" s="386"/>
    </row>
    <row r="1196" spans="1:17" s="1659" customFormat="1" ht="30" customHeight="1" x14ac:dyDescent="0.2">
      <c r="A1196" s="5806"/>
      <c r="B1196" s="5785" t="s">
        <v>4755</v>
      </c>
      <c r="C1196" s="5797" t="s">
        <v>1796</v>
      </c>
      <c r="D1196" s="5774">
        <v>50000000</v>
      </c>
      <c r="E1196" s="5795">
        <v>0.05</v>
      </c>
      <c r="F1196" s="5774">
        <f t="shared" si="116"/>
        <v>2500000</v>
      </c>
      <c r="G1196" s="5586">
        <v>2500000</v>
      </c>
      <c r="H1196" s="5586" t="s">
        <v>7293</v>
      </c>
      <c r="I1196" s="5586" t="s">
        <v>5331</v>
      </c>
      <c r="J1196" s="5586">
        <f t="shared" si="114"/>
        <v>2500000</v>
      </c>
      <c r="K1196" s="5586">
        <f t="shared" si="115"/>
        <v>0</v>
      </c>
      <c r="L1196" s="5709"/>
      <c r="M1196" s="5682"/>
      <c r="N1196" s="5682"/>
      <c r="O1196" s="5682"/>
      <c r="P1196" s="386"/>
      <c r="Q1196" s="386"/>
    </row>
    <row r="1197" spans="1:17" s="1659" customFormat="1" ht="30" customHeight="1" x14ac:dyDescent="0.2">
      <c r="A1197" s="7703"/>
      <c r="B1197" s="7652" t="s">
        <v>229</v>
      </c>
      <c r="C1197" s="7723" t="s">
        <v>1306</v>
      </c>
      <c r="D1197" s="7563">
        <v>60000000</v>
      </c>
      <c r="E1197" s="7659">
        <v>0.05</v>
      </c>
      <c r="F1197" s="7563">
        <f t="shared" ref="F1197:F1203" si="117">D1197*E1197</f>
        <v>3000000</v>
      </c>
      <c r="G1197" s="5594">
        <v>3000000</v>
      </c>
      <c r="H1197" s="5594" t="s">
        <v>7281</v>
      </c>
      <c r="I1197" s="5643" t="s">
        <v>1063</v>
      </c>
      <c r="J1197" s="5594">
        <f t="shared" si="114"/>
        <v>3000000</v>
      </c>
      <c r="K1197" s="5594">
        <f t="shared" ref="K1197:K1205" si="118">F1197-J1197</f>
        <v>0</v>
      </c>
      <c r="L1197" s="5673" t="s">
        <v>6807</v>
      </c>
      <c r="M1197" s="5682"/>
      <c r="N1197" s="5682"/>
      <c r="O1197" s="5682"/>
      <c r="P1197" s="386"/>
      <c r="Q1197" s="386"/>
    </row>
    <row r="1198" spans="1:17" s="1659" customFormat="1" ht="30" customHeight="1" x14ac:dyDescent="0.2">
      <c r="A1198" s="7705"/>
      <c r="B1198" s="7653"/>
      <c r="C1198" s="7724"/>
      <c r="D1198" s="7564"/>
      <c r="E1198" s="7660"/>
      <c r="F1198" s="7564"/>
      <c r="G1198" s="6244">
        <v>3000000</v>
      </c>
      <c r="H1198" s="6244" t="s">
        <v>7723</v>
      </c>
      <c r="I1198" s="6250" t="s">
        <v>1063</v>
      </c>
      <c r="J1198" s="6244">
        <f t="shared" si="114"/>
        <v>3000000</v>
      </c>
      <c r="K1198" s="6244">
        <f>F1197-J1198</f>
        <v>0</v>
      </c>
      <c r="L1198" s="6245" t="s">
        <v>7501</v>
      </c>
      <c r="M1198" s="6256"/>
      <c r="N1198" s="6256"/>
      <c r="O1198" s="6256"/>
      <c r="P1198" s="386"/>
      <c r="Q1198" s="386"/>
    </row>
    <row r="1199" spans="1:17" s="1659" customFormat="1" ht="30" customHeight="1" x14ac:dyDescent="0.2">
      <c r="A1199" s="5675"/>
      <c r="B1199" s="5613" t="s">
        <v>4792</v>
      </c>
      <c r="C1199" s="5657" t="s">
        <v>2278</v>
      </c>
      <c r="D1199" s="5586">
        <v>200000000</v>
      </c>
      <c r="E1199" s="5606">
        <v>7.0000000000000007E-2</v>
      </c>
      <c r="F1199" s="5594">
        <f t="shared" si="117"/>
        <v>14000000.000000002</v>
      </c>
      <c r="G1199" s="5594">
        <v>14000000</v>
      </c>
      <c r="H1199" s="5594" t="s">
        <v>7691</v>
      </c>
      <c r="I1199" s="5643" t="s">
        <v>5122</v>
      </c>
      <c r="J1199" s="5594">
        <f t="shared" si="114"/>
        <v>14000000</v>
      </c>
      <c r="K1199" s="5594">
        <f t="shared" si="118"/>
        <v>0</v>
      </c>
      <c r="L1199" s="5673"/>
      <c r="M1199" s="5682"/>
      <c r="N1199" s="5682"/>
      <c r="O1199" s="5682"/>
      <c r="P1199" s="386"/>
      <c r="Q1199" s="386"/>
    </row>
    <row r="1200" spans="1:17" s="1659" customFormat="1" ht="30" customHeight="1" x14ac:dyDescent="0.2">
      <c r="A1200" s="5675"/>
      <c r="B1200" s="5613" t="s">
        <v>5040</v>
      </c>
      <c r="C1200" s="5657" t="s">
        <v>1300</v>
      </c>
      <c r="D1200" s="5586">
        <v>250000000</v>
      </c>
      <c r="E1200" s="5606">
        <v>7.0000000000000007E-2</v>
      </c>
      <c r="F1200" s="5594">
        <f t="shared" si="117"/>
        <v>17500000</v>
      </c>
      <c r="G1200" s="5594">
        <v>17500000</v>
      </c>
      <c r="H1200" s="5594" t="s">
        <v>7691</v>
      </c>
      <c r="I1200" s="5643" t="s">
        <v>5132</v>
      </c>
      <c r="J1200" s="5594">
        <f t="shared" si="114"/>
        <v>17500000</v>
      </c>
      <c r="K1200" s="5594">
        <f t="shared" si="118"/>
        <v>0</v>
      </c>
      <c r="L1200" s="5673"/>
      <c r="M1200" s="5682"/>
      <c r="N1200" s="5682"/>
      <c r="O1200" s="5682"/>
      <c r="P1200" s="386"/>
      <c r="Q1200" s="386"/>
    </row>
    <row r="1201" spans="1:17" s="1659" customFormat="1" ht="30" customHeight="1" x14ac:dyDescent="0.2">
      <c r="A1201" s="7703"/>
      <c r="B1201" s="7652" t="s">
        <v>4914</v>
      </c>
      <c r="C1201" s="7723" t="s">
        <v>1299</v>
      </c>
      <c r="D1201" s="7563">
        <v>200000000</v>
      </c>
      <c r="E1201" s="7659">
        <v>5.5E-2</v>
      </c>
      <c r="F1201" s="7563">
        <f t="shared" si="117"/>
        <v>11000000</v>
      </c>
      <c r="G1201" s="5594">
        <v>11000000</v>
      </c>
      <c r="H1201" s="5594" t="s">
        <v>7293</v>
      </c>
      <c r="I1201" s="5643" t="s">
        <v>4581</v>
      </c>
      <c r="J1201" s="5594">
        <f t="shared" si="114"/>
        <v>11000000</v>
      </c>
      <c r="K1201" s="5594">
        <f t="shared" si="118"/>
        <v>0</v>
      </c>
      <c r="L1201" s="6306" t="s">
        <v>6807</v>
      </c>
      <c r="M1201" s="5682"/>
      <c r="N1201" s="5682"/>
      <c r="O1201" s="5682"/>
      <c r="P1201" s="386"/>
      <c r="Q1201" s="386"/>
    </row>
    <row r="1202" spans="1:17" s="1659" customFormat="1" ht="30" customHeight="1" x14ac:dyDescent="0.2">
      <c r="A1202" s="7705"/>
      <c r="B1202" s="7653"/>
      <c r="C1202" s="7724"/>
      <c r="D1202" s="7564"/>
      <c r="E1202" s="7660"/>
      <c r="F1202" s="7564"/>
      <c r="G1202" s="6305">
        <v>11000000</v>
      </c>
      <c r="H1202" s="6305" t="s">
        <v>7786</v>
      </c>
      <c r="I1202" s="6324" t="s">
        <v>1574</v>
      </c>
      <c r="J1202" s="6305">
        <f t="shared" si="114"/>
        <v>11000000</v>
      </c>
      <c r="K1202" s="6305">
        <f>F1201-J1202</f>
        <v>0</v>
      </c>
      <c r="L1202" s="6306" t="s">
        <v>7501</v>
      </c>
      <c r="M1202" s="6341"/>
      <c r="N1202" s="6341"/>
      <c r="O1202" s="6341"/>
      <c r="P1202" s="386"/>
      <c r="Q1202" s="386"/>
    </row>
    <row r="1203" spans="1:17" s="1659" customFormat="1" ht="30" customHeight="1" x14ac:dyDescent="0.2">
      <c r="A1203" s="5675"/>
      <c r="B1203" s="5613" t="s">
        <v>4922</v>
      </c>
      <c r="C1203" s="5657"/>
      <c r="D1203" s="5586">
        <v>600000000</v>
      </c>
      <c r="E1203" s="5606">
        <v>7.0000000000000007E-2</v>
      </c>
      <c r="F1203" s="5594">
        <f t="shared" si="117"/>
        <v>42000000.000000007</v>
      </c>
      <c r="G1203" s="5594">
        <v>42000000</v>
      </c>
      <c r="H1203" s="5594" t="s">
        <v>7614</v>
      </c>
      <c r="I1203" s="5643" t="s">
        <v>5604</v>
      </c>
      <c r="J1203" s="5594">
        <f t="shared" si="114"/>
        <v>42000000</v>
      </c>
      <c r="K1203" s="5594">
        <f t="shared" si="118"/>
        <v>0</v>
      </c>
      <c r="L1203" s="5673" t="s">
        <v>5656</v>
      </c>
      <c r="M1203" s="5682"/>
      <c r="N1203" s="5682"/>
      <c r="O1203" s="5682"/>
      <c r="P1203" s="386"/>
      <c r="Q1203" s="386"/>
    </row>
    <row r="1204" spans="1:17" s="1659" customFormat="1" ht="30" customHeight="1" x14ac:dyDescent="0.2">
      <c r="A1204" s="5675"/>
      <c r="B1204" s="5613" t="s">
        <v>4967</v>
      </c>
      <c r="C1204" s="5657" t="s">
        <v>3483</v>
      </c>
      <c r="D1204" s="5586">
        <v>150000000</v>
      </c>
      <c r="E1204" s="5606">
        <v>5.6000000000000001E-2</v>
      </c>
      <c r="F1204" s="5594">
        <v>8500000</v>
      </c>
      <c r="G1204" s="5594">
        <v>8500000</v>
      </c>
      <c r="H1204" s="5594" t="s">
        <v>7550</v>
      </c>
      <c r="I1204" s="5643" t="s">
        <v>5515</v>
      </c>
      <c r="J1204" s="5594">
        <f t="shared" si="114"/>
        <v>8500000</v>
      </c>
      <c r="K1204" s="5594">
        <f t="shared" si="118"/>
        <v>0</v>
      </c>
      <c r="L1204" s="5673"/>
      <c r="M1204" s="5682"/>
      <c r="N1204" s="5682"/>
      <c r="O1204" s="5682"/>
      <c r="P1204" s="386"/>
      <c r="Q1204" s="386"/>
    </row>
    <row r="1205" spans="1:17" s="1659" customFormat="1" ht="30" customHeight="1" x14ac:dyDescent="0.2">
      <c r="A1205" s="5675"/>
      <c r="B1205" s="5613" t="s">
        <v>5019</v>
      </c>
      <c r="C1205" s="5634"/>
      <c r="D1205" s="5594">
        <v>130000000</v>
      </c>
      <c r="E1205" s="5606">
        <v>0.05</v>
      </c>
      <c r="F1205" s="5594">
        <f>D1205*E1205</f>
        <v>6500000</v>
      </c>
      <c r="G1205" s="5594"/>
      <c r="H1205" s="5594"/>
      <c r="I1205" s="5643" t="s">
        <v>1220</v>
      </c>
      <c r="J1205" s="5594">
        <f t="shared" si="114"/>
        <v>0</v>
      </c>
      <c r="K1205" s="5594">
        <f t="shared" si="118"/>
        <v>6500000</v>
      </c>
      <c r="L1205" s="5673"/>
      <c r="M1205" s="5682"/>
      <c r="N1205" s="5682"/>
      <c r="O1205" s="5682"/>
      <c r="P1205" s="386"/>
      <c r="Q1205" s="386"/>
    </row>
    <row r="1206" spans="1:17" s="1659" customFormat="1" ht="30" customHeight="1" x14ac:dyDescent="0.2">
      <c r="A1206" s="5806"/>
      <c r="B1206" s="5785" t="s">
        <v>5021</v>
      </c>
      <c r="C1206" s="5797" t="s">
        <v>1287</v>
      </c>
      <c r="D1206" s="5594">
        <v>400000000</v>
      </c>
      <c r="E1206" s="5606">
        <v>0.05</v>
      </c>
      <c r="F1206" s="5594">
        <f>D1206*E1206</f>
        <v>20000000</v>
      </c>
      <c r="G1206" s="5774">
        <v>20000000</v>
      </c>
      <c r="H1206" s="5774" t="s">
        <v>7691</v>
      </c>
      <c r="I1206" s="5774" t="s">
        <v>7699</v>
      </c>
      <c r="J1206" s="5774">
        <f>G1206</f>
        <v>20000000</v>
      </c>
      <c r="K1206" s="5774">
        <f>F1206-J1206</f>
        <v>0</v>
      </c>
      <c r="L1206" s="5673"/>
      <c r="M1206" s="5682"/>
      <c r="N1206" s="5682"/>
      <c r="O1206" s="5682"/>
      <c r="P1206" s="386"/>
      <c r="Q1206" s="386"/>
    </row>
    <row r="1207" spans="1:17" s="1659" customFormat="1" ht="30" customHeight="1" x14ac:dyDescent="0.2">
      <c r="A1207" s="5675"/>
      <c r="B1207" s="5613" t="s">
        <v>5033</v>
      </c>
      <c r="C1207" s="5634"/>
      <c r="D1207" s="5611"/>
      <c r="E1207" s="5618"/>
      <c r="F1207" s="5611"/>
      <c r="G1207" s="5594"/>
      <c r="H1207" s="5594"/>
      <c r="I1207" s="5643" t="s">
        <v>5034</v>
      </c>
      <c r="J1207" s="5594">
        <f>G1207</f>
        <v>0</v>
      </c>
      <c r="K1207" s="5611">
        <f>F1207-J1207</f>
        <v>0</v>
      </c>
      <c r="L1207" s="5673"/>
      <c r="M1207" s="5682"/>
      <c r="N1207" s="5682"/>
      <c r="O1207" s="5682"/>
      <c r="P1207" s="386"/>
      <c r="Q1207" s="386"/>
    </row>
    <row r="1208" spans="1:17" s="1659" customFormat="1" ht="30" customHeight="1" x14ac:dyDescent="0.2">
      <c r="A1208" s="5716"/>
      <c r="B1208" s="5613" t="s">
        <v>5037</v>
      </c>
      <c r="C1208" s="5634" t="s">
        <v>371</v>
      </c>
      <c r="D1208" s="5594">
        <v>60000000</v>
      </c>
      <c r="E1208" s="5606">
        <v>0.06</v>
      </c>
      <c r="F1208" s="5594">
        <f t="shared" ref="F1208:F1214" si="119">D1208*E1208</f>
        <v>3600000</v>
      </c>
      <c r="G1208" s="5594"/>
      <c r="H1208" s="5594"/>
      <c r="I1208" s="5643"/>
      <c r="J1208" s="5594"/>
      <c r="K1208" s="5594"/>
      <c r="L1208" s="3476" t="s">
        <v>5038</v>
      </c>
      <c r="M1208" s="5682"/>
      <c r="N1208" s="5682"/>
      <c r="O1208" s="5682"/>
      <c r="P1208" s="386"/>
      <c r="Q1208" s="386"/>
    </row>
    <row r="1209" spans="1:17" s="1659" customFormat="1" ht="30" customHeight="1" x14ac:dyDescent="0.2">
      <c r="A1209" s="5716"/>
      <c r="B1209" s="5613" t="s">
        <v>5053</v>
      </c>
      <c r="C1209" s="5634"/>
      <c r="D1209" s="5594">
        <v>300000000</v>
      </c>
      <c r="E1209" s="5606">
        <v>0.05</v>
      </c>
      <c r="F1209" s="5594">
        <f t="shared" si="119"/>
        <v>15000000</v>
      </c>
      <c r="G1209" s="5594">
        <v>15000000</v>
      </c>
      <c r="H1209" s="5594" t="s">
        <v>7550</v>
      </c>
      <c r="I1209" s="5643" t="s">
        <v>5059</v>
      </c>
      <c r="J1209" s="5594">
        <f t="shared" ref="J1209:J1218" si="120">G1209</f>
        <v>15000000</v>
      </c>
      <c r="K1209" s="5594">
        <f>F1209-J1209</f>
        <v>0</v>
      </c>
      <c r="L1209" s="5673"/>
      <c r="M1209" s="5682"/>
      <c r="N1209" s="5682"/>
      <c r="O1209" s="5682"/>
      <c r="P1209" s="386"/>
      <c r="Q1209" s="386"/>
    </row>
    <row r="1210" spans="1:17" s="1659" customFormat="1" ht="30" customHeight="1" x14ac:dyDescent="0.2">
      <c r="A1210" s="7703"/>
      <c r="B1210" s="7652" t="s">
        <v>5064</v>
      </c>
      <c r="C1210" s="7723" t="s">
        <v>372</v>
      </c>
      <c r="D1210" s="7563">
        <v>700000000</v>
      </c>
      <c r="E1210" s="7659">
        <v>6.5000000000000002E-2</v>
      </c>
      <c r="F1210" s="7563">
        <f t="shared" si="119"/>
        <v>45500000</v>
      </c>
      <c r="G1210" s="5594">
        <v>15000000</v>
      </c>
      <c r="H1210" s="5594" t="s">
        <v>7550</v>
      </c>
      <c r="I1210" s="6144" t="s">
        <v>7653</v>
      </c>
      <c r="J1210" s="7563">
        <f>G1210+G1211</f>
        <v>45500000</v>
      </c>
      <c r="K1210" s="7563">
        <f>F1210-J1210</f>
        <v>0</v>
      </c>
      <c r="L1210" s="5673"/>
      <c r="M1210" s="5682"/>
      <c r="N1210" s="5682"/>
      <c r="O1210" s="5682"/>
      <c r="P1210" s="386"/>
      <c r="Q1210" s="386"/>
    </row>
    <row r="1211" spans="1:17" s="1659" customFormat="1" ht="30" customHeight="1" x14ac:dyDescent="0.2">
      <c r="A1211" s="7705"/>
      <c r="B1211" s="7653"/>
      <c r="C1211" s="7724"/>
      <c r="D1211" s="7564"/>
      <c r="E1211" s="7660"/>
      <c r="F1211" s="7564"/>
      <c r="G1211" s="6128">
        <v>30500000</v>
      </c>
      <c r="H1211" s="6128" t="s">
        <v>2830</v>
      </c>
      <c r="I1211" s="6144" t="s">
        <v>7653</v>
      </c>
      <c r="J1211" s="7564"/>
      <c r="K1211" s="7564"/>
      <c r="L1211" s="6130"/>
      <c r="M1211" s="6155"/>
      <c r="N1211" s="6155"/>
      <c r="O1211" s="6155"/>
      <c r="P1211" s="386"/>
      <c r="Q1211" s="386"/>
    </row>
    <row r="1212" spans="1:17" s="1659" customFormat="1" ht="30" customHeight="1" x14ac:dyDescent="0.2">
      <c r="A1212" s="5716"/>
      <c r="B1212" s="5613" t="s">
        <v>5065</v>
      </c>
      <c r="C1212" s="5634" t="s">
        <v>372</v>
      </c>
      <c r="D1212" s="5594">
        <v>400000000</v>
      </c>
      <c r="E1212" s="5606">
        <v>6.5000000000000002E-2</v>
      </c>
      <c r="F1212" s="5594">
        <f t="shared" si="119"/>
        <v>26000000</v>
      </c>
      <c r="G1212" s="5594">
        <v>26000000</v>
      </c>
      <c r="H1212" s="5594" t="s">
        <v>7668</v>
      </c>
      <c r="I1212" s="5643" t="s">
        <v>5519</v>
      </c>
      <c r="J1212" s="5594">
        <f t="shared" si="120"/>
        <v>26000000</v>
      </c>
      <c r="K1212" s="5594">
        <f>F1212-J1212</f>
        <v>0</v>
      </c>
      <c r="L1212" s="5673"/>
      <c r="M1212" s="5682"/>
      <c r="N1212" s="5682"/>
      <c r="O1212" s="5682"/>
      <c r="P1212" s="386"/>
      <c r="Q1212" s="386"/>
    </row>
    <row r="1213" spans="1:17" s="1659" customFormat="1" ht="30" customHeight="1" x14ac:dyDescent="0.2">
      <c r="A1213" s="5675"/>
      <c r="B1213" s="19" t="s">
        <v>5067</v>
      </c>
      <c r="C1213" s="378" t="s">
        <v>990</v>
      </c>
      <c r="D1213" s="5586">
        <v>32000000</v>
      </c>
      <c r="E1213" s="5652">
        <v>0.05</v>
      </c>
      <c r="F1213" s="5586">
        <f t="shared" si="119"/>
        <v>1600000</v>
      </c>
      <c r="G1213" s="5586">
        <v>1600000</v>
      </c>
      <c r="H1213" s="5586" t="s">
        <v>7723</v>
      </c>
      <c r="I1213" s="5586" t="s">
        <v>7726</v>
      </c>
      <c r="J1213" s="5586">
        <f t="shared" si="120"/>
        <v>1600000</v>
      </c>
      <c r="K1213" s="5586">
        <f>F1213-J1213</f>
        <v>0</v>
      </c>
      <c r="L1213" s="5673"/>
      <c r="M1213" s="5682"/>
      <c r="N1213" s="5682"/>
      <c r="O1213" s="5682"/>
      <c r="P1213" s="386"/>
      <c r="Q1213" s="386"/>
    </row>
    <row r="1214" spans="1:17" s="1659" customFormat="1" ht="30" customHeight="1" x14ac:dyDescent="0.2">
      <c r="A1214" s="5716"/>
      <c r="B1214" s="5602" t="s">
        <v>5113</v>
      </c>
      <c r="C1214" s="5634" t="s">
        <v>1291</v>
      </c>
      <c r="D1214" s="5594">
        <v>500000000</v>
      </c>
      <c r="E1214" s="5606">
        <v>0.05</v>
      </c>
      <c r="F1214" s="5594">
        <f t="shared" si="119"/>
        <v>25000000</v>
      </c>
      <c r="G1214" s="5594">
        <v>25000000</v>
      </c>
      <c r="H1214" s="5594" t="s">
        <v>7718</v>
      </c>
      <c r="I1214" s="5643" t="s">
        <v>7719</v>
      </c>
      <c r="J1214" s="5594">
        <f t="shared" si="120"/>
        <v>25000000</v>
      </c>
      <c r="K1214" s="5594">
        <f>F1214-J1214</f>
        <v>0</v>
      </c>
      <c r="L1214" s="5673"/>
      <c r="M1214" s="5682"/>
      <c r="N1214" s="5682"/>
      <c r="O1214" s="5682"/>
      <c r="P1214" s="386"/>
      <c r="Q1214" s="386"/>
    </row>
    <row r="1215" spans="1:17" s="1659" customFormat="1" ht="30" customHeight="1" x14ac:dyDescent="0.2">
      <c r="A1215" s="5716"/>
      <c r="B1215" s="5831" t="s">
        <v>5124</v>
      </c>
      <c r="C1215" s="5634"/>
      <c r="D1215" s="5611"/>
      <c r="E1215" s="5618"/>
      <c r="F1215" s="5611"/>
      <c r="G1215" s="5594">
        <v>450000</v>
      </c>
      <c r="H1215" s="5594" t="s">
        <v>7325</v>
      </c>
      <c r="I1215" s="5643" t="s">
        <v>7327</v>
      </c>
      <c r="J1215" s="5594">
        <f t="shared" si="120"/>
        <v>450000</v>
      </c>
      <c r="K1215" s="5594"/>
      <c r="L1215" s="5673" t="s">
        <v>7328</v>
      </c>
      <c r="M1215" s="5682"/>
      <c r="N1215" s="5682"/>
      <c r="O1215" s="5682"/>
      <c r="P1215" s="386"/>
      <c r="Q1215" s="386"/>
    </row>
    <row r="1216" spans="1:17" s="1659" customFormat="1" ht="30" customHeight="1" x14ac:dyDescent="0.2">
      <c r="A1216" s="5716"/>
      <c r="B1216" s="5717" t="s">
        <v>5129</v>
      </c>
      <c r="C1216" s="5634"/>
      <c r="D1216" s="5611"/>
      <c r="E1216" s="5618"/>
      <c r="F1216" s="5611"/>
      <c r="G1216" s="5594"/>
      <c r="H1216" s="5594"/>
      <c r="I1216" s="5643" t="s">
        <v>6361</v>
      </c>
      <c r="J1216" s="5594">
        <f t="shared" si="120"/>
        <v>0</v>
      </c>
      <c r="K1216" s="5594"/>
      <c r="L1216" s="5673"/>
      <c r="M1216" s="5682"/>
      <c r="N1216" s="5682"/>
      <c r="O1216" s="5682"/>
      <c r="P1216" s="386"/>
      <c r="Q1216" s="386"/>
    </row>
    <row r="1217" spans="1:17" s="1659" customFormat="1" ht="30" customHeight="1" x14ac:dyDescent="0.2">
      <c r="A1217" s="7703"/>
      <c r="B1217" s="7652" t="s">
        <v>5218</v>
      </c>
      <c r="C1217" s="7723" t="s">
        <v>990</v>
      </c>
      <c r="D1217" s="7563">
        <v>50000000</v>
      </c>
      <c r="E1217" s="7659">
        <v>0.05</v>
      </c>
      <c r="F1217" s="7563">
        <f>D1217*E1217</f>
        <v>2500000</v>
      </c>
      <c r="G1217" s="5594">
        <v>2500000</v>
      </c>
      <c r="H1217" s="5594" t="s">
        <v>7281</v>
      </c>
      <c r="I1217" s="5643" t="s">
        <v>7282</v>
      </c>
      <c r="J1217" s="5594">
        <f t="shared" si="120"/>
        <v>2500000</v>
      </c>
      <c r="K1217" s="5594">
        <f>F1217-J1217</f>
        <v>0</v>
      </c>
      <c r="L1217" s="5673" t="s">
        <v>6807</v>
      </c>
      <c r="M1217" s="5682"/>
      <c r="N1217" s="5682"/>
      <c r="O1217" s="5682"/>
      <c r="P1217" s="386"/>
      <c r="Q1217" s="386"/>
    </row>
    <row r="1218" spans="1:17" s="1659" customFormat="1" ht="30" customHeight="1" x14ac:dyDescent="0.2">
      <c r="A1218" s="7705"/>
      <c r="B1218" s="7653"/>
      <c r="C1218" s="7724"/>
      <c r="D1218" s="7564"/>
      <c r="E1218" s="7660"/>
      <c r="F1218" s="7564"/>
      <c r="G1218" s="6244">
        <v>2500000</v>
      </c>
      <c r="H1218" s="6244" t="s">
        <v>7723</v>
      </c>
      <c r="I1218" s="6250" t="s">
        <v>7282</v>
      </c>
      <c r="J1218" s="6243">
        <f t="shared" si="120"/>
        <v>2500000</v>
      </c>
      <c r="K1218" s="6243">
        <f>F1217-J1218</f>
        <v>0</v>
      </c>
      <c r="L1218" s="6245" t="s">
        <v>7501</v>
      </c>
      <c r="M1218" s="6256"/>
      <c r="N1218" s="6256"/>
      <c r="O1218" s="6256"/>
      <c r="P1218" s="386"/>
      <c r="Q1218" s="386"/>
    </row>
    <row r="1219" spans="1:17" s="1659" customFormat="1" ht="30" customHeight="1" x14ac:dyDescent="0.2">
      <c r="A1219" s="7703"/>
      <c r="B1219" s="7652" t="s">
        <v>5241</v>
      </c>
      <c r="C1219" s="7723" t="s">
        <v>1306</v>
      </c>
      <c r="D1219" s="7563">
        <v>1275000000</v>
      </c>
      <c r="E1219" s="7659">
        <v>7.0000000000000007E-2</v>
      </c>
      <c r="F1219" s="7563">
        <f>D1219*E1219</f>
        <v>89250000.000000015</v>
      </c>
      <c r="G1219" s="5777">
        <v>39250000</v>
      </c>
      <c r="H1219" s="5777" t="s">
        <v>7310</v>
      </c>
      <c r="I1219" s="5794" t="s">
        <v>7313</v>
      </c>
      <c r="J1219" s="7563">
        <f>G1219+G1220+G1221</f>
        <v>89250000</v>
      </c>
      <c r="K1219" s="7563">
        <f>F1219-J1219</f>
        <v>0</v>
      </c>
      <c r="L1219" s="5805" t="s">
        <v>6009</v>
      </c>
      <c r="M1219" s="5682"/>
      <c r="N1219" s="5682"/>
      <c r="O1219" s="5682"/>
      <c r="P1219" s="386"/>
      <c r="Q1219" s="386"/>
    </row>
    <row r="1220" spans="1:17" s="1659" customFormat="1" ht="30" customHeight="1" x14ac:dyDescent="0.2">
      <c r="A1220" s="7704"/>
      <c r="B1220" s="7665"/>
      <c r="C1220" s="7747"/>
      <c r="D1220" s="7586"/>
      <c r="E1220" s="7676"/>
      <c r="F1220" s="7586"/>
      <c r="G1220" s="5823">
        <v>46000000</v>
      </c>
      <c r="H1220" s="5823" t="s">
        <v>7325</v>
      </c>
      <c r="I1220" s="5837" t="s">
        <v>7313</v>
      </c>
      <c r="J1220" s="7586"/>
      <c r="K1220" s="7586"/>
      <c r="L1220" s="7674" t="s">
        <v>6807</v>
      </c>
      <c r="M1220" s="5843"/>
      <c r="N1220" s="5843"/>
      <c r="O1220" s="5843"/>
      <c r="P1220" s="386"/>
      <c r="Q1220" s="386"/>
    </row>
    <row r="1221" spans="1:17" s="1659" customFormat="1" ht="30" customHeight="1" x14ac:dyDescent="0.2">
      <c r="A1221" s="7704"/>
      <c r="B1221" s="7665"/>
      <c r="C1221" s="7724"/>
      <c r="D1221" s="7564"/>
      <c r="E1221" s="7660"/>
      <c r="F1221" s="7564"/>
      <c r="G1221" s="5823">
        <v>4000000</v>
      </c>
      <c r="H1221" s="5823" t="s">
        <v>7325</v>
      </c>
      <c r="I1221" s="5823" t="s">
        <v>7313</v>
      </c>
      <c r="J1221" s="7564"/>
      <c r="K1221" s="7564"/>
      <c r="L1221" s="7675"/>
      <c r="M1221" s="5843"/>
      <c r="N1221" s="5843"/>
      <c r="O1221" s="5843"/>
      <c r="P1221" s="386"/>
      <c r="Q1221" s="386"/>
    </row>
    <row r="1222" spans="1:17" s="1659" customFormat="1" ht="30" customHeight="1" x14ac:dyDescent="0.2">
      <c r="A1222" s="7704"/>
      <c r="B1222" s="7665"/>
      <c r="C1222" s="7723" t="s">
        <v>1306</v>
      </c>
      <c r="D1222" s="7563">
        <v>1275000000</v>
      </c>
      <c r="E1222" s="7659">
        <v>7.0000000000000007E-2</v>
      </c>
      <c r="F1222" s="7563">
        <f>D1222*E1222</f>
        <v>89250000.000000015</v>
      </c>
      <c r="G1222" s="6301">
        <v>19250000</v>
      </c>
      <c r="H1222" s="6301" t="s">
        <v>7786</v>
      </c>
      <c r="I1222" s="6301" t="s">
        <v>7313</v>
      </c>
      <c r="J1222" s="7563">
        <f>G1222+G1223+G1224</f>
        <v>39250000</v>
      </c>
      <c r="K1222" s="7563">
        <f>F1222-J1222</f>
        <v>50000000.000000015</v>
      </c>
      <c r="L1222" s="7674" t="s">
        <v>7501</v>
      </c>
      <c r="M1222" s="6341"/>
      <c r="N1222" s="6341"/>
      <c r="O1222" s="6341"/>
      <c r="P1222" s="386"/>
      <c r="Q1222" s="386"/>
    </row>
    <row r="1223" spans="1:17" s="1659" customFormat="1" ht="30" customHeight="1" x14ac:dyDescent="0.2">
      <c r="A1223" s="7704"/>
      <c r="B1223" s="7665"/>
      <c r="C1223" s="7747"/>
      <c r="D1223" s="7586"/>
      <c r="E1223" s="7676"/>
      <c r="F1223" s="7586"/>
      <c r="G1223" s="6301">
        <v>20000000</v>
      </c>
      <c r="H1223" s="6301" t="s">
        <v>7786</v>
      </c>
      <c r="I1223" s="6301" t="s">
        <v>7313</v>
      </c>
      <c r="J1223" s="7586"/>
      <c r="K1223" s="7586"/>
      <c r="L1223" s="8186"/>
      <c r="M1223" s="6341"/>
      <c r="N1223" s="6341"/>
      <c r="O1223" s="6341"/>
      <c r="P1223" s="386"/>
      <c r="Q1223" s="386"/>
    </row>
    <row r="1224" spans="1:17" s="1659" customFormat="1" ht="30" customHeight="1" x14ac:dyDescent="0.2">
      <c r="A1224" s="7705"/>
      <c r="B1224" s="7653"/>
      <c r="C1224" s="7724"/>
      <c r="D1224" s="7564"/>
      <c r="E1224" s="7660"/>
      <c r="F1224" s="7564"/>
      <c r="G1224" s="6301"/>
      <c r="H1224" s="6301"/>
      <c r="I1224" s="6301"/>
      <c r="J1224" s="7564"/>
      <c r="K1224" s="7564"/>
      <c r="L1224" s="7675"/>
      <c r="M1224" s="6341"/>
      <c r="N1224" s="6341"/>
      <c r="O1224" s="6341"/>
      <c r="P1224" s="386"/>
      <c r="Q1224" s="386"/>
    </row>
    <row r="1225" spans="1:17" s="1659" customFormat="1" ht="30" customHeight="1" x14ac:dyDescent="0.2">
      <c r="A1225" s="7703"/>
      <c r="B1225" s="7652" t="s">
        <v>5243</v>
      </c>
      <c r="C1225" s="7723" t="s">
        <v>1081</v>
      </c>
      <c r="D1225" s="5594">
        <v>50000000</v>
      </c>
      <c r="E1225" s="5606">
        <v>0.05</v>
      </c>
      <c r="F1225" s="5594">
        <f t="shared" ref="F1225:F1232" si="121">D1225*E1225</f>
        <v>2500000</v>
      </c>
      <c r="G1225" s="6272">
        <v>4000000</v>
      </c>
      <c r="H1225" s="6272" t="s">
        <v>7310</v>
      </c>
      <c r="I1225" s="6272" t="s">
        <v>5994</v>
      </c>
      <c r="J1225" s="6272">
        <f t="shared" ref="J1225:J1234" si="122">G1225</f>
        <v>4000000</v>
      </c>
      <c r="K1225" s="6272">
        <f>(F1225+F1226)-J1225</f>
        <v>0</v>
      </c>
      <c r="L1225" s="6276" t="s">
        <v>6807</v>
      </c>
      <c r="M1225" s="5682" t="s">
        <v>5277</v>
      </c>
      <c r="N1225" s="5682"/>
      <c r="O1225" s="5682"/>
      <c r="P1225" s="386"/>
      <c r="Q1225" s="386"/>
    </row>
    <row r="1226" spans="1:17" s="1659" customFormat="1" ht="30" customHeight="1" x14ac:dyDescent="0.2">
      <c r="A1226" s="7705"/>
      <c r="B1226" s="7653"/>
      <c r="C1226" s="7724"/>
      <c r="D1226" s="5594">
        <v>30000000</v>
      </c>
      <c r="E1226" s="5606">
        <v>0.05</v>
      </c>
      <c r="F1226" s="5594">
        <f t="shared" si="121"/>
        <v>1500000</v>
      </c>
      <c r="G1226" s="6272">
        <v>4000000</v>
      </c>
      <c r="H1226" s="6272" t="s">
        <v>7727</v>
      </c>
      <c r="I1226" s="6272" t="s">
        <v>7736</v>
      </c>
      <c r="J1226" s="6272">
        <f t="shared" si="122"/>
        <v>4000000</v>
      </c>
      <c r="K1226" s="6272">
        <f>(F1225+F1226)-J1226</f>
        <v>0</v>
      </c>
      <c r="L1226" s="5673" t="s">
        <v>7501</v>
      </c>
      <c r="M1226" s="5682"/>
      <c r="N1226" s="5682"/>
      <c r="O1226" s="5682"/>
      <c r="P1226" s="386"/>
      <c r="Q1226" s="386"/>
    </row>
    <row r="1227" spans="1:17" s="1659" customFormat="1" ht="30" customHeight="1" x14ac:dyDescent="0.2">
      <c r="A1227" s="7703"/>
      <c r="B1227" s="7652" t="s">
        <v>5250</v>
      </c>
      <c r="C1227" s="7723" t="s">
        <v>1138</v>
      </c>
      <c r="D1227" s="5586">
        <v>100000000</v>
      </c>
      <c r="E1227" s="5606">
        <v>0.05</v>
      </c>
      <c r="F1227" s="5594">
        <f t="shared" si="121"/>
        <v>5000000</v>
      </c>
      <c r="G1227" s="5594">
        <v>5000000</v>
      </c>
      <c r="H1227" s="5594" t="s">
        <v>7298</v>
      </c>
      <c r="I1227" s="5643" t="s">
        <v>5997</v>
      </c>
      <c r="J1227" s="5594">
        <f t="shared" si="122"/>
        <v>5000000</v>
      </c>
      <c r="K1227" s="5594">
        <f>F1227-J1227</f>
        <v>0</v>
      </c>
      <c r="L1227" s="6129" t="s">
        <v>6807</v>
      </c>
      <c r="M1227" s="5682"/>
      <c r="N1227" s="5682"/>
      <c r="O1227" s="5682"/>
      <c r="P1227" s="386"/>
      <c r="Q1227" s="386"/>
    </row>
    <row r="1228" spans="1:17" s="1659" customFormat="1" ht="30" customHeight="1" x14ac:dyDescent="0.2">
      <c r="A1228" s="7704"/>
      <c r="B1228" s="7665"/>
      <c r="C1228" s="7747"/>
      <c r="D1228" s="6128">
        <v>5000000</v>
      </c>
      <c r="E1228" s="6131">
        <v>7.0000000000000007E-2</v>
      </c>
      <c r="F1228" s="6128">
        <f t="shared" si="121"/>
        <v>350000.00000000006</v>
      </c>
      <c r="G1228" s="7732" t="s">
        <v>7635</v>
      </c>
      <c r="H1228" s="7733"/>
      <c r="I1228" s="7733"/>
      <c r="J1228" s="7734"/>
      <c r="K1228" s="6128"/>
      <c r="L1228" s="6156"/>
      <c r="M1228" s="6155"/>
      <c r="N1228" s="6155"/>
      <c r="O1228" s="6155"/>
      <c r="P1228" s="386"/>
      <c r="Q1228" s="386"/>
    </row>
    <row r="1229" spans="1:17" s="1659" customFormat="1" ht="30" customHeight="1" x14ac:dyDescent="0.2">
      <c r="A1229" s="7704"/>
      <c r="B1229" s="7665"/>
      <c r="C1229" s="7747"/>
      <c r="D1229" s="6128">
        <v>92700000</v>
      </c>
      <c r="E1229" s="6131">
        <v>7.0000000000000007E-2</v>
      </c>
      <c r="F1229" s="6128">
        <f t="shared" si="121"/>
        <v>6489000.0000000009</v>
      </c>
      <c r="G1229" s="7732" t="s">
        <v>7631</v>
      </c>
      <c r="H1229" s="7733"/>
      <c r="I1229" s="7733"/>
      <c r="J1229" s="7734"/>
      <c r="K1229" s="6128"/>
      <c r="L1229" s="6156" t="s">
        <v>7633</v>
      </c>
      <c r="M1229" s="6155"/>
      <c r="N1229" s="6155"/>
      <c r="O1229" s="6155"/>
      <c r="P1229" s="386"/>
      <c r="Q1229" s="386"/>
    </row>
    <row r="1230" spans="1:17" s="1659" customFormat="1" ht="30" customHeight="1" x14ac:dyDescent="0.2">
      <c r="A1230" s="7704"/>
      <c r="B1230" s="7665"/>
      <c r="C1230" s="7747"/>
      <c r="D1230" s="6128">
        <v>2300000</v>
      </c>
      <c r="E1230" s="6131">
        <v>7.0000000000000007E-2</v>
      </c>
      <c r="F1230" s="6128">
        <f t="shared" si="121"/>
        <v>161000.00000000003</v>
      </c>
      <c r="G1230" s="7732" t="s">
        <v>7636</v>
      </c>
      <c r="H1230" s="7733"/>
      <c r="I1230" s="7733"/>
      <c r="J1230" s="7734"/>
      <c r="K1230" s="6128"/>
      <c r="L1230" s="6156"/>
      <c r="M1230" s="6155"/>
      <c r="N1230" s="6155"/>
      <c r="O1230" s="6155"/>
      <c r="P1230" s="386"/>
      <c r="Q1230" s="386"/>
    </row>
    <row r="1231" spans="1:17" s="1659" customFormat="1" ht="30" customHeight="1" x14ac:dyDescent="0.2">
      <c r="A1231" s="7705"/>
      <c r="B1231" s="7653"/>
      <c r="C1231" s="7724"/>
      <c r="D1231" s="6157">
        <v>200000000</v>
      </c>
      <c r="E1231" s="6158"/>
      <c r="F1231" s="6157">
        <v>12000000</v>
      </c>
      <c r="G1231" s="7732" t="s">
        <v>7634</v>
      </c>
      <c r="H1231" s="7733"/>
      <c r="I1231" s="7733"/>
      <c r="J1231" s="7734"/>
      <c r="K1231" s="6128"/>
      <c r="L1231" s="6156" t="s">
        <v>7632</v>
      </c>
      <c r="M1231" s="6155"/>
      <c r="N1231" s="6155"/>
      <c r="O1231" s="6155"/>
      <c r="P1231" s="386"/>
      <c r="Q1231" s="386"/>
    </row>
    <row r="1232" spans="1:17" s="1659" customFormat="1" ht="30" customHeight="1" x14ac:dyDescent="0.2">
      <c r="A1232" s="5716"/>
      <c r="B1232" s="5613" t="s">
        <v>5252</v>
      </c>
      <c r="C1232" s="5634" t="s">
        <v>942</v>
      </c>
      <c r="D1232" s="5594">
        <v>200000000</v>
      </c>
      <c r="E1232" s="5606">
        <v>5.5E-2</v>
      </c>
      <c r="F1232" s="5594">
        <f t="shared" si="121"/>
        <v>11000000</v>
      </c>
      <c r="G1232" s="5594">
        <v>11000000</v>
      </c>
      <c r="H1232" s="5594" t="s">
        <v>7427</v>
      </c>
      <c r="I1232" s="5643" t="s">
        <v>6141</v>
      </c>
      <c r="J1232" s="5594">
        <f t="shared" si="122"/>
        <v>11000000</v>
      </c>
      <c r="K1232" s="5594">
        <f>F1232-J1232</f>
        <v>0</v>
      </c>
      <c r="L1232" s="5673"/>
      <c r="M1232" s="5682"/>
      <c r="N1232" s="5682"/>
      <c r="O1232" s="5682"/>
      <c r="P1232" s="386"/>
      <c r="Q1232" s="386"/>
    </row>
    <row r="1233" spans="1:17" s="1659" customFormat="1" ht="30" customHeight="1" x14ac:dyDescent="0.2">
      <c r="A1233" s="5716"/>
      <c r="B1233" s="5613" t="s">
        <v>5304</v>
      </c>
      <c r="C1233" s="5634"/>
      <c r="D1233" s="5611"/>
      <c r="E1233" s="5618"/>
      <c r="F1233" s="5611"/>
      <c r="G1233" s="5594"/>
      <c r="H1233" s="5594"/>
      <c r="I1233" s="5643" t="s">
        <v>4147</v>
      </c>
      <c r="J1233" s="5594">
        <f t="shared" si="122"/>
        <v>0</v>
      </c>
      <c r="K1233" s="5611"/>
      <c r="L1233" s="5673"/>
      <c r="M1233" s="5682"/>
      <c r="N1233" s="5682"/>
      <c r="O1233" s="5682"/>
      <c r="P1233" s="386"/>
      <c r="Q1233" s="386"/>
    </row>
    <row r="1234" spans="1:17" s="1659" customFormat="1" ht="30" customHeight="1" x14ac:dyDescent="0.2">
      <c r="A1234" s="5806"/>
      <c r="B1234" s="5785" t="s">
        <v>5310</v>
      </c>
      <c r="C1234" s="5797"/>
      <c r="D1234" s="5774">
        <v>30000000</v>
      </c>
      <c r="E1234" s="5795">
        <v>0.05</v>
      </c>
      <c r="F1234" s="5774">
        <f>D1234*E1234</f>
        <v>1500000</v>
      </c>
      <c r="G1234" s="5594">
        <v>1500000</v>
      </c>
      <c r="H1234" s="5594" t="s">
        <v>7325</v>
      </c>
      <c r="I1234" s="5643" t="s">
        <v>6139</v>
      </c>
      <c r="J1234" s="5594">
        <f t="shared" si="122"/>
        <v>1500000</v>
      </c>
      <c r="K1234" s="5594">
        <f>F1234-J1234</f>
        <v>0</v>
      </c>
      <c r="L1234" s="5673"/>
      <c r="M1234" s="5682"/>
      <c r="N1234" s="5682"/>
      <c r="O1234" s="5682"/>
      <c r="P1234" s="386"/>
      <c r="Q1234" s="386"/>
    </row>
    <row r="1235" spans="1:17" s="1659" customFormat="1" ht="30" customHeight="1" x14ac:dyDescent="0.2">
      <c r="A1235" s="5716"/>
      <c r="B1235" s="5613" t="s">
        <v>5311</v>
      </c>
      <c r="C1235" s="5634"/>
      <c r="D1235" s="5594">
        <v>10000000</v>
      </c>
      <c r="E1235" s="5606">
        <v>0.05</v>
      </c>
      <c r="F1235" s="5594">
        <f>D1235*E1235</f>
        <v>500000</v>
      </c>
      <c r="G1235" s="5594"/>
      <c r="H1235" s="5594"/>
      <c r="I1235" s="5643"/>
      <c r="J1235" s="5594"/>
      <c r="K1235" s="5594"/>
      <c r="L1235" s="5673"/>
      <c r="M1235" s="5682"/>
      <c r="N1235" s="5682"/>
      <c r="O1235" s="5682"/>
      <c r="P1235" s="386"/>
      <c r="Q1235" s="386"/>
    </row>
    <row r="1236" spans="1:17" s="1659" customFormat="1" ht="30" customHeight="1" x14ac:dyDescent="0.2">
      <c r="A1236" s="5716"/>
      <c r="B1236" s="5613" t="s">
        <v>5319</v>
      </c>
      <c r="C1236" s="5634" t="s">
        <v>889</v>
      </c>
      <c r="D1236" s="5594">
        <v>110000000</v>
      </c>
      <c r="E1236" s="5606">
        <v>0.05</v>
      </c>
      <c r="F1236" s="5594">
        <f>D1236*E1236</f>
        <v>5500000</v>
      </c>
      <c r="G1236" s="5594">
        <v>5500000</v>
      </c>
      <c r="H1236" s="5594" t="s">
        <v>7298</v>
      </c>
      <c r="I1236" s="5643" t="s">
        <v>6194</v>
      </c>
      <c r="J1236" s="5594">
        <f>G1236</f>
        <v>5500000</v>
      </c>
      <c r="K1236" s="5594">
        <f>F1236-J1236</f>
        <v>0</v>
      </c>
      <c r="L1236" s="5673"/>
      <c r="M1236" s="5682"/>
      <c r="N1236" s="5682"/>
      <c r="O1236" s="5682"/>
      <c r="P1236" s="386"/>
      <c r="Q1236" s="386"/>
    </row>
    <row r="1237" spans="1:17" s="1659" customFormat="1" ht="30" customHeight="1" x14ac:dyDescent="0.2">
      <c r="A1237" s="5716"/>
      <c r="B1237" s="5813" t="s">
        <v>5325</v>
      </c>
      <c r="C1237" s="5803"/>
      <c r="D1237" s="5784"/>
      <c r="E1237" s="5787"/>
      <c r="F1237" s="5784"/>
      <c r="G1237" s="5784"/>
      <c r="H1237" s="5784"/>
      <c r="I1237" s="5816" t="s">
        <v>5326</v>
      </c>
      <c r="J1237" s="5784">
        <f>G1237</f>
        <v>0</v>
      </c>
      <c r="K1237" s="5784"/>
      <c r="L1237" s="3476" t="s">
        <v>5327</v>
      </c>
      <c r="M1237" s="5682"/>
      <c r="N1237" s="5682"/>
      <c r="O1237" s="5682"/>
      <c r="P1237" s="386"/>
      <c r="Q1237" s="386"/>
    </row>
    <row r="1238" spans="1:17" s="1659" customFormat="1" ht="30" customHeight="1" x14ac:dyDescent="0.2">
      <c r="A1238" s="5716"/>
      <c r="B1238" s="5613" t="s">
        <v>5332</v>
      </c>
      <c r="C1238" s="5634"/>
      <c r="D1238" s="5594">
        <v>30000000</v>
      </c>
      <c r="E1238" s="5606">
        <v>7.0000000000000007E-2</v>
      </c>
      <c r="F1238" s="5594">
        <f>D1238*E1238</f>
        <v>2100000</v>
      </c>
      <c r="G1238" s="5594">
        <v>4200000</v>
      </c>
      <c r="H1238" s="5594" t="s">
        <v>7709</v>
      </c>
      <c r="I1238" s="5643" t="s">
        <v>5918</v>
      </c>
      <c r="J1238" s="5594">
        <f>G1238</f>
        <v>4200000</v>
      </c>
      <c r="K1238" s="5594">
        <f>F1238-J1238</f>
        <v>-2100000</v>
      </c>
      <c r="L1238" s="5673" t="s">
        <v>7710</v>
      </c>
      <c r="M1238" s="5682"/>
      <c r="N1238" s="5682"/>
      <c r="O1238" s="5682"/>
      <c r="P1238" s="386"/>
      <c r="Q1238" s="386"/>
    </row>
    <row r="1239" spans="1:17" s="1659" customFormat="1" ht="30" customHeight="1" x14ac:dyDescent="0.2">
      <c r="A1239" s="5798"/>
      <c r="B1239" s="5798" t="s">
        <v>5362</v>
      </c>
      <c r="C1239" s="345"/>
      <c r="D1239" s="5774">
        <v>13000000</v>
      </c>
      <c r="E1239" s="5795">
        <v>0.06</v>
      </c>
      <c r="F1239" s="5774">
        <f>D1239*E1239</f>
        <v>780000</v>
      </c>
      <c r="G1239" s="5774">
        <v>720000</v>
      </c>
      <c r="H1239" s="5774" t="s">
        <v>2830</v>
      </c>
      <c r="I1239" s="5774" t="s">
        <v>7650</v>
      </c>
      <c r="J1239" s="5774">
        <f>G1239</f>
        <v>720000</v>
      </c>
      <c r="K1239" s="5774">
        <f>F1239-J1239</f>
        <v>60000</v>
      </c>
      <c r="L1239" s="5673" t="s">
        <v>7651</v>
      </c>
      <c r="M1239" s="5682"/>
      <c r="N1239" s="5682"/>
      <c r="O1239" s="5682"/>
      <c r="P1239" s="386"/>
      <c r="Q1239" s="386"/>
    </row>
    <row r="1240" spans="1:17" s="1659" customFormat="1" ht="30" customHeight="1" x14ac:dyDescent="0.2">
      <c r="A1240" s="7703"/>
      <c r="B1240" s="7710" t="s">
        <v>5365</v>
      </c>
      <c r="C1240" s="7813"/>
      <c r="D1240" s="7677"/>
      <c r="E1240" s="7691"/>
      <c r="F1240" s="7677"/>
      <c r="G1240" s="5784"/>
      <c r="H1240" s="5784"/>
      <c r="I1240" s="5816" t="s">
        <v>678</v>
      </c>
      <c r="J1240" s="7690">
        <f>G1240+G1241</f>
        <v>0</v>
      </c>
      <c r="K1240" s="7690"/>
      <c r="L1240" s="8570"/>
      <c r="M1240" s="5682"/>
      <c r="N1240" s="5682"/>
      <c r="O1240" s="5682"/>
      <c r="P1240" s="386"/>
      <c r="Q1240" s="386"/>
    </row>
    <row r="1241" spans="1:17" s="1659" customFormat="1" ht="30" customHeight="1" x14ac:dyDescent="0.2">
      <c r="A1241" s="7705"/>
      <c r="B1241" s="7712"/>
      <c r="C1241" s="7815"/>
      <c r="D1241" s="7678"/>
      <c r="E1241" s="7693"/>
      <c r="F1241" s="7678"/>
      <c r="G1241" s="5784"/>
      <c r="H1241" s="5784"/>
      <c r="I1241" s="5816" t="s">
        <v>5418</v>
      </c>
      <c r="J1241" s="7678"/>
      <c r="K1241" s="7678"/>
      <c r="L1241" s="8571"/>
      <c r="M1241" s="5682"/>
      <c r="N1241" s="5682"/>
      <c r="O1241" s="5682"/>
      <c r="P1241" s="386"/>
      <c r="Q1241" s="386"/>
    </row>
    <row r="1242" spans="1:17" s="1659" customFormat="1" ht="30" customHeight="1" x14ac:dyDescent="0.2">
      <c r="A1242" s="5806"/>
      <c r="B1242" s="5785" t="s">
        <v>5370</v>
      </c>
      <c r="C1242" s="5797" t="s">
        <v>4223</v>
      </c>
      <c r="D1242" s="5774">
        <v>300000000</v>
      </c>
      <c r="E1242" s="5795">
        <v>5.5E-2</v>
      </c>
      <c r="F1242" s="5774">
        <f>D1242*E1242</f>
        <v>16500000</v>
      </c>
      <c r="G1242" s="5774">
        <v>16500000</v>
      </c>
      <c r="H1242" s="5774" t="s">
        <v>7668</v>
      </c>
      <c r="I1242" s="5774" t="s">
        <v>7014</v>
      </c>
      <c r="J1242" s="5774">
        <f>G1242</f>
        <v>16500000</v>
      </c>
      <c r="K1242" s="5594">
        <f>F1242-J1242</f>
        <v>0</v>
      </c>
      <c r="L1242" s="5673"/>
      <c r="M1242" s="5682"/>
      <c r="N1242" s="5682"/>
      <c r="O1242" s="5682"/>
      <c r="P1242" s="386"/>
      <c r="Q1242" s="386"/>
    </row>
    <row r="1243" spans="1:17" s="1659" customFormat="1" ht="30" customHeight="1" x14ac:dyDescent="0.2">
      <c r="A1243" s="5716"/>
      <c r="B1243" s="5613" t="s">
        <v>5401</v>
      </c>
      <c r="C1243" s="5634"/>
      <c r="D1243" s="5611"/>
      <c r="E1243" s="5618"/>
      <c r="F1243" s="5611"/>
      <c r="G1243" s="5594"/>
      <c r="H1243" s="5594"/>
      <c r="I1243" s="5643" t="s">
        <v>5402</v>
      </c>
      <c r="J1243" s="5594">
        <f>G1243</f>
        <v>0</v>
      </c>
      <c r="K1243" s="5611"/>
      <c r="L1243" s="5673"/>
      <c r="M1243" s="5682"/>
      <c r="N1243" s="5682"/>
      <c r="O1243" s="5682"/>
      <c r="P1243" s="386"/>
      <c r="Q1243" s="386"/>
    </row>
    <row r="1244" spans="1:17" s="1659" customFormat="1" ht="30" customHeight="1" x14ac:dyDescent="0.2">
      <c r="A1244" s="5716"/>
      <c r="B1244" s="5613" t="s">
        <v>5421</v>
      </c>
      <c r="C1244" s="5634"/>
      <c r="D1244" s="5611"/>
      <c r="E1244" s="5618"/>
      <c r="F1244" s="5611"/>
      <c r="G1244" s="5586"/>
      <c r="H1244" s="5586"/>
      <c r="I1244" s="5586" t="s">
        <v>5422</v>
      </c>
      <c r="J1244" s="5586">
        <f>G1244</f>
        <v>0</v>
      </c>
      <c r="K1244" s="5611"/>
      <c r="L1244" s="5673"/>
      <c r="M1244" s="5682"/>
      <c r="N1244" s="5682"/>
      <c r="O1244" s="5682"/>
      <c r="P1244" s="386"/>
      <c r="Q1244" s="386"/>
    </row>
    <row r="1245" spans="1:17" s="1659" customFormat="1" ht="30" customHeight="1" x14ac:dyDescent="0.2">
      <c r="A1245" s="5716"/>
      <c r="B1245" s="5717" t="s">
        <v>5407</v>
      </c>
      <c r="C1245" s="5671"/>
      <c r="D1245" s="5611">
        <v>70000000</v>
      </c>
      <c r="E1245" s="5618"/>
      <c r="F1245" s="5611"/>
      <c r="G1245" s="7552" t="s">
        <v>5410</v>
      </c>
      <c r="H1245" s="7843"/>
      <c r="I1245" s="7843"/>
      <c r="J1245" s="7844"/>
      <c r="K1245" s="5611"/>
      <c r="L1245" s="3476" t="s">
        <v>5675</v>
      </c>
      <c r="M1245" s="5682"/>
      <c r="N1245" s="5682"/>
      <c r="O1245" s="5682"/>
      <c r="P1245" s="386"/>
      <c r="Q1245" s="386"/>
    </row>
    <row r="1246" spans="1:17" s="1659" customFormat="1" ht="30" customHeight="1" x14ac:dyDescent="0.2">
      <c r="A1246" s="5716"/>
      <c r="B1246" s="5613" t="s">
        <v>5411</v>
      </c>
      <c r="C1246" s="5634" t="s">
        <v>392</v>
      </c>
      <c r="D1246" s="5594">
        <v>8000000</v>
      </c>
      <c r="E1246" s="5606">
        <v>0.05</v>
      </c>
      <c r="F1246" s="5594">
        <f>D1246*E1246</f>
        <v>400000</v>
      </c>
      <c r="G1246" s="5586">
        <v>400000</v>
      </c>
      <c r="H1246" s="5586" t="s">
        <v>7521</v>
      </c>
      <c r="I1246" s="5586" t="s">
        <v>6245</v>
      </c>
      <c r="J1246" s="5586">
        <f>G1246</f>
        <v>400000</v>
      </c>
      <c r="K1246" s="5594">
        <f>F1246-J1246</f>
        <v>0</v>
      </c>
      <c r="L1246" s="5673"/>
      <c r="M1246" s="5682"/>
      <c r="N1246" s="5682"/>
      <c r="O1246" s="5682"/>
      <c r="P1246" s="386"/>
      <c r="Q1246" s="386"/>
    </row>
    <row r="1247" spans="1:17" s="1659" customFormat="1" ht="30" customHeight="1" x14ac:dyDescent="0.2">
      <c r="A1247" s="5806"/>
      <c r="B1247" s="5785" t="s">
        <v>5676</v>
      </c>
      <c r="C1247" s="5797" t="s">
        <v>2644</v>
      </c>
      <c r="D1247" s="5776">
        <v>260000000</v>
      </c>
      <c r="E1247" s="5780">
        <v>0.05</v>
      </c>
      <c r="F1247" s="5776">
        <f>D1247*E1247</f>
        <v>13000000</v>
      </c>
      <c r="G1247" s="8000"/>
      <c r="H1247" s="8000"/>
      <c r="I1247" s="8000"/>
      <c r="J1247" s="8000"/>
      <c r="K1247" s="1604"/>
      <c r="L1247" s="5673"/>
      <c r="M1247" s="5682"/>
      <c r="N1247" s="5682"/>
      <c r="O1247" s="5682"/>
      <c r="P1247" s="386"/>
      <c r="Q1247" s="386"/>
    </row>
    <row r="1248" spans="1:17" s="1659" customFormat="1" ht="30" customHeight="1" x14ac:dyDescent="0.2">
      <c r="A1248" s="7703"/>
      <c r="B1248" s="7652" t="s">
        <v>5440</v>
      </c>
      <c r="C1248" s="7723" t="s">
        <v>1718</v>
      </c>
      <c r="D1248" s="7846">
        <v>250000000</v>
      </c>
      <c r="E1248" s="7659">
        <v>0.06</v>
      </c>
      <c r="F1248" s="7563">
        <f>D1248*E1248</f>
        <v>15000000</v>
      </c>
      <c r="G1248" s="6301">
        <v>15000000</v>
      </c>
      <c r="H1248" s="6301" t="s">
        <v>7757</v>
      </c>
      <c r="I1248" s="6301" t="s">
        <v>7340</v>
      </c>
      <c r="J1248" s="6301">
        <f>G1248</f>
        <v>15000000</v>
      </c>
      <c r="K1248" s="6301">
        <f>F1248-J1248</f>
        <v>0</v>
      </c>
      <c r="L1248" s="4242" t="s">
        <v>6882</v>
      </c>
      <c r="M1248" s="5682"/>
      <c r="N1248" s="5682"/>
      <c r="O1248" s="5682"/>
      <c r="P1248" s="386"/>
      <c r="Q1248" s="386"/>
    </row>
    <row r="1249" spans="1:17" s="1659" customFormat="1" ht="30" customHeight="1" x14ac:dyDescent="0.2">
      <c r="A1249" s="7704"/>
      <c r="B1249" s="7665"/>
      <c r="C1249" s="7747"/>
      <c r="D1249" s="7848"/>
      <c r="E1249" s="7660"/>
      <c r="F1249" s="7564"/>
      <c r="G1249" s="6301"/>
      <c r="H1249" s="6301"/>
      <c r="I1249" s="6301"/>
      <c r="J1249" s="6301"/>
      <c r="K1249" s="6305"/>
      <c r="L1249" s="5673" t="s">
        <v>6883</v>
      </c>
      <c r="M1249" s="5682"/>
      <c r="N1249" s="5682"/>
      <c r="O1249" s="5682"/>
      <c r="P1249" s="386"/>
      <c r="Q1249" s="386"/>
    </row>
    <row r="1250" spans="1:17" s="1659" customFormat="1" ht="30" customHeight="1" x14ac:dyDescent="0.2">
      <c r="A1250" s="7704"/>
      <c r="B1250" s="7665"/>
      <c r="C1250" s="7747"/>
      <c r="D1250" s="7778" t="s">
        <v>6884</v>
      </c>
      <c r="E1250" s="7778"/>
      <c r="F1250" s="7778"/>
      <c r="G1250" s="5586">
        <v>50000000</v>
      </c>
      <c r="H1250" s="5586" t="s">
        <v>7325</v>
      </c>
      <c r="I1250" s="5586" t="s">
        <v>7340</v>
      </c>
      <c r="J1250" s="7563">
        <f>G1250+G1251+G1252</f>
        <v>100000000</v>
      </c>
      <c r="K1250" s="7563">
        <f>100000000-J1250</f>
        <v>0</v>
      </c>
      <c r="L1250" s="7563"/>
      <c r="M1250" s="5682"/>
      <c r="N1250" s="5682"/>
      <c r="O1250" s="5682"/>
      <c r="P1250" s="386"/>
      <c r="Q1250" s="386"/>
    </row>
    <row r="1251" spans="1:17" s="1659" customFormat="1" ht="30" customHeight="1" x14ac:dyDescent="0.2">
      <c r="A1251" s="7704"/>
      <c r="B1251" s="7665"/>
      <c r="C1251" s="7747"/>
      <c r="D1251" s="7778"/>
      <c r="E1251" s="7778"/>
      <c r="F1251" s="7778"/>
      <c r="G1251" s="6009">
        <v>25000000</v>
      </c>
      <c r="H1251" s="6009" t="s">
        <v>7521</v>
      </c>
      <c r="I1251" s="6009" t="s">
        <v>7340</v>
      </c>
      <c r="J1251" s="7586"/>
      <c r="K1251" s="7586"/>
      <c r="L1251" s="7586"/>
      <c r="M1251" s="6021"/>
      <c r="N1251" s="6021"/>
      <c r="O1251" s="6021"/>
      <c r="P1251" s="386"/>
      <c r="Q1251" s="386"/>
    </row>
    <row r="1252" spans="1:17" s="1659" customFormat="1" ht="30" customHeight="1" x14ac:dyDescent="0.2">
      <c r="A1252" s="7705"/>
      <c r="B1252" s="7653"/>
      <c r="C1252" s="7724"/>
      <c r="D1252" s="5267">
        <v>150000000</v>
      </c>
      <c r="E1252" s="5733">
        <v>0.06</v>
      </c>
      <c r="F1252" s="5732">
        <f>D1252*E1252</f>
        <v>9000000</v>
      </c>
      <c r="G1252" s="5586">
        <v>25000000</v>
      </c>
      <c r="H1252" s="5586" t="s">
        <v>1975</v>
      </c>
      <c r="I1252" s="6076" t="s">
        <v>7340</v>
      </c>
      <c r="J1252" s="7564"/>
      <c r="K1252" s="7564"/>
      <c r="L1252" s="7564"/>
      <c r="M1252" s="5682"/>
      <c r="N1252" s="5682"/>
      <c r="O1252" s="5682"/>
      <c r="P1252" s="386"/>
      <c r="Q1252" s="386"/>
    </row>
    <row r="1253" spans="1:17" s="1659" customFormat="1" ht="30" customHeight="1" x14ac:dyDescent="0.2">
      <c r="A1253" s="5806"/>
      <c r="B1253" s="5785" t="s">
        <v>5452</v>
      </c>
      <c r="C1253" s="5797"/>
      <c r="D1253" s="5774">
        <v>200000000</v>
      </c>
      <c r="E1253" s="5795">
        <v>0.06</v>
      </c>
      <c r="F1253" s="5774">
        <f>D1253*E1253</f>
        <v>12000000</v>
      </c>
      <c r="G1253" s="5774">
        <v>12000000</v>
      </c>
      <c r="H1253" s="5774" t="s">
        <v>7460</v>
      </c>
      <c r="I1253" s="5774" t="s">
        <v>7463</v>
      </c>
      <c r="J1253" s="5774">
        <f>G1253</f>
        <v>12000000</v>
      </c>
      <c r="K1253" s="5774">
        <f>F1253-J1253</f>
        <v>0</v>
      </c>
      <c r="L1253" s="5774"/>
      <c r="M1253" s="5682"/>
      <c r="N1253" s="5682"/>
      <c r="O1253" s="5682"/>
      <c r="P1253" s="386"/>
      <c r="Q1253" s="386"/>
    </row>
    <row r="1254" spans="1:17" s="1659" customFormat="1" ht="30" customHeight="1" x14ac:dyDescent="0.2">
      <c r="A1254" s="7703"/>
      <c r="B1254" s="7652" t="s">
        <v>5462</v>
      </c>
      <c r="C1254" s="7723" t="s">
        <v>889</v>
      </c>
      <c r="D1254" s="5594">
        <v>20000000</v>
      </c>
      <c r="E1254" s="5606">
        <v>7.0000000000000007E-2</v>
      </c>
      <c r="F1254" s="5594">
        <f>D1254*E1254</f>
        <v>1400000.0000000002</v>
      </c>
      <c r="G1254" s="5594">
        <v>1400000</v>
      </c>
      <c r="H1254" s="5594" t="s">
        <v>7427</v>
      </c>
      <c r="I1254" s="5643" t="s">
        <v>6783</v>
      </c>
      <c r="J1254" s="5594">
        <f>G1254</f>
        <v>1400000</v>
      </c>
      <c r="K1254" s="5594">
        <f>F1254-J1254</f>
        <v>0</v>
      </c>
      <c r="L1254" s="5673"/>
      <c r="M1254" s="5682"/>
      <c r="N1254" s="5682"/>
      <c r="O1254" s="5682"/>
      <c r="P1254" s="386"/>
      <c r="Q1254" s="386"/>
    </row>
    <row r="1255" spans="1:17" s="1659" customFormat="1" ht="30" customHeight="1" x14ac:dyDescent="0.2">
      <c r="A1255" s="7704"/>
      <c r="B1255" s="7665"/>
      <c r="C1255" s="7747"/>
      <c r="D1255" s="5774">
        <v>130000000</v>
      </c>
      <c r="E1255" s="5774"/>
      <c r="F1255" s="5774"/>
      <c r="G1255" s="5594"/>
      <c r="H1255" s="5594"/>
      <c r="I1255" s="5643" t="s">
        <v>6783</v>
      </c>
      <c r="J1255" s="5594">
        <f>G1255</f>
        <v>0</v>
      </c>
      <c r="K1255" s="5594"/>
      <c r="L1255" s="5673" t="s">
        <v>7574</v>
      </c>
      <c r="M1255" s="5682"/>
      <c r="N1255" s="5682"/>
      <c r="O1255" s="5682"/>
      <c r="P1255" s="386"/>
      <c r="Q1255" s="386"/>
    </row>
    <row r="1256" spans="1:17" s="1659" customFormat="1" ht="30" customHeight="1" x14ac:dyDescent="0.2">
      <c r="A1256" s="7705"/>
      <c r="B1256" s="7653"/>
      <c r="C1256" s="7724"/>
      <c r="D1256" s="6123">
        <v>150000000</v>
      </c>
      <c r="E1256" s="6102">
        <v>7.0000000000000007E-2</v>
      </c>
      <c r="F1256" s="6098">
        <f>D1256*E1256</f>
        <v>10500000.000000002</v>
      </c>
      <c r="G1256" s="6078"/>
      <c r="H1256" s="6078"/>
      <c r="I1256" s="6086"/>
      <c r="J1256" s="6078"/>
      <c r="K1256" s="6078"/>
      <c r="L1256" s="6079" t="s">
        <v>7570</v>
      </c>
      <c r="M1256" s="6092"/>
      <c r="N1256" s="6092"/>
      <c r="O1256" s="6092"/>
      <c r="P1256" s="386"/>
      <c r="Q1256" s="386"/>
    </row>
    <row r="1257" spans="1:17" s="1659" customFormat="1" ht="30" customHeight="1" x14ac:dyDescent="0.2">
      <c r="A1257" s="5675"/>
      <c r="B1257" s="5613" t="s">
        <v>5506</v>
      </c>
      <c r="C1257" s="5657" t="s">
        <v>371</v>
      </c>
      <c r="D1257" s="5594">
        <v>125000000</v>
      </c>
      <c r="E1257" s="5606">
        <v>0.06</v>
      </c>
      <c r="F1257" s="5594">
        <f>D1257*E1257</f>
        <v>7500000</v>
      </c>
      <c r="G1257" s="5586">
        <v>7500000</v>
      </c>
      <c r="H1257" s="5586" t="s">
        <v>7614</v>
      </c>
      <c r="I1257" s="5586" t="s">
        <v>6430</v>
      </c>
      <c r="J1257" s="5586">
        <f>G1257</f>
        <v>7500000</v>
      </c>
      <c r="K1257" s="5594">
        <f>F1257-J1257</f>
        <v>0</v>
      </c>
      <c r="L1257" s="5673"/>
      <c r="M1257" s="5682"/>
      <c r="N1257" s="5682"/>
      <c r="O1257" s="5682"/>
      <c r="P1257" s="386"/>
      <c r="Q1257" s="386"/>
    </row>
    <row r="1258" spans="1:17" s="1659" customFormat="1" ht="30" customHeight="1" x14ac:dyDescent="0.2">
      <c r="A1258" s="5675"/>
      <c r="B1258" s="3823"/>
      <c r="C1258" s="5634"/>
      <c r="D1258" s="5594">
        <v>43000000</v>
      </c>
      <c r="E1258" s="5606">
        <v>0.05</v>
      </c>
      <c r="F1258" s="5594">
        <f>D1258*E1258</f>
        <v>2150000</v>
      </c>
      <c r="G1258" s="5594"/>
      <c r="H1258" s="5594"/>
      <c r="I1258" s="5643"/>
      <c r="J1258" s="5594"/>
      <c r="K1258" s="5594"/>
      <c r="L1258" s="5673" t="s">
        <v>5509</v>
      </c>
      <c r="M1258" s="5682"/>
      <c r="N1258" s="5682"/>
      <c r="O1258" s="5682"/>
      <c r="P1258" s="386"/>
      <c r="Q1258" s="386"/>
    </row>
    <row r="1259" spans="1:17" s="1659" customFormat="1" ht="30" customHeight="1" x14ac:dyDescent="0.2">
      <c r="A1259" s="5806"/>
      <c r="B1259" s="5785" t="s">
        <v>1473</v>
      </c>
      <c r="C1259" s="5797" t="s">
        <v>262</v>
      </c>
      <c r="D1259" s="5774">
        <v>150000000</v>
      </c>
      <c r="E1259" s="5795">
        <v>5.7000000000000002E-2</v>
      </c>
      <c r="F1259" s="5774">
        <v>8500000</v>
      </c>
      <c r="G1259" s="5774">
        <v>8500000</v>
      </c>
      <c r="H1259" s="5774" t="s">
        <v>3879</v>
      </c>
      <c r="I1259" s="5774" t="s">
        <v>7591</v>
      </c>
      <c r="J1259" s="5774">
        <f>G1259:G1259</f>
        <v>8500000</v>
      </c>
      <c r="K1259" s="5594">
        <f>F1259-J1259</f>
        <v>0</v>
      </c>
      <c r="L1259" s="5673"/>
      <c r="M1259" s="5682"/>
      <c r="N1259" s="5682"/>
      <c r="O1259" s="5682"/>
      <c r="P1259" s="386"/>
      <c r="Q1259" s="386"/>
    </row>
    <row r="1260" spans="1:17" s="1659" customFormat="1" ht="30" customHeight="1" x14ac:dyDescent="0.2">
      <c r="A1260" s="5675"/>
      <c r="B1260" s="4921" t="s">
        <v>5527</v>
      </c>
      <c r="C1260" s="5634" t="s">
        <v>4223</v>
      </c>
      <c r="D1260" s="5594">
        <v>300000000</v>
      </c>
      <c r="E1260" s="5606">
        <v>0.06</v>
      </c>
      <c r="F1260" s="5594">
        <f>D1260*E1260</f>
        <v>18000000</v>
      </c>
      <c r="G1260" s="5594"/>
      <c r="H1260" s="5594"/>
      <c r="I1260" s="5643"/>
      <c r="J1260" s="5594"/>
      <c r="K1260" s="5594"/>
      <c r="L1260" s="5673" t="s">
        <v>5529</v>
      </c>
      <c r="M1260" s="5682"/>
      <c r="N1260" s="5682"/>
      <c r="O1260" s="5682"/>
      <c r="P1260" s="386"/>
      <c r="Q1260" s="386"/>
    </row>
    <row r="1261" spans="1:17" s="1659" customFormat="1" ht="30" customHeight="1" x14ac:dyDescent="0.2">
      <c r="A1261" s="5675"/>
      <c r="B1261" s="4921" t="s">
        <v>5545</v>
      </c>
      <c r="C1261" s="5634" t="s">
        <v>371</v>
      </c>
      <c r="D1261" s="5594">
        <v>100000000</v>
      </c>
      <c r="E1261" s="5606">
        <v>0.05</v>
      </c>
      <c r="F1261" s="5594">
        <f>D1261*E1261</f>
        <v>5000000</v>
      </c>
      <c r="G1261" s="5594"/>
      <c r="H1261" s="5594"/>
      <c r="I1261" s="5643"/>
      <c r="J1261" s="5594"/>
      <c r="K1261" s="5594"/>
      <c r="L1261" s="5673" t="s">
        <v>5546</v>
      </c>
      <c r="M1261" s="5682"/>
      <c r="N1261" s="5682"/>
      <c r="O1261" s="5682"/>
      <c r="P1261" s="386"/>
      <c r="Q1261" s="386"/>
    </row>
    <row r="1262" spans="1:17" s="1659" customFormat="1" ht="30" customHeight="1" x14ac:dyDescent="0.2">
      <c r="A1262" s="7703"/>
      <c r="B1262" s="7652" t="s">
        <v>5551</v>
      </c>
      <c r="C1262" s="7723" t="s">
        <v>4223</v>
      </c>
      <c r="D1262" s="7846">
        <v>40000000</v>
      </c>
      <c r="E1262" s="7659">
        <v>0.04</v>
      </c>
      <c r="F1262" s="7563">
        <f>D1262*E1262</f>
        <v>1600000</v>
      </c>
      <c r="G1262" s="7732" t="s">
        <v>5552</v>
      </c>
      <c r="H1262" s="7733"/>
      <c r="I1262" s="7733"/>
      <c r="J1262" s="7734"/>
      <c r="K1262" s="5594"/>
      <c r="L1262" s="5673" t="s">
        <v>5553</v>
      </c>
      <c r="M1262" s="5682"/>
      <c r="N1262" s="5682"/>
      <c r="O1262" s="5682"/>
      <c r="P1262" s="386"/>
      <c r="Q1262" s="386"/>
    </row>
    <row r="1263" spans="1:17" s="1659" customFormat="1" ht="30" customHeight="1" x14ac:dyDescent="0.2">
      <c r="A1263" s="7705"/>
      <c r="B1263" s="7653"/>
      <c r="C1263" s="7724"/>
      <c r="D1263" s="7848"/>
      <c r="E1263" s="7660"/>
      <c r="F1263" s="7564"/>
      <c r="G1263" s="5586">
        <v>1600000</v>
      </c>
      <c r="H1263" s="5586" t="s">
        <v>1975</v>
      </c>
      <c r="I1263" s="5586" t="s">
        <v>6390</v>
      </c>
      <c r="J1263" s="5586">
        <f>G1263</f>
        <v>1600000</v>
      </c>
      <c r="K1263" s="5594">
        <f>F1262-J1263</f>
        <v>0</v>
      </c>
      <c r="L1263" s="5673"/>
      <c r="M1263" s="5682"/>
      <c r="N1263" s="5682"/>
      <c r="O1263" s="5682"/>
      <c r="P1263" s="386"/>
      <c r="Q1263" s="386"/>
    </row>
    <row r="1264" spans="1:17" s="1659" customFormat="1" ht="30" customHeight="1" x14ac:dyDescent="0.2">
      <c r="A1264" s="7703"/>
      <c r="B1264" s="7652" t="s">
        <v>5562</v>
      </c>
      <c r="C1264" s="7723" t="s">
        <v>1652</v>
      </c>
      <c r="D1264" s="7563">
        <v>100000000</v>
      </c>
      <c r="E1264" s="7659">
        <v>0.05</v>
      </c>
      <c r="F1264" s="7563">
        <f>D1264*E1264</f>
        <v>5000000</v>
      </c>
      <c r="G1264" s="7563">
        <v>5000000</v>
      </c>
      <c r="H1264" s="7563" t="s">
        <v>7531</v>
      </c>
      <c r="I1264" s="7563" t="s">
        <v>5563</v>
      </c>
      <c r="J1264" s="7563">
        <f>G1264</f>
        <v>5000000</v>
      </c>
      <c r="K1264" s="7563">
        <f>F1264-J1264</f>
        <v>0</v>
      </c>
      <c r="L1264" s="5673" t="s">
        <v>5657</v>
      </c>
      <c r="M1264" s="5682"/>
      <c r="N1264" s="5682"/>
      <c r="O1264" s="5682"/>
      <c r="P1264" s="386"/>
      <c r="Q1264" s="386"/>
    </row>
    <row r="1265" spans="1:17" s="1659" customFormat="1" ht="30" customHeight="1" x14ac:dyDescent="0.2">
      <c r="A1265" s="7705"/>
      <c r="B1265" s="7653"/>
      <c r="C1265" s="7724"/>
      <c r="D1265" s="7564"/>
      <c r="E1265" s="7660"/>
      <c r="F1265" s="7564"/>
      <c r="G1265" s="7564"/>
      <c r="H1265" s="7564"/>
      <c r="I1265" s="7564"/>
      <c r="J1265" s="7564"/>
      <c r="K1265" s="7564"/>
      <c r="L1265" s="5673" t="s">
        <v>5807</v>
      </c>
      <c r="M1265" s="5682"/>
      <c r="N1265" s="5682"/>
      <c r="O1265" s="5682"/>
      <c r="P1265" s="386"/>
      <c r="Q1265" s="386"/>
    </row>
    <row r="1266" spans="1:17" s="1659" customFormat="1" ht="30" customHeight="1" x14ac:dyDescent="0.2">
      <c r="A1266" s="5609"/>
      <c r="B1266" s="4921" t="s">
        <v>5573</v>
      </c>
      <c r="C1266" s="5634" t="s">
        <v>371</v>
      </c>
      <c r="D1266" s="5594">
        <v>150000000</v>
      </c>
      <c r="E1266" s="5606">
        <v>0.06</v>
      </c>
      <c r="F1266" s="5594">
        <f t="shared" ref="F1266:F1289" si="123">D1266*E1266</f>
        <v>9000000</v>
      </c>
      <c r="G1266" s="5586">
        <v>9000000</v>
      </c>
      <c r="H1266" s="5586" t="s">
        <v>2830</v>
      </c>
      <c r="I1266" s="5586" t="s">
        <v>4141</v>
      </c>
      <c r="J1266" s="5586">
        <f>G1266</f>
        <v>9000000</v>
      </c>
      <c r="K1266" s="5594">
        <f>F1266-J1266</f>
        <v>0</v>
      </c>
      <c r="L1266" s="5673"/>
      <c r="M1266" s="5682"/>
      <c r="N1266" s="5682"/>
      <c r="O1266" s="5682"/>
      <c r="P1266" s="386"/>
      <c r="Q1266" s="386"/>
    </row>
    <row r="1267" spans="1:17" s="1659" customFormat="1" ht="30" customHeight="1" x14ac:dyDescent="0.2">
      <c r="A1267" s="5609"/>
      <c r="B1267" s="4921" t="s">
        <v>5574</v>
      </c>
      <c r="C1267" s="5634" t="s">
        <v>371</v>
      </c>
      <c r="D1267" s="5594">
        <v>80000000</v>
      </c>
      <c r="E1267" s="5606">
        <v>0.06</v>
      </c>
      <c r="F1267" s="5594">
        <f t="shared" si="123"/>
        <v>4800000</v>
      </c>
      <c r="G1267" s="5586">
        <v>4800000</v>
      </c>
      <c r="H1267" s="5586" t="s">
        <v>7614</v>
      </c>
      <c r="I1267" s="5586" t="s">
        <v>6398</v>
      </c>
      <c r="J1267" s="5586">
        <f>G1267</f>
        <v>4800000</v>
      </c>
      <c r="K1267" s="5594">
        <f>F1267-J1267</f>
        <v>0</v>
      </c>
      <c r="L1267" s="5673"/>
      <c r="M1267" s="5682"/>
      <c r="N1267" s="5682"/>
      <c r="O1267" s="5682"/>
      <c r="P1267" s="386"/>
      <c r="Q1267" s="386"/>
    </row>
    <row r="1268" spans="1:17" s="1659" customFormat="1" ht="30" customHeight="1" x14ac:dyDescent="0.2">
      <c r="A1268" s="7703"/>
      <c r="B1268" s="7652" t="s">
        <v>64</v>
      </c>
      <c r="C1268" s="7723" t="s">
        <v>3390</v>
      </c>
      <c r="D1268" s="7563">
        <v>20000000</v>
      </c>
      <c r="E1268" s="7659">
        <v>0.05</v>
      </c>
      <c r="F1268" s="7563">
        <f t="shared" si="123"/>
        <v>1000000</v>
      </c>
      <c r="G1268" s="5774">
        <v>1000000</v>
      </c>
      <c r="H1268" s="5774" t="s">
        <v>7281</v>
      </c>
      <c r="I1268" s="5774" t="s">
        <v>6627</v>
      </c>
      <c r="J1268" s="5774">
        <f>G1268</f>
        <v>1000000</v>
      </c>
      <c r="K1268" s="5777">
        <f>F1268-J1268</f>
        <v>0</v>
      </c>
      <c r="L1268" s="5673" t="s">
        <v>6807</v>
      </c>
      <c r="M1268" s="5682"/>
      <c r="N1268" s="5682"/>
      <c r="O1268" s="5682"/>
      <c r="P1268" s="386"/>
      <c r="Q1268" s="386"/>
    </row>
    <row r="1269" spans="1:17" s="1659" customFormat="1" ht="30" customHeight="1" x14ac:dyDescent="0.2">
      <c r="A1269" s="7705"/>
      <c r="B1269" s="7653"/>
      <c r="C1269" s="7724"/>
      <c r="D1269" s="7564"/>
      <c r="E1269" s="7660"/>
      <c r="F1269" s="7564"/>
      <c r="G1269" s="6273">
        <v>1000000</v>
      </c>
      <c r="H1269" s="6273" t="s">
        <v>7727</v>
      </c>
      <c r="I1269" s="6273" t="s">
        <v>7730</v>
      </c>
      <c r="J1269" s="6273">
        <f>G1269</f>
        <v>1000000</v>
      </c>
      <c r="K1269" s="6274">
        <f>F1268-J1269</f>
        <v>0</v>
      </c>
      <c r="L1269" s="6277" t="s">
        <v>7501</v>
      </c>
      <c r="M1269" s="6294"/>
      <c r="N1269" s="6294"/>
      <c r="O1269" s="6294"/>
      <c r="P1269" s="386"/>
      <c r="Q1269" s="386"/>
    </row>
    <row r="1270" spans="1:17" s="1659" customFormat="1" ht="30" customHeight="1" x14ac:dyDescent="0.2">
      <c r="A1270" s="5798"/>
      <c r="B1270" s="5798" t="s">
        <v>5638</v>
      </c>
      <c r="C1270" s="5797" t="s">
        <v>3390</v>
      </c>
      <c r="D1270" s="5774">
        <v>8000000</v>
      </c>
      <c r="E1270" s="5795">
        <v>0.05</v>
      </c>
      <c r="F1270" s="5774">
        <f t="shared" si="123"/>
        <v>400000</v>
      </c>
      <c r="G1270" s="7563">
        <v>1000000</v>
      </c>
      <c r="H1270" s="7563" t="s">
        <v>7727</v>
      </c>
      <c r="I1270" s="7563" t="s">
        <v>7729</v>
      </c>
      <c r="J1270" s="7563">
        <f>G1270</f>
        <v>1000000</v>
      </c>
      <c r="K1270" s="7563">
        <f>(F1270+F1271)-J1270</f>
        <v>0</v>
      </c>
      <c r="L1270" s="5774"/>
      <c r="M1270" s="5682"/>
      <c r="N1270" s="5682"/>
      <c r="O1270" s="5682"/>
      <c r="P1270" s="386"/>
      <c r="Q1270" s="386"/>
    </row>
    <row r="1271" spans="1:17" s="1659" customFormat="1" ht="30" customHeight="1" x14ac:dyDescent="0.2">
      <c r="A1271" s="19"/>
      <c r="B1271" s="19" t="s">
        <v>5639</v>
      </c>
      <c r="C1271" s="5797" t="s">
        <v>3390</v>
      </c>
      <c r="D1271" s="5791">
        <v>12000000</v>
      </c>
      <c r="E1271" s="5795">
        <v>0.05</v>
      </c>
      <c r="F1271" s="5774">
        <f t="shared" si="123"/>
        <v>600000</v>
      </c>
      <c r="G1271" s="7564"/>
      <c r="H1271" s="7564"/>
      <c r="I1271" s="7564"/>
      <c r="J1271" s="7564"/>
      <c r="K1271" s="7564"/>
      <c r="L1271" s="5774"/>
      <c r="M1271" s="5682"/>
      <c r="N1271" s="5682"/>
      <c r="O1271" s="5682"/>
      <c r="P1271" s="386"/>
      <c r="Q1271" s="386"/>
    </row>
    <row r="1272" spans="1:17" s="1659" customFormat="1" ht="30" customHeight="1" x14ac:dyDescent="0.2">
      <c r="A1272" s="7703"/>
      <c r="B1272" s="7652" t="s">
        <v>7379</v>
      </c>
      <c r="C1272" s="7723" t="s">
        <v>372</v>
      </c>
      <c r="D1272" s="7846">
        <v>200000000</v>
      </c>
      <c r="E1272" s="7659">
        <v>0.06</v>
      </c>
      <c r="F1272" s="7563">
        <f>D1272*E1272</f>
        <v>12000000</v>
      </c>
      <c r="G1272" s="7732" t="s">
        <v>7380</v>
      </c>
      <c r="H1272" s="7733"/>
      <c r="I1272" s="7733"/>
      <c r="J1272" s="7734"/>
      <c r="K1272" s="5851"/>
      <c r="L1272" s="7674" t="s">
        <v>7381</v>
      </c>
      <c r="M1272" s="5870"/>
      <c r="N1272" s="5870"/>
      <c r="O1272" s="5870"/>
      <c r="P1272" s="386"/>
      <c r="Q1272" s="386"/>
    </row>
    <row r="1273" spans="1:17" s="1659" customFormat="1" ht="30" customHeight="1" x14ac:dyDescent="0.2">
      <c r="A1273" s="7705"/>
      <c r="B1273" s="7653"/>
      <c r="C1273" s="7724"/>
      <c r="D1273" s="7848"/>
      <c r="E1273" s="7660"/>
      <c r="F1273" s="7564"/>
      <c r="G1273" s="7732" t="s">
        <v>7382</v>
      </c>
      <c r="H1273" s="7733"/>
      <c r="I1273" s="7733"/>
      <c r="J1273" s="7734"/>
      <c r="K1273" s="5851"/>
      <c r="L1273" s="7675"/>
      <c r="M1273" s="5870"/>
      <c r="N1273" s="5870"/>
      <c r="O1273" s="5870"/>
      <c r="P1273" s="386"/>
      <c r="Q1273" s="386"/>
    </row>
    <row r="1274" spans="1:17" s="1659" customFormat="1" ht="30" customHeight="1" x14ac:dyDescent="0.2">
      <c r="A1274" s="7703"/>
      <c r="B1274" s="7652" t="s">
        <v>5660</v>
      </c>
      <c r="C1274" s="7723" t="s">
        <v>889</v>
      </c>
      <c r="D1274" s="5594">
        <v>50000000</v>
      </c>
      <c r="E1274" s="5606">
        <v>0.05</v>
      </c>
      <c r="F1274" s="5594">
        <f t="shared" si="123"/>
        <v>2500000</v>
      </c>
      <c r="G1274" s="5594"/>
      <c r="H1274" s="5594"/>
      <c r="I1274" s="5643" t="s">
        <v>815</v>
      </c>
      <c r="J1274" s="5594">
        <f>G1274</f>
        <v>0</v>
      </c>
      <c r="K1274" s="5594">
        <f>F1274-J1274</f>
        <v>2500000</v>
      </c>
      <c r="L1274" s="5673" t="s">
        <v>5661</v>
      </c>
      <c r="M1274" s="5682"/>
      <c r="N1274" s="5682"/>
      <c r="O1274" s="5682"/>
      <c r="P1274" s="386"/>
      <c r="Q1274" s="386"/>
    </row>
    <row r="1275" spans="1:17" s="1659" customFormat="1" ht="30" customHeight="1" x14ac:dyDescent="0.2">
      <c r="A1275" s="7704"/>
      <c r="B1275" s="7665"/>
      <c r="C1275" s="7747"/>
      <c r="D1275" s="5594">
        <v>2000000</v>
      </c>
      <c r="E1275" s="5606"/>
      <c r="F1275" s="5594"/>
      <c r="G1275" s="7732" t="s">
        <v>7053</v>
      </c>
      <c r="H1275" s="7733"/>
      <c r="I1275" s="7733"/>
      <c r="J1275" s="7733"/>
      <c r="K1275" s="7734"/>
      <c r="L1275" s="5673"/>
      <c r="M1275" s="5682"/>
      <c r="N1275" s="5682"/>
      <c r="O1275" s="5682"/>
      <c r="P1275" s="386"/>
      <c r="Q1275" s="386"/>
    </row>
    <row r="1276" spans="1:17" s="1659" customFormat="1" ht="30" customHeight="1" x14ac:dyDescent="0.2">
      <c r="A1276" s="7704"/>
      <c r="B1276" s="7665"/>
      <c r="C1276" s="7747"/>
      <c r="D1276" s="5594">
        <v>10000000</v>
      </c>
      <c r="E1276" s="5606"/>
      <c r="F1276" s="5594"/>
      <c r="G1276" s="7732" t="s">
        <v>7054</v>
      </c>
      <c r="H1276" s="7733"/>
      <c r="I1276" s="7733"/>
      <c r="J1276" s="7733"/>
      <c r="K1276" s="7734"/>
      <c r="L1276" s="5673"/>
      <c r="M1276" s="5682"/>
      <c r="N1276" s="5682"/>
      <c r="O1276" s="5682"/>
      <c r="P1276" s="386"/>
      <c r="Q1276" s="386"/>
    </row>
    <row r="1277" spans="1:17" s="1659" customFormat="1" ht="30" customHeight="1" x14ac:dyDescent="0.2">
      <c r="A1277" s="7705"/>
      <c r="B1277" s="7653"/>
      <c r="C1277" s="7724"/>
      <c r="D1277" s="5910">
        <v>62000000</v>
      </c>
      <c r="E1277" s="5911">
        <v>0.05</v>
      </c>
      <c r="F1277" s="5910">
        <f>D1277*E1277</f>
        <v>3100000</v>
      </c>
      <c r="G1277" s="5941">
        <v>2800000</v>
      </c>
      <c r="H1277" s="5941" t="s">
        <v>7424</v>
      </c>
      <c r="I1277" s="5941" t="s">
        <v>815</v>
      </c>
      <c r="J1277" s="5941">
        <f>G1277</f>
        <v>2800000</v>
      </c>
      <c r="K1277" s="5941"/>
      <c r="L1277" s="5673"/>
      <c r="M1277" s="5682"/>
      <c r="N1277" s="5682"/>
      <c r="O1277" s="5682"/>
      <c r="P1277" s="386"/>
      <c r="Q1277" s="386"/>
    </row>
    <row r="1278" spans="1:17" s="1659" customFormat="1" ht="30" customHeight="1" x14ac:dyDescent="0.2">
      <c r="A1278" s="7703"/>
      <c r="B1278" s="7652" t="s">
        <v>7397</v>
      </c>
      <c r="C1278" s="7723"/>
      <c r="D1278" s="7563">
        <v>10000000</v>
      </c>
      <c r="E1278" s="7659">
        <v>0.05</v>
      </c>
      <c r="F1278" s="7563">
        <f>D1278*E1278</f>
        <v>500000</v>
      </c>
      <c r="G1278" s="7732" t="s">
        <v>7398</v>
      </c>
      <c r="H1278" s="7733"/>
      <c r="I1278" s="7733"/>
      <c r="J1278" s="7733"/>
      <c r="K1278" s="7734"/>
      <c r="L1278" s="5901"/>
      <c r="M1278" s="5906"/>
      <c r="N1278" s="5906"/>
      <c r="O1278" s="5906"/>
      <c r="P1278" s="386"/>
      <c r="Q1278" s="386"/>
    </row>
    <row r="1279" spans="1:17" s="1659" customFormat="1" ht="30" customHeight="1" x14ac:dyDescent="0.2">
      <c r="A1279" s="7705"/>
      <c r="B1279" s="7653"/>
      <c r="C1279" s="7724"/>
      <c r="D1279" s="7564"/>
      <c r="E1279" s="7660"/>
      <c r="F1279" s="7564"/>
      <c r="G1279" s="6301">
        <v>500000</v>
      </c>
      <c r="H1279" s="6301" t="s">
        <v>7786</v>
      </c>
      <c r="I1279" s="6301" t="s">
        <v>7790</v>
      </c>
      <c r="J1279" s="6301">
        <f>G1279</f>
        <v>500000</v>
      </c>
      <c r="K1279" s="6301">
        <f>F1278-J1279</f>
        <v>0</v>
      </c>
      <c r="L1279" s="6306"/>
      <c r="M1279" s="6341"/>
      <c r="N1279" s="6341"/>
      <c r="O1279" s="6341"/>
      <c r="P1279" s="386"/>
      <c r="Q1279" s="386"/>
    </row>
    <row r="1280" spans="1:17" s="1659" customFormat="1" ht="30" customHeight="1" x14ac:dyDescent="0.2">
      <c r="A1280" s="5609"/>
      <c r="B1280" s="4921" t="s">
        <v>5684</v>
      </c>
      <c r="C1280" s="5634"/>
      <c r="D1280" s="5594">
        <v>20000000</v>
      </c>
      <c r="E1280" s="5606">
        <v>0.05</v>
      </c>
      <c r="F1280" s="5594">
        <f t="shared" si="123"/>
        <v>1000000</v>
      </c>
      <c r="G1280" s="7732" t="s">
        <v>5685</v>
      </c>
      <c r="H1280" s="7733"/>
      <c r="I1280" s="7733"/>
      <c r="J1280" s="7733"/>
      <c r="K1280" s="7734"/>
      <c r="L1280" s="5673"/>
      <c r="M1280" s="5682"/>
      <c r="N1280" s="5682"/>
      <c r="O1280" s="5682"/>
      <c r="P1280" s="386"/>
      <c r="Q1280" s="386"/>
    </row>
    <row r="1281" spans="1:17" s="1659" customFormat="1" ht="30" customHeight="1" x14ac:dyDescent="0.2">
      <c r="A1281" s="7703"/>
      <c r="B1281" s="7652" t="s">
        <v>5738</v>
      </c>
      <c r="C1281" s="7723" t="s">
        <v>3007</v>
      </c>
      <c r="D1281" s="5594">
        <v>200000000</v>
      </c>
      <c r="E1281" s="5606">
        <v>6.5000000000000002E-2</v>
      </c>
      <c r="F1281" s="5594">
        <f t="shared" si="123"/>
        <v>13000000</v>
      </c>
      <c r="G1281" s="5774"/>
      <c r="H1281" s="5774"/>
      <c r="I1281" s="5774"/>
      <c r="J1281" s="5774"/>
      <c r="K1281" s="7482"/>
      <c r="L1281" s="5673"/>
      <c r="M1281" s="5682"/>
      <c r="N1281" s="5682"/>
      <c r="O1281" s="5682"/>
      <c r="P1281" s="386"/>
      <c r="Q1281" s="386"/>
    </row>
    <row r="1282" spans="1:17" s="1659" customFormat="1" ht="30" customHeight="1" x14ac:dyDescent="0.2">
      <c r="A1282" s="7704"/>
      <c r="B1282" s="7665"/>
      <c r="C1282" s="7747"/>
      <c r="D1282" s="5774">
        <v>350000000</v>
      </c>
      <c r="E1282" s="5795">
        <v>6.5000000000000002E-2</v>
      </c>
      <c r="F1282" s="5774">
        <f t="shared" si="123"/>
        <v>22750000</v>
      </c>
      <c r="G1282" s="5774">
        <f>F1281+F1282</f>
        <v>35750000</v>
      </c>
      <c r="H1282" s="5774"/>
      <c r="I1282" s="5774"/>
      <c r="J1282" s="5774"/>
      <c r="K1282" s="7482"/>
      <c r="L1282" s="5673"/>
      <c r="M1282" s="5682"/>
      <c r="N1282" s="5682"/>
      <c r="O1282" s="5682"/>
      <c r="P1282" s="386"/>
      <c r="Q1282" s="386"/>
    </row>
    <row r="1283" spans="1:17" s="1659" customFormat="1" ht="30" customHeight="1" x14ac:dyDescent="0.2">
      <c r="A1283" s="5675"/>
      <c r="B1283" s="5613" t="s">
        <v>5688</v>
      </c>
      <c r="C1283" s="5657" t="s">
        <v>1300</v>
      </c>
      <c r="D1283" s="5586">
        <v>4000000</v>
      </c>
      <c r="E1283" s="5652">
        <v>7.0000000000000007E-2</v>
      </c>
      <c r="F1283" s="5586">
        <f t="shared" si="123"/>
        <v>280000</v>
      </c>
      <c r="G1283" s="5586"/>
      <c r="H1283" s="5586"/>
      <c r="I1283" s="5586" t="s">
        <v>6623</v>
      </c>
      <c r="J1283" s="5586">
        <f>G1283</f>
        <v>0</v>
      </c>
      <c r="K1283" s="5594">
        <f>F1283-J1283</f>
        <v>280000</v>
      </c>
      <c r="L1283" s="5673"/>
      <c r="M1283" s="5682"/>
      <c r="N1283" s="5682"/>
      <c r="O1283" s="5682"/>
      <c r="P1283" s="386"/>
      <c r="Q1283" s="386"/>
    </row>
    <row r="1284" spans="1:17" s="1659" customFormat="1" ht="30" customHeight="1" x14ac:dyDescent="0.2">
      <c r="A1284" s="5609"/>
      <c r="B1284" s="4921" t="s">
        <v>5690</v>
      </c>
      <c r="C1284" s="5634"/>
      <c r="D1284" s="5594">
        <v>1000000000</v>
      </c>
      <c r="E1284" s="5606">
        <v>7.0000000000000007E-2</v>
      </c>
      <c r="F1284" s="5594">
        <f t="shared" si="123"/>
        <v>70000000</v>
      </c>
      <c r="G1284" s="5594"/>
      <c r="H1284" s="5594"/>
      <c r="I1284" s="5643"/>
      <c r="J1284" s="5594"/>
      <c r="K1284" s="5594"/>
      <c r="L1284" s="5673"/>
      <c r="M1284" s="5682"/>
      <c r="N1284" s="5682"/>
      <c r="O1284" s="5682"/>
      <c r="P1284" s="386"/>
      <c r="Q1284" s="386"/>
    </row>
    <row r="1285" spans="1:17" s="1659" customFormat="1" ht="30" customHeight="1" x14ac:dyDescent="0.2">
      <c r="A1285" s="7703"/>
      <c r="B1285" s="7652" t="s">
        <v>5691</v>
      </c>
      <c r="C1285" s="5797" t="s">
        <v>1287</v>
      </c>
      <c r="D1285" s="5774">
        <v>60000000</v>
      </c>
      <c r="E1285" s="5795">
        <v>0.05</v>
      </c>
      <c r="F1285" s="5774">
        <f t="shared" si="123"/>
        <v>3000000</v>
      </c>
      <c r="G1285" s="5774">
        <v>3000000</v>
      </c>
      <c r="H1285" s="5774" t="s">
        <v>1975</v>
      </c>
      <c r="I1285" s="5774" t="s">
        <v>7585</v>
      </c>
      <c r="J1285" s="5774">
        <f>G1285</f>
        <v>3000000</v>
      </c>
      <c r="K1285" s="5774">
        <f>F1285-J1285</f>
        <v>0</v>
      </c>
      <c r="L1285" s="5673"/>
      <c r="M1285" s="5682"/>
      <c r="N1285" s="5682"/>
      <c r="O1285" s="5682"/>
      <c r="P1285" s="386"/>
      <c r="Q1285" s="386"/>
    </row>
    <row r="1286" spans="1:17" s="1659" customFormat="1" ht="30" customHeight="1" x14ac:dyDescent="0.2">
      <c r="A1286" s="7705"/>
      <c r="B1286" s="7653"/>
      <c r="C1286" s="5657" t="s">
        <v>3483</v>
      </c>
      <c r="D1286" s="5594">
        <v>40000000</v>
      </c>
      <c r="E1286" s="5606">
        <v>0.05</v>
      </c>
      <c r="F1286" s="5594">
        <f t="shared" si="123"/>
        <v>2000000</v>
      </c>
      <c r="G1286" s="5586">
        <v>2000000</v>
      </c>
      <c r="H1286" s="5586" t="s">
        <v>4168</v>
      </c>
      <c r="I1286" s="5586" t="s">
        <v>7500</v>
      </c>
      <c r="J1286" s="5586">
        <f>G1286</f>
        <v>2000000</v>
      </c>
      <c r="K1286" s="5594">
        <f>F1286-J1286</f>
        <v>0</v>
      </c>
      <c r="L1286" s="5673"/>
      <c r="M1286" s="5682"/>
      <c r="N1286" s="5682"/>
      <c r="O1286" s="5682"/>
      <c r="P1286" s="386"/>
      <c r="Q1286" s="386"/>
    </row>
    <row r="1287" spans="1:17" s="1659" customFormat="1" ht="30" customHeight="1" x14ac:dyDescent="0.2">
      <c r="A1287" s="7703"/>
      <c r="B1287" s="7652" t="s">
        <v>5848</v>
      </c>
      <c r="C1287" s="7723" t="s">
        <v>1299</v>
      </c>
      <c r="D1287" s="7563">
        <v>350000000</v>
      </c>
      <c r="E1287" s="7659">
        <v>0.05</v>
      </c>
      <c r="F1287" s="7563">
        <f t="shared" si="123"/>
        <v>17500000</v>
      </c>
      <c r="G1287" s="5594">
        <v>17500000</v>
      </c>
      <c r="H1287" s="5594" t="s">
        <v>7310</v>
      </c>
      <c r="I1287" s="5643" t="s">
        <v>1063</v>
      </c>
      <c r="J1287" s="5594">
        <f>G1287</f>
        <v>17500000</v>
      </c>
      <c r="K1287" s="5594">
        <f>F1287-J1287</f>
        <v>0</v>
      </c>
      <c r="L1287" s="5673" t="s">
        <v>6807</v>
      </c>
      <c r="M1287" s="5682"/>
      <c r="N1287" s="5682"/>
      <c r="O1287" s="5682"/>
      <c r="P1287" s="386"/>
      <c r="Q1287" s="386"/>
    </row>
    <row r="1288" spans="1:17" s="1659" customFormat="1" ht="30" customHeight="1" x14ac:dyDescent="0.2">
      <c r="A1288" s="7704"/>
      <c r="B1288" s="7665"/>
      <c r="C1288" s="7747"/>
      <c r="D1288" s="7564"/>
      <c r="E1288" s="7660"/>
      <c r="F1288" s="7564"/>
      <c r="G1288" s="7732" t="s">
        <v>7616</v>
      </c>
      <c r="H1288" s="7733"/>
      <c r="I1288" s="7733"/>
      <c r="J1288" s="7734"/>
      <c r="K1288" s="6128"/>
      <c r="L1288" s="6130"/>
      <c r="M1288" s="6155"/>
      <c r="N1288" s="6155"/>
      <c r="O1288" s="6155"/>
      <c r="P1288" s="386"/>
      <c r="Q1288" s="386"/>
    </row>
    <row r="1289" spans="1:17" s="1659" customFormat="1" ht="30" customHeight="1" x14ac:dyDescent="0.2">
      <c r="A1289" s="7705"/>
      <c r="B1289" s="7653"/>
      <c r="C1289" s="7724"/>
      <c r="D1289" s="6157">
        <v>400000000</v>
      </c>
      <c r="E1289" s="6158">
        <v>0.05</v>
      </c>
      <c r="F1289" s="6157">
        <f t="shared" si="123"/>
        <v>20000000</v>
      </c>
      <c r="G1289" s="6128"/>
      <c r="H1289" s="6128"/>
      <c r="I1289" s="6144"/>
      <c r="J1289" s="6128"/>
      <c r="K1289" s="6128"/>
      <c r="L1289" s="6130"/>
      <c r="M1289" s="6155"/>
      <c r="N1289" s="6155"/>
      <c r="O1289" s="6155"/>
      <c r="P1289" s="386"/>
      <c r="Q1289" s="386"/>
    </row>
    <row r="1290" spans="1:17" s="1659" customFormat="1" ht="30" customHeight="1" x14ac:dyDescent="0.2">
      <c r="A1290" s="7703"/>
      <c r="B1290" s="7652" t="s">
        <v>5715</v>
      </c>
      <c r="C1290" s="7723" t="s">
        <v>4223</v>
      </c>
      <c r="D1290" s="5586">
        <v>100000000</v>
      </c>
      <c r="E1290" s="5652">
        <v>5.5E-2</v>
      </c>
      <c r="F1290" s="5586">
        <f>D1290*E1290</f>
        <v>5500000</v>
      </c>
      <c r="G1290" s="5586"/>
      <c r="H1290" s="5586"/>
      <c r="I1290" s="5586" t="s">
        <v>4776</v>
      </c>
      <c r="J1290" s="5586">
        <f>G1290</f>
        <v>0</v>
      </c>
      <c r="K1290" s="5586">
        <f>F1290-J1290</f>
        <v>5500000</v>
      </c>
      <c r="L1290" s="5693" t="s">
        <v>6821</v>
      </c>
      <c r="M1290" s="5682"/>
      <c r="N1290" s="5682"/>
      <c r="O1290" s="5682"/>
      <c r="P1290" s="386"/>
      <c r="Q1290" s="386"/>
    </row>
    <row r="1291" spans="1:17" s="1659" customFormat="1" ht="30" customHeight="1" x14ac:dyDescent="0.2">
      <c r="A1291" s="7704"/>
      <c r="B1291" s="7665"/>
      <c r="C1291" s="7747"/>
      <c r="D1291" s="5586">
        <v>100000000</v>
      </c>
      <c r="E1291" s="5652">
        <v>5.5E-2</v>
      </c>
      <c r="F1291" s="5586">
        <f>D1291*E1291</f>
        <v>5500000</v>
      </c>
      <c r="G1291" s="7732" t="s">
        <v>6824</v>
      </c>
      <c r="H1291" s="7733"/>
      <c r="I1291" s="7733"/>
      <c r="J1291" s="7734"/>
      <c r="K1291" s="5586"/>
      <c r="L1291" s="5693" t="s">
        <v>6820</v>
      </c>
      <c r="M1291" s="5682"/>
      <c r="N1291" s="5682"/>
      <c r="O1291" s="5682"/>
      <c r="P1291" s="386"/>
      <c r="Q1291" s="386"/>
    </row>
    <row r="1292" spans="1:17" s="1659" customFormat="1" ht="30" customHeight="1" x14ac:dyDescent="0.2">
      <c r="A1292" s="7705"/>
      <c r="B1292" s="7653"/>
      <c r="C1292" s="7724"/>
      <c r="D1292" s="5732">
        <v>200000000</v>
      </c>
      <c r="E1292" s="5733">
        <v>5.5E-2</v>
      </c>
      <c r="F1292" s="5732">
        <f>D1292*E1292</f>
        <v>11000000</v>
      </c>
      <c r="G1292" s="6104">
        <v>11000000</v>
      </c>
      <c r="H1292" s="6104" t="s">
        <v>3879</v>
      </c>
      <c r="I1292" s="6104" t="s">
        <v>4776</v>
      </c>
      <c r="J1292" s="6104">
        <f>G1292</f>
        <v>11000000</v>
      </c>
      <c r="K1292" s="5594">
        <f>F1292-J1292</f>
        <v>0</v>
      </c>
      <c r="L1292" s="6111" t="s">
        <v>6825</v>
      </c>
      <c r="M1292" s="5682"/>
      <c r="N1292" s="5682"/>
      <c r="O1292" s="5682"/>
      <c r="P1292" s="386"/>
      <c r="Q1292" s="386"/>
    </row>
    <row r="1293" spans="1:17" s="1659" customFormat="1" ht="30" customHeight="1" x14ac:dyDescent="0.2">
      <c r="A1293" s="5798"/>
      <c r="B1293" s="19" t="s">
        <v>5732</v>
      </c>
      <c r="C1293" s="5797" t="s">
        <v>3390</v>
      </c>
      <c r="D1293" s="5774">
        <v>80000000</v>
      </c>
      <c r="E1293" s="5795">
        <v>7.0000000000000007E-2</v>
      </c>
      <c r="F1293" s="5774">
        <f t="shared" ref="F1293:F1298" si="124">D1293*E1293</f>
        <v>5600000.0000000009</v>
      </c>
      <c r="G1293" s="5774">
        <v>5600000</v>
      </c>
      <c r="H1293" s="5774" t="s">
        <v>7727</v>
      </c>
      <c r="I1293" s="5774" t="s">
        <v>6554</v>
      </c>
      <c r="J1293" s="5774">
        <f>G1293</f>
        <v>5600000</v>
      </c>
      <c r="K1293" s="5594">
        <f>F1293-J1293</f>
        <v>0</v>
      </c>
      <c r="L1293" s="5672"/>
      <c r="M1293" s="5682"/>
      <c r="N1293" s="5682"/>
      <c r="O1293" s="5682"/>
      <c r="P1293" s="386"/>
      <c r="Q1293" s="386"/>
    </row>
    <row r="1294" spans="1:17" s="1659" customFormat="1" ht="30" customHeight="1" x14ac:dyDescent="0.2">
      <c r="A1294" s="5609"/>
      <c r="B1294" s="4921" t="s">
        <v>5744</v>
      </c>
      <c r="C1294" s="5634"/>
      <c r="D1294" s="5594">
        <v>50000000</v>
      </c>
      <c r="E1294" s="5606">
        <v>0.05</v>
      </c>
      <c r="F1294" s="5594">
        <f t="shared" si="124"/>
        <v>2500000</v>
      </c>
      <c r="G1294" s="5594"/>
      <c r="H1294" s="5594"/>
      <c r="I1294" s="5643"/>
      <c r="J1294" s="5594"/>
      <c r="K1294" s="5594"/>
      <c r="L1294" s="5673" t="s">
        <v>5745</v>
      </c>
      <c r="M1294" s="5682"/>
      <c r="N1294" s="5682"/>
      <c r="O1294" s="5682"/>
      <c r="P1294" s="386"/>
      <c r="Q1294" s="386"/>
    </row>
    <row r="1295" spans="1:17" s="1659" customFormat="1" ht="30" customHeight="1" x14ac:dyDescent="0.2">
      <c r="A1295" s="19"/>
      <c r="B1295" s="19" t="s">
        <v>5762</v>
      </c>
      <c r="C1295" s="5797" t="s">
        <v>3390</v>
      </c>
      <c r="D1295" s="5774">
        <v>150000000</v>
      </c>
      <c r="E1295" s="5795">
        <v>0.05</v>
      </c>
      <c r="F1295" s="5774">
        <f t="shared" si="124"/>
        <v>7500000</v>
      </c>
      <c r="G1295" s="5774">
        <v>7500000</v>
      </c>
      <c r="H1295" s="5774" t="s">
        <v>7718</v>
      </c>
      <c r="I1295" s="5774" t="s">
        <v>1220</v>
      </c>
      <c r="J1295" s="5774">
        <f t="shared" ref="J1295:J1301" si="125">G1295</f>
        <v>7500000</v>
      </c>
      <c r="K1295" s="5774">
        <f t="shared" ref="K1295:K1301" si="126">F1295-J1295</f>
        <v>0</v>
      </c>
      <c r="L1295" s="5804"/>
      <c r="M1295" s="5682"/>
      <c r="N1295" s="5682"/>
      <c r="O1295" s="5682"/>
      <c r="P1295" s="386"/>
      <c r="Q1295" s="386"/>
    </row>
    <row r="1296" spans="1:17" s="1659" customFormat="1" ht="30" customHeight="1" x14ac:dyDescent="0.2">
      <c r="A1296" s="5609"/>
      <c r="B1296" s="4921" t="s">
        <v>5771</v>
      </c>
      <c r="C1296" s="5634" t="s">
        <v>1306</v>
      </c>
      <c r="D1296" s="5594">
        <v>150000000</v>
      </c>
      <c r="E1296" s="5606">
        <v>0.06</v>
      </c>
      <c r="F1296" s="5594">
        <f t="shared" si="124"/>
        <v>9000000</v>
      </c>
      <c r="G1296" s="5594">
        <v>9000000</v>
      </c>
      <c r="H1296" s="5594" t="s">
        <v>7727</v>
      </c>
      <c r="I1296" s="5643" t="s">
        <v>6567</v>
      </c>
      <c r="J1296" s="5594">
        <f t="shared" si="125"/>
        <v>9000000</v>
      </c>
      <c r="K1296" s="5594">
        <f t="shared" si="126"/>
        <v>0</v>
      </c>
      <c r="L1296" s="5673" t="s">
        <v>5810</v>
      </c>
      <c r="M1296" s="5682"/>
      <c r="N1296" s="5682"/>
      <c r="O1296" s="5682"/>
      <c r="P1296" s="386"/>
      <c r="Q1296" s="386"/>
    </row>
    <row r="1297" spans="1:17" s="1659" customFormat="1" ht="30" customHeight="1" x14ac:dyDescent="0.2">
      <c r="A1297" s="5798"/>
      <c r="B1297" s="5798" t="s">
        <v>5772</v>
      </c>
      <c r="C1297" s="5797" t="s">
        <v>3390</v>
      </c>
      <c r="D1297" s="5774">
        <v>20000000</v>
      </c>
      <c r="E1297" s="5795">
        <v>0.05</v>
      </c>
      <c r="F1297" s="5774">
        <f t="shared" si="124"/>
        <v>1000000</v>
      </c>
      <c r="G1297" s="5774">
        <v>1000000</v>
      </c>
      <c r="H1297" s="5774" t="s">
        <v>7668</v>
      </c>
      <c r="I1297" s="5774" t="s">
        <v>7688</v>
      </c>
      <c r="J1297" s="5774">
        <f t="shared" si="125"/>
        <v>1000000</v>
      </c>
      <c r="K1297" s="5774">
        <f t="shared" si="126"/>
        <v>0</v>
      </c>
      <c r="L1297" s="5774"/>
      <c r="M1297" s="5682"/>
      <c r="N1297" s="5682"/>
      <c r="O1297" s="5682"/>
      <c r="P1297" s="386"/>
      <c r="Q1297" s="386"/>
    </row>
    <row r="1298" spans="1:17" s="1659" customFormat="1" ht="30" customHeight="1" x14ac:dyDescent="0.2">
      <c r="A1298" s="19"/>
      <c r="B1298" s="19" t="s">
        <v>5805</v>
      </c>
      <c r="C1298" s="5797" t="s">
        <v>1306</v>
      </c>
      <c r="D1298" s="5774">
        <v>50000000</v>
      </c>
      <c r="E1298" s="5795">
        <v>0.05</v>
      </c>
      <c r="F1298" s="5774">
        <f t="shared" si="124"/>
        <v>2500000</v>
      </c>
      <c r="G1298" s="5774">
        <v>2500000</v>
      </c>
      <c r="H1298" s="5774" t="s">
        <v>7691</v>
      </c>
      <c r="I1298" s="5774" t="s">
        <v>7700</v>
      </c>
      <c r="J1298" s="5774">
        <f t="shared" si="125"/>
        <v>2500000</v>
      </c>
      <c r="K1298" s="5774">
        <f t="shared" si="126"/>
        <v>0</v>
      </c>
      <c r="L1298" s="5811"/>
      <c r="M1298" s="5682"/>
      <c r="N1298" s="5682"/>
      <c r="O1298" s="5682"/>
      <c r="P1298" s="386"/>
      <c r="Q1298" s="386"/>
    </row>
    <row r="1299" spans="1:17" s="1659" customFormat="1" ht="30" customHeight="1" x14ac:dyDescent="0.2">
      <c r="A1299" s="7703"/>
      <c r="B1299" s="7652" t="s">
        <v>5970</v>
      </c>
      <c r="C1299" s="7723" t="s">
        <v>942</v>
      </c>
      <c r="D1299" s="7563">
        <v>100000000</v>
      </c>
      <c r="E1299" s="7659">
        <v>0.06</v>
      </c>
      <c r="F1299" s="7563">
        <f>D1299*E1299</f>
        <v>6000000</v>
      </c>
      <c r="G1299" s="5774">
        <v>6000000</v>
      </c>
      <c r="H1299" s="5774" t="s">
        <v>7298</v>
      </c>
      <c r="I1299" s="5774" t="s">
        <v>7304</v>
      </c>
      <c r="J1299" s="5774">
        <f t="shared" si="125"/>
        <v>6000000</v>
      </c>
      <c r="K1299" s="5594">
        <f t="shared" si="126"/>
        <v>0</v>
      </c>
      <c r="L1299" s="5673" t="s">
        <v>6807</v>
      </c>
      <c r="M1299" s="5682"/>
      <c r="N1299" s="5682"/>
      <c r="O1299" s="5682"/>
      <c r="P1299" s="386"/>
      <c r="Q1299" s="386"/>
    </row>
    <row r="1300" spans="1:17" s="1659" customFormat="1" ht="30" customHeight="1" x14ac:dyDescent="0.2">
      <c r="A1300" s="7705"/>
      <c r="B1300" s="7653"/>
      <c r="C1300" s="7724"/>
      <c r="D1300" s="7564"/>
      <c r="E1300" s="7660"/>
      <c r="F1300" s="7564"/>
      <c r="G1300" s="6301">
        <v>6000000</v>
      </c>
      <c r="H1300" s="6301" t="s">
        <v>7786</v>
      </c>
      <c r="I1300" s="6301" t="s">
        <v>7788</v>
      </c>
      <c r="J1300" s="6301">
        <f t="shared" si="125"/>
        <v>6000000</v>
      </c>
      <c r="K1300" s="6305">
        <f>F1299-J1300</f>
        <v>0</v>
      </c>
      <c r="L1300" s="6306" t="s">
        <v>7501</v>
      </c>
      <c r="M1300" s="6341"/>
      <c r="N1300" s="6341"/>
      <c r="O1300" s="6341"/>
      <c r="P1300" s="386"/>
      <c r="Q1300" s="386"/>
    </row>
    <row r="1301" spans="1:17" s="1659" customFormat="1" ht="30" customHeight="1" x14ac:dyDescent="0.2">
      <c r="A1301" s="5806"/>
      <c r="B1301" s="5785" t="s">
        <v>5975</v>
      </c>
      <c r="C1301" s="5797" t="s">
        <v>3483</v>
      </c>
      <c r="D1301" s="5774">
        <v>270000000</v>
      </c>
      <c r="E1301" s="5795">
        <v>0.06</v>
      </c>
      <c r="F1301" s="5774">
        <f>D1301*E1301</f>
        <v>16200000</v>
      </c>
      <c r="G1301" s="5774">
        <v>16200000</v>
      </c>
      <c r="H1301" s="5774" t="s">
        <v>3879</v>
      </c>
      <c r="I1301" s="5774" t="s">
        <v>4141</v>
      </c>
      <c r="J1301" s="5774">
        <f t="shared" si="125"/>
        <v>16200000</v>
      </c>
      <c r="K1301" s="5774">
        <f t="shared" si="126"/>
        <v>0</v>
      </c>
      <c r="L1301" s="5673"/>
      <c r="M1301" s="5682"/>
      <c r="N1301" s="5682"/>
      <c r="O1301" s="5682"/>
      <c r="P1301" s="386"/>
      <c r="Q1301" s="386"/>
    </row>
    <row r="1302" spans="1:17" s="1659" customFormat="1" ht="30" customHeight="1" x14ac:dyDescent="0.2">
      <c r="A1302" s="7703"/>
      <c r="B1302" s="7652" t="s">
        <v>5980</v>
      </c>
      <c r="C1302" s="7723" t="s">
        <v>942</v>
      </c>
      <c r="D1302" s="5594">
        <v>490000000</v>
      </c>
      <c r="E1302" s="5606">
        <v>0.06</v>
      </c>
      <c r="F1302" s="5594">
        <f>D1302*E1302</f>
        <v>29400000</v>
      </c>
      <c r="G1302" s="7732" t="s">
        <v>6013</v>
      </c>
      <c r="H1302" s="7733"/>
      <c r="I1302" s="7733"/>
      <c r="J1302" s="7733"/>
      <c r="K1302" s="7734"/>
      <c r="L1302" s="4242" t="s">
        <v>6702</v>
      </c>
      <c r="M1302" s="5682"/>
      <c r="N1302" s="5682"/>
      <c r="O1302" s="5682"/>
      <c r="P1302" s="386"/>
      <c r="Q1302" s="386"/>
    </row>
    <row r="1303" spans="1:17" s="1659" customFormat="1" ht="30" customHeight="1" x14ac:dyDescent="0.2">
      <c r="A1303" s="7704"/>
      <c r="B1303" s="7665"/>
      <c r="C1303" s="7747"/>
      <c r="D1303" s="5594">
        <v>30000000</v>
      </c>
      <c r="E1303" s="5606">
        <v>0.06</v>
      </c>
      <c r="F1303" s="5594">
        <f t="shared" ref="F1303:F1308" si="127">D1303*E1303</f>
        <v>1800000</v>
      </c>
      <c r="G1303" s="8000" t="s">
        <v>6704</v>
      </c>
      <c r="H1303" s="8000"/>
      <c r="I1303" s="8000"/>
      <c r="J1303" s="8000"/>
      <c r="K1303" s="5685"/>
      <c r="L1303" s="4242"/>
      <c r="M1303" s="5682"/>
      <c r="N1303" s="5682"/>
      <c r="O1303" s="5682"/>
      <c r="P1303" s="386"/>
      <c r="Q1303" s="386"/>
    </row>
    <row r="1304" spans="1:17" s="1659" customFormat="1" ht="30" customHeight="1" x14ac:dyDescent="0.2">
      <c r="A1304" s="7704"/>
      <c r="B1304" s="7665"/>
      <c r="C1304" s="7747"/>
      <c r="D1304" s="5594">
        <v>60000000</v>
      </c>
      <c r="E1304" s="5606">
        <v>0.06</v>
      </c>
      <c r="F1304" s="5594">
        <f t="shared" si="127"/>
        <v>3600000</v>
      </c>
      <c r="G1304" s="7732" t="s">
        <v>6705</v>
      </c>
      <c r="H1304" s="7733"/>
      <c r="I1304" s="7733"/>
      <c r="J1304" s="7734"/>
      <c r="K1304" s="5685"/>
      <c r="L1304" s="4242"/>
      <c r="M1304" s="5682"/>
      <c r="N1304" s="5682"/>
      <c r="O1304" s="5682"/>
      <c r="P1304" s="386"/>
      <c r="Q1304" s="386"/>
    </row>
    <row r="1305" spans="1:17" s="1659" customFormat="1" ht="30" customHeight="1" x14ac:dyDescent="0.2">
      <c r="A1305" s="7704"/>
      <c r="B1305" s="7665"/>
      <c r="C1305" s="7747"/>
      <c r="D1305" s="5594">
        <v>75000000</v>
      </c>
      <c r="E1305" s="5606">
        <v>0.06</v>
      </c>
      <c r="F1305" s="5594">
        <f t="shared" si="127"/>
        <v>4500000</v>
      </c>
      <c r="G1305" s="7732" t="s">
        <v>6706</v>
      </c>
      <c r="H1305" s="7733"/>
      <c r="I1305" s="7733"/>
      <c r="J1305" s="7734"/>
      <c r="K1305" s="5685"/>
      <c r="L1305" s="4242"/>
      <c r="M1305" s="5682"/>
      <c r="N1305" s="5682"/>
      <c r="O1305" s="5682"/>
      <c r="P1305" s="386"/>
      <c r="Q1305" s="386"/>
    </row>
    <row r="1306" spans="1:17" s="1659" customFormat="1" ht="30" customHeight="1" x14ac:dyDescent="0.2">
      <c r="A1306" s="7704"/>
      <c r="B1306" s="7665"/>
      <c r="C1306" s="7747"/>
      <c r="D1306" s="5594">
        <v>75000000</v>
      </c>
      <c r="E1306" s="5606">
        <v>0.06</v>
      </c>
      <c r="F1306" s="5594">
        <f t="shared" si="127"/>
        <v>4500000</v>
      </c>
      <c r="G1306" s="7732" t="s">
        <v>6707</v>
      </c>
      <c r="H1306" s="7733"/>
      <c r="I1306" s="7733"/>
      <c r="J1306" s="7734"/>
      <c r="K1306" s="5685"/>
      <c r="L1306" s="4242"/>
      <c r="M1306" s="5682"/>
      <c r="N1306" s="5682"/>
      <c r="O1306" s="5682"/>
      <c r="P1306" s="386"/>
      <c r="Q1306" s="386"/>
    </row>
    <row r="1307" spans="1:17" s="1659" customFormat="1" ht="30" customHeight="1" x14ac:dyDescent="0.2">
      <c r="A1307" s="7704"/>
      <c r="B1307" s="7665"/>
      <c r="C1307" s="7747"/>
      <c r="D1307" s="5594">
        <v>70000000</v>
      </c>
      <c r="E1307" s="5606">
        <v>0.06</v>
      </c>
      <c r="F1307" s="5594">
        <f t="shared" si="127"/>
        <v>4200000</v>
      </c>
      <c r="G1307" s="7732" t="s">
        <v>6708</v>
      </c>
      <c r="H1307" s="7733"/>
      <c r="I1307" s="7733"/>
      <c r="J1307" s="7734"/>
      <c r="K1307" s="5685"/>
      <c r="L1307" s="4242"/>
      <c r="M1307" s="5682"/>
      <c r="N1307" s="5682"/>
      <c r="O1307" s="5682"/>
      <c r="P1307" s="386"/>
      <c r="Q1307" s="386"/>
    </row>
    <row r="1308" spans="1:17" s="1659" customFormat="1" ht="30" customHeight="1" x14ac:dyDescent="0.2">
      <c r="A1308" s="7704"/>
      <c r="B1308" s="7665"/>
      <c r="C1308" s="7747"/>
      <c r="D1308" s="5594">
        <v>70000000</v>
      </c>
      <c r="E1308" s="5606">
        <v>0.06</v>
      </c>
      <c r="F1308" s="5594">
        <f t="shared" si="127"/>
        <v>4200000</v>
      </c>
      <c r="G1308" s="7732" t="s">
        <v>6709</v>
      </c>
      <c r="H1308" s="7733"/>
      <c r="I1308" s="7733"/>
      <c r="J1308" s="7734"/>
      <c r="K1308" s="5685"/>
      <c r="L1308" s="4242"/>
      <c r="M1308" s="5682"/>
      <c r="N1308" s="5682"/>
      <c r="O1308" s="5682"/>
      <c r="P1308" s="386"/>
      <c r="Q1308" s="386"/>
    </row>
    <row r="1309" spans="1:17" s="1659" customFormat="1" ht="30" customHeight="1" x14ac:dyDescent="0.2">
      <c r="A1309" s="7704"/>
      <c r="B1309" s="7665"/>
      <c r="C1309" s="7747"/>
      <c r="D1309" s="8026">
        <v>870000000</v>
      </c>
      <c r="E1309" s="8028">
        <v>0.06</v>
      </c>
      <c r="F1309" s="8026">
        <f>D1309*E1309</f>
        <v>52200000</v>
      </c>
      <c r="G1309" s="8000" t="s">
        <v>6703</v>
      </c>
      <c r="H1309" s="8000"/>
      <c r="I1309" s="8000"/>
      <c r="J1309" s="8000"/>
      <c r="K1309" s="5685"/>
      <c r="L1309" s="5673" t="s">
        <v>6701</v>
      </c>
      <c r="M1309" s="5682"/>
      <c r="N1309" s="5682"/>
      <c r="O1309" s="5682"/>
      <c r="P1309" s="386"/>
      <c r="Q1309" s="386"/>
    </row>
    <row r="1310" spans="1:17" s="1659" customFormat="1" ht="30" customHeight="1" x14ac:dyDescent="0.2">
      <c r="A1310" s="7704"/>
      <c r="B1310" s="7665"/>
      <c r="C1310" s="7747"/>
      <c r="D1310" s="8497"/>
      <c r="E1310" s="8498"/>
      <c r="F1310" s="8497"/>
      <c r="G1310" s="5956">
        <v>15000000</v>
      </c>
      <c r="H1310" s="5956" t="s">
        <v>4168</v>
      </c>
      <c r="I1310" s="5956" t="s">
        <v>7495</v>
      </c>
      <c r="J1310" s="7563">
        <f>G1310+G1311</f>
        <v>52200000</v>
      </c>
      <c r="K1310" s="7563">
        <f>F1309-J1310:J1310</f>
        <v>0</v>
      </c>
      <c r="L1310" s="7674" t="s">
        <v>7812</v>
      </c>
      <c r="M1310" s="5992"/>
      <c r="N1310" s="5992"/>
      <c r="O1310" s="5992"/>
      <c r="P1310" s="386"/>
      <c r="Q1310" s="386"/>
    </row>
    <row r="1311" spans="1:17" s="1659" customFormat="1" ht="30" customHeight="1" x14ac:dyDescent="0.2">
      <c r="A1311" s="7704"/>
      <c r="B1311" s="7665"/>
      <c r="C1311" s="7747"/>
      <c r="D1311" s="8027"/>
      <c r="E1311" s="8029"/>
      <c r="F1311" s="8027"/>
      <c r="G1311" s="5956">
        <v>37200000</v>
      </c>
      <c r="H1311" s="5956" t="s">
        <v>7511</v>
      </c>
      <c r="I1311" s="6009" t="s">
        <v>7495</v>
      </c>
      <c r="J1311" s="7564"/>
      <c r="K1311" s="7564"/>
      <c r="L1311" s="7675"/>
      <c r="M1311" s="5992"/>
      <c r="N1311" s="5992"/>
      <c r="O1311" s="5992"/>
      <c r="P1311" s="386"/>
      <c r="Q1311" s="386"/>
    </row>
    <row r="1312" spans="1:17" s="1659" customFormat="1" ht="30" customHeight="1" x14ac:dyDescent="0.2">
      <c r="A1312" s="7704"/>
      <c r="B1312" s="7665"/>
      <c r="C1312" s="7747"/>
      <c r="D1312" s="8026">
        <v>870000000</v>
      </c>
      <c r="E1312" s="8028">
        <v>0.06</v>
      </c>
      <c r="F1312" s="8026">
        <f>D1312*E1312</f>
        <v>52200000</v>
      </c>
      <c r="G1312" s="6364">
        <v>15000000</v>
      </c>
      <c r="H1312" s="6364" t="s">
        <v>7810</v>
      </c>
      <c r="I1312" s="6364" t="s">
        <v>7495</v>
      </c>
      <c r="J1312" s="7563">
        <f>G1312+G1313</f>
        <v>15000000</v>
      </c>
      <c r="K1312" s="7563">
        <f>F1312-J1312</f>
        <v>37200000</v>
      </c>
      <c r="L1312" s="7674"/>
      <c r="M1312" s="6377"/>
      <c r="N1312" s="6377"/>
      <c r="O1312" s="6377"/>
      <c r="P1312" s="386"/>
      <c r="Q1312" s="386"/>
    </row>
    <row r="1313" spans="1:17" s="1659" customFormat="1" ht="30" customHeight="1" x14ac:dyDescent="0.2">
      <c r="A1313" s="7705"/>
      <c r="B1313" s="7653"/>
      <c r="C1313" s="7724"/>
      <c r="D1313" s="8027"/>
      <c r="E1313" s="8029"/>
      <c r="F1313" s="8027"/>
      <c r="G1313" s="6364"/>
      <c r="H1313" s="6364"/>
      <c r="I1313" s="6364"/>
      <c r="J1313" s="7564"/>
      <c r="K1313" s="7564"/>
      <c r="L1313" s="7675"/>
      <c r="M1313" s="6377"/>
      <c r="N1313" s="6377"/>
      <c r="O1313" s="6377"/>
      <c r="P1313" s="386"/>
      <c r="Q1313" s="386"/>
    </row>
    <row r="1314" spans="1:17" s="1659" customFormat="1" ht="30" customHeight="1" x14ac:dyDescent="0.2">
      <c r="A1314" s="7703"/>
      <c r="B1314" s="7652" t="s">
        <v>5985</v>
      </c>
      <c r="C1314" s="7723" t="s">
        <v>1081</v>
      </c>
      <c r="D1314" s="7563">
        <v>40000000</v>
      </c>
      <c r="E1314" s="7659">
        <v>0.05</v>
      </c>
      <c r="F1314" s="7563">
        <f>D1314*E1314</f>
        <v>2000000</v>
      </c>
      <c r="G1314" s="5586">
        <v>2000000</v>
      </c>
      <c r="H1314" s="5586" t="s">
        <v>7310</v>
      </c>
      <c r="I1314" s="5586" t="s">
        <v>6761</v>
      </c>
      <c r="J1314" s="5586">
        <f>G1314</f>
        <v>2000000</v>
      </c>
      <c r="K1314" s="5594">
        <f>F1314-J1314</f>
        <v>0</v>
      </c>
      <c r="L1314" s="5673" t="s">
        <v>6807</v>
      </c>
      <c r="M1314" s="5682"/>
      <c r="N1314" s="5682"/>
      <c r="O1314" s="5682"/>
      <c r="P1314" s="386"/>
      <c r="Q1314" s="386"/>
    </row>
    <row r="1315" spans="1:17" s="1659" customFormat="1" ht="30" customHeight="1" x14ac:dyDescent="0.2">
      <c r="A1315" s="7705"/>
      <c r="B1315" s="7653"/>
      <c r="C1315" s="7724"/>
      <c r="D1315" s="7564"/>
      <c r="E1315" s="7660"/>
      <c r="F1315" s="7564"/>
      <c r="G1315" s="6301">
        <v>2000000</v>
      </c>
      <c r="H1315" s="6301" t="s">
        <v>7774</v>
      </c>
      <c r="I1315" s="6301" t="s">
        <v>6761</v>
      </c>
      <c r="J1315" s="6301">
        <f>G1315</f>
        <v>2000000</v>
      </c>
      <c r="K1315" s="6325">
        <f>F1314-J1315</f>
        <v>0</v>
      </c>
      <c r="L1315" s="6347" t="s">
        <v>7501</v>
      </c>
      <c r="M1315" s="6341"/>
      <c r="N1315" s="6341"/>
      <c r="O1315" s="6341"/>
      <c r="P1315" s="386"/>
      <c r="Q1315" s="386"/>
    </row>
    <row r="1316" spans="1:17" s="1659" customFormat="1" ht="30" customHeight="1" x14ac:dyDescent="0.2">
      <c r="A1316" s="7703"/>
      <c r="B1316" s="7652" t="s">
        <v>6017</v>
      </c>
      <c r="C1316" s="7723" t="s">
        <v>3323</v>
      </c>
      <c r="D1316" s="7563">
        <v>1900000000</v>
      </c>
      <c r="E1316" s="7659">
        <v>7.0000000000000007E-2</v>
      </c>
      <c r="F1316" s="7563">
        <f>D1316*E1316</f>
        <v>133000000.00000001</v>
      </c>
      <c r="G1316" s="7732" t="s">
        <v>7502</v>
      </c>
      <c r="H1316" s="7733"/>
      <c r="I1316" s="7733"/>
      <c r="J1316" s="7734"/>
      <c r="K1316" s="1604"/>
      <c r="L1316" s="227" t="s">
        <v>6019</v>
      </c>
      <c r="M1316" s="5682"/>
      <c r="N1316" s="5682"/>
      <c r="O1316" s="5682"/>
      <c r="P1316" s="386"/>
      <c r="Q1316" s="386"/>
    </row>
    <row r="1317" spans="1:17" s="1659" customFormat="1" ht="30" customHeight="1" x14ac:dyDescent="0.2">
      <c r="A1317" s="7704"/>
      <c r="B1317" s="7665"/>
      <c r="C1317" s="7747"/>
      <c r="D1317" s="7586"/>
      <c r="E1317" s="7676"/>
      <c r="F1317" s="7586"/>
      <c r="G1317" s="5956">
        <v>44000000</v>
      </c>
      <c r="H1317" s="5956" t="s">
        <v>4168</v>
      </c>
      <c r="I1317" s="5956" t="s">
        <v>7246</v>
      </c>
      <c r="J1317" s="7563">
        <f>G1317+G1318+G1319+G1320</f>
        <v>134000000</v>
      </c>
      <c r="K1317" s="7563"/>
      <c r="L1317" s="5985" t="s">
        <v>6018</v>
      </c>
      <c r="M1317" s="5682"/>
      <c r="N1317" s="5682"/>
      <c r="O1317" s="5682"/>
      <c r="P1317" s="386"/>
      <c r="Q1317" s="386"/>
    </row>
    <row r="1318" spans="1:17" s="1659" customFormat="1" ht="30" customHeight="1" x14ac:dyDescent="0.2">
      <c r="A1318" s="7704"/>
      <c r="B1318" s="7665"/>
      <c r="C1318" s="7747"/>
      <c r="D1318" s="7586"/>
      <c r="E1318" s="7676"/>
      <c r="F1318" s="7586"/>
      <c r="G1318" s="5586">
        <v>20000000</v>
      </c>
      <c r="H1318" s="5586" t="s">
        <v>7757</v>
      </c>
      <c r="I1318" s="5586" t="s">
        <v>7246</v>
      </c>
      <c r="J1318" s="7586"/>
      <c r="K1318" s="7586"/>
      <c r="L1318" s="5673"/>
      <c r="M1318" s="5682"/>
      <c r="N1318" s="5682"/>
      <c r="O1318" s="5682"/>
      <c r="P1318" s="386"/>
      <c r="Q1318" s="386"/>
    </row>
    <row r="1319" spans="1:17" s="1659" customFormat="1" ht="30" customHeight="1" x14ac:dyDescent="0.2">
      <c r="A1319" s="7704"/>
      <c r="B1319" s="7665"/>
      <c r="C1319" s="7747"/>
      <c r="D1319" s="7586"/>
      <c r="E1319" s="7676"/>
      <c r="F1319" s="7586"/>
      <c r="G1319" s="6301">
        <v>40000000</v>
      </c>
      <c r="H1319" s="6301" t="s">
        <v>7795</v>
      </c>
      <c r="I1319" s="6301" t="s">
        <v>7797</v>
      </c>
      <c r="J1319" s="7586"/>
      <c r="K1319" s="7586"/>
      <c r="L1319" s="6306" t="s">
        <v>7798</v>
      </c>
      <c r="M1319" s="6341"/>
      <c r="N1319" s="6341"/>
      <c r="O1319" s="6341"/>
      <c r="P1319" s="386"/>
      <c r="Q1319" s="386"/>
    </row>
    <row r="1320" spans="1:17" s="1659" customFormat="1" ht="30" customHeight="1" x14ac:dyDescent="0.2">
      <c r="A1320" s="7705"/>
      <c r="B1320" s="7653"/>
      <c r="C1320" s="7724"/>
      <c r="D1320" s="7564"/>
      <c r="E1320" s="7660"/>
      <c r="F1320" s="7564"/>
      <c r="G1320" s="6364">
        <v>30000000</v>
      </c>
      <c r="H1320" s="6364" t="s">
        <v>7795</v>
      </c>
      <c r="I1320" s="6364" t="s">
        <v>7806</v>
      </c>
      <c r="J1320" s="7564"/>
      <c r="K1320" s="7564"/>
      <c r="L1320" s="6369"/>
      <c r="M1320" s="6377"/>
      <c r="N1320" s="6377"/>
      <c r="O1320" s="6377"/>
      <c r="P1320" s="386"/>
      <c r="Q1320" s="386"/>
    </row>
    <row r="1321" spans="1:17" s="1659" customFormat="1" ht="30" customHeight="1" x14ac:dyDescent="0.2">
      <c r="A1321" s="5609"/>
      <c r="B1321" s="4921" t="s">
        <v>6031</v>
      </c>
      <c r="C1321" s="5634"/>
      <c r="D1321" s="5594">
        <v>120000000</v>
      </c>
      <c r="E1321" s="5606"/>
      <c r="F1321" s="5594"/>
      <c r="G1321" s="7732" t="s">
        <v>6033</v>
      </c>
      <c r="H1321" s="7733"/>
      <c r="I1321" s="7733"/>
      <c r="J1321" s="7734"/>
      <c r="K1321" s="5594"/>
      <c r="L1321" s="5673" t="s">
        <v>6032</v>
      </c>
      <c r="M1321" s="5682"/>
      <c r="N1321" s="5682"/>
      <c r="O1321" s="5682"/>
      <c r="P1321" s="386"/>
      <c r="Q1321" s="386"/>
    </row>
    <row r="1322" spans="1:17" s="1659" customFormat="1" ht="30" customHeight="1" x14ac:dyDescent="0.2">
      <c r="A1322" s="5806"/>
      <c r="B1322" s="5785" t="s">
        <v>6053</v>
      </c>
      <c r="C1322" s="5797" t="s">
        <v>1287</v>
      </c>
      <c r="D1322" s="5774">
        <v>200000000</v>
      </c>
      <c r="E1322" s="5795">
        <v>0.06</v>
      </c>
      <c r="F1322" s="5774">
        <f t="shared" ref="F1322:F1327" si="128">D1322*E1322</f>
        <v>12000000</v>
      </c>
      <c r="G1322" s="5774">
        <v>12000000</v>
      </c>
      <c r="H1322" s="5774" t="s">
        <v>7691</v>
      </c>
      <c r="I1322" s="5774" t="s">
        <v>7075</v>
      </c>
      <c r="J1322" s="5774">
        <f>G1322</f>
        <v>12000000</v>
      </c>
      <c r="K1322" s="5776">
        <f>F1322-J1322</f>
        <v>0</v>
      </c>
      <c r="L1322" s="5804"/>
      <c r="M1322" s="5682"/>
      <c r="N1322" s="5682"/>
      <c r="O1322" s="5682"/>
      <c r="P1322" s="386"/>
      <c r="Q1322" s="386"/>
    </row>
    <row r="1323" spans="1:17" s="1659" customFormat="1" ht="30" customHeight="1" x14ac:dyDescent="0.2">
      <c r="A1323" s="5798"/>
      <c r="B1323" s="5798" t="s">
        <v>4767</v>
      </c>
      <c r="C1323" s="5797" t="s">
        <v>989</v>
      </c>
      <c r="D1323" s="5774">
        <v>4200000</v>
      </c>
      <c r="E1323" s="5795">
        <v>0.05</v>
      </c>
      <c r="F1323" s="5774">
        <f t="shared" si="128"/>
        <v>210000</v>
      </c>
      <c r="G1323" s="5774"/>
      <c r="H1323" s="5774"/>
      <c r="I1323" s="5774" t="s">
        <v>6137</v>
      </c>
      <c r="J1323" s="5774" t="e">
        <f>G1323+#REF!+#REF!+#REF!+G1331</f>
        <v>#REF!</v>
      </c>
      <c r="K1323" s="5774"/>
      <c r="L1323" s="5774" t="s">
        <v>6138</v>
      </c>
      <c r="M1323" s="5682"/>
      <c r="N1323" s="5682"/>
      <c r="O1323" s="5682"/>
      <c r="P1323" s="386"/>
      <c r="Q1323" s="386"/>
    </row>
    <row r="1324" spans="1:17" s="1659" customFormat="1" ht="30" customHeight="1" x14ac:dyDescent="0.2">
      <c r="A1324" s="7703"/>
      <c r="B1324" s="7652" t="s">
        <v>6143</v>
      </c>
      <c r="C1324" s="7747"/>
      <c r="D1324" s="5594">
        <v>1100000000</v>
      </c>
      <c r="E1324" s="5781">
        <v>7.0000000000000007E-2</v>
      </c>
      <c r="F1324" s="5594">
        <f t="shared" si="128"/>
        <v>77000000</v>
      </c>
      <c r="G1324" s="7563">
        <v>80500000</v>
      </c>
      <c r="H1324" s="7563" t="s">
        <v>7427</v>
      </c>
      <c r="I1324" s="7563" t="s">
        <v>7429</v>
      </c>
      <c r="J1324" s="7563">
        <f>G1324</f>
        <v>80500000</v>
      </c>
      <c r="K1324" s="7563">
        <f>(F1324+F1325)-J1324</f>
        <v>0</v>
      </c>
      <c r="L1324" s="5673" t="s">
        <v>6335</v>
      </c>
      <c r="M1324" s="5682"/>
      <c r="N1324" s="5682"/>
      <c r="O1324" s="5682"/>
      <c r="P1324" s="386"/>
      <c r="Q1324" s="386"/>
    </row>
    <row r="1325" spans="1:17" s="1659" customFormat="1" ht="30" customHeight="1" x14ac:dyDescent="0.2">
      <c r="A1325" s="7705"/>
      <c r="B1325" s="7653"/>
      <c r="C1325" s="7724"/>
      <c r="D1325" s="5594">
        <v>50000000</v>
      </c>
      <c r="E1325" s="5652">
        <v>7.0000000000000007E-2</v>
      </c>
      <c r="F1325" s="5594">
        <f t="shared" si="128"/>
        <v>3500000.0000000005</v>
      </c>
      <c r="G1325" s="7564"/>
      <c r="H1325" s="7564"/>
      <c r="I1325" s="7564"/>
      <c r="J1325" s="7564"/>
      <c r="K1325" s="7564"/>
      <c r="L1325" s="5673" t="s">
        <v>6203</v>
      </c>
      <c r="M1325" s="5682"/>
      <c r="N1325" s="5682"/>
      <c r="O1325" s="5682"/>
      <c r="P1325" s="386"/>
      <c r="Q1325" s="386"/>
    </row>
    <row r="1326" spans="1:17" s="1659" customFormat="1" ht="30" customHeight="1" x14ac:dyDescent="0.2">
      <c r="A1326" s="5609"/>
      <c r="B1326" s="4921" t="s">
        <v>6144</v>
      </c>
      <c r="C1326" s="5634"/>
      <c r="D1326" s="5594">
        <v>100000000</v>
      </c>
      <c r="E1326" s="5606">
        <v>7.0000000000000007E-2</v>
      </c>
      <c r="F1326" s="5594">
        <f t="shared" si="128"/>
        <v>7000000.0000000009</v>
      </c>
      <c r="G1326" s="5594">
        <v>7000000</v>
      </c>
      <c r="H1326" s="5594" t="s">
        <v>7531</v>
      </c>
      <c r="I1326" s="5594" t="s">
        <v>3537</v>
      </c>
      <c r="J1326" s="5594">
        <f>G1326</f>
        <v>7000000</v>
      </c>
      <c r="K1326" s="5594">
        <f>F1326-J1326</f>
        <v>0</v>
      </c>
      <c r="L1326" s="5673" t="s">
        <v>6145</v>
      </c>
      <c r="M1326" s="5682"/>
      <c r="N1326" s="5682"/>
      <c r="O1326" s="5682"/>
      <c r="P1326" s="386"/>
      <c r="Q1326" s="386"/>
    </row>
    <row r="1327" spans="1:17" s="1659" customFormat="1" ht="30" customHeight="1" x14ac:dyDescent="0.2">
      <c r="A1327" s="19"/>
      <c r="B1327" s="5785" t="s">
        <v>6172</v>
      </c>
      <c r="C1327" s="5797" t="s">
        <v>2644</v>
      </c>
      <c r="D1327" s="5774">
        <v>100000000</v>
      </c>
      <c r="E1327" s="5795">
        <v>0.05</v>
      </c>
      <c r="F1327" s="5774">
        <f t="shared" si="128"/>
        <v>5000000</v>
      </c>
      <c r="G1327" s="5774">
        <v>5000000</v>
      </c>
      <c r="H1327" s="5774" t="s">
        <v>7424</v>
      </c>
      <c r="I1327" s="5774" t="s">
        <v>1810</v>
      </c>
      <c r="J1327" s="5774">
        <f>G1327</f>
        <v>5000000</v>
      </c>
      <c r="K1327" s="5774">
        <f>F1327-J1327</f>
        <v>0</v>
      </c>
      <c r="L1327" s="5673"/>
      <c r="M1327" s="5682"/>
      <c r="N1327" s="5682"/>
      <c r="O1327" s="5682"/>
      <c r="P1327" s="386"/>
      <c r="Q1327" s="386"/>
    </row>
    <row r="1328" spans="1:17" s="1659" customFormat="1" ht="30" customHeight="1" x14ac:dyDescent="0.2">
      <c r="A1328" s="5609"/>
      <c r="B1328" s="4921" t="s">
        <v>6176</v>
      </c>
      <c r="C1328" s="5634"/>
      <c r="D1328" s="5595"/>
      <c r="E1328" s="5595"/>
      <c r="F1328" s="5595"/>
      <c r="G1328" s="5594"/>
      <c r="H1328" s="5594"/>
      <c r="I1328" s="5594" t="s">
        <v>6177</v>
      </c>
      <c r="J1328" s="5594">
        <f>G1328</f>
        <v>0</v>
      </c>
      <c r="K1328" s="5611">
        <f>F1328-J1328</f>
        <v>0</v>
      </c>
      <c r="L1328" s="5673"/>
      <c r="M1328" s="5682"/>
      <c r="N1328" s="5682"/>
      <c r="O1328" s="5682"/>
      <c r="P1328" s="386"/>
      <c r="Q1328" s="386"/>
    </row>
    <row r="1329" spans="1:17" s="1659" customFormat="1" ht="30" customHeight="1" x14ac:dyDescent="0.2">
      <c r="A1329" s="7703"/>
      <c r="B1329" s="7703" t="s">
        <v>6295</v>
      </c>
      <c r="C1329" s="7723" t="s">
        <v>262</v>
      </c>
      <c r="D1329" s="7563">
        <v>50000000</v>
      </c>
      <c r="E1329" s="7659">
        <v>7.0000000000000007E-2</v>
      </c>
      <c r="F1329" s="7563">
        <f>D1329*E1329</f>
        <v>3500000.0000000005</v>
      </c>
      <c r="G1329" s="7991" t="s">
        <v>5756</v>
      </c>
      <c r="H1329" s="7992"/>
      <c r="I1329" s="7992"/>
      <c r="J1329" s="7993"/>
      <c r="K1329" s="5611"/>
      <c r="L1329" s="5673" t="s">
        <v>5631</v>
      </c>
      <c r="M1329" s="5682"/>
      <c r="N1329" s="5682"/>
      <c r="O1329" s="5682"/>
      <c r="P1329" s="386"/>
      <c r="Q1329" s="386"/>
    </row>
    <row r="1330" spans="1:17" s="1659" customFormat="1" ht="30" customHeight="1" x14ac:dyDescent="0.2">
      <c r="A1330" s="7704"/>
      <c r="B1330" s="7704"/>
      <c r="C1330" s="7747"/>
      <c r="D1330" s="7564"/>
      <c r="E1330" s="7660"/>
      <c r="F1330" s="7564"/>
      <c r="G1330" s="5586"/>
      <c r="H1330" s="5586"/>
      <c r="I1330" s="5586" t="s">
        <v>6527</v>
      </c>
      <c r="J1330" s="5586">
        <f>G1330</f>
        <v>0</v>
      </c>
      <c r="K1330" s="5611"/>
      <c r="L1330" s="5673" t="s">
        <v>5632</v>
      </c>
      <c r="M1330" s="5682"/>
      <c r="N1330" s="5682"/>
      <c r="O1330" s="5682"/>
      <c r="P1330" s="386"/>
      <c r="Q1330" s="386"/>
    </row>
    <row r="1331" spans="1:17" s="1659" customFormat="1" ht="30" customHeight="1" x14ac:dyDescent="0.2">
      <c r="A1331" s="7704"/>
      <c r="B1331" s="7704"/>
      <c r="C1331" s="7747"/>
      <c r="D1331" s="8378">
        <v>1000000000</v>
      </c>
      <c r="E1331" s="8375"/>
      <c r="F1331" s="8378"/>
      <c r="G1331" s="8384" t="s">
        <v>6184</v>
      </c>
      <c r="H1331" s="8385"/>
      <c r="I1331" s="8385"/>
      <c r="J1331" s="8386"/>
      <c r="K1331" s="5727"/>
      <c r="L1331" s="4619" t="s">
        <v>6183</v>
      </c>
      <c r="M1331" s="5682"/>
      <c r="N1331" s="5682"/>
      <c r="O1331" s="5682"/>
      <c r="P1331" s="386"/>
      <c r="Q1331" s="386"/>
    </row>
    <row r="1332" spans="1:17" s="1659" customFormat="1" ht="30" customHeight="1" x14ac:dyDescent="0.2">
      <c r="A1332" s="7704"/>
      <c r="B1332" s="7704"/>
      <c r="C1332" s="7747"/>
      <c r="D1332" s="8379"/>
      <c r="E1332" s="8376"/>
      <c r="F1332" s="8379"/>
      <c r="G1332" s="8387" t="s">
        <v>6185</v>
      </c>
      <c r="H1332" s="8388"/>
      <c r="I1332" s="8388"/>
      <c r="J1332" s="8389"/>
      <c r="K1332" s="5727"/>
      <c r="L1332" s="4619" t="s">
        <v>6182</v>
      </c>
      <c r="M1332" s="5682"/>
      <c r="N1332" s="5682"/>
      <c r="O1332" s="5682"/>
      <c r="P1332" s="386"/>
      <c r="Q1332" s="386"/>
    </row>
    <row r="1333" spans="1:17" s="1659" customFormat="1" ht="30" customHeight="1" x14ac:dyDescent="0.2">
      <c r="A1333" s="7704"/>
      <c r="B1333" s="7704"/>
      <c r="C1333" s="7747"/>
      <c r="D1333" s="8379"/>
      <c r="E1333" s="8376"/>
      <c r="F1333" s="8379"/>
      <c r="G1333" s="7732" t="s">
        <v>6346</v>
      </c>
      <c r="H1333" s="7733"/>
      <c r="I1333" s="7733"/>
      <c r="J1333" s="7734"/>
      <c r="K1333" s="5727"/>
      <c r="L1333" s="4619"/>
      <c r="M1333" s="5682"/>
      <c r="N1333" s="5682"/>
      <c r="O1333" s="5682"/>
      <c r="P1333" s="386"/>
      <c r="Q1333" s="386"/>
    </row>
    <row r="1334" spans="1:17" s="1659" customFormat="1" ht="30" customHeight="1" x14ac:dyDescent="0.2">
      <c r="A1334" s="7704"/>
      <c r="B1334" s="7704"/>
      <c r="C1334" s="7747"/>
      <c r="D1334" s="8379"/>
      <c r="E1334" s="8376"/>
      <c r="F1334" s="8379"/>
      <c r="G1334" s="7732" t="s">
        <v>6340</v>
      </c>
      <c r="H1334" s="7733"/>
      <c r="I1334" s="7733"/>
      <c r="J1334" s="7734"/>
      <c r="K1334" s="5727"/>
      <c r="L1334" s="4619"/>
      <c r="M1334" s="5682"/>
      <c r="N1334" s="5682"/>
      <c r="O1334" s="5682"/>
      <c r="P1334" s="386"/>
      <c r="Q1334" s="386"/>
    </row>
    <row r="1335" spans="1:17" s="1659" customFormat="1" ht="30" customHeight="1" x14ac:dyDescent="0.2">
      <c r="A1335" s="7704"/>
      <c r="B1335" s="7704"/>
      <c r="C1335" s="7747"/>
      <c r="D1335" s="8379"/>
      <c r="E1335" s="8376"/>
      <c r="F1335" s="8379"/>
      <c r="G1335" s="7732" t="s">
        <v>6348</v>
      </c>
      <c r="H1335" s="7733"/>
      <c r="I1335" s="7733"/>
      <c r="J1335" s="7734"/>
      <c r="K1335" s="5727"/>
      <c r="L1335" s="4619"/>
      <c r="M1335" s="5682"/>
      <c r="N1335" s="5682"/>
      <c r="O1335" s="5682"/>
      <c r="P1335" s="386"/>
      <c r="Q1335" s="386"/>
    </row>
    <row r="1336" spans="1:17" s="1659" customFormat="1" ht="30" customHeight="1" x14ac:dyDescent="0.2">
      <c r="A1336" s="7704"/>
      <c r="B1336" s="7704"/>
      <c r="C1336" s="7747"/>
      <c r="D1336" s="8379"/>
      <c r="E1336" s="8376"/>
      <c r="F1336" s="8379"/>
      <c r="G1336" s="7732" t="s">
        <v>6347</v>
      </c>
      <c r="H1336" s="7733"/>
      <c r="I1336" s="7733"/>
      <c r="J1336" s="7734"/>
      <c r="K1336" s="5727"/>
      <c r="L1336" s="4619"/>
      <c r="M1336" s="5682"/>
      <c r="N1336" s="5682"/>
      <c r="O1336" s="5682"/>
      <c r="P1336" s="386"/>
      <c r="Q1336" s="386"/>
    </row>
    <row r="1337" spans="1:17" s="1659" customFormat="1" ht="30" customHeight="1" x14ac:dyDescent="0.2">
      <c r="A1337" s="7704"/>
      <c r="B1337" s="7704"/>
      <c r="C1337" s="7747"/>
      <c r="D1337" s="8379"/>
      <c r="E1337" s="8376"/>
      <c r="F1337" s="8379"/>
      <c r="G1337" s="7732" t="s">
        <v>6341</v>
      </c>
      <c r="H1337" s="7733"/>
      <c r="I1337" s="7733"/>
      <c r="J1337" s="7734"/>
      <c r="K1337" s="5727"/>
      <c r="L1337" s="4619"/>
      <c r="M1337" s="5682"/>
      <c r="N1337" s="5682"/>
      <c r="O1337" s="5682"/>
      <c r="P1337" s="386"/>
      <c r="Q1337" s="386"/>
    </row>
    <row r="1338" spans="1:17" s="1659" customFormat="1" ht="30" customHeight="1" x14ac:dyDescent="0.2">
      <c r="A1338" s="7704"/>
      <c r="B1338" s="7704"/>
      <c r="C1338" s="7747"/>
      <c r="D1338" s="8379"/>
      <c r="E1338" s="8376"/>
      <c r="F1338" s="8379"/>
      <c r="G1338" s="7732" t="s">
        <v>6344</v>
      </c>
      <c r="H1338" s="7733"/>
      <c r="I1338" s="7733"/>
      <c r="J1338" s="7734"/>
      <c r="K1338" s="5727"/>
      <c r="L1338" s="4619"/>
      <c r="M1338" s="5682"/>
      <c r="N1338" s="5682"/>
      <c r="O1338" s="5682"/>
      <c r="P1338" s="386"/>
      <c r="Q1338" s="386"/>
    </row>
    <row r="1339" spans="1:17" s="1659" customFormat="1" ht="30" customHeight="1" x14ac:dyDescent="0.2">
      <c r="A1339" s="7704"/>
      <c r="B1339" s="7704"/>
      <c r="C1339" s="7747"/>
      <c r="D1339" s="8379"/>
      <c r="E1339" s="8376"/>
      <c r="F1339" s="8379"/>
      <c r="G1339" s="7732" t="s">
        <v>6345</v>
      </c>
      <c r="H1339" s="7733"/>
      <c r="I1339" s="7733"/>
      <c r="J1339" s="7734"/>
      <c r="K1339" s="5727"/>
      <c r="L1339" s="4619"/>
      <c r="M1339" s="5682"/>
      <c r="N1339" s="5682"/>
      <c r="O1339" s="5682"/>
      <c r="P1339" s="386"/>
      <c r="Q1339" s="386"/>
    </row>
    <row r="1340" spans="1:17" s="1659" customFormat="1" ht="30" customHeight="1" x14ac:dyDescent="0.2">
      <c r="A1340" s="7704"/>
      <c r="B1340" s="7704"/>
      <c r="C1340" s="7747"/>
      <c r="D1340" s="8379"/>
      <c r="E1340" s="8376"/>
      <c r="F1340" s="8379"/>
      <c r="G1340" s="7732" t="s">
        <v>6342</v>
      </c>
      <c r="H1340" s="7733"/>
      <c r="I1340" s="7733"/>
      <c r="J1340" s="7734"/>
      <c r="K1340" s="5727"/>
      <c r="L1340" s="4619"/>
      <c r="M1340" s="5682"/>
      <c r="N1340" s="5682"/>
      <c r="O1340" s="5682"/>
      <c r="P1340" s="386"/>
      <c r="Q1340" s="386"/>
    </row>
    <row r="1341" spans="1:17" s="1659" customFormat="1" ht="30" customHeight="1" x14ac:dyDescent="0.2">
      <c r="A1341" s="7704"/>
      <c r="B1341" s="7704"/>
      <c r="C1341" s="7747"/>
      <c r="D1341" s="8379"/>
      <c r="E1341" s="8376"/>
      <c r="F1341" s="8379"/>
      <c r="G1341" s="7732" t="s">
        <v>6343</v>
      </c>
      <c r="H1341" s="7733"/>
      <c r="I1341" s="7733"/>
      <c r="J1341" s="7734"/>
      <c r="K1341" s="5727"/>
      <c r="L1341" s="4619"/>
      <c r="M1341" s="5682"/>
      <c r="N1341" s="5682"/>
      <c r="O1341" s="5682"/>
      <c r="P1341" s="386"/>
      <c r="Q1341" s="386"/>
    </row>
    <row r="1342" spans="1:17" s="1659" customFormat="1" ht="30" customHeight="1" x14ac:dyDescent="0.2">
      <c r="A1342" s="7705"/>
      <c r="B1342" s="5659" t="s">
        <v>6819</v>
      </c>
      <c r="C1342" s="7724"/>
      <c r="D1342" s="8380"/>
      <c r="E1342" s="8377"/>
      <c r="F1342" s="8380"/>
      <c r="G1342" s="7732" t="s">
        <v>6349</v>
      </c>
      <c r="H1342" s="7733"/>
      <c r="I1342" s="7733"/>
      <c r="J1342" s="7734"/>
      <c r="K1342" s="5727"/>
      <c r="L1342" s="4619"/>
      <c r="M1342" s="5682"/>
      <c r="N1342" s="5682"/>
      <c r="O1342" s="5682"/>
      <c r="P1342" s="386"/>
      <c r="Q1342" s="386"/>
    </row>
    <row r="1343" spans="1:17" s="1659" customFormat="1" ht="30" customHeight="1" x14ac:dyDescent="0.2">
      <c r="A1343" s="7703"/>
      <c r="B1343" s="7652" t="s">
        <v>6295</v>
      </c>
      <c r="C1343" s="7723" t="s">
        <v>262</v>
      </c>
      <c r="D1343" s="6104">
        <f>977000000+D1329</f>
        <v>1027000000</v>
      </c>
      <c r="E1343" s="6114">
        <v>7.0000000000000007E-2</v>
      </c>
      <c r="F1343" s="6104">
        <f>D1343*E1343</f>
        <v>71890000</v>
      </c>
      <c r="G1343" s="7991" t="s">
        <v>7593</v>
      </c>
      <c r="H1343" s="7992"/>
      <c r="I1343" s="7992"/>
      <c r="J1343" s="7993"/>
      <c r="K1343" s="227"/>
      <c r="L1343" s="5673"/>
      <c r="M1343" s="5682"/>
      <c r="N1343" s="5682"/>
      <c r="O1343" s="5682"/>
      <c r="P1343" s="386"/>
      <c r="Q1343" s="386"/>
    </row>
    <row r="1344" spans="1:17" s="1659" customFormat="1" ht="30" customHeight="1" x14ac:dyDescent="0.2">
      <c r="A1344" s="7704"/>
      <c r="B1344" s="7665"/>
      <c r="C1344" s="7747"/>
      <c r="D1344" s="7563">
        <v>1032000000</v>
      </c>
      <c r="E1344" s="7659">
        <v>7.0000000000000007E-2</v>
      </c>
      <c r="F1344" s="7563">
        <f>D1344*E1344</f>
        <v>72240000</v>
      </c>
      <c r="G1344" s="6104">
        <v>50000000</v>
      </c>
      <c r="H1344" s="6104" t="s">
        <v>3879</v>
      </c>
      <c r="I1344" s="6104" t="s">
        <v>7011</v>
      </c>
      <c r="J1344" s="7563">
        <f>G1344+G1345+G1346</f>
        <v>72590000</v>
      </c>
      <c r="K1344" s="7586">
        <f>(F1344+350000)-J1344</f>
        <v>0</v>
      </c>
      <c r="L1344" s="5673"/>
      <c r="M1344" s="5682"/>
      <c r="N1344" s="5682"/>
      <c r="O1344" s="5682"/>
      <c r="P1344" s="386"/>
      <c r="Q1344" s="386"/>
    </row>
    <row r="1345" spans="1:17" s="1659" customFormat="1" ht="30" customHeight="1" x14ac:dyDescent="0.2">
      <c r="A1345" s="7704"/>
      <c r="B1345" s="7665"/>
      <c r="C1345" s="7747"/>
      <c r="D1345" s="7586"/>
      <c r="E1345" s="7676"/>
      <c r="F1345" s="7586"/>
      <c r="G1345" s="6103">
        <v>2590000</v>
      </c>
      <c r="H1345" s="6104" t="s">
        <v>3879</v>
      </c>
      <c r="I1345" s="6104" t="s">
        <v>7011</v>
      </c>
      <c r="J1345" s="7586"/>
      <c r="K1345" s="7586"/>
      <c r="L1345" s="6112"/>
      <c r="M1345" s="6119"/>
      <c r="N1345" s="6119"/>
      <c r="O1345" s="6119"/>
      <c r="P1345" s="386"/>
      <c r="Q1345" s="386"/>
    </row>
    <row r="1346" spans="1:17" s="1659" customFormat="1" ht="30" customHeight="1" x14ac:dyDescent="0.2">
      <c r="A1346" s="7705"/>
      <c r="B1346" s="7653"/>
      <c r="C1346" s="7724"/>
      <c r="D1346" s="7564"/>
      <c r="E1346" s="7660"/>
      <c r="F1346" s="7564"/>
      <c r="G1346" s="6103">
        <v>20000000</v>
      </c>
      <c r="H1346" s="6104" t="s">
        <v>7691</v>
      </c>
      <c r="I1346" s="6104" t="s">
        <v>7011</v>
      </c>
      <c r="J1346" s="7564"/>
      <c r="K1346" s="7564"/>
      <c r="L1346" s="6112"/>
      <c r="M1346" s="6119"/>
      <c r="N1346" s="6119"/>
      <c r="O1346" s="6119"/>
      <c r="P1346" s="386"/>
      <c r="Q1346" s="386"/>
    </row>
    <row r="1347" spans="1:17" s="1659" customFormat="1" ht="30" customHeight="1" x14ac:dyDescent="0.2">
      <c r="A1347" s="5675"/>
      <c r="B1347" s="5613" t="s">
        <v>6189</v>
      </c>
      <c r="C1347" s="5634" t="s">
        <v>392</v>
      </c>
      <c r="D1347" s="5594">
        <v>100000000</v>
      </c>
      <c r="E1347" s="5606">
        <v>0.04</v>
      </c>
      <c r="F1347" s="5594">
        <f>D1347*E1347</f>
        <v>4000000</v>
      </c>
      <c r="G1347" s="7732" t="s">
        <v>6284</v>
      </c>
      <c r="H1347" s="7733"/>
      <c r="I1347" s="7733"/>
      <c r="J1347" s="7734"/>
      <c r="K1347" s="5594"/>
      <c r="L1347" s="3476" t="s">
        <v>6190</v>
      </c>
      <c r="M1347" s="5682"/>
      <c r="N1347" s="5682"/>
      <c r="O1347" s="5682"/>
      <c r="P1347" s="386"/>
      <c r="Q1347" s="386"/>
    </row>
    <row r="1348" spans="1:17" s="1659" customFormat="1" ht="30" customHeight="1" x14ac:dyDescent="0.2">
      <c r="A1348" s="5675"/>
      <c r="B1348" s="4921" t="s">
        <v>6229</v>
      </c>
      <c r="C1348" s="5634"/>
      <c r="D1348" s="5594">
        <v>47000000</v>
      </c>
      <c r="E1348" s="5606">
        <v>4.2999999999999997E-2</v>
      </c>
      <c r="F1348" s="5594">
        <v>2000000</v>
      </c>
      <c r="G1348" s="5594">
        <v>2000000</v>
      </c>
      <c r="H1348" s="5594" t="s">
        <v>7460</v>
      </c>
      <c r="I1348" s="5643" t="s">
        <v>6230</v>
      </c>
      <c r="J1348" s="5594">
        <f>G1348</f>
        <v>2000000</v>
      </c>
      <c r="K1348" s="5594">
        <f>F1348-J1348</f>
        <v>0</v>
      </c>
      <c r="L1348" s="5673"/>
      <c r="M1348" s="5682"/>
      <c r="N1348" s="5682"/>
      <c r="O1348" s="5682"/>
      <c r="P1348" s="386"/>
      <c r="Q1348" s="386"/>
    </row>
    <row r="1349" spans="1:17" s="1659" customFormat="1" ht="30" customHeight="1" x14ac:dyDescent="0.2">
      <c r="A1349" s="5806"/>
      <c r="B1349" s="5785" t="s">
        <v>6271</v>
      </c>
      <c r="C1349" s="5797" t="s">
        <v>402</v>
      </c>
      <c r="D1349" s="5774">
        <v>150000000</v>
      </c>
      <c r="E1349" s="5795">
        <v>0.05</v>
      </c>
      <c r="F1349" s="5774">
        <f t="shared" ref="F1349:F1355" si="129">D1349*E1349</f>
        <v>7500000</v>
      </c>
      <c r="G1349" s="6009">
        <v>7500000</v>
      </c>
      <c r="H1349" s="6009" t="s">
        <v>7511</v>
      </c>
      <c r="I1349" s="6009" t="s">
        <v>6899</v>
      </c>
      <c r="J1349" s="6009">
        <f>G1349</f>
        <v>7500000</v>
      </c>
      <c r="K1349" s="5594">
        <f>F1349-J1349</f>
        <v>0</v>
      </c>
      <c r="L1349" s="5673" t="s">
        <v>7515</v>
      </c>
      <c r="M1349" s="5682"/>
      <c r="N1349" s="5682"/>
      <c r="O1349" s="5682"/>
      <c r="P1349" s="386"/>
      <c r="Q1349" s="386"/>
    </row>
    <row r="1350" spans="1:17" s="1659" customFormat="1" ht="30" customHeight="1" x14ac:dyDescent="0.2">
      <c r="A1350" s="5608"/>
      <c r="B1350" s="5601" t="s">
        <v>6667</v>
      </c>
      <c r="C1350" s="5635"/>
      <c r="D1350" s="5593">
        <v>50000000</v>
      </c>
      <c r="E1350" s="5605">
        <v>7.0000000000000007E-2</v>
      </c>
      <c r="F1350" s="5593">
        <f t="shared" si="129"/>
        <v>3500000.0000000005</v>
      </c>
      <c r="G1350" s="5586"/>
      <c r="H1350" s="5586"/>
      <c r="I1350" s="5586"/>
      <c r="J1350" s="5586"/>
      <c r="K1350" s="5594"/>
      <c r="L1350" s="5673"/>
      <c r="M1350" s="5682"/>
      <c r="N1350" s="5682"/>
      <c r="O1350" s="5682"/>
      <c r="P1350" s="386"/>
      <c r="Q1350" s="386"/>
    </row>
    <row r="1351" spans="1:17" s="1659" customFormat="1" ht="30" customHeight="1" x14ac:dyDescent="0.2">
      <c r="A1351" s="5806"/>
      <c r="B1351" s="5785" t="s">
        <v>6352</v>
      </c>
      <c r="C1351" s="5797" t="s">
        <v>1172</v>
      </c>
      <c r="D1351" s="5774">
        <v>100000000</v>
      </c>
      <c r="E1351" s="5795">
        <v>0.05</v>
      </c>
      <c r="F1351" s="5774">
        <f t="shared" si="129"/>
        <v>5000000</v>
      </c>
      <c r="G1351" s="5774">
        <v>5000000</v>
      </c>
      <c r="H1351" s="5774" t="s">
        <v>7424</v>
      </c>
      <c r="I1351" s="5774" t="s">
        <v>6830</v>
      </c>
      <c r="J1351" s="5774">
        <f>G1351</f>
        <v>5000000</v>
      </c>
      <c r="K1351" s="5774">
        <f>F1351-J1351</f>
        <v>0</v>
      </c>
      <c r="L1351" s="5673"/>
      <c r="M1351" s="5682"/>
      <c r="N1351" s="5682"/>
      <c r="O1351" s="5682"/>
      <c r="P1351" s="386"/>
      <c r="Q1351" s="386"/>
    </row>
    <row r="1352" spans="1:17" s="1659" customFormat="1" ht="30" customHeight="1" x14ac:dyDescent="0.2">
      <c r="A1352" s="5609"/>
      <c r="B1352" s="5602" t="s">
        <v>6306</v>
      </c>
      <c r="C1352" s="5634" t="s">
        <v>2644</v>
      </c>
      <c r="D1352" s="5594">
        <v>20000000</v>
      </c>
      <c r="E1352" s="5606">
        <v>0.06</v>
      </c>
      <c r="F1352" s="5594">
        <f t="shared" si="129"/>
        <v>1200000</v>
      </c>
      <c r="G1352" s="5594">
        <v>1200000</v>
      </c>
      <c r="H1352" s="5594" t="s">
        <v>7531</v>
      </c>
      <c r="I1352" s="5643" t="s">
        <v>6384</v>
      </c>
      <c r="J1352" s="5594">
        <f>G1352</f>
        <v>1200000</v>
      </c>
      <c r="K1352" s="5594">
        <f>F1352-J1352</f>
        <v>0</v>
      </c>
      <c r="L1352" s="5673"/>
      <c r="M1352" s="5682"/>
      <c r="N1352" s="5682"/>
      <c r="O1352" s="5682"/>
      <c r="P1352" s="386"/>
      <c r="Q1352" s="386"/>
    </row>
    <row r="1353" spans="1:17" s="1659" customFormat="1" ht="30" customHeight="1" x14ac:dyDescent="0.2">
      <c r="A1353" s="5782"/>
      <c r="B1353" s="5785" t="s">
        <v>6371</v>
      </c>
      <c r="C1353" s="5797"/>
      <c r="D1353" s="5774">
        <v>100000000</v>
      </c>
      <c r="E1353" s="5795">
        <v>0.05</v>
      </c>
      <c r="F1353" s="5774">
        <f t="shared" si="129"/>
        <v>5000000</v>
      </c>
      <c r="G1353" s="5586">
        <v>5000000</v>
      </c>
      <c r="H1353" s="5586" t="s">
        <v>3879</v>
      </c>
      <c r="I1353" s="5586" t="s">
        <v>1574</v>
      </c>
      <c r="J1353" s="5776">
        <f>G1353</f>
        <v>5000000</v>
      </c>
      <c r="K1353" s="5774">
        <f>F1353-J1353</f>
        <v>0</v>
      </c>
      <c r="L1353" s="5673"/>
      <c r="M1353" s="5682"/>
      <c r="N1353" s="5682"/>
      <c r="O1353" s="5682"/>
      <c r="P1353" s="386"/>
      <c r="Q1353" s="386"/>
    </row>
    <row r="1354" spans="1:17" s="1659" customFormat="1" ht="30" customHeight="1" x14ac:dyDescent="0.2">
      <c r="A1354" s="5806"/>
      <c r="B1354" s="5785" t="s">
        <v>6377</v>
      </c>
      <c r="C1354" s="5797"/>
      <c r="D1354" s="5774">
        <v>100000000</v>
      </c>
      <c r="E1354" s="5795">
        <v>0.06</v>
      </c>
      <c r="F1354" s="5774">
        <f t="shared" si="129"/>
        <v>6000000</v>
      </c>
      <c r="G1354" s="5774"/>
      <c r="H1354" s="5774"/>
      <c r="I1354" s="5774"/>
      <c r="J1354" s="5774"/>
      <c r="K1354" s="5594"/>
      <c r="L1354" s="5673"/>
      <c r="M1354" s="5682"/>
      <c r="N1354" s="5682"/>
      <c r="O1354" s="5682"/>
      <c r="P1354" s="386"/>
      <c r="Q1354" s="386"/>
    </row>
    <row r="1355" spans="1:17" s="1659" customFormat="1" ht="30" customHeight="1" x14ac:dyDescent="0.2">
      <c r="A1355" s="5782"/>
      <c r="B1355" s="5785" t="s">
        <v>6401</v>
      </c>
      <c r="C1355" s="5797"/>
      <c r="D1355" s="5774">
        <v>20000000</v>
      </c>
      <c r="E1355" s="5795">
        <v>0.05</v>
      </c>
      <c r="F1355" s="5774">
        <f t="shared" si="129"/>
        <v>1000000</v>
      </c>
      <c r="G1355" s="5594">
        <v>1000000</v>
      </c>
      <c r="H1355" s="5594" t="s">
        <v>7709</v>
      </c>
      <c r="I1355" s="5643" t="s">
        <v>6402</v>
      </c>
      <c r="J1355" s="5594">
        <f>G1355</f>
        <v>1000000</v>
      </c>
      <c r="K1355" s="5594">
        <f>F1355-J1355</f>
        <v>0</v>
      </c>
      <c r="L1355" s="5673"/>
      <c r="M1355" s="5682"/>
      <c r="N1355" s="5682"/>
      <c r="O1355" s="5682"/>
      <c r="P1355" s="386"/>
      <c r="Q1355" s="386"/>
    </row>
    <row r="1356" spans="1:17" s="1659" customFormat="1" ht="30" customHeight="1" x14ac:dyDescent="0.2">
      <c r="A1356" s="5806"/>
      <c r="B1356" s="5785" t="s">
        <v>6415</v>
      </c>
      <c r="C1356" s="5797"/>
      <c r="D1356" s="5774">
        <v>90000000</v>
      </c>
      <c r="E1356" s="5795">
        <v>5.5E-2</v>
      </c>
      <c r="F1356" s="5774">
        <v>5000000</v>
      </c>
      <c r="G1356" s="5774">
        <v>5000000</v>
      </c>
      <c r="H1356" s="5774" t="s">
        <v>7691</v>
      </c>
      <c r="I1356" s="5774" t="s">
        <v>7068</v>
      </c>
      <c r="J1356" s="5774">
        <f>G1356</f>
        <v>5000000</v>
      </c>
      <c r="K1356" s="5774">
        <f>F1356-J1356</f>
        <v>0</v>
      </c>
      <c r="L1356" s="5774"/>
      <c r="M1356" s="5682"/>
      <c r="N1356" s="5682"/>
      <c r="O1356" s="5682"/>
      <c r="P1356" s="386"/>
      <c r="Q1356" s="386"/>
    </row>
    <row r="1357" spans="1:17" s="1659" customFormat="1" ht="30" customHeight="1" x14ac:dyDescent="0.2">
      <c r="A1357" s="7703"/>
      <c r="B1357" s="7652" t="s">
        <v>6433</v>
      </c>
      <c r="C1357" s="7723"/>
      <c r="D1357" s="7563">
        <v>100000000</v>
      </c>
      <c r="E1357" s="7659">
        <v>0.05</v>
      </c>
      <c r="F1357" s="7563">
        <f t="shared" ref="F1357:F1381" si="130">D1357*E1357</f>
        <v>5000000</v>
      </c>
      <c r="G1357" s="5774">
        <v>5000000</v>
      </c>
      <c r="H1357" s="5774" t="s">
        <v>7281</v>
      </c>
      <c r="I1357" s="5774" t="s">
        <v>7288</v>
      </c>
      <c r="J1357" s="5774">
        <f>G1357</f>
        <v>5000000</v>
      </c>
      <c r="K1357" s="5594">
        <f>F1357-J1357</f>
        <v>0</v>
      </c>
      <c r="L1357" s="5673" t="s">
        <v>6807</v>
      </c>
      <c r="M1357" s="5682"/>
      <c r="N1357" s="5682"/>
      <c r="O1357" s="5682"/>
      <c r="P1357" s="386"/>
      <c r="Q1357" s="386"/>
    </row>
    <row r="1358" spans="1:17" s="1659" customFormat="1" ht="30" customHeight="1" x14ac:dyDescent="0.2">
      <c r="A1358" s="7705"/>
      <c r="B1358" s="7653"/>
      <c r="C1358" s="7724"/>
      <c r="D1358" s="7564"/>
      <c r="E1358" s="7660"/>
      <c r="F1358" s="7564"/>
      <c r="G1358" s="6242">
        <v>5000000</v>
      </c>
      <c r="H1358" s="6242" t="s">
        <v>7723</v>
      </c>
      <c r="I1358" s="6242" t="s">
        <v>7725</v>
      </c>
      <c r="J1358" s="6242">
        <f>G1358</f>
        <v>5000000</v>
      </c>
      <c r="K1358" s="6244">
        <f>F1357-J1358</f>
        <v>0</v>
      </c>
      <c r="L1358" s="6245" t="s">
        <v>7501</v>
      </c>
      <c r="M1358" s="6256"/>
      <c r="N1358" s="6256"/>
      <c r="O1358" s="6256"/>
      <c r="P1358" s="386"/>
      <c r="Q1358" s="386"/>
    </row>
    <row r="1359" spans="1:17" s="1659" customFormat="1" ht="30" customHeight="1" x14ac:dyDescent="0.2">
      <c r="A1359" s="5806"/>
      <c r="B1359" s="5785" t="s">
        <v>6470</v>
      </c>
      <c r="C1359" s="5797"/>
      <c r="D1359" s="5774">
        <v>25000000</v>
      </c>
      <c r="E1359" s="5795">
        <v>0.05</v>
      </c>
      <c r="F1359" s="5774">
        <f t="shared" si="130"/>
        <v>1250000</v>
      </c>
      <c r="G1359" s="5774"/>
      <c r="H1359" s="5774"/>
      <c r="I1359" s="5774"/>
      <c r="J1359" s="5774"/>
      <c r="K1359" s="5594"/>
      <c r="L1359" s="5673"/>
      <c r="M1359" s="5682"/>
      <c r="N1359" s="5682"/>
      <c r="O1359" s="5682"/>
      <c r="P1359" s="386"/>
      <c r="Q1359" s="386"/>
    </row>
    <row r="1360" spans="1:17" s="1659" customFormat="1" ht="30" customHeight="1" x14ac:dyDescent="0.2">
      <c r="A1360" s="7703"/>
      <c r="B1360" s="7652" t="s">
        <v>6507</v>
      </c>
      <c r="C1360" s="7723"/>
      <c r="D1360" s="7563">
        <v>100000000</v>
      </c>
      <c r="E1360" s="7659">
        <v>0.05</v>
      </c>
      <c r="F1360" s="7563">
        <f t="shared" si="130"/>
        <v>5000000</v>
      </c>
      <c r="G1360" s="5774">
        <v>5000000</v>
      </c>
      <c r="H1360" s="5774" t="s">
        <v>7281</v>
      </c>
      <c r="I1360" s="5774" t="s">
        <v>7284</v>
      </c>
      <c r="J1360" s="5774">
        <f>G1360</f>
        <v>5000000</v>
      </c>
      <c r="K1360" s="5594">
        <f>F1360-J1360</f>
        <v>0</v>
      </c>
      <c r="L1360" s="6306" t="s">
        <v>6807</v>
      </c>
      <c r="M1360" s="5682"/>
      <c r="N1360" s="5682"/>
      <c r="O1360" s="5682"/>
      <c r="P1360" s="386"/>
      <c r="Q1360" s="386"/>
    </row>
    <row r="1361" spans="1:17" s="1659" customFormat="1" ht="30" customHeight="1" x14ac:dyDescent="0.2">
      <c r="A1361" s="7705"/>
      <c r="B1361" s="7653"/>
      <c r="C1361" s="7724"/>
      <c r="D1361" s="7564"/>
      <c r="E1361" s="7660"/>
      <c r="F1361" s="7564"/>
      <c r="G1361" s="6301">
        <v>5000000</v>
      </c>
      <c r="H1361" s="6301" t="s">
        <v>7774</v>
      </c>
      <c r="I1361" s="6301" t="s">
        <v>7775</v>
      </c>
      <c r="J1361" s="6301">
        <f>G1361</f>
        <v>5000000</v>
      </c>
      <c r="K1361" s="6305">
        <f>F1360-J1361</f>
        <v>0</v>
      </c>
      <c r="L1361" s="6306" t="s">
        <v>7501</v>
      </c>
      <c r="M1361" s="6341"/>
      <c r="N1361" s="6341"/>
      <c r="O1361" s="6341"/>
      <c r="P1361" s="386"/>
      <c r="Q1361" s="386"/>
    </row>
    <row r="1362" spans="1:17" s="1659" customFormat="1" ht="30" customHeight="1" x14ac:dyDescent="0.2">
      <c r="A1362" s="5806"/>
      <c r="B1362" s="5785" t="s">
        <v>6524</v>
      </c>
      <c r="C1362" s="5797"/>
      <c r="D1362" s="5774">
        <v>200000000</v>
      </c>
      <c r="E1362" s="5795">
        <v>0.05</v>
      </c>
      <c r="F1362" s="5774">
        <f t="shared" si="130"/>
        <v>10000000</v>
      </c>
      <c r="G1362" s="5774">
        <v>10000000</v>
      </c>
      <c r="H1362" s="5774" t="s">
        <v>7668</v>
      </c>
      <c r="I1362" s="5774" t="s">
        <v>7209</v>
      </c>
      <c r="J1362" s="5774">
        <f>G1362</f>
        <v>10000000</v>
      </c>
      <c r="K1362" s="5774">
        <f>F1362-J1362</f>
        <v>0</v>
      </c>
      <c r="L1362" s="5673"/>
      <c r="M1362" s="5682"/>
      <c r="N1362" s="5682"/>
      <c r="O1362" s="5682"/>
      <c r="P1362" s="386"/>
      <c r="Q1362" s="386"/>
    </row>
    <row r="1363" spans="1:17" s="1659" customFormat="1" ht="30" customHeight="1" x14ac:dyDescent="0.2">
      <c r="A1363" s="5609"/>
      <c r="B1363" s="5602" t="s">
        <v>6544</v>
      </c>
      <c r="C1363" s="5634"/>
      <c r="D1363" s="5594">
        <v>316000000</v>
      </c>
      <c r="E1363" s="5606">
        <v>7.0000000000000007E-2</v>
      </c>
      <c r="F1363" s="5594">
        <f t="shared" si="130"/>
        <v>22120000.000000004</v>
      </c>
      <c r="G1363" s="5586">
        <v>22120000</v>
      </c>
      <c r="H1363" s="5586" t="s">
        <v>7718</v>
      </c>
      <c r="I1363" s="5586" t="s">
        <v>6545</v>
      </c>
      <c r="J1363" s="5586">
        <f>G1363</f>
        <v>22120000</v>
      </c>
      <c r="K1363" s="5594">
        <f>F1363-J1363</f>
        <v>0</v>
      </c>
      <c r="L1363" s="5673"/>
      <c r="M1363" s="5682"/>
      <c r="N1363" s="5682"/>
      <c r="O1363" s="5682"/>
      <c r="P1363" s="386"/>
      <c r="Q1363" s="386"/>
    </row>
    <row r="1364" spans="1:17" s="1659" customFormat="1" ht="30" customHeight="1" x14ac:dyDescent="0.2">
      <c r="A1364" s="5782"/>
      <c r="B1364" s="5785" t="s">
        <v>6548</v>
      </c>
      <c r="C1364" s="5797"/>
      <c r="D1364" s="5774">
        <v>40000000</v>
      </c>
      <c r="E1364" s="5795">
        <v>0.05</v>
      </c>
      <c r="F1364" s="5774">
        <f t="shared" si="130"/>
        <v>2000000</v>
      </c>
      <c r="G1364" s="5774">
        <v>2000000</v>
      </c>
      <c r="H1364" s="5774" t="s">
        <v>2830</v>
      </c>
      <c r="I1364" s="5774" t="s">
        <v>7648</v>
      </c>
      <c r="J1364" s="5774">
        <f>G1364</f>
        <v>2000000</v>
      </c>
      <c r="K1364" s="5774">
        <f>F1364-J1364</f>
        <v>0</v>
      </c>
      <c r="L1364" s="5673"/>
      <c r="M1364" s="5682"/>
      <c r="N1364" s="5682"/>
      <c r="O1364" s="5682"/>
      <c r="P1364" s="386"/>
      <c r="Q1364" s="386"/>
    </row>
    <row r="1365" spans="1:17" s="1659" customFormat="1" ht="30" customHeight="1" x14ac:dyDescent="0.2">
      <c r="A1365" s="5609"/>
      <c r="B1365" s="5612" t="s">
        <v>6550</v>
      </c>
      <c r="C1365" s="5671"/>
      <c r="D1365" s="5611">
        <v>60000000</v>
      </c>
      <c r="E1365" s="5618">
        <v>0.05</v>
      </c>
      <c r="F1365" s="5611">
        <f t="shared" si="130"/>
        <v>3000000</v>
      </c>
      <c r="G1365" s="5595"/>
      <c r="H1365" s="5595"/>
      <c r="I1365" s="5595"/>
      <c r="J1365" s="5595"/>
      <c r="K1365" s="5611"/>
      <c r="L1365" s="3476" t="s">
        <v>6551</v>
      </c>
      <c r="M1365" s="5682"/>
      <c r="N1365" s="5682"/>
      <c r="O1365" s="5682"/>
      <c r="P1365" s="386"/>
      <c r="Q1365" s="386"/>
    </row>
    <row r="1366" spans="1:17" s="1659" customFormat="1" ht="30" customHeight="1" x14ac:dyDescent="0.2">
      <c r="A1366" s="5609"/>
      <c r="B1366" s="5602" t="s">
        <v>6574</v>
      </c>
      <c r="C1366" s="5634" t="s">
        <v>1299</v>
      </c>
      <c r="D1366" s="5594">
        <v>50000000</v>
      </c>
      <c r="E1366" s="5606">
        <v>0.05</v>
      </c>
      <c r="F1366" s="5594">
        <f t="shared" si="130"/>
        <v>2500000</v>
      </c>
      <c r="G1366" s="5594">
        <v>2500000</v>
      </c>
      <c r="H1366" s="5594" t="s">
        <v>7723</v>
      </c>
      <c r="I1366" s="5643" t="s">
        <v>6575</v>
      </c>
      <c r="J1366" s="5594">
        <f>G1366</f>
        <v>2500000</v>
      </c>
      <c r="K1366" s="5594">
        <f>F1366-J1366</f>
        <v>0</v>
      </c>
      <c r="L1366" s="5673" t="s">
        <v>6576</v>
      </c>
      <c r="M1366" s="5682"/>
      <c r="N1366" s="5682"/>
      <c r="O1366" s="5682"/>
      <c r="P1366" s="386"/>
      <c r="Q1366" s="386"/>
    </row>
    <row r="1367" spans="1:17" s="1659" customFormat="1" ht="30" customHeight="1" x14ac:dyDescent="0.2">
      <c r="A1367" s="5806"/>
      <c r="B1367" s="5785" t="s">
        <v>6585</v>
      </c>
      <c r="C1367" s="5797" t="s">
        <v>372</v>
      </c>
      <c r="D1367" s="5774">
        <v>20000000</v>
      </c>
      <c r="E1367" s="5795">
        <v>0.05</v>
      </c>
      <c r="F1367" s="5774">
        <f t="shared" si="130"/>
        <v>1000000</v>
      </c>
      <c r="G1367" s="5774">
        <v>1000000</v>
      </c>
      <c r="H1367" s="5774" t="s">
        <v>3879</v>
      </c>
      <c r="I1367" s="5774" t="s">
        <v>2967</v>
      </c>
      <c r="J1367" s="5774">
        <f>G1367</f>
        <v>1000000</v>
      </c>
      <c r="K1367" s="5594">
        <f>F1367-J1367</f>
        <v>0</v>
      </c>
      <c r="L1367" s="5673" t="s">
        <v>6586</v>
      </c>
      <c r="M1367" s="5682"/>
      <c r="N1367" s="5682"/>
      <c r="O1367" s="5682"/>
      <c r="P1367" s="386"/>
      <c r="Q1367" s="386"/>
    </row>
    <row r="1368" spans="1:17" s="1659" customFormat="1" ht="30" customHeight="1" x14ac:dyDescent="0.2">
      <c r="A1368" s="7703"/>
      <c r="B1368" s="7652" t="s">
        <v>6587</v>
      </c>
      <c r="C1368" s="7723"/>
      <c r="D1368" s="5594">
        <v>44000000</v>
      </c>
      <c r="E1368" s="5606">
        <v>0.05</v>
      </c>
      <c r="F1368" s="5594">
        <f t="shared" si="130"/>
        <v>2200000</v>
      </c>
      <c r="G1368" s="5594"/>
      <c r="H1368" s="5594"/>
      <c r="I1368" s="5643"/>
      <c r="J1368" s="5594"/>
      <c r="K1368" s="5594"/>
      <c r="L1368" s="5673" t="s">
        <v>6588</v>
      </c>
      <c r="M1368" s="5682"/>
      <c r="N1368" s="5682"/>
      <c r="O1368" s="5682"/>
      <c r="P1368" s="386"/>
      <c r="Q1368" s="386"/>
    </row>
    <row r="1369" spans="1:17" s="1659" customFormat="1" ht="30" customHeight="1" x14ac:dyDescent="0.2">
      <c r="A1369" s="7704"/>
      <c r="B1369" s="7665"/>
      <c r="C1369" s="7747"/>
      <c r="D1369" s="7494" t="s">
        <v>7512</v>
      </c>
      <c r="E1369" s="7495"/>
      <c r="F1369" s="7768"/>
      <c r="G1369" s="5956">
        <v>25000000</v>
      </c>
      <c r="H1369" s="5956" t="s">
        <v>7460</v>
      </c>
      <c r="I1369" s="5956" t="s">
        <v>815</v>
      </c>
      <c r="J1369" s="7563">
        <f>G1369+G1370+G1371</f>
        <v>108500000</v>
      </c>
      <c r="K1369" s="7563">
        <f>100000000-J1369</f>
        <v>-8500000</v>
      </c>
      <c r="L1369" s="5985"/>
      <c r="M1369" s="5992"/>
      <c r="N1369" s="5992"/>
      <c r="O1369" s="5992"/>
      <c r="P1369" s="386"/>
      <c r="Q1369" s="386"/>
    </row>
    <row r="1370" spans="1:17" s="1659" customFormat="1" ht="30" customHeight="1" x14ac:dyDescent="0.2">
      <c r="A1370" s="7704"/>
      <c r="B1370" s="7665"/>
      <c r="C1370" s="7747"/>
      <c r="D1370" s="7877"/>
      <c r="E1370" s="7524"/>
      <c r="F1370" s="7878"/>
      <c r="G1370" s="5956">
        <v>55000000</v>
      </c>
      <c r="H1370" s="5956" t="s">
        <v>4168</v>
      </c>
      <c r="I1370" s="5956" t="s">
        <v>815</v>
      </c>
      <c r="J1370" s="7586"/>
      <c r="K1370" s="7586"/>
      <c r="L1370" s="5985"/>
      <c r="M1370" s="5992"/>
      <c r="N1370" s="5992"/>
      <c r="O1370" s="5992"/>
      <c r="P1370" s="386"/>
      <c r="Q1370" s="386"/>
    </row>
    <row r="1371" spans="1:17" s="1659" customFormat="1" ht="30" customHeight="1" x14ac:dyDescent="0.2">
      <c r="A1371" s="7705"/>
      <c r="B1371" s="7653"/>
      <c r="C1371" s="7724"/>
      <c r="D1371" s="7769"/>
      <c r="E1371" s="7805"/>
      <c r="F1371" s="7770"/>
      <c r="G1371" s="5956">
        <v>28500000</v>
      </c>
      <c r="H1371" s="5956" t="s">
        <v>7511</v>
      </c>
      <c r="I1371" s="5956" t="s">
        <v>815</v>
      </c>
      <c r="J1371" s="7564"/>
      <c r="K1371" s="7564"/>
      <c r="L1371" s="5985"/>
      <c r="M1371" s="5992"/>
      <c r="N1371" s="5992"/>
      <c r="O1371" s="5992"/>
      <c r="P1371" s="386"/>
      <c r="Q1371" s="386"/>
    </row>
    <row r="1372" spans="1:17" s="1659" customFormat="1" ht="30" customHeight="1" x14ac:dyDescent="0.2">
      <c r="A1372" s="7703"/>
      <c r="B1372" s="7652" t="s">
        <v>6550</v>
      </c>
      <c r="C1372" s="7723" t="s">
        <v>1652</v>
      </c>
      <c r="D1372" s="5594">
        <v>50000000</v>
      </c>
      <c r="E1372" s="5606">
        <v>0.05</v>
      </c>
      <c r="F1372" s="5594">
        <f t="shared" si="130"/>
        <v>2500000</v>
      </c>
      <c r="G1372" s="7991" t="s">
        <v>6590</v>
      </c>
      <c r="H1372" s="7992"/>
      <c r="I1372" s="7992"/>
      <c r="J1372" s="7993"/>
      <c r="K1372" s="5594"/>
      <c r="L1372" s="5673" t="s">
        <v>6592</v>
      </c>
      <c r="M1372" s="5682"/>
      <c r="N1372" s="5682"/>
      <c r="O1372" s="5682"/>
      <c r="P1372" s="386"/>
      <c r="Q1372" s="386"/>
    </row>
    <row r="1373" spans="1:17" s="1659" customFormat="1" ht="30" customHeight="1" x14ac:dyDescent="0.2">
      <c r="A1373" s="7704"/>
      <c r="B1373" s="7665"/>
      <c r="C1373" s="7747"/>
      <c r="D1373" s="5594">
        <v>10000000</v>
      </c>
      <c r="E1373" s="5606">
        <v>0.05</v>
      </c>
      <c r="F1373" s="5594">
        <f t="shared" si="130"/>
        <v>500000</v>
      </c>
      <c r="G1373" s="7997"/>
      <c r="H1373" s="7998"/>
      <c r="I1373" s="7998"/>
      <c r="J1373" s="7999"/>
      <c r="K1373" s="5594"/>
      <c r="L1373" s="5673" t="s">
        <v>6593</v>
      </c>
      <c r="M1373" s="5682"/>
      <c r="N1373" s="5682"/>
      <c r="O1373" s="5682"/>
      <c r="P1373" s="386"/>
      <c r="Q1373" s="386"/>
    </row>
    <row r="1374" spans="1:17" s="1659" customFormat="1" ht="30" customHeight="1" x14ac:dyDescent="0.2">
      <c r="A1374" s="7705"/>
      <c r="B1374" s="7653"/>
      <c r="C1374" s="7724"/>
      <c r="D1374" s="5594">
        <v>90000000</v>
      </c>
      <c r="E1374" s="5606">
        <v>0.05</v>
      </c>
      <c r="F1374" s="5594">
        <f t="shared" si="130"/>
        <v>4500000</v>
      </c>
      <c r="G1374" s="5586">
        <v>7500000</v>
      </c>
      <c r="H1374" s="5586" t="s">
        <v>7528</v>
      </c>
      <c r="I1374" s="5586" t="s">
        <v>6901</v>
      </c>
      <c r="J1374" s="5586">
        <f>G1374</f>
        <v>7500000</v>
      </c>
      <c r="K1374" s="5594">
        <f>(F1372+F1373+F1374)-J1374</f>
        <v>0</v>
      </c>
      <c r="L1374" s="5673" t="s">
        <v>6591</v>
      </c>
      <c r="M1374" s="5682"/>
      <c r="N1374" s="5682"/>
      <c r="O1374" s="5682"/>
      <c r="P1374" s="386"/>
      <c r="Q1374" s="386"/>
    </row>
    <row r="1375" spans="1:17" s="1659" customFormat="1" ht="30" customHeight="1" x14ac:dyDescent="0.2">
      <c r="A1375" s="7703"/>
      <c r="B1375" s="7652" t="s">
        <v>6605</v>
      </c>
      <c r="C1375" s="7723" t="s">
        <v>3007</v>
      </c>
      <c r="D1375" s="7563">
        <v>40000000</v>
      </c>
      <c r="E1375" s="7659">
        <v>0.05</v>
      </c>
      <c r="F1375" s="7563">
        <f t="shared" si="130"/>
        <v>2000000</v>
      </c>
      <c r="G1375" s="7563">
        <v>2150000</v>
      </c>
      <c r="H1375" s="7846" t="s">
        <v>7709</v>
      </c>
      <c r="I1375" s="7563" t="s">
        <v>7713</v>
      </c>
      <c r="J1375" s="7563">
        <f>G1375</f>
        <v>2150000</v>
      </c>
      <c r="K1375" s="7563">
        <f>(F1375+F1377)-J1375</f>
        <v>0</v>
      </c>
      <c r="L1375" s="5673" t="s">
        <v>6608</v>
      </c>
      <c r="M1375" s="5682"/>
      <c r="N1375" s="5682"/>
      <c r="O1375" s="5682"/>
      <c r="P1375" s="386"/>
      <c r="Q1375" s="386"/>
    </row>
    <row r="1376" spans="1:17" s="1659" customFormat="1" ht="30" customHeight="1" x14ac:dyDescent="0.2">
      <c r="A1376" s="7704"/>
      <c r="B1376" s="7665"/>
      <c r="C1376" s="7747"/>
      <c r="D1376" s="7564"/>
      <c r="E1376" s="7660"/>
      <c r="F1376" s="7564"/>
      <c r="G1376" s="7586"/>
      <c r="H1376" s="7847"/>
      <c r="I1376" s="7586"/>
      <c r="J1376" s="7586"/>
      <c r="K1376" s="7586"/>
      <c r="L1376" s="5673" t="s">
        <v>6609</v>
      </c>
      <c r="M1376" s="5682"/>
      <c r="N1376" s="5682"/>
      <c r="O1376" s="5682"/>
      <c r="P1376" s="386"/>
      <c r="Q1376" s="386"/>
    </row>
    <row r="1377" spans="1:17" s="1659" customFormat="1" ht="30" customHeight="1" x14ac:dyDescent="0.2">
      <c r="A1377" s="7705"/>
      <c r="B1377" s="7653"/>
      <c r="C1377" s="7724"/>
      <c r="D1377" s="5594">
        <v>3000000</v>
      </c>
      <c r="E1377" s="5606">
        <v>0.05</v>
      </c>
      <c r="F1377" s="5594">
        <f t="shared" si="130"/>
        <v>150000</v>
      </c>
      <c r="G1377" s="7564"/>
      <c r="H1377" s="7848"/>
      <c r="I1377" s="7564"/>
      <c r="J1377" s="7564"/>
      <c r="K1377" s="7564"/>
      <c r="L1377" s="5805" t="s">
        <v>7056</v>
      </c>
      <c r="M1377" s="5682"/>
      <c r="N1377" s="5682"/>
      <c r="O1377" s="5682"/>
      <c r="P1377" s="386"/>
      <c r="Q1377" s="386"/>
    </row>
    <row r="1378" spans="1:17" s="1659" customFormat="1" ht="30" customHeight="1" x14ac:dyDescent="0.2">
      <c r="A1378" s="5806"/>
      <c r="B1378" s="5785" t="s">
        <v>6617</v>
      </c>
      <c r="C1378" s="5797"/>
      <c r="D1378" s="5774">
        <v>200000000</v>
      </c>
      <c r="E1378" s="5795">
        <v>6.5000000000000002E-2</v>
      </c>
      <c r="F1378" s="5774">
        <f t="shared" si="130"/>
        <v>13000000</v>
      </c>
      <c r="G1378" s="5774">
        <v>13000000</v>
      </c>
      <c r="H1378" s="5774" t="s">
        <v>7718</v>
      </c>
      <c r="I1378" s="5774" t="s">
        <v>7192</v>
      </c>
      <c r="J1378" s="5774">
        <f>G1378</f>
        <v>13000000</v>
      </c>
      <c r="K1378" s="5774">
        <f>F1378-J1378</f>
        <v>0</v>
      </c>
      <c r="L1378" s="5805" t="s">
        <v>6619</v>
      </c>
      <c r="M1378" s="5682"/>
      <c r="N1378" s="5682"/>
      <c r="O1378" s="5682"/>
      <c r="P1378" s="386"/>
      <c r="Q1378" s="386"/>
    </row>
    <row r="1379" spans="1:17" s="1659" customFormat="1" ht="30" customHeight="1" x14ac:dyDescent="0.2">
      <c r="A1379" s="7703"/>
      <c r="B1379" s="7652" t="s">
        <v>6618</v>
      </c>
      <c r="C1379" s="7723"/>
      <c r="D1379" s="7563">
        <v>100000000</v>
      </c>
      <c r="E1379" s="7659">
        <v>6.5000000000000002E-2</v>
      </c>
      <c r="F1379" s="7563">
        <f t="shared" si="130"/>
        <v>6500000</v>
      </c>
      <c r="G1379" s="5774">
        <v>6500000</v>
      </c>
      <c r="H1379" s="5774" t="s">
        <v>7298</v>
      </c>
      <c r="I1379" s="5774" t="s">
        <v>7299</v>
      </c>
      <c r="J1379" s="5774">
        <f>G1379</f>
        <v>6500000</v>
      </c>
      <c r="K1379" s="5594">
        <f>F1379-J1379</f>
        <v>0</v>
      </c>
      <c r="L1379" s="5673" t="s">
        <v>6620</v>
      </c>
      <c r="M1379" s="5682"/>
      <c r="N1379" s="5682"/>
      <c r="O1379" s="5682"/>
      <c r="P1379" s="386"/>
      <c r="Q1379" s="386"/>
    </row>
    <row r="1380" spans="1:17" s="1659" customFormat="1" ht="30" customHeight="1" x14ac:dyDescent="0.2">
      <c r="A1380" s="7705"/>
      <c r="B1380" s="7653"/>
      <c r="C1380" s="7724"/>
      <c r="D1380" s="7564"/>
      <c r="E1380" s="7660"/>
      <c r="F1380" s="7564"/>
      <c r="G1380" s="6244">
        <v>6500000</v>
      </c>
      <c r="H1380" s="6244" t="s">
        <v>7723</v>
      </c>
      <c r="I1380" s="6250" t="s">
        <v>7299</v>
      </c>
      <c r="J1380" s="6244">
        <f>G1380</f>
        <v>6500000</v>
      </c>
      <c r="K1380" s="6244">
        <f>F1379-J1380</f>
        <v>0</v>
      </c>
      <c r="L1380" s="6245" t="s">
        <v>7501</v>
      </c>
      <c r="M1380" s="6256"/>
      <c r="N1380" s="6256"/>
      <c r="O1380" s="6256"/>
      <c r="P1380" s="386"/>
      <c r="Q1380" s="386"/>
    </row>
    <row r="1381" spans="1:17" s="1659" customFormat="1" ht="30" customHeight="1" x14ac:dyDescent="0.2">
      <c r="A1381" s="5609"/>
      <c r="B1381" s="5602" t="s">
        <v>6633</v>
      </c>
      <c r="C1381" s="5634" t="s">
        <v>1306</v>
      </c>
      <c r="D1381" s="5594">
        <v>10000000</v>
      </c>
      <c r="E1381" s="5606">
        <v>7.0000000000000007E-2</v>
      </c>
      <c r="F1381" s="5594">
        <f t="shared" si="130"/>
        <v>700000.00000000012</v>
      </c>
      <c r="G1381" s="5594">
        <v>700000</v>
      </c>
      <c r="H1381" s="5594" t="s">
        <v>2830</v>
      </c>
      <c r="I1381" s="5643" t="s">
        <v>6634</v>
      </c>
      <c r="J1381" s="5594">
        <f>G1381</f>
        <v>700000</v>
      </c>
      <c r="K1381" s="5594">
        <f>F1381-J1381</f>
        <v>0</v>
      </c>
      <c r="L1381" s="5673" t="s">
        <v>7189</v>
      </c>
      <c r="M1381" s="5682"/>
      <c r="N1381" s="5682"/>
      <c r="O1381" s="5682"/>
      <c r="P1381" s="386"/>
      <c r="Q1381" s="386"/>
    </row>
    <row r="1382" spans="1:17" s="1659" customFormat="1" ht="30" customHeight="1" x14ac:dyDescent="0.2">
      <c r="A1382" s="5609"/>
      <c r="B1382" s="5602" t="s">
        <v>6650</v>
      </c>
      <c r="C1382" s="5634"/>
      <c r="D1382" s="5594"/>
      <c r="E1382" s="5606"/>
      <c r="F1382" s="5594"/>
      <c r="G1382" s="5774"/>
      <c r="H1382" s="5774"/>
      <c r="I1382" s="5774"/>
      <c r="J1382" s="5774"/>
      <c r="K1382" s="5594"/>
      <c r="L1382" s="5805" t="s">
        <v>6651</v>
      </c>
      <c r="M1382" s="5682"/>
      <c r="N1382" s="5682"/>
      <c r="O1382" s="5682"/>
      <c r="P1382" s="386"/>
      <c r="Q1382" s="386"/>
    </row>
    <row r="1383" spans="1:17" s="1659" customFormat="1" ht="30" customHeight="1" x14ac:dyDescent="0.2">
      <c r="A1383" s="7703"/>
      <c r="B1383" s="7652" t="s">
        <v>6658</v>
      </c>
      <c r="C1383" s="7723" t="s">
        <v>990</v>
      </c>
      <c r="D1383" s="7563">
        <v>65000000</v>
      </c>
      <c r="E1383" s="7659">
        <v>0.05</v>
      </c>
      <c r="F1383" s="7563">
        <f>D1383*E1383</f>
        <v>3250000</v>
      </c>
      <c r="G1383" s="5774">
        <v>3250000</v>
      </c>
      <c r="H1383" s="5774" t="s">
        <v>7281</v>
      </c>
      <c r="I1383" s="5774" t="s">
        <v>6694</v>
      </c>
      <c r="J1383" s="5774">
        <f>G1383</f>
        <v>3250000</v>
      </c>
      <c r="K1383" s="5774">
        <f>F1383-J1383</f>
        <v>0</v>
      </c>
      <c r="L1383" s="6295" t="s">
        <v>6807</v>
      </c>
      <c r="M1383" s="5682"/>
      <c r="N1383" s="5682"/>
      <c r="O1383" s="5682"/>
      <c r="P1383" s="386"/>
      <c r="Q1383" s="386"/>
    </row>
    <row r="1384" spans="1:17" s="1659" customFormat="1" ht="30" customHeight="1" x14ac:dyDescent="0.2">
      <c r="A1384" s="7705"/>
      <c r="B1384" s="7653"/>
      <c r="C1384" s="7724"/>
      <c r="D1384" s="7564"/>
      <c r="E1384" s="7660"/>
      <c r="F1384" s="7564"/>
      <c r="G1384" s="6272">
        <v>3250000</v>
      </c>
      <c r="H1384" s="6272" t="s">
        <v>7727</v>
      </c>
      <c r="I1384" s="6272" t="s">
        <v>7745</v>
      </c>
      <c r="J1384" s="6272">
        <f>G1384</f>
        <v>3250000</v>
      </c>
      <c r="K1384" s="6272">
        <f>F1383-J1384</f>
        <v>0</v>
      </c>
      <c r="L1384" s="6295" t="s">
        <v>7501</v>
      </c>
      <c r="M1384" s="6294"/>
      <c r="N1384" s="6294"/>
      <c r="O1384" s="6294"/>
      <c r="P1384" s="386"/>
      <c r="Q1384" s="386"/>
    </row>
    <row r="1385" spans="1:17" s="1659" customFormat="1" ht="30" customHeight="1" x14ac:dyDescent="0.2">
      <c r="A1385" s="7703"/>
      <c r="B1385" s="7652" t="s">
        <v>6678</v>
      </c>
      <c r="C1385" s="7723"/>
      <c r="D1385" s="7563">
        <v>45000000</v>
      </c>
      <c r="E1385" s="7659">
        <v>0.05</v>
      </c>
      <c r="F1385" s="7563">
        <f>D1385*E1385</f>
        <v>2250000</v>
      </c>
      <c r="G1385" s="7732" t="s">
        <v>6682</v>
      </c>
      <c r="H1385" s="7733"/>
      <c r="I1385" s="7733"/>
      <c r="J1385" s="7734"/>
      <c r="K1385" s="5586"/>
      <c r="L1385" s="5693" t="s">
        <v>6679</v>
      </c>
      <c r="M1385" s="5682"/>
      <c r="N1385" s="5682"/>
      <c r="O1385" s="5682"/>
      <c r="P1385" s="386"/>
      <c r="Q1385" s="386"/>
    </row>
    <row r="1386" spans="1:17" s="1659" customFormat="1" ht="30" customHeight="1" x14ac:dyDescent="0.2">
      <c r="A1386" s="7704"/>
      <c r="B1386" s="7665"/>
      <c r="C1386" s="7747"/>
      <c r="D1386" s="7586"/>
      <c r="E1386" s="7676"/>
      <c r="F1386" s="7586"/>
      <c r="G1386" s="5586"/>
      <c r="H1386" s="5586"/>
      <c r="I1386" s="5586" t="s">
        <v>6775</v>
      </c>
      <c r="J1386" s="5586">
        <f>G1386</f>
        <v>0</v>
      </c>
      <c r="K1386" s="5586">
        <f>14500000-J1386</f>
        <v>14500000</v>
      </c>
      <c r="L1386" s="5693" t="s">
        <v>6680</v>
      </c>
      <c r="M1386" s="5682"/>
      <c r="N1386" s="5682"/>
      <c r="O1386" s="5682"/>
      <c r="P1386" s="386"/>
      <c r="Q1386" s="386"/>
    </row>
    <row r="1387" spans="1:17" s="1659" customFormat="1" ht="30" customHeight="1" x14ac:dyDescent="0.2">
      <c r="A1387" s="7705"/>
      <c r="B1387" s="7653"/>
      <c r="C1387" s="7724"/>
      <c r="D1387" s="7564"/>
      <c r="E1387" s="7660"/>
      <c r="F1387" s="7564"/>
      <c r="G1387" s="5693"/>
      <c r="H1387" s="5693"/>
      <c r="I1387" s="5693"/>
      <c r="J1387" s="5693"/>
      <c r="K1387" s="5586"/>
      <c r="L1387" s="5693" t="s">
        <v>6681</v>
      </c>
      <c r="M1387" s="5682"/>
      <c r="N1387" s="5682"/>
      <c r="O1387" s="5682"/>
      <c r="P1387" s="386"/>
      <c r="Q1387" s="386"/>
    </row>
    <row r="1388" spans="1:17" s="1659" customFormat="1" ht="30" customHeight="1" x14ac:dyDescent="0.2">
      <c r="A1388" s="7703"/>
      <c r="B1388" s="7652" t="s">
        <v>6684</v>
      </c>
      <c r="C1388" s="7723"/>
      <c r="D1388" s="7563">
        <v>100000000</v>
      </c>
      <c r="E1388" s="7659">
        <v>7.0000000000000007E-2</v>
      </c>
      <c r="F1388" s="7563">
        <f>D1388*E1388</f>
        <v>7000000.0000000009</v>
      </c>
      <c r="G1388" s="5774">
        <v>7000000</v>
      </c>
      <c r="H1388" s="5774" t="s">
        <v>7306</v>
      </c>
      <c r="I1388" s="5774" t="s">
        <v>2409</v>
      </c>
      <c r="J1388" s="5774">
        <f>G1388</f>
        <v>7000000</v>
      </c>
      <c r="K1388" s="5586">
        <f>F1388-J1388</f>
        <v>0</v>
      </c>
      <c r="L1388" s="5673" t="s">
        <v>6807</v>
      </c>
      <c r="M1388" s="5682"/>
      <c r="N1388" s="5682"/>
      <c r="O1388" s="5682"/>
      <c r="P1388" s="386"/>
      <c r="Q1388" s="386"/>
    </row>
    <row r="1389" spans="1:17" s="1659" customFormat="1" ht="30" customHeight="1" x14ac:dyDescent="0.2">
      <c r="A1389" s="7705"/>
      <c r="B1389" s="7653"/>
      <c r="C1389" s="7724"/>
      <c r="D1389" s="7564"/>
      <c r="E1389" s="7660"/>
      <c r="F1389" s="7564"/>
      <c r="G1389" s="6297">
        <v>7000000</v>
      </c>
      <c r="H1389" s="6297" t="s">
        <v>7757</v>
      </c>
      <c r="I1389" s="6297" t="s">
        <v>2409</v>
      </c>
      <c r="J1389" s="6297">
        <f>G1389</f>
        <v>7000000</v>
      </c>
      <c r="K1389" s="6298">
        <f>F1388-J1389</f>
        <v>0</v>
      </c>
      <c r="L1389" s="6300" t="s">
        <v>7501</v>
      </c>
      <c r="M1389" s="6299"/>
      <c r="N1389" s="6299"/>
      <c r="O1389" s="6299"/>
      <c r="P1389" s="386"/>
      <c r="Q1389" s="386"/>
    </row>
    <row r="1390" spans="1:17" s="1659" customFormat="1" ht="30" customHeight="1" x14ac:dyDescent="0.2">
      <c r="A1390" s="7703"/>
      <c r="B1390" s="7652" t="s">
        <v>6710</v>
      </c>
      <c r="C1390" s="7723" t="s">
        <v>1138</v>
      </c>
      <c r="D1390" s="7563">
        <v>100000000</v>
      </c>
      <c r="E1390" s="7659">
        <v>0.05</v>
      </c>
      <c r="F1390" s="7563">
        <f>D1390*E1390</f>
        <v>5000000</v>
      </c>
      <c r="G1390" s="7991" t="s">
        <v>6712</v>
      </c>
      <c r="H1390" s="7992"/>
      <c r="I1390" s="7992"/>
      <c r="J1390" s="7993"/>
      <c r="K1390" s="7563"/>
      <c r="L1390" s="5672" t="s">
        <v>6711</v>
      </c>
      <c r="M1390" s="5682"/>
      <c r="N1390" s="5682"/>
      <c r="O1390" s="5682"/>
      <c r="P1390" s="386"/>
      <c r="Q1390" s="386"/>
    </row>
    <row r="1391" spans="1:17" s="1659" customFormat="1" ht="30" customHeight="1" x14ac:dyDescent="0.2">
      <c r="A1391" s="7704"/>
      <c r="B1391" s="7665"/>
      <c r="C1391" s="7747"/>
      <c r="D1391" s="7586"/>
      <c r="E1391" s="7676"/>
      <c r="F1391" s="7586"/>
      <c r="G1391" s="7997"/>
      <c r="H1391" s="7998"/>
      <c r="I1391" s="7998"/>
      <c r="J1391" s="7999"/>
      <c r="K1391" s="7564"/>
      <c r="L1391" s="5673" t="s">
        <v>6719</v>
      </c>
      <c r="M1391" s="5682"/>
      <c r="N1391" s="5682"/>
      <c r="O1391" s="5682"/>
      <c r="P1391" s="386"/>
      <c r="Q1391" s="386"/>
    </row>
    <row r="1392" spans="1:17" s="1659" customFormat="1" ht="30" customHeight="1" x14ac:dyDescent="0.2">
      <c r="A1392" s="7705"/>
      <c r="B1392" s="7653"/>
      <c r="C1392" s="7724"/>
      <c r="D1392" s="7564"/>
      <c r="E1392" s="7660"/>
      <c r="F1392" s="7564"/>
      <c r="G1392" s="7732" t="s">
        <v>7153</v>
      </c>
      <c r="H1392" s="7733"/>
      <c r="I1392" s="7733"/>
      <c r="J1392" s="7734"/>
      <c r="K1392" s="5594"/>
      <c r="L1392" s="5704"/>
      <c r="M1392" s="5682"/>
      <c r="N1392" s="5682"/>
      <c r="O1392" s="5682"/>
      <c r="P1392" s="386"/>
      <c r="Q1392" s="386"/>
    </row>
    <row r="1393" spans="1:17" s="1659" customFormat="1" ht="30" customHeight="1" x14ac:dyDescent="0.2">
      <c r="A1393" s="5675"/>
      <c r="B1393" s="5613" t="s">
        <v>6728</v>
      </c>
      <c r="C1393" s="5657"/>
      <c r="D1393" s="5586">
        <v>10000000</v>
      </c>
      <c r="E1393" s="5652">
        <v>0.05</v>
      </c>
      <c r="F1393" s="5586">
        <f>D1393*E1393</f>
        <v>500000</v>
      </c>
      <c r="G1393" s="5586">
        <v>500000</v>
      </c>
      <c r="H1393" s="5586" t="s">
        <v>2830</v>
      </c>
      <c r="I1393" s="5586" t="s">
        <v>7649</v>
      </c>
      <c r="J1393" s="5586">
        <f>G1393</f>
        <v>500000</v>
      </c>
      <c r="K1393" s="5586">
        <f>F1393-J1393</f>
        <v>0</v>
      </c>
      <c r="L1393" s="5672" t="s">
        <v>7084</v>
      </c>
      <c r="M1393" s="5682"/>
      <c r="N1393" s="5682"/>
      <c r="O1393" s="5682"/>
      <c r="P1393" s="386"/>
      <c r="Q1393" s="386"/>
    </row>
    <row r="1394" spans="1:17" s="1659" customFormat="1" ht="30" customHeight="1" x14ac:dyDescent="0.2">
      <c r="A1394" s="7703"/>
      <c r="B1394" s="7652" t="s">
        <v>6743</v>
      </c>
      <c r="C1394" s="7723" t="s">
        <v>6745</v>
      </c>
      <c r="D1394" s="7563">
        <v>35000000</v>
      </c>
      <c r="E1394" s="7659">
        <v>5.7000000000000002E-2</v>
      </c>
      <c r="F1394" s="7563">
        <v>2000000</v>
      </c>
      <c r="G1394" s="5774">
        <v>2000000</v>
      </c>
      <c r="H1394" s="5774" t="s">
        <v>7298</v>
      </c>
      <c r="I1394" s="5774" t="s">
        <v>815</v>
      </c>
      <c r="J1394" s="5774">
        <f>G1394</f>
        <v>2000000</v>
      </c>
      <c r="K1394" s="5774">
        <f>F1394-J1394</f>
        <v>0</v>
      </c>
      <c r="L1394" s="5672"/>
      <c r="M1394" s="5682"/>
      <c r="N1394" s="5682"/>
      <c r="O1394" s="5682"/>
      <c r="P1394" s="386"/>
      <c r="Q1394" s="386"/>
    </row>
    <row r="1395" spans="1:17" s="1659" customFormat="1" ht="30" customHeight="1" x14ac:dyDescent="0.2">
      <c r="A1395" s="7705"/>
      <c r="B1395" s="7653"/>
      <c r="C1395" s="7724"/>
      <c r="D1395" s="7564"/>
      <c r="E1395" s="7660"/>
      <c r="F1395" s="7564"/>
      <c r="G1395" s="7732" t="s">
        <v>7804</v>
      </c>
      <c r="H1395" s="7733"/>
      <c r="I1395" s="7733"/>
      <c r="J1395" s="7734"/>
      <c r="K1395" s="6364"/>
      <c r="L1395" s="6368"/>
      <c r="M1395" s="6377"/>
      <c r="N1395" s="6377"/>
      <c r="O1395" s="6377"/>
      <c r="P1395" s="386"/>
      <c r="Q1395" s="386"/>
    </row>
    <row r="1396" spans="1:17" s="1659" customFormat="1" ht="30" customHeight="1" x14ac:dyDescent="0.2">
      <c r="A1396" s="7703"/>
      <c r="B1396" s="7652" t="s">
        <v>6746</v>
      </c>
      <c r="C1396" s="7723"/>
      <c r="D1396" s="7563">
        <v>40000000</v>
      </c>
      <c r="E1396" s="7659">
        <v>5.5E-2</v>
      </c>
      <c r="F1396" s="7563">
        <f>D1396*E1396</f>
        <v>2200000</v>
      </c>
      <c r="G1396" s="5774">
        <v>2200000</v>
      </c>
      <c r="H1396" s="5774" t="s">
        <v>7306</v>
      </c>
      <c r="I1396" s="5774" t="s">
        <v>7307</v>
      </c>
      <c r="J1396" s="5774">
        <f>G1396</f>
        <v>2200000</v>
      </c>
      <c r="K1396" s="5774">
        <f>F1396-J1396</f>
        <v>0</v>
      </c>
      <c r="L1396" s="6379" t="s">
        <v>6807</v>
      </c>
      <c r="M1396" s="5682"/>
      <c r="N1396" s="5682"/>
      <c r="O1396" s="5682"/>
      <c r="P1396" s="386"/>
      <c r="Q1396" s="386"/>
    </row>
    <row r="1397" spans="1:17" s="1659" customFormat="1" ht="30" customHeight="1" x14ac:dyDescent="0.2">
      <c r="A1397" s="7705"/>
      <c r="B1397" s="7653"/>
      <c r="C1397" s="7724"/>
      <c r="D1397" s="7564"/>
      <c r="E1397" s="7660"/>
      <c r="F1397" s="7564"/>
      <c r="G1397" s="6364">
        <v>2200000</v>
      </c>
      <c r="H1397" s="6364" t="s">
        <v>7810</v>
      </c>
      <c r="I1397" s="6364" t="s">
        <v>7307</v>
      </c>
      <c r="J1397" s="6364">
        <f>G1397</f>
        <v>2200000</v>
      </c>
      <c r="K1397" s="6364">
        <f>F1396-J1397</f>
        <v>0</v>
      </c>
      <c r="L1397" s="6379" t="s">
        <v>7501</v>
      </c>
      <c r="M1397" s="6377"/>
      <c r="N1397" s="6377"/>
      <c r="O1397" s="6377"/>
      <c r="P1397" s="386"/>
      <c r="Q1397" s="386"/>
    </row>
    <row r="1398" spans="1:17" s="1659" customFormat="1" ht="30" customHeight="1" x14ac:dyDescent="0.2">
      <c r="A1398" s="7703"/>
      <c r="B1398" s="7652" t="s">
        <v>6803</v>
      </c>
      <c r="C1398" s="7723" t="s">
        <v>1718</v>
      </c>
      <c r="D1398" s="7563">
        <v>40000000</v>
      </c>
      <c r="E1398" s="7659">
        <v>0.05</v>
      </c>
      <c r="F1398" s="7563">
        <f>D1398*E1398</f>
        <v>2000000</v>
      </c>
      <c r="G1398" s="7732" t="s">
        <v>6804</v>
      </c>
      <c r="H1398" s="7733"/>
      <c r="I1398" s="7733"/>
      <c r="J1398" s="7734"/>
      <c r="K1398" s="5586"/>
      <c r="L1398" s="5672" t="s">
        <v>6806</v>
      </c>
      <c r="M1398" s="5682"/>
      <c r="N1398" s="5682"/>
      <c r="O1398" s="5682"/>
      <c r="P1398" s="386"/>
      <c r="Q1398" s="386"/>
    </row>
    <row r="1399" spans="1:17" s="1659" customFormat="1" ht="30" customHeight="1" x14ac:dyDescent="0.2">
      <c r="A1399" s="7705"/>
      <c r="B1399" s="7653"/>
      <c r="C1399" s="7724"/>
      <c r="D1399" s="7564"/>
      <c r="E1399" s="7660"/>
      <c r="F1399" s="7564"/>
      <c r="G1399" s="6009">
        <v>2000000</v>
      </c>
      <c r="H1399" s="6009" t="s">
        <v>7528</v>
      </c>
      <c r="I1399" s="6009" t="s">
        <v>7529</v>
      </c>
      <c r="J1399" s="6009">
        <f>G1399</f>
        <v>2000000</v>
      </c>
      <c r="K1399" s="6009">
        <f>F1398-J1399</f>
        <v>0</v>
      </c>
      <c r="L1399" s="6018"/>
      <c r="M1399" s="6021"/>
      <c r="N1399" s="6021"/>
      <c r="O1399" s="6021"/>
      <c r="P1399" s="386"/>
      <c r="Q1399" s="386"/>
    </row>
    <row r="1400" spans="1:17" s="1659" customFormat="1" ht="30" customHeight="1" x14ac:dyDescent="0.2">
      <c r="A1400" s="7703"/>
      <c r="B1400" s="7652" t="s">
        <v>7538</v>
      </c>
      <c r="C1400" s="7723"/>
      <c r="D1400" s="7563">
        <v>100000000</v>
      </c>
      <c r="E1400" s="7659">
        <v>0.05</v>
      </c>
      <c r="F1400" s="7563">
        <f>D1400*E1400</f>
        <v>5000000</v>
      </c>
      <c r="G1400" s="7732" t="s">
        <v>6837</v>
      </c>
      <c r="H1400" s="7733"/>
      <c r="I1400" s="7733"/>
      <c r="J1400" s="7734"/>
      <c r="K1400" s="5586"/>
      <c r="L1400" s="5672" t="s">
        <v>6827</v>
      </c>
      <c r="M1400" s="5682"/>
      <c r="N1400" s="5682"/>
      <c r="O1400" s="5682"/>
      <c r="P1400" s="386"/>
      <c r="Q1400" s="386"/>
    </row>
    <row r="1401" spans="1:17" s="1659" customFormat="1" ht="30" customHeight="1" x14ac:dyDescent="0.2">
      <c r="A1401" s="7705"/>
      <c r="B1401" s="7653"/>
      <c r="C1401" s="7724"/>
      <c r="D1401" s="7564"/>
      <c r="E1401" s="7660"/>
      <c r="F1401" s="7564"/>
      <c r="G1401" s="6028">
        <v>5000000</v>
      </c>
      <c r="H1401" s="6028" t="s">
        <v>7531</v>
      </c>
      <c r="I1401" s="6028" t="s">
        <v>7539</v>
      </c>
      <c r="J1401" s="6028">
        <f>G1401</f>
        <v>5000000</v>
      </c>
      <c r="K1401" s="6028">
        <f>F1400-J1401</f>
        <v>0</v>
      </c>
      <c r="L1401" s="6038"/>
      <c r="M1401" s="6043"/>
      <c r="N1401" s="6043"/>
      <c r="O1401" s="6043"/>
      <c r="P1401" s="386"/>
      <c r="Q1401" s="386"/>
    </row>
    <row r="1402" spans="1:17" s="1659" customFormat="1" ht="30" customHeight="1" x14ac:dyDescent="0.2">
      <c r="A1402" s="7703"/>
      <c r="B1402" s="7652" t="s">
        <v>6834</v>
      </c>
      <c r="C1402" s="7723"/>
      <c r="D1402" s="7563">
        <v>200000000</v>
      </c>
      <c r="E1402" s="7659">
        <v>0.05</v>
      </c>
      <c r="F1402" s="7563">
        <f>D1402*E1402</f>
        <v>10000000</v>
      </c>
      <c r="G1402" s="7732" t="s">
        <v>6870</v>
      </c>
      <c r="H1402" s="7733"/>
      <c r="I1402" s="7733"/>
      <c r="J1402" s="7734"/>
      <c r="K1402" s="5586"/>
      <c r="L1402" s="5672" t="s">
        <v>6835</v>
      </c>
      <c r="M1402" s="5682"/>
      <c r="N1402" s="5682"/>
      <c r="O1402" s="5682"/>
      <c r="P1402" s="386"/>
      <c r="Q1402" s="386"/>
    </row>
    <row r="1403" spans="1:17" s="1659" customFormat="1" ht="30" customHeight="1" x14ac:dyDescent="0.2">
      <c r="A1403" s="7705"/>
      <c r="B1403" s="7653"/>
      <c r="C1403" s="7724"/>
      <c r="D1403" s="7564"/>
      <c r="E1403" s="7660"/>
      <c r="F1403" s="7564"/>
      <c r="G1403" s="6104">
        <v>10000000</v>
      </c>
      <c r="H1403" s="6104" t="s">
        <v>3879</v>
      </c>
      <c r="I1403" s="6104" t="s">
        <v>3062</v>
      </c>
      <c r="J1403" s="6104">
        <f>G1403</f>
        <v>10000000</v>
      </c>
      <c r="K1403" s="6104">
        <f>F1402-J1403</f>
        <v>0</v>
      </c>
      <c r="L1403" s="6111"/>
      <c r="M1403" s="6119"/>
      <c r="N1403" s="6119"/>
      <c r="O1403" s="6119"/>
      <c r="P1403" s="386"/>
      <c r="Q1403" s="386"/>
    </row>
    <row r="1404" spans="1:17" s="1659" customFormat="1" ht="30" customHeight="1" x14ac:dyDescent="0.2">
      <c r="A1404" s="7703"/>
      <c r="B1404" s="7652" t="s">
        <v>6848</v>
      </c>
      <c r="C1404" s="7723" t="s">
        <v>889</v>
      </c>
      <c r="D1404" s="7563">
        <v>50000000</v>
      </c>
      <c r="E1404" s="7659">
        <v>0.05</v>
      </c>
      <c r="F1404" s="7563">
        <f>D1404*E1404</f>
        <v>2500000</v>
      </c>
      <c r="G1404" s="7732" t="s">
        <v>6849</v>
      </c>
      <c r="H1404" s="7733"/>
      <c r="I1404" s="7733"/>
      <c r="J1404" s="7734"/>
      <c r="K1404" s="5586"/>
      <c r="L1404" s="5672" t="s">
        <v>6880</v>
      </c>
      <c r="M1404" s="5682"/>
      <c r="N1404" s="5682"/>
      <c r="O1404" s="5682"/>
      <c r="P1404" s="386"/>
      <c r="Q1404" s="386"/>
    </row>
    <row r="1405" spans="1:17" s="1659" customFormat="1" ht="30" customHeight="1" x14ac:dyDescent="0.2">
      <c r="A1405" s="7705"/>
      <c r="B1405" s="7653"/>
      <c r="C1405" s="7724"/>
      <c r="D1405" s="7564"/>
      <c r="E1405" s="7660"/>
      <c r="F1405" s="7564"/>
      <c r="G1405" s="5919">
        <v>2500000</v>
      </c>
      <c r="H1405" s="5919" t="s">
        <v>7427</v>
      </c>
      <c r="I1405" s="5919" t="s">
        <v>7435</v>
      </c>
      <c r="J1405" s="5919">
        <f>G1405</f>
        <v>2500000</v>
      </c>
      <c r="K1405" s="5919">
        <f>F1404-J1405</f>
        <v>0</v>
      </c>
      <c r="L1405" s="5931"/>
      <c r="M1405" s="5934"/>
      <c r="N1405" s="5934"/>
      <c r="O1405" s="5934"/>
      <c r="P1405" s="386"/>
      <c r="Q1405" s="386"/>
    </row>
    <row r="1406" spans="1:17" s="1659" customFormat="1" ht="30" customHeight="1" x14ac:dyDescent="0.2">
      <c r="A1406" s="6007"/>
      <c r="B1406" s="5613" t="s">
        <v>6871</v>
      </c>
      <c r="C1406" s="5657"/>
      <c r="D1406" s="5586">
        <v>20000000</v>
      </c>
      <c r="E1406" s="5652">
        <v>0.05</v>
      </c>
      <c r="F1406" s="5586">
        <f>D1406*E1406</f>
        <v>1000000</v>
      </c>
      <c r="G1406" s="7732" t="s">
        <v>6890</v>
      </c>
      <c r="H1406" s="7733"/>
      <c r="I1406" s="7733"/>
      <c r="J1406" s="7734"/>
      <c r="K1406" s="5586"/>
      <c r="L1406" s="5672" t="s">
        <v>6877</v>
      </c>
      <c r="M1406" s="5682"/>
      <c r="N1406" s="5682"/>
      <c r="O1406" s="5682"/>
      <c r="P1406" s="386"/>
      <c r="Q1406" s="386"/>
    </row>
    <row r="1407" spans="1:17" s="1659" customFormat="1" ht="30" customHeight="1" x14ac:dyDescent="0.2">
      <c r="A1407" s="6001"/>
      <c r="B1407" s="5963" t="s">
        <v>7498</v>
      </c>
      <c r="C1407" s="5976"/>
      <c r="D1407" s="5956"/>
      <c r="E1407" s="5987"/>
      <c r="F1407" s="5956"/>
      <c r="G1407" s="5956">
        <v>1000000</v>
      </c>
      <c r="H1407" s="5956" t="s">
        <v>4168</v>
      </c>
      <c r="I1407" s="5956" t="s">
        <v>7499</v>
      </c>
      <c r="J1407" s="5956">
        <f>G1407</f>
        <v>1000000</v>
      </c>
      <c r="K1407" s="5956"/>
      <c r="L1407" s="5984"/>
      <c r="M1407" s="5992"/>
      <c r="N1407" s="5992"/>
      <c r="O1407" s="5992"/>
      <c r="P1407" s="386"/>
      <c r="Q1407" s="386"/>
    </row>
    <row r="1408" spans="1:17" s="1659" customFormat="1" ht="30" customHeight="1" x14ac:dyDescent="0.2">
      <c r="A1408" s="7703"/>
      <c r="B1408" s="7652" t="s">
        <v>6873</v>
      </c>
      <c r="C1408" s="7723"/>
      <c r="D1408" s="7563">
        <v>30000000</v>
      </c>
      <c r="E1408" s="7659">
        <v>0.05</v>
      </c>
      <c r="F1408" s="7563">
        <f>D1408*E1408</f>
        <v>1500000</v>
      </c>
      <c r="G1408" s="7732" t="s">
        <v>7038</v>
      </c>
      <c r="H1408" s="7733"/>
      <c r="I1408" s="7733"/>
      <c r="J1408" s="7734"/>
      <c r="K1408" s="5586"/>
      <c r="L1408" s="5672" t="s">
        <v>6874</v>
      </c>
      <c r="M1408" s="5682"/>
      <c r="N1408" s="5682"/>
      <c r="O1408" s="5682"/>
      <c r="P1408" s="386"/>
      <c r="Q1408" s="386"/>
    </row>
    <row r="1409" spans="1:17" s="1659" customFormat="1" ht="30" customHeight="1" x14ac:dyDescent="0.2">
      <c r="A1409" s="7705"/>
      <c r="B1409" s="7653"/>
      <c r="C1409" s="7724"/>
      <c r="D1409" s="7564"/>
      <c r="E1409" s="7660"/>
      <c r="F1409" s="7564"/>
      <c r="G1409" s="5941">
        <v>1500000</v>
      </c>
      <c r="H1409" s="5941" t="s">
        <v>7424</v>
      </c>
      <c r="I1409" s="5941" t="s">
        <v>7449</v>
      </c>
      <c r="J1409" s="5941">
        <f>G1409</f>
        <v>1500000</v>
      </c>
      <c r="K1409" s="5941">
        <f>F1408-J1409</f>
        <v>0</v>
      </c>
      <c r="L1409" s="5953"/>
      <c r="M1409" s="5954"/>
      <c r="N1409" s="5954"/>
      <c r="O1409" s="5954"/>
      <c r="P1409" s="386"/>
      <c r="Q1409" s="386"/>
    </row>
    <row r="1410" spans="1:17" s="1659" customFormat="1" ht="30" customHeight="1" x14ac:dyDescent="0.2">
      <c r="A1410" s="5675"/>
      <c r="B1410" s="5613" t="s">
        <v>6912</v>
      </c>
      <c r="C1410" s="5657"/>
      <c r="D1410" s="5586">
        <v>400000000</v>
      </c>
      <c r="E1410" s="5652"/>
      <c r="F1410" s="5586"/>
      <c r="G1410" s="5623"/>
      <c r="H1410" s="5624"/>
      <c r="I1410" s="5624"/>
      <c r="J1410" s="5625"/>
      <c r="K1410" s="5586"/>
      <c r="L1410" s="5672" t="s">
        <v>6911</v>
      </c>
      <c r="M1410" s="5682"/>
      <c r="N1410" s="5682"/>
      <c r="O1410" s="5682"/>
      <c r="P1410" s="386"/>
      <c r="Q1410" s="386"/>
    </row>
    <row r="1411" spans="1:17" s="1659" customFormat="1" ht="30" customHeight="1" x14ac:dyDescent="0.2">
      <c r="A1411" s="5675"/>
      <c r="B1411" s="5613" t="s">
        <v>6914</v>
      </c>
      <c r="C1411" s="5657"/>
      <c r="D1411" s="5595"/>
      <c r="E1411" s="2519"/>
      <c r="F1411" s="5595"/>
      <c r="G1411" s="5586"/>
      <c r="H1411" s="5586"/>
      <c r="I1411" s="5586" t="s">
        <v>6915</v>
      </c>
      <c r="J1411" s="5586">
        <f>G1411</f>
        <v>0</v>
      </c>
      <c r="K1411" s="5586"/>
      <c r="L1411" s="5672"/>
      <c r="M1411" s="5682"/>
      <c r="N1411" s="5682"/>
      <c r="O1411" s="5682"/>
      <c r="P1411" s="386"/>
      <c r="Q1411" s="386"/>
    </row>
    <row r="1412" spans="1:17" s="1659" customFormat="1" ht="30" customHeight="1" x14ac:dyDescent="0.2">
      <c r="A1412" s="7703"/>
      <c r="B1412" s="7652" t="s">
        <v>6943</v>
      </c>
      <c r="C1412" s="7723"/>
      <c r="D1412" s="7563">
        <v>900000000</v>
      </c>
      <c r="E1412" s="7659">
        <v>7.0000000000000007E-2</v>
      </c>
      <c r="F1412" s="7846">
        <f>D1412*E1412</f>
        <v>63000000.000000007</v>
      </c>
      <c r="G1412" s="7732" t="s">
        <v>7556</v>
      </c>
      <c r="H1412" s="7733"/>
      <c r="I1412" s="7733"/>
      <c r="J1412" s="7734"/>
      <c r="K1412" s="5586"/>
      <c r="L1412" s="5672" t="s">
        <v>6978</v>
      </c>
      <c r="M1412" s="5682"/>
      <c r="N1412" s="5682"/>
      <c r="O1412" s="5682"/>
      <c r="P1412" s="386"/>
      <c r="Q1412" s="386"/>
    </row>
    <row r="1413" spans="1:17" s="1659" customFormat="1" ht="30" customHeight="1" x14ac:dyDescent="0.2">
      <c r="A1413" s="7704"/>
      <c r="B1413" s="7665"/>
      <c r="C1413" s="7747"/>
      <c r="D1413" s="7586"/>
      <c r="E1413" s="7676"/>
      <c r="F1413" s="7847"/>
      <c r="G1413" s="6047">
        <v>30000000</v>
      </c>
      <c r="H1413" s="6047" t="s">
        <v>7550</v>
      </c>
      <c r="I1413" s="6047" t="s">
        <v>7557</v>
      </c>
      <c r="J1413" s="7563">
        <f>G1413+G1414+G1415</f>
        <v>63000000</v>
      </c>
      <c r="K1413" s="7563">
        <f>F1412-J1413</f>
        <v>0</v>
      </c>
      <c r="L1413" s="7563"/>
      <c r="M1413" s="6070"/>
      <c r="N1413" s="6070"/>
      <c r="O1413" s="6070"/>
      <c r="P1413" s="386"/>
      <c r="Q1413" s="386"/>
    </row>
    <row r="1414" spans="1:17" s="1659" customFormat="1" ht="30" customHeight="1" x14ac:dyDescent="0.2">
      <c r="A1414" s="7704"/>
      <c r="B1414" s="7665"/>
      <c r="C1414" s="7747"/>
      <c r="D1414" s="7586"/>
      <c r="E1414" s="7676"/>
      <c r="F1414" s="7847"/>
      <c r="G1414" s="6047">
        <v>3000000</v>
      </c>
      <c r="H1414" s="6047" t="s">
        <v>3879</v>
      </c>
      <c r="I1414" s="6047" t="s">
        <v>7526</v>
      </c>
      <c r="J1414" s="7586"/>
      <c r="K1414" s="7586"/>
      <c r="L1414" s="7586"/>
      <c r="M1414" s="6070"/>
      <c r="N1414" s="6070"/>
      <c r="O1414" s="6070"/>
      <c r="P1414" s="386"/>
      <c r="Q1414" s="386"/>
    </row>
    <row r="1415" spans="1:17" s="1659" customFormat="1" ht="30" customHeight="1" x14ac:dyDescent="0.2">
      <c r="A1415" s="7705"/>
      <c r="B1415" s="7653"/>
      <c r="C1415" s="7724"/>
      <c r="D1415" s="7564"/>
      <c r="E1415" s="7660"/>
      <c r="F1415" s="7848"/>
      <c r="G1415" s="6105">
        <v>30000000</v>
      </c>
      <c r="H1415" s="6105" t="s">
        <v>1269</v>
      </c>
      <c r="I1415" s="6104" t="s">
        <v>7557</v>
      </c>
      <c r="J1415" s="7564"/>
      <c r="K1415" s="7564"/>
      <c r="L1415" s="7564"/>
      <c r="M1415" s="6119"/>
      <c r="N1415" s="6119"/>
      <c r="O1415" s="6119"/>
      <c r="P1415" s="386"/>
      <c r="Q1415" s="386"/>
    </row>
    <row r="1416" spans="1:17" s="1659" customFormat="1" ht="30" customHeight="1" x14ac:dyDescent="0.2">
      <c r="A1416" s="7703"/>
      <c r="B1416" s="7652" t="s">
        <v>6944</v>
      </c>
      <c r="C1416" s="7723"/>
      <c r="D1416" s="5586">
        <v>14000000</v>
      </c>
      <c r="E1416" s="5652">
        <v>7.0000000000000007E-2</v>
      </c>
      <c r="F1416" s="5586">
        <f>D1416*E1416</f>
        <v>980000.00000000012</v>
      </c>
      <c r="G1416" s="7563">
        <v>2030000</v>
      </c>
      <c r="H1416" s="7563" t="s">
        <v>7424</v>
      </c>
      <c r="I1416" s="7563" t="s">
        <v>7446</v>
      </c>
      <c r="J1416" s="7563">
        <f>G1416</f>
        <v>2030000</v>
      </c>
      <c r="K1416" s="7563">
        <f>(F1416+F1417)-J1416</f>
        <v>0</v>
      </c>
      <c r="L1416" s="5672" t="s">
        <v>6945</v>
      </c>
      <c r="M1416" s="5682"/>
      <c r="N1416" s="5682"/>
      <c r="O1416" s="5682"/>
      <c r="P1416" s="386"/>
      <c r="Q1416" s="386"/>
    </row>
    <row r="1417" spans="1:17" s="1659" customFormat="1" ht="30" customHeight="1" x14ac:dyDescent="0.2">
      <c r="A1417" s="7705"/>
      <c r="B1417" s="7653"/>
      <c r="C1417" s="7724"/>
      <c r="D1417" s="5586">
        <v>21000000</v>
      </c>
      <c r="E1417" s="5652">
        <v>0.05</v>
      </c>
      <c r="F1417" s="5586">
        <f>D1417*E1417</f>
        <v>1050000</v>
      </c>
      <c r="G1417" s="7564"/>
      <c r="H1417" s="7564"/>
      <c r="I1417" s="7564"/>
      <c r="J1417" s="7564"/>
      <c r="K1417" s="7564"/>
      <c r="L1417" s="5673" t="s">
        <v>6946</v>
      </c>
      <c r="M1417" s="5682"/>
      <c r="N1417" s="5682"/>
      <c r="O1417" s="5682"/>
      <c r="P1417" s="386"/>
      <c r="Q1417" s="386"/>
    </row>
    <row r="1418" spans="1:17" s="1659" customFormat="1" ht="30" customHeight="1" x14ac:dyDescent="0.2">
      <c r="A1418" s="5675"/>
      <c r="B1418" s="5613" t="s">
        <v>7808</v>
      </c>
      <c r="C1418" s="5657" t="s">
        <v>1172</v>
      </c>
      <c r="D1418" s="5586">
        <v>10000000</v>
      </c>
      <c r="E1418" s="5652">
        <v>0.05</v>
      </c>
      <c r="F1418" s="5586">
        <f>D1418*E1418</f>
        <v>500000</v>
      </c>
      <c r="G1418" s="5586">
        <v>500000</v>
      </c>
      <c r="H1418" s="5586" t="s">
        <v>7795</v>
      </c>
      <c r="I1418" s="5586" t="s">
        <v>7809</v>
      </c>
      <c r="J1418" s="5586">
        <f>G1418</f>
        <v>500000</v>
      </c>
      <c r="K1418" s="5586">
        <f>F1418-J1418</f>
        <v>0</v>
      </c>
      <c r="L1418" s="5672" t="s">
        <v>6948</v>
      </c>
      <c r="M1418" s="5682"/>
      <c r="N1418" s="5682"/>
      <c r="O1418" s="5682"/>
      <c r="P1418" s="386"/>
      <c r="Q1418" s="386"/>
    </row>
    <row r="1419" spans="1:17" s="1659" customFormat="1" ht="30" customHeight="1" x14ac:dyDescent="0.2">
      <c r="A1419" s="5675"/>
      <c r="B1419" s="5613" t="s">
        <v>6949</v>
      </c>
      <c r="C1419" s="5657" t="s">
        <v>1172</v>
      </c>
      <c r="D1419" s="5586">
        <v>7500000</v>
      </c>
      <c r="E1419" s="5652">
        <v>0.05</v>
      </c>
      <c r="F1419" s="5586">
        <f>D1419*E1419</f>
        <v>375000</v>
      </c>
      <c r="G1419" s="5586">
        <v>375000</v>
      </c>
      <c r="H1419" s="5586" t="s">
        <v>7550</v>
      </c>
      <c r="I1419" s="5586" t="s">
        <v>7552</v>
      </c>
      <c r="J1419" s="5586">
        <f>G1419</f>
        <v>375000</v>
      </c>
      <c r="K1419" s="5586">
        <f>F1419-J1419</f>
        <v>0</v>
      </c>
      <c r="L1419" s="5672" t="s">
        <v>6950</v>
      </c>
      <c r="M1419" s="5682"/>
      <c r="N1419" s="5682"/>
      <c r="O1419" s="5682"/>
      <c r="P1419" s="386"/>
      <c r="Q1419" s="386"/>
    </row>
    <row r="1420" spans="1:17" s="1659" customFormat="1" ht="30" customHeight="1" x14ac:dyDescent="0.2">
      <c r="A1420" s="7703"/>
      <c r="B1420" s="7652" t="s">
        <v>6951</v>
      </c>
      <c r="C1420" s="7723"/>
      <c r="D1420" s="7563">
        <v>45000000</v>
      </c>
      <c r="E1420" s="7659">
        <v>0.05</v>
      </c>
      <c r="F1420" s="7563">
        <f>D1420*E1420</f>
        <v>2250000</v>
      </c>
      <c r="G1420" s="7732" t="s">
        <v>6952</v>
      </c>
      <c r="H1420" s="7733"/>
      <c r="I1420" s="7733"/>
      <c r="J1420" s="7734"/>
      <c r="K1420" s="5586"/>
      <c r="L1420" s="5672" t="s">
        <v>6961</v>
      </c>
      <c r="M1420" s="5682"/>
      <c r="N1420" s="5682"/>
      <c r="O1420" s="5682"/>
      <c r="P1420" s="386"/>
      <c r="Q1420" s="386"/>
    </row>
    <row r="1421" spans="1:17" s="1659" customFormat="1" ht="30" customHeight="1" x14ac:dyDescent="0.2">
      <c r="A1421" s="7704"/>
      <c r="B1421" s="7665"/>
      <c r="C1421" s="7747"/>
      <c r="D1421" s="7586"/>
      <c r="E1421" s="7676"/>
      <c r="F1421" s="7586"/>
      <c r="G1421" s="7732" t="s">
        <v>6963</v>
      </c>
      <c r="H1421" s="7733"/>
      <c r="I1421" s="7733"/>
      <c r="J1421" s="7734"/>
      <c r="K1421" s="5586"/>
      <c r="L1421" s="5672"/>
      <c r="M1421" s="5682"/>
      <c r="N1421" s="5682"/>
      <c r="O1421" s="5682"/>
      <c r="P1421" s="386"/>
      <c r="Q1421" s="386"/>
    </row>
    <row r="1422" spans="1:17" s="1659" customFormat="1" ht="30" customHeight="1" x14ac:dyDescent="0.2">
      <c r="A1422" s="7705"/>
      <c r="B1422" s="7653"/>
      <c r="C1422" s="7724"/>
      <c r="D1422" s="7564"/>
      <c r="E1422" s="7660"/>
      <c r="F1422" s="7564"/>
      <c r="G1422" s="6047">
        <v>2250000</v>
      </c>
      <c r="H1422" s="6047" t="s">
        <v>7550</v>
      </c>
      <c r="I1422" s="6047" t="s">
        <v>7553</v>
      </c>
      <c r="J1422" s="6047">
        <f>G1422</f>
        <v>2250000</v>
      </c>
      <c r="K1422" s="6047">
        <f>F1420-J1422</f>
        <v>0</v>
      </c>
      <c r="L1422" s="6067"/>
      <c r="M1422" s="6070"/>
      <c r="N1422" s="6070"/>
      <c r="O1422" s="6070"/>
      <c r="P1422" s="386"/>
      <c r="Q1422" s="386"/>
    </row>
    <row r="1423" spans="1:17" s="1659" customFormat="1" ht="30" customHeight="1" x14ac:dyDescent="0.2">
      <c r="A1423" s="7703"/>
      <c r="B1423" s="7652" t="s">
        <v>4489</v>
      </c>
      <c r="C1423" s="7723" t="s">
        <v>1306</v>
      </c>
      <c r="D1423" s="7563">
        <v>480000000</v>
      </c>
      <c r="E1423" s="7659">
        <f>F1423/D1423</f>
        <v>7.2916666666666671E-2</v>
      </c>
      <c r="F1423" s="7563">
        <v>35000000</v>
      </c>
      <c r="G1423" s="7732" t="s">
        <v>6962</v>
      </c>
      <c r="H1423" s="7733"/>
      <c r="I1423" s="7733"/>
      <c r="J1423" s="7734"/>
      <c r="K1423" s="5586"/>
      <c r="L1423" s="5672" t="s">
        <v>6960</v>
      </c>
      <c r="M1423" s="5682"/>
      <c r="N1423" s="5682"/>
      <c r="O1423" s="5682"/>
      <c r="P1423" s="386"/>
      <c r="Q1423" s="386"/>
    </row>
    <row r="1424" spans="1:17" s="1659" customFormat="1" ht="30" customHeight="1" x14ac:dyDescent="0.2">
      <c r="A1424" s="7705"/>
      <c r="B1424" s="7653"/>
      <c r="C1424" s="7724"/>
      <c r="D1424" s="7564"/>
      <c r="E1424" s="7660"/>
      <c r="F1424" s="7564"/>
      <c r="G1424" s="6124">
        <v>35000000</v>
      </c>
      <c r="H1424" s="6124" t="s">
        <v>2830</v>
      </c>
      <c r="I1424" s="6124" t="s">
        <v>3729</v>
      </c>
      <c r="J1424" s="6124">
        <f>G1424</f>
        <v>35000000</v>
      </c>
      <c r="K1424" s="6124">
        <f>F1423-J1424</f>
        <v>0</v>
      </c>
      <c r="L1424" s="6129"/>
      <c r="M1424" s="6155"/>
      <c r="N1424" s="6155"/>
      <c r="O1424" s="6155"/>
      <c r="P1424" s="386"/>
      <c r="Q1424" s="386"/>
    </row>
    <row r="1425" spans="1:17" s="1659" customFormat="1" ht="30" customHeight="1" x14ac:dyDescent="0.2">
      <c r="A1425" s="5675"/>
      <c r="B1425" s="5364" t="s">
        <v>6977</v>
      </c>
      <c r="C1425" s="5365"/>
      <c r="D1425" s="5366">
        <v>160000000</v>
      </c>
      <c r="E1425" s="5367">
        <v>0.06</v>
      </c>
      <c r="F1425" s="5366">
        <f>D1425*E1425</f>
        <v>9600000</v>
      </c>
      <c r="G1425" s="7732" t="s">
        <v>6993</v>
      </c>
      <c r="H1425" s="7733"/>
      <c r="I1425" s="7733"/>
      <c r="J1425" s="7734"/>
      <c r="K1425" s="5586"/>
      <c r="L1425" s="5672" t="s">
        <v>6979</v>
      </c>
      <c r="M1425" s="5682"/>
      <c r="N1425" s="5682"/>
      <c r="O1425" s="5682"/>
      <c r="P1425" s="386"/>
      <c r="Q1425" s="386"/>
    </row>
    <row r="1426" spans="1:17" s="1659" customFormat="1" ht="30" customHeight="1" x14ac:dyDescent="0.2">
      <c r="A1426" s="7703"/>
      <c r="B1426" s="7669" t="s">
        <v>6980</v>
      </c>
      <c r="C1426" s="5365"/>
      <c r="D1426" s="5366">
        <v>80000000</v>
      </c>
      <c r="E1426" s="5367">
        <v>0.06</v>
      </c>
      <c r="F1426" s="5366">
        <f>D1426*E1426</f>
        <v>4800000</v>
      </c>
      <c r="G1426" s="7732" t="s">
        <v>6994</v>
      </c>
      <c r="H1426" s="7733"/>
      <c r="I1426" s="7733"/>
      <c r="J1426" s="7734"/>
      <c r="K1426" s="5586"/>
      <c r="L1426" s="5672" t="s">
        <v>6981</v>
      </c>
      <c r="M1426" s="5682"/>
      <c r="N1426" s="5682"/>
      <c r="O1426" s="5682"/>
      <c r="P1426" s="386"/>
      <c r="Q1426" s="386"/>
    </row>
    <row r="1427" spans="1:17" s="1659" customFormat="1" ht="30" customHeight="1" x14ac:dyDescent="0.2">
      <c r="A1427" s="7704"/>
      <c r="B1427" s="8472"/>
      <c r="C1427" s="8478"/>
      <c r="D1427" s="8481">
        <v>500000000</v>
      </c>
      <c r="E1427" s="8484">
        <v>0.06</v>
      </c>
      <c r="F1427" s="8481">
        <f>D1427*E1427</f>
        <v>30000000</v>
      </c>
      <c r="G1427" s="7732" t="s">
        <v>6984</v>
      </c>
      <c r="H1427" s="7733"/>
      <c r="I1427" s="7733"/>
      <c r="J1427" s="7734"/>
      <c r="K1427" s="5586"/>
      <c r="L1427" s="7674" t="s">
        <v>6983</v>
      </c>
      <c r="M1427" s="5682"/>
      <c r="N1427" s="5682"/>
      <c r="O1427" s="5682"/>
      <c r="P1427" s="386"/>
      <c r="Q1427" s="386"/>
    </row>
    <row r="1428" spans="1:17" s="1659" customFormat="1" ht="30" customHeight="1" x14ac:dyDescent="0.2">
      <c r="A1428" s="7704"/>
      <c r="B1428" s="8472"/>
      <c r="C1428" s="8479"/>
      <c r="D1428" s="8482"/>
      <c r="E1428" s="8485"/>
      <c r="F1428" s="8482"/>
      <c r="G1428" s="7732" t="s">
        <v>6985</v>
      </c>
      <c r="H1428" s="7733"/>
      <c r="I1428" s="7733"/>
      <c r="J1428" s="7734"/>
      <c r="K1428" s="5586"/>
      <c r="L1428" s="8186"/>
      <c r="M1428" s="5682"/>
      <c r="N1428" s="5682"/>
      <c r="O1428" s="5682"/>
      <c r="P1428" s="386"/>
      <c r="Q1428" s="386"/>
    </row>
    <row r="1429" spans="1:17" s="1659" customFormat="1" ht="30" customHeight="1" x14ac:dyDescent="0.2">
      <c r="A1429" s="7705"/>
      <c r="B1429" s="7670"/>
      <c r="C1429" s="8480"/>
      <c r="D1429" s="8483"/>
      <c r="E1429" s="8486"/>
      <c r="F1429" s="8483"/>
      <c r="G1429" s="7732" t="s">
        <v>6986</v>
      </c>
      <c r="H1429" s="7733"/>
      <c r="I1429" s="7733"/>
      <c r="J1429" s="7734"/>
      <c r="K1429" s="5586"/>
      <c r="L1429" s="7675"/>
      <c r="M1429" s="5682"/>
      <c r="N1429" s="5682"/>
      <c r="O1429" s="5682"/>
      <c r="P1429" s="386"/>
      <c r="Q1429" s="386"/>
    </row>
    <row r="1430" spans="1:17" s="1659" customFormat="1" ht="30" customHeight="1" x14ac:dyDescent="0.2">
      <c r="A1430" s="7703"/>
      <c r="B1430" s="7669" t="s">
        <v>6971</v>
      </c>
      <c r="C1430" s="8478"/>
      <c r="D1430" s="8481">
        <v>800000000</v>
      </c>
      <c r="E1430" s="8484">
        <v>0.06</v>
      </c>
      <c r="F1430" s="8481">
        <f>D1430*E1430</f>
        <v>48000000</v>
      </c>
      <c r="G1430" s="7732" t="s">
        <v>6986</v>
      </c>
      <c r="H1430" s="7733"/>
      <c r="I1430" s="7733"/>
      <c r="J1430" s="7734"/>
      <c r="K1430" s="5586"/>
      <c r="L1430" s="7674" t="s">
        <v>6982</v>
      </c>
      <c r="M1430" s="5682"/>
      <c r="N1430" s="5682"/>
      <c r="O1430" s="5682"/>
      <c r="P1430" s="386"/>
      <c r="Q1430" s="386"/>
    </row>
    <row r="1431" spans="1:17" s="1659" customFormat="1" ht="30" customHeight="1" x14ac:dyDescent="0.2">
      <c r="A1431" s="7704"/>
      <c r="B1431" s="8472"/>
      <c r="C1431" s="8479"/>
      <c r="D1431" s="8482"/>
      <c r="E1431" s="8485"/>
      <c r="F1431" s="8482"/>
      <c r="G1431" s="7732" t="s">
        <v>6987</v>
      </c>
      <c r="H1431" s="7733"/>
      <c r="I1431" s="7733"/>
      <c r="J1431" s="7734"/>
      <c r="K1431" s="5586"/>
      <c r="L1431" s="8186"/>
      <c r="M1431" s="5682"/>
      <c r="N1431" s="5682"/>
      <c r="O1431" s="5682"/>
      <c r="P1431" s="386"/>
      <c r="Q1431" s="386"/>
    </row>
    <row r="1432" spans="1:17" s="1659" customFormat="1" ht="30" customHeight="1" x14ac:dyDescent="0.2">
      <c r="A1432" s="7704"/>
      <c r="B1432" s="8472"/>
      <c r="C1432" s="8479"/>
      <c r="D1432" s="8483"/>
      <c r="E1432" s="8486"/>
      <c r="F1432" s="8483"/>
      <c r="G1432" s="7732" t="s">
        <v>6988</v>
      </c>
      <c r="H1432" s="7733"/>
      <c r="I1432" s="7733"/>
      <c r="J1432" s="7734"/>
      <c r="K1432" s="5586"/>
      <c r="L1432" s="7675"/>
      <c r="M1432" s="5682"/>
      <c r="N1432" s="5682"/>
      <c r="O1432" s="5682"/>
      <c r="P1432" s="386"/>
      <c r="Q1432" s="386"/>
    </row>
    <row r="1433" spans="1:17" s="1659" customFormat="1" ht="30" customHeight="1" x14ac:dyDescent="0.2">
      <c r="A1433" s="7705"/>
      <c r="B1433" s="7670"/>
      <c r="C1433" s="8480"/>
      <c r="D1433" s="5737">
        <v>200000000</v>
      </c>
      <c r="E1433" s="5738">
        <v>0.06</v>
      </c>
      <c r="F1433" s="5737">
        <f>D1433*E1433</f>
        <v>12000000</v>
      </c>
      <c r="G1433" s="7732" t="s">
        <v>6992</v>
      </c>
      <c r="H1433" s="7733"/>
      <c r="I1433" s="7733"/>
      <c r="J1433" s="7734"/>
      <c r="K1433" s="5586"/>
      <c r="L1433" s="5704" t="s">
        <v>6998</v>
      </c>
      <c r="M1433" s="5682"/>
      <c r="N1433" s="5682"/>
      <c r="O1433" s="5682"/>
      <c r="P1433" s="386"/>
      <c r="Q1433" s="386"/>
    </row>
    <row r="1434" spans="1:17" s="1659" customFormat="1" ht="30" customHeight="1" x14ac:dyDescent="0.2">
      <c r="A1434" s="5675"/>
      <c r="B1434" s="5364" t="s">
        <v>6989</v>
      </c>
      <c r="C1434" s="5365"/>
      <c r="D1434" s="5366">
        <v>300000000</v>
      </c>
      <c r="E1434" s="5367">
        <v>0.06</v>
      </c>
      <c r="F1434" s="5366">
        <f>D1434*E1434</f>
        <v>18000000</v>
      </c>
      <c r="G1434" s="7732" t="s">
        <v>6991</v>
      </c>
      <c r="H1434" s="7733"/>
      <c r="I1434" s="7733"/>
      <c r="J1434" s="7734"/>
      <c r="K1434" s="5586"/>
      <c r="L1434" s="5672" t="s">
        <v>6990</v>
      </c>
      <c r="M1434" s="5682"/>
      <c r="N1434" s="5682"/>
      <c r="O1434" s="5682"/>
      <c r="P1434" s="386"/>
      <c r="Q1434" s="386"/>
    </row>
    <row r="1435" spans="1:17" s="1659" customFormat="1" ht="30" customHeight="1" x14ac:dyDescent="0.2">
      <c r="A1435" s="5675"/>
      <c r="B1435" s="5613" t="s">
        <v>139</v>
      </c>
      <c r="C1435" s="5657"/>
      <c r="D1435" s="5586">
        <v>100000000</v>
      </c>
      <c r="E1435" s="5652">
        <v>7.0000000000000007E-2</v>
      </c>
      <c r="F1435" s="5586">
        <f>D1435*E1435</f>
        <v>7000000.0000000009</v>
      </c>
      <c r="G1435" s="6076">
        <v>7000000</v>
      </c>
      <c r="H1435" s="6076" t="s">
        <v>1975</v>
      </c>
      <c r="I1435" s="6076" t="s">
        <v>447</v>
      </c>
      <c r="J1435" s="6076">
        <f>G1435</f>
        <v>7000000</v>
      </c>
      <c r="K1435" s="6076">
        <f>F1435-J1435</f>
        <v>0</v>
      </c>
      <c r="L1435" s="5672" t="s">
        <v>7001</v>
      </c>
      <c r="M1435" s="5682"/>
      <c r="N1435" s="5682"/>
      <c r="O1435" s="5682"/>
      <c r="P1435" s="386"/>
      <c r="Q1435" s="386"/>
    </row>
    <row r="1436" spans="1:17" s="1659" customFormat="1" ht="30" customHeight="1" x14ac:dyDescent="0.2">
      <c r="A1436" s="7703"/>
      <c r="B1436" s="7652" t="s">
        <v>7731</v>
      </c>
      <c r="C1436" s="7723"/>
      <c r="D1436" s="7563">
        <v>70000000</v>
      </c>
      <c r="E1436" s="7659"/>
      <c r="F1436" s="7563"/>
      <c r="G1436" s="7732" t="s">
        <v>7129</v>
      </c>
      <c r="H1436" s="7733"/>
      <c r="I1436" s="7733"/>
      <c r="J1436" s="7734"/>
      <c r="K1436" s="5586"/>
      <c r="L1436" s="5672" t="s">
        <v>7026</v>
      </c>
      <c r="M1436" s="5682"/>
      <c r="N1436" s="5682"/>
      <c r="O1436" s="5682"/>
      <c r="P1436" s="386"/>
      <c r="Q1436" s="386"/>
    </row>
    <row r="1437" spans="1:17" s="1659" customFormat="1" ht="30" customHeight="1" x14ac:dyDescent="0.2">
      <c r="A1437" s="7704"/>
      <c r="B1437" s="7665"/>
      <c r="C1437" s="7747"/>
      <c r="D1437" s="7586"/>
      <c r="E1437" s="7676"/>
      <c r="F1437" s="7586"/>
      <c r="G1437" s="7732" t="s">
        <v>7130</v>
      </c>
      <c r="H1437" s="7733"/>
      <c r="I1437" s="7733"/>
      <c r="J1437" s="7734"/>
      <c r="K1437" s="5586"/>
      <c r="L1437" s="5672"/>
      <c r="M1437" s="5682"/>
      <c r="N1437" s="5682"/>
      <c r="O1437" s="5682"/>
      <c r="P1437" s="386"/>
      <c r="Q1437" s="386"/>
    </row>
    <row r="1438" spans="1:17" s="1659" customFormat="1" ht="30" customHeight="1" x14ac:dyDescent="0.2">
      <c r="A1438" s="7705"/>
      <c r="B1438" s="7653"/>
      <c r="C1438" s="7724"/>
      <c r="D1438" s="7564"/>
      <c r="E1438" s="7660"/>
      <c r="F1438" s="7564"/>
      <c r="G1438" s="7732" t="s">
        <v>7131</v>
      </c>
      <c r="H1438" s="7733"/>
      <c r="I1438" s="7733"/>
      <c r="J1438" s="7734"/>
      <c r="K1438" s="5586"/>
      <c r="L1438" s="5672"/>
      <c r="M1438" s="5682"/>
      <c r="N1438" s="5682"/>
      <c r="O1438" s="5682"/>
      <c r="P1438" s="386"/>
      <c r="Q1438" s="386"/>
    </row>
    <row r="1439" spans="1:17" s="1659" customFormat="1" ht="30" customHeight="1" x14ac:dyDescent="0.2">
      <c r="A1439" s="7703"/>
      <c r="B1439" s="7652" t="s">
        <v>7030</v>
      </c>
      <c r="C1439" s="7723"/>
      <c r="D1439" s="7482">
        <v>15000000</v>
      </c>
      <c r="E1439" s="7870">
        <v>0.05</v>
      </c>
      <c r="F1439" s="7482">
        <f>D1439*E1439</f>
        <v>750000</v>
      </c>
      <c r="G1439" s="7732" t="s">
        <v>7032</v>
      </c>
      <c r="H1439" s="7733"/>
      <c r="I1439" s="7733"/>
      <c r="J1439" s="7734"/>
      <c r="K1439" s="5586"/>
      <c r="L1439" s="7674" t="s">
        <v>7031</v>
      </c>
      <c r="M1439" s="5682"/>
      <c r="N1439" s="5682"/>
      <c r="O1439" s="5682"/>
      <c r="P1439" s="386"/>
      <c r="Q1439" s="386"/>
    </row>
    <row r="1440" spans="1:17" s="1659" customFormat="1" ht="30" customHeight="1" x14ac:dyDescent="0.2">
      <c r="A1440" s="7704"/>
      <c r="B1440" s="7665"/>
      <c r="C1440" s="7747"/>
      <c r="D1440" s="7482"/>
      <c r="E1440" s="7870"/>
      <c r="F1440" s="7482"/>
      <c r="G1440" s="7732" t="s">
        <v>7033</v>
      </c>
      <c r="H1440" s="7733"/>
      <c r="I1440" s="7733"/>
      <c r="J1440" s="7734"/>
      <c r="K1440" s="5586"/>
      <c r="L1440" s="7675"/>
      <c r="M1440" s="5682"/>
      <c r="N1440" s="5682"/>
      <c r="O1440" s="5682"/>
      <c r="P1440" s="386"/>
      <c r="Q1440" s="386"/>
    </row>
    <row r="1441" spans="1:17" s="1659" customFormat="1" ht="30" customHeight="1" x14ac:dyDescent="0.2">
      <c r="A1441" s="7705"/>
      <c r="B1441" s="7653"/>
      <c r="C1441" s="7724"/>
      <c r="D1441" s="7482"/>
      <c r="E1441" s="7870"/>
      <c r="F1441" s="7482"/>
      <c r="G1441" s="6124">
        <v>750000</v>
      </c>
      <c r="H1441" s="6124" t="s">
        <v>7614</v>
      </c>
      <c r="I1441" s="6124" t="s">
        <v>7629</v>
      </c>
      <c r="J1441" s="6124">
        <f>G1441</f>
        <v>750000</v>
      </c>
      <c r="K1441" s="6124">
        <f>F1439-J1441</f>
        <v>0</v>
      </c>
      <c r="L1441" s="6130"/>
      <c r="M1441" s="6155"/>
      <c r="N1441" s="6155"/>
      <c r="O1441" s="6155"/>
      <c r="P1441" s="386"/>
      <c r="Q1441" s="386"/>
    </row>
    <row r="1442" spans="1:17" s="1659" customFormat="1" ht="30" customHeight="1" x14ac:dyDescent="0.2">
      <c r="A1442" s="7703"/>
      <c r="B1442" s="7652" t="s">
        <v>3073</v>
      </c>
      <c r="C1442" s="7723"/>
      <c r="D1442" s="7494" t="s">
        <v>7103</v>
      </c>
      <c r="E1442" s="7495"/>
      <c r="F1442" s="7768"/>
      <c r="G1442" s="5595"/>
      <c r="H1442" s="5595"/>
      <c r="I1442" s="5595" t="s">
        <v>7062</v>
      </c>
      <c r="J1442" s="5595">
        <f>G1442</f>
        <v>0</v>
      </c>
      <c r="K1442" s="5586"/>
      <c r="L1442" s="5673" t="s">
        <v>7063</v>
      </c>
      <c r="M1442" s="5682"/>
      <c r="N1442" s="5682"/>
      <c r="O1442" s="5682"/>
      <c r="P1442" s="386"/>
      <c r="Q1442" s="386"/>
    </row>
    <row r="1443" spans="1:17" s="1659" customFormat="1" ht="30" customHeight="1" x14ac:dyDescent="0.2">
      <c r="A1443" s="7705"/>
      <c r="B1443" s="7653"/>
      <c r="C1443" s="7724"/>
      <c r="D1443" s="7769"/>
      <c r="E1443" s="7805"/>
      <c r="F1443" s="7770"/>
      <c r="G1443" s="5586"/>
      <c r="H1443" s="5586"/>
      <c r="I1443" s="5586" t="s">
        <v>7062</v>
      </c>
      <c r="J1443" s="5586">
        <f>G1443</f>
        <v>0</v>
      </c>
      <c r="K1443" s="5586"/>
      <c r="L1443" s="5673"/>
      <c r="M1443" s="5682"/>
      <c r="N1443" s="5682"/>
      <c r="O1443" s="5682"/>
      <c r="P1443" s="386"/>
      <c r="Q1443" s="386"/>
    </row>
    <row r="1444" spans="1:17" s="1659" customFormat="1" ht="30" customHeight="1" x14ac:dyDescent="0.2">
      <c r="A1444" s="5609"/>
      <c r="B1444" s="5602" t="s">
        <v>7110</v>
      </c>
      <c r="C1444" s="5634"/>
      <c r="D1444" s="7470" t="s">
        <v>7109</v>
      </c>
      <c r="E1444" s="7493"/>
      <c r="F1444" s="7510"/>
      <c r="G1444" s="5586"/>
      <c r="H1444" s="5586"/>
      <c r="I1444" s="5586"/>
      <c r="J1444" s="5586"/>
      <c r="K1444" s="5586"/>
      <c r="L1444" s="5673"/>
      <c r="M1444" s="5682"/>
      <c r="N1444" s="5682"/>
      <c r="O1444" s="5682"/>
      <c r="P1444" s="386"/>
      <c r="Q1444" s="386"/>
    </row>
    <row r="1445" spans="1:17" s="1659" customFormat="1" ht="30" customHeight="1" x14ac:dyDescent="0.2">
      <c r="A1445" s="7703"/>
      <c r="B1445" s="7652" t="s">
        <v>7148</v>
      </c>
      <c r="C1445" s="7723"/>
      <c r="D1445" s="7563">
        <v>280000000</v>
      </c>
      <c r="E1445" s="7659">
        <v>0.06</v>
      </c>
      <c r="F1445" s="7563">
        <f>D1445*E1445</f>
        <v>16800000</v>
      </c>
      <c r="G1445" s="7991" t="s">
        <v>7154</v>
      </c>
      <c r="H1445" s="7992"/>
      <c r="I1445" s="7992"/>
      <c r="J1445" s="7993"/>
      <c r="K1445" s="5586"/>
      <c r="L1445" s="5693" t="s">
        <v>7163</v>
      </c>
      <c r="M1445" s="5682"/>
      <c r="N1445" s="5682"/>
      <c r="O1445" s="5682"/>
      <c r="P1445" s="386"/>
      <c r="Q1445" s="386"/>
    </row>
    <row r="1446" spans="1:17" s="1659" customFormat="1" ht="30" customHeight="1" x14ac:dyDescent="0.2">
      <c r="A1446" s="7705"/>
      <c r="B1446" s="7653"/>
      <c r="C1446" s="7724"/>
      <c r="D1446" s="7564"/>
      <c r="E1446" s="7660"/>
      <c r="F1446" s="7564"/>
      <c r="G1446" s="7997"/>
      <c r="H1446" s="7998"/>
      <c r="I1446" s="7998"/>
      <c r="J1446" s="7999"/>
      <c r="K1446" s="5586"/>
      <c r="L1446" s="5673" t="s">
        <v>7164</v>
      </c>
      <c r="M1446" s="5682"/>
      <c r="N1446" s="5682"/>
      <c r="O1446" s="5682"/>
      <c r="P1446" s="386"/>
      <c r="Q1446" s="386"/>
    </row>
    <row r="1447" spans="1:17" s="1659" customFormat="1" ht="30" customHeight="1" x14ac:dyDescent="0.2">
      <c r="A1447" s="5609"/>
      <c r="B1447" s="5602" t="s">
        <v>7159</v>
      </c>
      <c r="C1447" s="5634"/>
      <c r="D1447" s="5586">
        <v>140000000</v>
      </c>
      <c r="E1447" s="5652">
        <v>0.05</v>
      </c>
      <c r="F1447" s="5586">
        <f>D1447*E1447</f>
        <v>7000000</v>
      </c>
      <c r="G1447" s="7732" t="s">
        <v>7160</v>
      </c>
      <c r="H1447" s="7733"/>
      <c r="I1447" s="7733"/>
      <c r="J1447" s="7734"/>
      <c r="K1447" s="5586"/>
      <c r="L1447" s="5693" t="s">
        <v>7161</v>
      </c>
      <c r="M1447" s="5682"/>
      <c r="N1447" s="5682"/>
      <c r="O1447" s="5682"/>
      <c r="P1447" s="386"/>
      <c r="Q1447" s="386"/>
    </row>
    <row r="1448" spans="1:17" s="1659" customFormat="1" ht="30" customHeight="1" x14ac:dyDescent="0.2">
      <c r="A1448" s="7703"/>
      <c r="B1448" s="7652" t="s">
        <v>7182</v>
      </c>
      <c r="C1448" s="7723"/>
      <c r="D1448" s="7563">
        <v>150000000</v>
      </c>
      <c r="E1448" s="7659">
        <v>0.06</v>
      </c>
      <c r="F1448" s="7563">
        <f>D1448*E1448</f>
        <v>9000000</v>
      </c>
      <c r="G1448" s="7732" t="s">
        <v>7368</v>
      </c>
      <c r="H1448" s="7733"/>
      <c r="I1448" s="7733"/>
      <c r="J1448" s="7734"/>
      <c r="K1448" s="5586"/>
      <c r="L1448" s="5693" t="s">
        <v>7183</v>
      </c>
      <c r="M1448" s="5682"/>
      <c r="N1448" s="5682"/>
      <c r="O1448" s="5682"/>
      <c r="P1448" s="386"/>
      <c r="Q1448" s="386"/>
    </row>
    <row r="1449" spans="1:17" s="1659" customFormat="1" ht="30" customHeight="1" x14ac:dyDescent="0.2">
      <c r="A1449" s="7705"/>
      <c r="B1449" s="7653"/>
      <c r="C1449" s="7724"/>
      <c r="D1449" s="7564"/>
      <c r="E1449" s="7660"/>
      <c r="F1449" s="7564"/>
      <c r="G1449" s="6364">
        <v>9000000</v>
      </c>
      <c r="H1449" s="6364" t="s">
        <v>7810</v>
      </c>
      <c r="I1449" s="6364" t="s">
        <v>7811</v>
      </c>
      <c r="J1449" s="6364">
        <f>G1449</f>
        <v>9000000</v>
      </c>
      <c r="K1449" s="6364">
        <f>F1448-J1449</f>
        <v>0</v>
      </c>
      <c r="L1449" s="6379"/>
      <c r="M1449" s="6377"/>
      <c r="N1449" s="6377"/>
      <c r="O1449" s="6377"/>
      <c r="P1449" s="386"/>
      <c r="Q1449" s="386"/>
    </row>
    <row r="1450" spans="1:17" s="1659" customFormat="1" ht="30" customHeight="1" x14ac:dyDescent="0.2">
      <c r="A1450" s="5609"/>
      <c r="B1450" s="5602" t="s">
        <v>7193</v>
      </c>
      <c r="C1450" s="5634"/>
      <c r="D1450" s="5595"/>
      <c r="E1450" s="2519"/>
      <c r="F1450" s="5595"/>
      <c r="G1450" s="5586">
        <v>1250000</v>
      </c>
      <c r="H1450" s="5586" t="s">
        <v>7668</v>
      </c>
      <c r="I1450" s="5586" t="s">
        <v>7194</v>
      </c>
      <c r="J1450" s="5586">
        <f>G1450</f>
        <v>1250000</v>
      </c>
      <c r="K1450" s="5595"/>
      <c r="L1450" s="5693"/>
      <c r="M1450" s="5682"/>
      <c r="N1450" s="5682"/>
      <c r="O1450" s="5682"/>
      <c r="P1450" s="386"/>
      <c r="Q1450" s="386"/>
    </row>
    <row r="1451" spans="1:17" s="1659" customFormat="1" ht="30" customHeight="1" x14ac:dyDescent="0.2">
      <c r="A1451" s="5609"/>
      <c r="B1451" s="5602" t="s">
        <v>7236</v>
      </c>
      <c r="C1451" s="5634"/>
      <c r="D1451" s="5586">
        <v>22000000</v>
      </c>
      <c r="E1451" s="5652">
        <v>0.05</v>
      </c>
      <c r="F1451" s="5586">
        <f>D1451*E1451</f>
        <v>1100000</v>
      </c>
      <c r="G1451" s="5586">
        <v>1100000</v>
      </c>
      <c r="H1451" s="5586" t="s">
        <v>7424</v>
      </c>
      <c r="I1451" s="5586" t="s">
        <v>5470</v>
      </c>
      <c r="J1451" s="5586">
        <f>G1451</f>
        <v>1100000</v>
      </c>
      <c r="K1451" s="5586">
        <f>F1451-J1451</f>
        <v>0</v>
      </c>
      <c r="L1451" s="5693" t="s">
        <v>7264</v>
      </c>
      <c r="M1451" s="5682"/>
      <c r="N1451" s="5682"/>
      <c r="O1451" s="5682"/>
      <c r="P1451" s="386"/>
      <c r="Q1451" s="386"/>
    </row>
    <row r="1452" spans="1:17" s="1659" customFormat="1" ht="30" customHeight="1" x14ac:dyDescent="0.2">
      <c r="A1452" s="5609"/>
      <c r="B1452" s="5602" t="s">
        <v>7341</v>
      </c>
      <c r="C1452" s="5634"/>
      <c r="D1452" s="5586">
        <v>750000000</v>
      </c>
      <c r="E1452" s="5652"/>
      <c r="F1452" s="5586"/>
      <c r="G1452" s="5586"/>
      <c r="H1452" s="5586"/>
      <c r="I1452" s="5586"/>
      <c r="J1452" s="5586"/>
      <c r="K1452" s="5586"/>
      <c r="L1452" s="5693" t="s">
        <v>7342</v>
      </c>
      <c r="M1452" s="5682"/>
      <c r="N1452" s="5682"/>
      <c r="O1452" s="5682"/>
      <c r="P1452" s="386"/>
      <c r="Q1452" s="386"/>
    </row>
    <row r="1453" spans="1:17" s="1659" customFormat="1" ht="30" customHeight="1" x14ac:dyDescent="0.2">
      <c r="A1453" s="7703"/>
      <c r="B1453" s="7652" t="s">
        <v>7344</v>
      </c>
      <c r="C1453" s="7723"/>
      <c r="D1453" s="6073">
        <v>50000000</v>
      </c>
      <c r="E1453" s="6074">
        <v>5.5E-2</v>
      </c>
      <c r="F1453" s="6073">
        <f>D1453*E1453</f>
        <v>2750000</v>
      </c>
      <c r="G1453" s="7991" t="s">
        <v>7541</v>
      </c>
      <c r="H1453" s="7992"/>
      <c r="I1453" s="7992"/>
      <c r="J1453" s="7993"/>
      <c r="K1453" s="5586"/>
      <c r="L1453" s="6072" t="s">
        <v>7345</v>
      </c>
      <c r="M1453" s="5682"/>
      <c r="N1453" s="5682"/>
      <c r="O1453" s="5682"/>
      <c r="P1453" s="386"/>
      <c r="Q1453" s="386"/>
    </row>
    <row r="1454" spans="1:17" s="1659" customFormat="1" ht="30" customHeight="1" x14ac:dyDescent="0.2">
      <c r="A1454" s="7705"/>
      <c r="B1454" s="7653"/>
      <c r="C1454" s="7724"/>
      <c r="D1454" s="6028">
        <v>80000000</v>
      </c>
      <c r="E1454" s="6040">
        <v>5.5E-2</v>
      </c>
      <c r="F1454" s="6028">
        <f>D1454*E1454</f>
        <v>4400000</v>
      </c>
      <c r="G1454" s="7997"/>
      <c r="H1454" s="7998"/>
      <c r="I1454" s="7998"/>
      <c r="J1454" s="7999"/>
      <c r="K1454" s="6028"/>
      <c r="L1454" s="6075" t="s">
        <v>7542</v>
      </c>
      <c r="M1454" s="6043"/>
      <c r="N1454" s="6043"/>
      <c r="O1454" s="6043"/>
      <c r="P1454" s="386"/>
      <c r="Q1454" s="386"/>
    </row>
    <row r="1455" spans="1:17" s="1659" customFormat="1" ht="30" customHeight="1" x14ac:dyDescent="0.2">
      <c r="A1455" s="5857"/>
      <c r="B1455" s="5853" t="s">
        <v>7357</v>
      </c>
      <c r="C1455" s="5861"/>
      <c r="D1455" s="5847">
        <v>20000000</v>
      </c>
      <c r="E1455" s="5867"/>
      <c r="F1455" s="5847"/>
      <c r="G1455" s="5847"/>
      <c r="H1455" s="5847"/>
      <c r="I1455" s="5847"/>
      <c r="J1455" s="5847"/>
      <c r="K1455" s="5847"/>
      <c r="L1455" s="5874" t="s">
        <v>7358</v>
      </c>
      <c r="M1455" s="5870"/>
      <c r="N1455" s="5870"/>
      <c r="O1455" s="5870"/>
      <c r="P1455" s="386"/>
      <c r="Q1455" s="386"/>
    </row>
    <row r="1456" spans="1:17" s="1659" customFormat="1" ht="30" customHeight="1" x14ac:dyDescent="0.2">
      <c r="A1456" s="7703"/>
      <c r="B1456" s="7652" t="s">
        <v>7362</v>
      </c>
      <c r="C1456" s="7723"/>
      <c r="D1456" s="7563">
        <v>200000000</v>
      </c>
      <c r="E1456" s="7659">
        <v>7.0000000000000007E-2</v>
      </c>
      <c r="F1456" s="7563">
        <f>D1456*E1456</f>
        <v>14000000.000000002</v>
      </c>
      <c r="G1456" s="7732" t="s">
        <v>7363</v>
      </c>
      <c r="H1456" s="7733"/>
      <c r="I1456" s="7733"/>
      <c r="J1456" s="7734"/>
      <c r="K1456" s="5847"/>
      <c r="L1456" s="7674" t="s">
        <v>7365</v>
      </c>
      <c r="M1456" s="5870"/>
      <c r="N1456" s="5870"/>
      <c r="O1456" s="5870"/>
      <c r="P1456" s="386"/>
      <c r="Q1456" s="386"/>
    </row>
    <row r="1457" spans="1:17" s="1659" customFormat="1" ht="30" customHeight="1" x14ac:dyDescent="0.2">
      <c r="A1457" s="7705"/>
      <c r="B1457" s="7653"/>
      <c r="C1457" s="7724"/>
      <c r="D1457" s="7564"/>
      <c r="E1457" s="7660"/>
      <c r="F1457" s="7564"/>
      <c r="G1457" s="7732" t="s">
        <v>7364</v>
      </c>
      <c r="H1457" s="7733"/>
      <c r="I1457" s="7733"/>
      <c r="J1457" s="7734"/>
      <c r="K1457" s="5847"/>
      <c r="L1457" s="7675"/>
      <c r="M1457" s="5870"/>
      <c r="N1457" s="5870"/>
      <c r="O1457" s="5870"/>
      <c r="P1457" s="386"/>
      <c r="Q1457" s="386"/>
    </row>
    <row r="1458" spans="1:17" s="1659" customFormat="1" ht="30" customHeight="1" x14ac:dyDescent="0.2">
      <c r="A1458" s="5857"/>
      <c r="B1458" s="5853" t="s">
        <v>7371</v>
      </c>
      <c r="C1458" s="5861"/>
      <c r="D1458" s="5847">
        <v>12000000</v>
      </c>
      <c r="E1458" s="5867">
        <v>0.05</v>
      </c>
      <c r="F1458" s="5847">
        <f>D1458*E1458</f>
        <v>600000</v>
      </c>
      <c r="G1458" s="7732"/>
      <c r="H1458" s="7733"/>
      <c r="I1458" s="7733"/>
      <c r="J1458" s="7734"/>
      <c r="K1458" s="5847"/>
      <c r="L1458" s="5874" t="s">
        <v>7372</v>
      </c>
      <c r="M1458" s="5870"/>
      <c r="N1458" s="5870"/>
      <c r="O1458" s="5870"/>
      <c r="P1458" s="386"/>
      <c r="Q1458" s="386"/>
    </row>
    <row r="1459" spans="1:17" s="1659" customFormat="1" ht="30" customHeight="1" x14ac:dyDescent="0.2">
      <c r="A1459" s="5857"/>
      <c r="B1459" s="5853" t="s">
        <v>7400</v>
      </c>
      <c r="C1459" s="5861"/>
      <c r="D1459" s="5847">
        <v>10000000</v>
      </c>
      <c r="E1459" s="5867">
        <v>0.05</v>
      </c>
      <c r="F1459" s="5847"/>
      <c r="G1459" s="5847"/>
      <c r="H1459" s="5847"/>
      <c r="I1459" s="5847"/>
      <c r="J1459" s="5847"/>
      <c r="K1459" s="5847"/>
      <c r="L1459" s="5874" t="s">
        <v>7401</v>
      </c>
      <c r="M1459" s="5870"/>
      <c r="N1459" s="5870"/>
      <c r="O1459" s="5870"/>
      <c r="P1459" s="386"/>
      <c r="Q1459" s="386"/>
    </row>
    <row r="1460" spans="1:17" s="1659" customFormat="1" ht="30" customHeight="1" x14ac:dyDescent="0.2">
      <c r="A1460" s="5923"/>
      <c r="B1460" s="5922" t="s">
        <v>7439</v>
      </c>
      <c r="C1460" s="5925"/>
      <c r="D1460" s="5919">
        <v>1500000000</v>
      </c>
      <c r="E1460" s="5926">
        <v>7.0000000000000007E-2</v>
      </c>
      <c r="F1460" s="5919">
        <f>D1460*E1460</f>
        <v>105000000.00000001</v>
      </c>
      <c r="G1460" s="7732" t="s">
        <v>7441</v>
      </c>
      <c r="H1460" s="7733"/>
      <c r="I1460" s="7733"/>
      <c r="J1460" s="7734"/>
      <c r="K1460" s="5919"/>
      <c r="L1460" s="5935" t="s">
        <v>7440</v>
      </c>
      <c r="M1460" s="5934"/>
      <c r="N1460" s="5934"/>
      <c r="O1460" s="5934"/>
      <c r="P1460" s="386"/>
      <c r="Q1460" s="386"/>
    </row>
    <row r="1461" spans="1:17" s="1659" customFormat="1" ht="30" customHeight="1" x14ac:dyDescent="0.2">
      <c r="A1461" s="7703"/>
      <c r="B1461" s="7652" t="s">
        <v>181</v>
      </c>
      <c r="C1461" s="7723" t="s">
        <v>1172</v>
      </c>
      <c r="D1461" s="7563"/>
      <c r="E1461" s="7659"/>
      <c r="F1461" s="7563"/>
      <c r="G1461" s="5941">
        <v>50000000</v>
      </c>
      <c r="H1461" s="5941" t="s">
        <v>7424</v>
      </c>
      <c r="I1461" s="5941" t="s">
        <v>7443</v>
      </c>
      <c r="J1461" s="7563">
        <f>G1461+G1462</f>
        <v>74960000</v>
      </c>
      <c r="K1461" s="7563"/>
      <c r="L1461" s="5955"/>
      <c r="M1461" s="5954"/>
      <c r="N1461" s="5954"/>
      <c r="O1461" s="5954"/>
      <c r="P1461" s="386"/>
      <c r="Q1461" s="386"/>
    </row>
    <row r="1462" spans="1:17" s="1659" customFormat="1" ht="30" customHeight="1" x14ac:dyDescent="0.2">
      <c r="A1462" s="7704"/>
      <c r="B1462" s="7665"/>
      <c r="C1462" s="7724"/>
      <c r="D1462" s="7564"/>
      <c r="E1462" s="7660"/>
      <c r="F1462" s="7564"/>
      <c r="G1462" s="5956">
        <v>24960000</v>
      </c>
      <c r="H1462" s="5956" t="s">
        <v>4168</v>
      </c>
      <c r="I1462" s="5956" t="s">
        <v>7443</v>
      </c>
      <c r="J1462" s="7564"/>
      <c r="K1462" s="7564"/>
      <c r="L1462" s="5993"/>
      <c r="M1462" s="5992"/>
      <c r="N1462" s="5992"/>
      <c r="O1462" s="5992"/>
      <c r="P1462" s="386"/>
      <c r="Q1462" s="386"/>
    </row>
    <row r="1463" spans="1:17" s="1659" customFormat="1" ht="30" customHeight="1" x14ac:dyDescent="0.2">
      <c r="A1463" s="7705"/>
      <c r="B1463" s="7653"/>
      <c r="C1463" s="5948" t="s">
        <v>1287</v>
      </c>
      <c r="D1463" s="5941"/>
      <c r="E1463" s="5950"/>
      <c r="F1463" s="5941"/>
      <c r="G1463" s="5941"/>
      <c r="H1463" s="5941"/>
      <c r="I1463" s="5941"/>
      <c r="J1463" s="5941"/>
      <c r="K1463" s="5941"/>
      <c r="L1463" s="5955"/>
      <c r="M1463" s="5954"/>
      <c r="N1463" s="5954"/>
      <c r="O1463" s="5954"/>
      <c r="P1463" s="386"/>
      <c r="Q1463" s="386"/>
    </row>
    <row r="1464" spans="1:17" s="1659" customFormat="1" ht="30" customHeight="1" x14ac:dyDescent="0.2">
      <c r="A1464" s="6014"/>
      <c r="B1464" s="6013" t="s">
        <v>7510</v>
      </c>
      <c r="C1464" s="6016" t="s">
        <v>4223</v>
      </c>
      <c r="D1464" s="6009">
        <v>100000000</v>
      </c>
      <c r="E1464" s="6017">
        <v>7.0000000000000007E-2</v>
      </c>
      <c r="F1464" s="6009">
        <f>D1464*E1464</f>
        <v>7000000.0000000009</v>
      </c>
      <c r="G1464" s="6009"/>
      <c r="H1464" s="6009"/>
      <c r="I1464" s="6009"/>
      <c r="J1464" s="6009"/>
      <c r="K1464" s="6009"/>
      <c r="L1464" s="6023" t="s">
        <v>7543</v>
      </c>
      <c r="M1464" s="6021"/>
      <c r="N1464" s="6021"/>
      <c r="O1464" s="6021"/>
      <c r="P1464" s="386"/>
      <c r="Q1464" s="386"/>
    </row>
    <row r="1465" spans="1:17" s="1659" customFormat="1" ht="30" customHeight="1" x14ac:dyDescent="0.2">
      <c r="A1465" s="7703"/>
      <c r="B1465" s="7652" t="s">
        <v>7547</v>
      </c>
      <c r="C1465" s="7723"/>
      <c r="D1465" s="7563">
        <v>500000000</v>
      </c>
      <c r="E1465" s="7659">
        <v>7.0000000000000007E-2</v>
      </c>
      <c r="F1465" s="7563">
        <f>D1465*E1465</f>
        <v>35000000</v>
      </c>
      <c r="G1465" s="7732" t="s">
        <v>7545</v>
      </c>
      <c r="H1465" s="7733"/>
      <c r="I1465" s="7733"/>
      <c r="J1465" s="7734"/>
      <c r="K1465" s="7563"/>
      <c r="L1465" s="7674" t="s">
        <v>7544</v>
      </c>
      <c r="M1465" s="6021"/>
      <c r="N1465" s="6021"/>
      <c r="O1465" s="6021"/>
      <c r="P1465" s="386"/>
      <c r="Q1465" s="386"/>
    </row>
    <row r="1466" spans="1:17" s="1659" customFormat="1" ht="30" customHeight="1" x14ac:dyDescent="0.2">
      <c r="A1466" s="7704"/>
      <c r="B1466" s="7665"/>
      <c r="C1466" s="7747"/>
      <c r="D1466" s="7586"/>
      <c r="E1466" s="7676"/>
      <c r="F1466" s="7586"/>
      <c r="G1466" s="7732" t="s">
        <v>7546</v>
      </c>
      <c r="H1466" s="7733"/>
      <c r="I1466" s="7733"/>
      <c r="J1466" s="7734"/>
      <c r="K1466" s="7586"/>
      <c r="L1466" s="8186"/>
      <c r="M1466" s="6021"/>
      <c r="N1466" s="6021"/>
      <c r="O1466" s="6021"/>
      <c r="P1466" s="386"/>
      <c r="Q1466" s="386"/>
    </row>
    <row r="1467" spans="1:17" s="1659" customFormat="1" ht="30" customHeight="1" x14ac:dyDescent="0.2">
      <c r="A1467" s="7704"/>
      <c r="B1467" s="7665"/>
      <c r="C1467" s="7747"/>
      <c r="D1467" s="7586"/>
      <c r="E1467" s="7676"/>
      <c r="F1467" s="7586"/>
      <c r="G1467" s="7470" t="s">
        <v>7548</v>
      </c>
      <c r="H1467" s="7493"/>
      <c r="I1467" s="7493"/>
      <c r="J1467" s="7510"/>
      <c r="K1467" s="7586"/>
      <c r="L1467" s="8186"/>
      <c r="M1467" s="6021"/>
      <c r="N1467" s="6021"/>
      <c r="O1467" s="6021"/>
      <c r="P1467" s="386"/>
      <c r="Q1467" s="386"/>
    </row>
    <row r="1468" spans="1:17" s="1659" customFormat="1" ht="30" customHeight="1" x14ac:dyDescent="0.2">
      <c r="A1468" s="7705"/>
      <c r="B1468" s="7653"/>
      <c r="C1468" s="7724"/>
      <c r="D1468" s="7564"/>
      <c r="E1468" s="7660"/>
      <c r="F1468" s="7564"/>
      <c r="G1468" s="7732" t="s">
        <v>7549</v>
      </c>
      <c r="H1468" s="7733"/>
      <c r="I1468" s="7733"/>
      <c r="J1468" s="7734"/>
      <c r="K1468" s="7564"/>
      <c r="L1468" s="7675"/>
      <c r="M1468" s="6043"/>
      <c r="N1468" s="6043"/>
      <c r="O1468" s="6043"/>
      <c r="P1468" s="386"/>
      <c r="Q1468" s="386"/>
    </row>
    <row r="1469" spans="1:17" s="1659" customFormat="1" ht="30" customHeight="1" x14ac:dyDescent="0.2">
      <c r="A1469" s="6054"/>
      <c r="B1469" s="6051" t="s">
        <v>7562</v>
      </c>
      <c r="C1469" s="6062"/>
      <c r="D1469" s="6050">
        <v>500000000</v>
      </c>
      <c r="E1469" s="6053"/>
      <c r="F1469" s="6050"/>
      <c r="G1469" s="6057"/>
      <c r="H1469" s="6058"/>
      <c r="I1469" s="6058"/>
      <c r="J1469" s="6059"/>
      <c r="K1469" s="6050"/>
      <c r="L1469" s="6068" t="s">
        <v>7563</v>
      </c>
      <c r="M1469" s="6070"/>
      <c r="N1469" s="6070"/>
      <c r="O1469" s="6070"/>
      <c r="P1469" s="386"/>
      <c r="Q1469" s="386"/>
    </row>
    <row r="1470" spans="1:17" s="1659" customFormat="1" ht="30" customHeight="1" x14ac:dyDescent="0.2">
      <c r="A1470" s="6054"/>
      <c r="B1470" s="6051" t="s">
        <v>7583</v>
      </c>
      <c r="C1470" s="6062"/>
      <c r="D1470" s="6050">
        <v>100000000</v>
      </c>
      <c r="E1470" s="6053"/>
      <c r="F1470" s="6050"/>
      <c r="G1470" s="6057"/>
      <c r="H1470" s="6058"/>
      <c r="I1470" s="6058"/>
      <c r="J1470" s="6059"/>
      <c r="K1470" s="6050"/>
      <c r="L1470" s="6093" t="s">
        <v>7584</v>
      </c>
      <c r="M1470" s="6070"/>
      <c r="N1470" s="6070"/>
      <c r="O1470" s="6070"/>
      <c r="P1470" s="386"/>
      <c r="Q1470" s="386"/>
    </row>
    <row r="1471" spans="1:17" s="1659" customFormat="1" ht="30" customHeight="1" x14ac:dyDescent="0.2">
      <c r="A1471" s="7703"/>
      <c r="B1471" s="7652" t="s">
        <v>3460</v>
      </c>
      <c r="C1471" s="7723"/>
      <c r="D1471" s="7563">
        <v>90000000</v>
      </c>
      <c r="E1471" s="7659">
        <v>7.0000000000000007E-2</v>
      </c>
      <c r="F1471" s="7563">
        <f>D1471*E1471</f>
        <v>6300000.0000000009</v>
      </c>
      <c r="G1471" s="7732" t="s">
        <v>7589</v>
      </c>
      <c r="H1471" s="7733"/>
      <c r="I1471" s="7733"/>
      <c r="J1471" s="7734"/>
      <c r="K1471" s="6050"/>
      <c r="L1471" s="7674" t="s">
        <v>7588</v>
      </c>
      <c r="M1471" s="6070"/>
      <c r="N1471" s="6070"/>
      <c r="O1471" s="6070"/>
      <c r="P1471" s="386"/>
      <c r="Q1471" s="386"/>
    </row>
    <row r="1472" spans="1:17" s="1659" customFormat="1" ht="30" customHeight="1" x14ac:dyDescent="0.2">
      <c r="A1472" s="7705"/>
      <c r="B1472" s="7653"/>
      <c r="C1472" s="7724"/>
      <c r="D1472" s="7564"/>
      <c r="E1472" s="7660"/>
      <c r="F1472" s="7564"/>
      <c r="G1472" s="7732" t="s">
        <v>7590</v>
      </c>
      <c r="H1472" s="7733"/>
      <c r="I1472" s="7733"/>
      <c r="J1472" s="7734"/>
      <c r="K1472" s="6106"/>
      <c r="L1472" s="7675"/>
      <c r="M1472" s="6119"/>
      <c r="N1472" s="6119"/>
      <c r="O1472" s="6119"/>
      <c r="P1472" s="386"/>
      <c r="Q1472" s="386"/>
    </row>
    <row r="1473" spans="1:17" s="1659" customFormat="1" ht="30" customHeight="1" x14ac:dyDescent="0.2">
      <c r="A1473" s="7703"/>
      <c r="B1473" s="7652" t="s">
        <v>7607</v>
      </c>
      <c r="C1473" s="7723"/>
      <c r="D1473" s="7563">
        <v>100000000</v>
      </c>
      <c r="E1473" s="7659"/>
      <c r="F1473" s="7563"/>
      <c r="G1473" s="7732" t="s">
        <v>7610</v>
      </c>
      <c r="H1473" s="7733"/>
      <c r="I1473" s="7733"/>
      <c r="J1473" s="7734"/>
      <c r="K1473" s="6106"/>
      <c r="L1473" s="6191" t="s">
        <v>7609</v>
      </c>
      <c r="M1473" s="6119"/>
      <c r="N1473" s="6119"/>
      <c r="O1473" s="6119"/>
      <c r="P1473" s="386"/>
      <c r="Q1473" s="386"/>
    </row>
    <row r="1474" spans="1:17" s="1659" customFormat="1" ht="30" customHeight="1" x14ac:dyDescent="0.2">
      <c r="A1474" s="7704"/>
      <c r="B1474" s="7665"/>
      <c r="C1474" s="7747"/>
      <c r="D1474" s="7586"/>
      <c r="E1474" s="7676"/>
      <c r="F1474" s="7586"/>
      <c r="G1474" s="7732" t="s">
        <v>7608</v>
      </c>
      <c r="H1474" s="7733"/>
      <c r="I1474" s="7733"/>
      <c r="J1474" s="7734"/>
      <c r="K1474" s="6106"/>
      <c r="L1474" s="6197"/>
      <c r="M1474" s="6119"/>
      <c r="N1474" s="6119"/>
      <c r="O1474" s="6119"/>
      <c r="P1474" s="386"/>
      <c r="Q1474" s="386"/>
    </row>
    <row r="1475" spans="1:17" s="1659" customFormat="1" ht="30" customHeight="1" x14ac:dyDescent="0.2">
      <c r="A1475" s="7704"/>
      <c r="B1475" s="7665"/>
      <c r="C1475" s="7747"/>
      <c r="D1475" s="7586"/>
      <c r="E1475" s="7676"/>
      <c r="F1475" s="7586"/>
      <c r="G1475" s="7732" t="s">
        <v>7704</v>
      </c>
      <c r="H1475" s="7733"/>
      <c r="I1475" s="7733"/>
      <c r="J1475" s="7734"/>
      <c r="K1475" s="6106"/>
      <c r="L1475" s="6197"/>
      <c r="M1475" s="6119"/>
      <c r="N1475" s="6119"/>
      <c r="O1475" s="6119"/>
      <c r="P1475" s="386"/>
      <c r="Q1475" s="386"/>
    </row>
    <row r="1476" spans="1:17" s="1659" customFormat="1" ht="30" customHeight="1" x14ac:dyDescent="0.2">
      <c r="A1476" s="7705"/>
      <c r="B1476" s="7653"/>
      <c r="C1476" s="7724"/>
      <c r="D1476" s="7564"/>
      <c r="E1476" s="7660"/>
      <c r="F1476" s="7564"/>
      <c r="G1476" s="6188">
        <v>17000000</v>
      </c>
      <c r="H1476" s="6188" t="s">
        <v>7691</v>
      </c>
      <c r="I1476" s="6188" t="s">
        <v>7705</v>
      </c>
      <c r="J1476" s="6188">
        <f>G1476</f>
        <v>17000000</v>
      </c>
      <c r="K1476" s="6106"/>
      <c r="L1476" s="6192" t="s">
        <v>7706</v>
      </c>
      <c r="M1476" s="6119"/>
      <c r="N1476" s="6119"/>
      <c r="O1476" s="6119"/>
      <c r="P1476" s="386"/>
      <c r="Q1476" s="386"/>
    </row>
    <row r="1477" spans="1:17" s="1659" customFormat="1" ht="30" customHeight="1" x14ac:dyDescent="0.2">
      <c r="A1477" s="7703"/>
      <c r="B1477" s="7652" t="s">
        <v>7611</v>
      </c>
      <c r="C1477" s="7723"/>
      <c r="D1477" s="7494" t="s">
        <v>7643</v>
      </c>
      <c r="E1477" s="7495"/>
      <c r="F1477" s="7768"/>
      <c r="G1477" s="6104">
        <v>10000000</v>
      </c>
      <c r="H1477" s="6104" t="s">
        <v>1269</v>
      </c>
      <c r="I1477" s="6104" t="s">
        <v>7612</v>
      </c>
      <c r="J1477" s="7563">
        <f>G1477+G1478+G1479+G1480</f>
        <v>54000000</v>
      </c>
      <c r="K1477" s="7563"/>
      <c r="L1477" s="7563"/>
      <c r="M1477" s="6119"/>
      <c r="N1477" s="6119"/>
      <c r="O1477" s="6119"/>
      <c r="P1477" s="386"/>
      <c r="Q1477" s="386"/>
    </row>
    <row r="1478" spans="1:17" s="1659" customFormat="1" ht="30" customHeight="1" x14ac:dyDescent="0.2">
      <c r="A1478" s="7704"/>
      <c r="B1478" s="7665"/>
      <c r="C1478" s="7747"/>
      <c r="D1478" s="7877"/>
      <c r="E1478" s="7524"/>
      <c r="F1478" s="7878"/>
      <c r="G1478" s="6124">
        <v>20000000</v>
      </c>
      <c r="H1478" s="6124" t="s">
        <v>7614</v>
      </c>
      <c r="I1478" s="6124" t="s">
        <v>7619</v>
      </c>
      <c r="J1478" s="7586"/>
      <c r="K1478" s="7586"/>
      <c r="L1478" s="7586"/>
      <c r="M1478" s="6155"/>
      <c r="N1478" s="6155"/>
      <c r="O1478" s="6155"/>
      <c r="P1478" s="386"/>
      <c r="Q1478" s="386"/>
    </row>
    <row r="1479" spans="1:17" s="1659" customFormat="1" ht="30" customHeight="1" x14ac:dyDescent="0.2">
      <c r="A1479" s="7704"/>
      <c r="B1479" s="7665"/>
      <c r="C1479" s="7747"/>
      <c r="D1479" s="7877"/>
      <c r="E1479" s="7524"/>
      <c r="F1479" s="7878"/>
      <c r="G1479" s="6124">
        <v>20000000</v>
      </c>
      <c r="H1479" s="6124" t="s">
        <v>7614</v>
      </c>
      <c r="I1479" s="6124" t="s">
        <v>7619</v>
      </c>
      <c r="J1479" s="7586"/>
      <c r="K1479" s="7586"/>
      <c r="L1479" s="7586"/>
      <c r="M1479" s="6155"/>
      <c r="N1479" s="6155"/>
      <c r="O1479" s="6155"/>
      <c r="P1479" s="386"/>
      <c r="Q1479" s="386"/>
    </row>
    <row r="1480" spans="1:17" s="1659" customFormat="1" ht="30" customHeight="1" x14ac:dyDescent="0.2">
      <c r="A1480" s="7705"/>
      <c r="B1480" s="7653"/>
      <c r="C1480" s="7724"/>
      <c r="D1480" s="7769"/>
      <c r="E1480" s="7805"/>
      <c r="F1480" s="7770"/>
      <c r="G1480" s="6124">
        <v>4000000</v>
      </c>
      <c r="H1480" s="6124" t="s">
        <v>7614</v>
      </c>
      <c r="I1480" s="6124" t="s">
        <v>7619</v>
      </c>
      <c r="J1480" s="7564"/>
      <c r="K1480" s="7564"/>
      <c r="L1480" s="7564"/>
      <c r="M1480" s="6155"/>
      <c r="N1480" s="6155"/>
      <c r="O1480" s="6155"/>
      <c r="P1480" s="386"/>
      <c r="Q1480" s="386"/>
    </row>
    <row r="1481" spans="1:17" s="1659" customFormat="1" ht="30" customHeight="1" x14ac:dyDescent="0.2">
      <c r="A1481" s="6109"/>
      <c r="B1481" s="6107" t="s">
        <v>4116</v>
      </c>
      <c r="C1481" s="6113"/>
      <c r="D1481" s="6106">
        <v>110000000</v>
      </c>
      <c r="E1481" s="6108">
        <v>7.0000000000000007E-2</v>
      </c>
      <c r="F1481" s="6106">
        <f>D1481*E1481</f>
        <v>7700000.0000000009</v>
      </c>
      <c r="G1481" s="7732" t="s">
        <v>7617</v>
      </c>
      <c r="H1481" s="7733"/>
      <c r="I1481" s="7733"/>
      <c r="J1481" s="7734"/>
      <c r="K1481" s="6106"/>
      <c r="L1481" s="6112" t="s">
        <v>7618</v>
      </c>
      <c r="M1481" s="6119"/>
      <c r="N1481" s="6119"/>
      <c r="O1481" s="6119"/>
      <c r="P1481" s="386"/>
      <c r="Q1481" s="386"/>
    </row>
    <row r="1482" spans="1:17" s="1659" customFormat="1" ht="30" customHeight="1" x14ac:dyDescent="0.2">
      <c r="A1482" s="6176"/>
      <c r="B1482" s="6171" t="s">
        <v>7681</v>
      </c>
      <c r="C1482" s="6177" t="s">
        <v>3216</v>
      </c>
      <c r="D1482" s="6168">
        <v>300000000</v>
      </c>
      <c r="E1482" s="6174">
        <v>7.0000000000000007E-2</v>
      </c>
      <c r="F1482" s="6168">
        <f>D1482*E1482</f>
        <v>21000000.000000004</v>
      </c>
      <c r="G1482" s="7732" t="s">
        <v>7682</v>
      </c>
      <c r="H1482" s="7733"/>
      <c r="I1482" s="7733"/>
      <c r="J1482" s="7734"/>
      <c r="K1482" s="6168"/>
      <c r="L1482" s="6169" t="s">
        <v>7683</v>
      </c>
      <c r="M1482" s="6181"/>
      <c r="N1482" s="6181"/>
      <c r="O1482" s="6181"/>
      <c r="P1482" s="386"/>
      <c r="Q1482" s="386"/>
    </row>
    <row r="1483" spans="1:17" s="1659" customFormat="1" ht="30" customHeight="1" x14ac:dyDescent="0.2">
      <c r="A1483" s="6176"/>
      <c r="B1483" s="6171" t="s">
        <v>7686</v>
      </c>
      <c r="C1483" s="6177"/>
      <c r="D1483" s="6168">
        <v>135000000</v>
      </c>
      <c r="E1483" s="6174">
        <v>0.05</v>
      </c>
      <c r="F1483" s="6168">
        <f>D1483*E1483</f>
        <v>6750000</v>
      </c>
      <c r="G1483" s="7732" t="s">
        <v>7689</v>
      </c>
      <c r="H1483" s="7733"/>
      <c r="I1483" s="7733"/>
      <c r="J1483" s="7734"/>
      <c r="K1483" s="6168"/>
      <c r="L1483" s="6169" t="s">
        <v>7687</v>
      </c>
      <c r="M1483" s="6181"/>
      <c r="N1483" s="6181"/>
      <c r="O1483" s="6181"/>
      <c r="P1483" s="386"/>
      <c r="Q1483" s="386"/>
    </row>
    <row r="1484" spans="1:17" s="1659" customFormat="1" ht="30" customHeight="1" x14ac:dyDescent="0.2">
      <c r="A1484" s="7703"/>
      <c r="B1484" s="7652" t="s">
        <v>7690</v>
      </c>
      <c r="C1484" s="7723"/>
      <c r="D1484" s="7563"/>
      <c r="E1484" s="7659"/>
      <c r="F1484" s="7563"/>
      <c r="G1484" s="6188">
        <v>50000000</v>
      </c>
      <c r="H1484" s="6188" t="s">
        <v>7691</v>
      </c>
      <c r="I1484" s="6224" t="s">
        <v>7720</v>
      </c>
      <c r="J1484" s="7768"/>
      <c r="K1484" s="7563"/>
      <c r="L1484" s="7563"/>
      <c r="M1484" s="6195"/>
      <c r="N1484" s="6195"/>
      <c r="O1484" s="6195"/>
      <c r="P1484" s="386"/>
      <c r="Q1484" s="386"/>
    </row>
    <row r="1485" spans="1:17" s="1659" customFormat="1" ht="30" customHeight="1" x14ac:dyDescent="0.2">
      <c r="A1485" s="7704"/>
      <c r="B1485" s="7665"/>
      <c r="C1485" s="7747"/>
      <c r="D1485" s="7586"/>
      <c r="E1485" s="7676"/>
      <c r="F1485" s="7586"/>
      <c r="G1485" s="6188">
        <v>50000000</v>
      </c>
      <c r="H1485" s="6188" t="s">
        <v>7718</v>
      </c>
      <c r="I1485" s="6224" t="s">
        <v>7720</v>
      </c>
      <c r="J1485" s="7878"/>
      <c r="K1485" s="7586"/>
      <c r="L1485" s="7586"/>
      <c r="M1485" s="6195"/>
      <c r="N1485" s="6195"/>
      <c r="O1485" s="6195"/>
      <c r="P1485" s="386"/>
      <c r="Q1485" s="386"/>
    </row>
    <row r="1486" spans="1:17" s="1659" customFormat="1" ht="30" customHeight="1" x14ac:dyDescent="0.2">
      <c r="A1486" s="7704"/>
      <c r="B1486" s="7665"/>
      <c r="C1486" s="7747"/>
      <c r="D1486" s="7586"/>
      <c r="E1486" s="7676"/>
      <c r="F1486" s="7586"/>
      <c r="G1486" s="6188"/>
      <c r="H1486" s="6188"/>
      <c r="I1486" s="6196"/>
      <c r="J1486" s="7878"/>
      <c r="K1486" s="7586"/>
      <c r="L1486" s="7586"/>
      <c r="M1486" s="6195"/>
      <c r="N1486" s="6195"/>
      <c r="O1486" s="6195"/>
      <c r="P1486" s="386"/>
      <c r="Q1486" s="386"/>
    </row>
    <row r="1487" spans="1:17" s="1659" customFormat="1" ht="30" customHeight="1" x14ac:dyDescent="0.2">
      <c r="A1487" s="7705"/>
      <c r="B1487" s="7653"/>
      <c r="C1487" s="7724"/>
      <c r="D1487" s="7564"/>
      <c r="E1487" s="7660"/>
      <c r="F1487" s="7564"/>
      <c r="G1487" s="6188"/>
      <c r="H1487" s="6188"/>
      <c r="I1487" s="6196"/>
      <c r="J1487" s="7770"/>
      <c r="K1487" s="7564"/>
      <c r="L1487" s="7564"/>
      <c r="M1487" s="6181"/>
      <c r="N1487" s="6181"/>
      <c r="O1487" s="6181"/>
      <c r="P1487" s="386"/>
      <c r="Q1487" s="386"/>
    </row>
    <row r="1488" spans="1:17" s="1659" customFormat="1" ht="30" customHeight="1" x14ac:dyDescent="0.2">
      <c r="A1488" s="6211"/>
      <c r="B1488" s="6208" t="s">
        <v>7707</v>
      </c>
      <c r="C1488" s="6212" t="s">
        <v>990</v>
      </c>
      <c r="D1488" s="6206">
        <v>100000000</v>
      </c>
      <c r="E1488" s="6209">
        <v>7.0000000000000007E-2</v>
      </c>
      <c r="F1488" s="6206">
        <f>D1488*E1488</f>
        <v>7000000.0000000009</v>
      </c>
      <c r="G1488" s="6204"/>
      <c r="H1488" s="6204"/>
      <c r="I1488" s="6219"/>
      <c r="J1488" s="6214"/>
      <c r="K1488" s="6206"/>
      <c r="L1488" s="6207" t="s">
        <v>7708</v>
      </c>
      <c r="M1488" s="6218"/>
      <c r="N1488" s="6218"/>
      <c r="O1488" s="6218"/>
      <c r="P1488" s="386"/>
      <c r="Q1488" s="386"/>
    </row>
    <row r="1489" spans="1:17" s="1659" customFormat="1" ht="30" customHeight="1" x14ac:dyDescent="0.2">
      <c r="A1489" s="6211"/>
      <c r="B1489" s="6208" t="s">
        <v>7738</v>
      </c>
      <c r="C1489" s="6212"/>
      <c r="D1489" s="6206"/>
      <c r="E1489" s="6209"/>
      <c r="F1489" s="6206"/>
      <c r="G1489" s="6272">
        <v>16800000</v>
      </c>
      <c r="H1489" s="6272" t="s">
        <v>7727</v>
      </c>
      <c r="I1489" s="6272" t="s">
        <v>7739</v>
      </c>
      <c r="J1489" s="6288">
        <f>G1489</f>
        <v>16800000</v>
      </c>
      <c r="K1489" s="6206"/>
      <c r="L1489" s="6206"/>
      <c r="M1489" s="6218"/>
      <c r="N1489" s="6218"/>
      <c r="O1489" s="6218"/>
      <c r="P1489" s="386"/>
      <c r="Q1489" s="386"/>
    </row>
    <row r="1490" spans="1:17" s="1659" customFormat="1" ht="30" customHeight="1" x14ac:dyDescent="0.2">
      <c r="A1490" s="7703"/>
      <c r="B1490" s="7652" t="s">
        <v>7740</v>
      </c>
      <c r="C1490" s="7723" t="s">
        <v>1138</v>
      </c>
      <c r="D1490" s="7563">
        <v>200000000</v>
      </c>
      <c r="E1490" s="8555">
        <v>7.0000000000000007E-2</v>
      </c>
      <c r="F1490" s="7563">
        <f>D1490*E1490</f>
        <v>14000000.000000002</v>
      </c>
      <c r="G1490" s="7732" t="s">
        <v>7742</v>
      </c>
      <c r="H1490" s="7733"/>
      <c r="I1490" s="7733"/>
      <c r="J1490" s="7734"/>
      <c r="K1490" s="6206"/>
      <c r="L1490" s="7674" t="s">
        <v>7741</v>
      </c>
      <c r="M1490" s="6218"/>
      <c r="N1490" s="6218"/>
      <c r="O1490" s="6218"/>
      <c r="P1490" s="386"/>
      <c r="Q1490" s="386"/>
    </row>
    <row r="1491" spans="1:17" s="1659" customFormat="1" ht="30" customHeight="1" x14ac:dyDescent="0.2">
      <c r="A1491" s="7705"/>
      <c r="B1491" s="7653"/>
      <c r="C1491" s="7724"/>
      <c r="D1491" s="7564"/>
      <c r="E1491" s="8556"/>
      <c r="F1491" s="7564"/>
      <c r="G1491" s="7732" t="s">
        <v>7743</v>
      </c>
      <c r="H1491" s="7733"/>
      <c r="I1491" s="7733"/>
      <c r="J1491" s="7734"/>
      <c r="K1491" s="6206"/>
      <c r="L1491" s="7675"/>
      <c r="M1491" s="6218"/>
      <c r="N1491" s="6218"/>
      <c r="O1491" s="6218"/>
      <c r="P1491" s="386"/>
      <c r="Q1491" s="386"/>
    </row>
    <row r="1492" spans="1:17" s="1659" customFormat="1" ht="30" customHeight="1" x14ac:dyDescent="0.2">
      <c r="A1492" s="6285"/>
      <c r="B1492" s="6278" t="s">
        <v>7748</v>
      </c>
      <c r="C1492" s="6286"/>
      <c r="D1492" s="6275">
        <v>100000000</v>
      </c>
      <c r="E1492" s="3074">
        <v>7.0000000000000007E-2</v>
      </c>
      <c r="F1492" s="6275"/>
      <c r="G1492" s="6282"/>
      <c r="H1492" s="6283"/>
      <c r="I1492" s="6283"/>
      <c r="J1492" s="6284"/>
      <c r="K1492" s="6275"/>
      <c r="L1492" s="6277" t="s">
        <v>7749</v>
      </c>
      <c r="M1492" s="6294"/>
      <c r="N1492" s="6294"/>
      <c r="O1492" s="6294"/>
      <c r="P1492" s="386"/>
      <c r="Q1492" s="386"/>
    </row>
    <row r="1493" spans="1:17" s="1659" customFormat="1" ht="30" customHeight="1" x14ac:dyDescent="0.2">
      <c r="A1493" s="6285"/>
      <c r="B1493" s="6278" t="s">
        <v>7762</v>
      </c>
      <c r="C1493" s="6286"/>
      <c r="D1493" s="6275">
        <v>50000000</v>
      </c>
      <c r="E1493" s="3074"/>
      <c r="F1493" s="6275"/>
      <c r="G1493" s="7732" t="s">
        <v>7763</v>
      </c>
      <c r="H1493" s="7733"/>
      <c r="I1493" s="7733"/>
      <c r="J1493" s="7734"/>
      <c r="K1493" s="6275"/>
      <c r="L1493" s="6275"/>
      <c r="M1493" s="6294"/>
      <c r="N1493" s="6294"/>
      <c r="O1493" s="6294"/>
      <c r="P1493" s="386"/>
      <c r="Q1493" s="386"/>
    </row>
    <row r="1494" spans="1:17" s="1659" customFormat="1" ht="30" customHeight="1" x14ac:dyDescent="0.2">
      <c r="A1494" s="7703"/>
      <c r="B1494" s="7652" t="s">
        <v>7764</v>
      </c>
      <c r="C1494" s="7723"/>
      <c r="D1494" s="7563"/>
      <c r="E1494" s="8555"/>
      <c r="F1494" s="7563"/>
      <c r="G1494" s="6301">
        <v>2000000</v>
      </c>
      <c r="H1494" s="6301" t="s">
        <v>7757</v>
      </c>
      <c r="I1494" s="6301" t="s">
        <v>7765</v>
      </c>
      <c r="J1494" s="7563">
        <f>G1494+G1495</f>
        <v>8000000</v>
      </c>
      <c r="K1494" s="7563"/>
      <c r="L1494" s="6275"/>
      <c r="M1494" s="6294"/>
      <c r="N1494" s="6294"/>
      <c r="O1494" s="6294"/>
      <c r="P1494" s="386"/>
      <c r="Q1494" s="386"/>
    </row>
    <row r="1495" spans="1:17" s="1659" customFormat="1" ht="30" customHeight="1" x14ac:dyDescent="0.2">
      <c r="A1495" s="7705"/>
      <c r="B1495" s="7653"/>
      <c r="C1495" s="7724"/>
      <c r="D1495" s="7564"/>
      <c r="E1495" s="8556"/>
      <c r="F1495" s="7564"/>
      <c r="G1495" s="6301">
        <v>6000000</v>
      </c>
      <c r="H1495" s="6301" t="s">
        <v>7757</v>
      </c>
      <c r="I1495" s="6301" t="s">
        <v>2451</v>
      </c>
      <c r="J1495" s="7564"/>
      <c r="K1495" s="7564"/>
      <c r="L1495" s="6305"/>
      <c r="M1495" s="6341"/>
      <c r="N1495" s="6341"/>
      <c r="O1495" s="6341"/>
      <c r="P1495" s="386"/>
      <c r="Q1495" s="386"/>
    </row>
    <row r="1496" spans="1:17" s="1659" customFormat="1" ht="30" customHeight="1" x14ac:dyDescent="0.2">
      <c r="A1496" s="7703"/>
      <c r="B1496" s="7652" t="s">
        <v>7770</v>
      </c>
      <c r="C1496" s="7723"/>
      <c r="D1496" s="6305">
        <v>50000000</v>
      </c>
      <c r="E1496" s="6362">
        <v>0.05</v>
      </c>
      <c r="F1496" s="6305">
        <f>D1496*E1496</f>
        <v>2500000</v>
      </c>
      <c r="G1496" s="7732" t="s">
        <v>7773</v>
      </c>
      <c r="H1496" s="7733"/>
      <c r="I1496" s="7733"/>
      <c r="J1496" s="7734"/>
      <c r="K1496" s="6305"/>
      <c r="L1496" s="6306" t="s">
        <v>7771</v>
      </c>
      <c r="M1496" s="6341"/>
      <c r="N1496" s="6341"/>
      <c r="O1496" s="6341"/>
      <c r="P1496" s="386"/>
      <c r="Q1496" s="386"/>
    </row>
    <row r="1497" spans="1:17" s="1659" customFormat="1" ht="30" customHeight="1" x14ac:dyDescent="0.2">
      <c r="A1497" s="7705"/>
      <c r="B1497" s="7653"/>
      <c r="C1497" s="7724"/>
      <c r="D1497" s="6305">
        <v>50000000</v>
      </c>
      <c r="E1497" s="6362">
        <v>7.0000000000000007E-2</v>
      </c>
      <c r="F1497" s="6305">
        <f>D1497*E1497</f>
        <v>3500000.0000000005</v>
      </c>
      <c r="G1497" s="7732" t="s">
        <v>7773</v>
      </c>
      <c r="H1497" s="7733"/>
      <c r="I1497" s="7733"/>
      <c r="J1497" s="7734"/>
      <c r="K1497" s="6305"/>
      <c r="L1497" s="6306" t="s">
        <v>7772</v>
      </c>
      <c r="M1497" s="6341"/>
      <c r="N1497" s="6341"/>
      <c r="O1497" s="6341"/>
      <c r="P1497" s="386"/>
      <c r="Q1497" s="386"/>
    </row>
    <row r="1498" spans="1:17" s="1659" customFormat="1" ht="30" customHeight="1" x14ac:dyDescent="0.2">
      <c r="A1498" s="6319"/>
      <c r="B1498" s="6307" t="s">
        <v>7777</v>
      </c>
      <c r="C1498" s="6321" t="s">
        <v>942</v>
      </c>
      <c r="D1498" s="6305">
        <v>100000000</v>
      </c>
      <c r="E1498" s="6362">
        <v>7.0000000000000007E-2</v>
      </c>
      <c r="F1498" s="6305">
        <f>D1498*E1498</f>
        <v>7000000.0000000009</v>
      </c>
      <c r="G1498" s="6314"/>
      <c r="H1498" s="6315"/>
      <c r="I1498" s="6315"/>
      <c r="J1498" s="6316"/>
      <c r="K1498" s="6305"/>
      <c r="L1498" s="6306" t="s">
        <v>7778</v>
      </c>
      <c r="M1498" s="6341"/>
      <c r="N1498" s="6341"/>
      <c r="O1498" s="6341"/>
      <c r="P1498" s="386"/>
      <c r="Q1498" s="386"/>
    </row>
    <row r="1499" spans="1:17" s="1659" customFormat="1" ht="30" customHeight="1" x14ac:dyDescent="0.2">
      <c r="A1499" s="6319"/>
      <c r="B1499" s="6307" t="s">
        <v>7782</v>
      </c>
      <c r="C1499" s="6321"/>
      <c r="D1499" s="6305">
        <v>200000000</v>
      </c>
      <c r="E1499" s="6362"/>
      <c r="F1499" s="6305"/>
      <c r="G1499" s="6314"/>
      <c r="H1499" s="6315"/>
      <c r="I1499" s="6315"/>
      <c r="J1499" s="6316"/>
      <c r="K1499" s="6305"/>
      <c r="L1499" s="6306" t="s">
        <v>7783</v>
      </c>
      <c r="M1499" s="6341"/>
      <c r="N1499" s="6341"/>
      <c r="O1499" s="6341"/>
      <c r="P1499" s="386"/>
      <c r="Q1499" s="386"/>
    </row>
    <row r="1500" spans="1:17" s="1659" customFormat="1" ht="30" customHeight="1" x14ac:dyDescent="0.2">
      <c r="A1500" s="6319"/>
      <c r="B1500" s="6307" t="s">
        <v>7787</v>
      </c>
      <c r="C1500" s="6321"/>
      <c r="D1500" s="6305"/>
      <c r="E1500" s="6362"/>
      <c r="F1500" s="6305"/>
      <c r="G1500" s="6301">
        <v>15750000</v>
      </c>
      <c r="H1500" s="6301" t="s">
        <v>7786</v>
      </c>
      <c r="I1500" s="6301" t="s">
        <v>6572</v>
      </c>
      <c r="J1500" s="6301">
        <f>G1500</f>
        <v>15750000</v>
      </c>
      <c r="K1500" s="6305"/>
      <c r="L1500" s="6306"/>
      <c r="M1500" s="6341"/>
      <c r="N1500" s="6341"/>
      <c r="O1500" s="6341"/>
      <c r="P1500" s="386"/>
      <c r="Q1500" s="386"/>
    </row>
    <row r="1501" spans="1:17" s="1659" customFormat="1" ht="30" customHeight="1" x14ac:dyDescent="0.2">
      <c r="A1501" s="6319"/>
      <c r="B1501" s="6307"/>
      <c r="C1501" s="6321"/>
      <c r="D1501" s="6305"/>
      <c r="E1501" s="6362"/>
      <c r="F1501" s="6305"/>
      <c r="G1501" s="6314"/>
      <c r="H1501" s="6315"/>
      <c r="I1501" s="6315"/>
      <c r="J1501" s="6316"/>
      <c r="K1501" s="6305"/>
      <c r="L1501" s="6306"/>
      <c r="M1501" s="6341"/>
      <c r="N1501" s="6341"/>
      <c r="O1501" s="6341"/>
      <c r="P1501" s="386"/>
      <c r="Q1501" s="386"/>
    </row>
    <row r="1502" spans="1:17" s="1659" customFormat="1" ht="30" customHeight="1" x14ac:dyDescent="0.2">
      <c r="A1502" s="5675"/>
      <c r="B1502" s="5613"/>
      <c r="C1502" s="5657"/>
      <c r="D1502" s="5586"/>
      <c r="E1502" s="5652"/>
      <c r="F1502" s="5586"/>
      <c r="G1502" s="5693"/>
      <c r="H1502" s="5693"/>
      <c r="I1502" s="5693"/>
      <c r="J1502" s="5693"/>
      <c r="K1502" s="5586"/>
      <c r="L1502" s="5693"/>
      <c r="M1502" s="5682"/>
      <c r="N1502" s="5682"/>
      <c r="O1502" s="5682"/>
      <c r="P1502" s="386"/>
      <c r="Q1502" s="386"/>
    </row>
    <row r="1503" spans="1:17" ht="30" customHeight="1" x14ac:dyDescent="0.2">
      <c r="A1503" s="8013"/>
      <c r="B1503" s="8014"/>
      <c r="C1503" s="1031"/>
      <c r="D1503" s="5711"/>
      <c r="E1503" s="5606"/>
      <c r="F1503" s="5594"/>
      <c r="G1503" s="5594"/>
      <c r="H1503" s="5594"/>
      <c r="I1503" s="5714"/>
      <c r="J1503" s="5594"/>
      <c r="K1503" s="5594"/>
      <c r="L1503" s="5602"/>
    </row>
  </sheetData>
  <mergeCells count="2631">
    <mergeCell ref="L1310:L1311"/>
    <mergeCell ref="L1312:L1313"/>
    <mergeCell ref="A1396:A1397"/>
    <mergeCell ref="B1396:B1397"/>
    <mergeCell ref="C1396:C1397"/>
    <mergeCell ref="D1396:D1397"/>
    <mergeCell ref="E1396:E1397"/>
    <mergeCell ref="F1396:F1397"/>
    <mergeCell ref="J1148:J1149"/>
    <mergeCell ref="K1148:K1149"/>
    <mergeCell ref="L1148:L1149"/>
    <mergeCell ref="G1395:J1395"/>
    <mergeCell ref="A1316:A1320"/>
    <mergeCell ref="B1316:B1320"/>
    <mergeCell ref="C1316:C1320"/>
    <mergeCell ref="D1316:D1320"/>
    <mergeCell ref="E1316:E1320"/>
    <mergeCell ref="F1316:F1320"/>
    <mergeCell ref="J1317:J1320"/>
    <mergeCell ref="K1317:K1320"/>
    <mergeCell ref="J1312:J1313"/>
    <mergeCell ref="K1312:K1313"/>
    <mergeCell ref="A1343:A1346"/>
    <mergeCell ref="B1343:B1346"/>
    <mergeCell ref="E1344:E1346"/>
    <mergeCell ref="F1344:F1346"/>
    <mergeCell ref="J1344:J1346"/>
    <mergeCell ref="A1219:A1224"/>
    <mergeCell ref="L1250:L1252"/>
    <mergeCell ref="B1180:B1181"/>
    <mergeCell ref="A1240:A1241"/>
    <mergeCell ref="B1240:B1241"/>
    <mergeCell ref="L439:L440"/>
    <mergeCell ref="L437:L438"/>
    <mergeCell ref="G873:G874"/>
    <mergeCell ref="H873:H874"/>
    <mergeCell ref="I873:I874"/>
    <mergeCell ref="L873:L874"/>
    <mergeCell ref="J242:J244"/>
    <mergeCell ref="K242:K244"/>
    <mergeCell ref="A759:A761"/>
    <mergeCell ref="B759:B761"/>
    <mergeCell ref="A433:A434"/>
    <mergeCell ref="B433:B434"/>
    <mergeCell ref="C433:C434"/>
    <mergeCell ref="D433:D434"/>
    <mergeCell ref="E433:E434"/>
    <mergeCell ref="F433:F434"/>
    <mergeCell ref="G670:G672"/>
    <mergeCell ref="H670:H672"/>
    <mergeCell ref="I670:I672"/>
    <mergeCell ref="J670:J672"/>
    <mergeCell ref="K670:K672"/>
    <mergeCell ref="A383:A384"/>
    <mergeCell ref="C342:C343"/>
    <mergeCell ref="J797:J798"/>
    <mergeCell ref="B383:B384"/>
    <mergeCell ref="C383:C384"/>
    <mergeCell ref="D383:D384"/>
    <mergeCell ref="E383:E384"/>
    <mergeCell ref="B437:B440"/>
    <mergeCell ref="G779:I779"/>
    <mergeCell ref="C779:C783"/>
    <mergeCell ref="D779:D783"/>
    <mergeCell ref="A1087:A1089"/>
    <mergeCell ref="B1087:B1089"/>
    <mergeCell ref="J20:J21"/>
    <mergeCell ref="K20:K21"/>
    <mergeCell ref="A1090:A1091"/>
    <mergeCell ref="B1090:B1091"/>
    <mergeCell ref="C1090:C1091"/>
    <mergeCell ref="D1090:D1091"/>
    <mergeCell ref="E1090:E1091"/>
    <mergeCell ref="F1090:F1091"/>
    <mergeCell ref="A45:A46"/>
    <mergeCell ref="B45:B46"/>
    <mergeCell ref="C45:C46"/>
    <mergeCell ref="D45:D46"/>
    <mergeCell ref="E45:E46"/>
    <mergeCell ref="F45:F46"/>
    <mergeCell ref="J45:J46"/>
    <mergeCell ref="K45:K46"/>
    <mergeCell ref="D625:F629"/>
    <mergeCell ref="A1038:A1039"/>
    <mergeCell ref="B1038:B1039"/>
    <mergeCell ref="C1038:C1039"/>
    <mergeCell ref="D1038:D1039"/>
    <mergeCell ref="E1038:E1039"/>
    <mergeCell ref="F1038:F1039"/>
    <mergeCell ref="G754:J756"/>
    <mergeCell ref="A680:A684"/>
    <mergeCell ref="B680:B684"/>
    <mergeCell ref="C680:C684"/>
    <mergeCell ref="G719:K719"/>
    <mergeCell ref="G712:K712"/>
    <mergeCell ref="G703:K703"/>
    <mergeCell ref="J439:J440"/>
    <mergeCell ref="K439:K440"/>
    <mergeCell ref="G794:G795"/>
    <mergeCell ref="H794:H795"/>
    <mergeCell ref="I794:I795"/>
    <mergeCell ref="J794:J795"/>
    <mergeCell ref="A435:A436"/>
    <mergeCell ref="B435:B436"/>
    <mergeCell ref="A437:A440"/>
    <mergeCell ref="C437:C440"/>
    <mergeCell ref="G439:G440"/>
    <mergeCell ref="H439:H440"/>
    <mergeCell ref="I439:I440"/>
    <mergeCell ref="A461:A462"/>
    <mergeCell ref="B461:B462"/>
    <mergeCell ref="C461:C462"/>
    <mergeCell ref="D461:D462"/>
    <mergeCell ref="E461:E462"/>
    <mergeCell ref="F461:F462"/>
    <mergeCell ref="B677:B678"/>
    <mergeCell ref="C677:C678"/>
    <mergeCell ref="D677:D678"/>
    <mergeCell ref="E677:E678"/>
    <mergeCell ref="F677:F678"/>
    <mergeCell ref="G757:J757"/>
    <mergeCell ref="D704:E704"/>
    <mergeCell ref="G696:J696"/>
    <mergeCell ref="L1413:L1415"/>
    <mergeCell ref="L1427:L1429"/>
    <mergeCell ref="G1475:J1475"/>
    <mergeCell ref="I1180:I1181"/>
    <mergeCell ref="J1180:J1181"/>
    <mergeCell ref="C884:C885"/>
    <mergeCell ref="D884:D885"/>
    <mergeCell ref="E884:E885"/>
    <mergeCell ref="F884:F885"/>
    <mergeCell ref="J884:J885"/>
    <mergeCell ref="D1471:D1472"/>
    <mergeCell ref="E1471:E1472"/>
    <mergeCell ref="F1471:F1472"/>
    <mergeCell ref="G1472:J1472"/>
    <mergeCell ref="G1471:J1471"/>
    <mergeCell ref="D1436:D1438"/>
    <mergeCell ref="E1436:E1438"/>
    <mergeCell ref="C1343:C1346"/>
    <mergeCell ref="D1344:D1346"/>
    <mergeCell ref="G1010:G1013"/>
    <mergeCell ref="G1161:J1161"/>
    <mergeCell ref="G1160:J1160"/>
    <mergeCell ref="G1162:J1162"/>
    <mergeCell ref="C1388:C1389"/>
    <mergeCell ref="D1388:D1389"/>
    <mergeCell ref="E1388:E1389"/>
    <mergeCell ref="F1388:F1389"/>
    <mergeCell ref="J1167:J1168"/>
    <mergeCell ref="E1448:E1449"/>
    <mergeCell ref="F1448:F1449"/>
    <mergeCell ref="C1394:C1395"/>
    <mergeCell ref="K884:K885"/>
    <mergeCell ref="L884:L885"/>
    <mergeCell ref="G917:J917"/>
    <mergeCell ref="G919:J921"/>
    <mergeCell ref="G922:J924"/>
    <mergeCell ref="D925:E925"/>
    <mergeCell ref="G938:J938"/>
    <mergeCell ref="G939:J939"/>
    <mergeCell ref="K1390:K1391"/>
    <mergeCell ref="K1052:K1054"/>
    <mergeCell ref="G1343:J1343"/>
    <mergeCell ref="G893:G894"/>
    <mergeCell ref="H893:H894"/>
    <mergeCell ref="I893:I894"/>
    <mergeCell ref="J893:J894"/>
    <mergeCell ref="K893:K894"/>
    <mergeCell ref="J980:J981"/>
    <mergeCell ref="K980:K981"/>
    <mergeCell ref="J1087:J1088"/>
    <mergeCell ref="G1064:J1064"/>
    <mergeCell ref="J1077:J1081"/>
    <mergeCell ref="G900:J900"/>
    <mergeCell ref="G901:J901"/>
    <mergeCell ref="K895:K896"/>
    <mergeCell ref="G898:J898"/>
    <mergeCell ref="D1183:D1184"/>
    <mergeCell ref="E1183:E1184"/>
    <mergeCell ref="F1183:F1184"/>
    <mergeCell ref="D980:D981"/>
    <mergeCell ref="E980:E981"/>
    <mergeCell ref="F980:F981"/>
    <mergeCell ref="G1007:G1009"/>
    <mergeCell ref="H1007:H1009"/>
    <mergeCell ref="L1471:L1472"/>
    <mergeCell ref="K1344:K1346"/>
    <mergeCell ref="K1112:K1115"/>
    <mergeCell ref="I1080:I1081"/>
    <mergeCell ref="D1402:D1403"/>
    <mergeCell ref="E1402:E1403"/>
    <mergeCell ref="D1390:D1392"/>
    <mergeCell ref="F1402:F1403"/>
    <mergeCell ref="D1404:D1405"/>
    <mergeCell ref="F1400:F1401"/>
    <mergeCell ref="G1460:J1460"/>
    <mergeCell ref="J1484:J1487"/>
    <mergeCell ref="B1484:B1487"/>
    <mergeCell ref="A1484:A1487"/>
    <mergeCell ref="C1484:C1487"/>
    <mergeCell ref="D1484:D1487"/>
    <mergeCell ref="E1484:E1487"/>
    <mergeCell ref="F1484:F1487"/>
    <mergeCell ref="K1484:K1487"/>
    <mergeCell ref="L1484:L1487"/>
    <mergeCell ref="G1180:G1181"/>
    <mergeCell ref="H1180:H1181"/>
    <mergeCell ref="G1473:J1473"/>
    <mergeCell ref="G1474:J1474"/>
    <mergeCell ref="D1473:D1476"/>
    <mergeCell ref="E1473:E1476"/>
    <mergeCell ref="F1473:F1476"/>
    <mergeCell ref="C1473:C1476"/>
    <mergeCell ref="B1473:B1476"/>
    <mergeCell ref="A1473:A1476"/>
    <mergeCell ref="A1412:A1415"/>
    <mergeCell ref="B1412:B1415"/>
    <mergeCell ref="A1471:A1472"/>
    <mergeCell ref="B1471:B1472"/>
    <mergeCell ref="C1471:C1472"/>
    <mergeCell ref="K294:K295"/>
    <mergeCell ref="A644:A645"/>
    <mergeCell ref="B644:B645"/>
    <mergeCell ref="C644:C645"/>
    <mergeCell ref="D644:D645"/>
    <mergeCell ref="E644:E645"/>
    <mergeCell ref="F644:F645"/>
    <mergeCell ref="J644:J645"/>
    <mergeCell ref="K644:K645"/>
    <mergeCell ref="C375:C382"/>
    <mergeCell ref="D378:F382"/>
    <mergeCell ref="A313:A315"/>
    <mergeCell ref="B313:B315"/>
    <mergeCell ref="C313:C315"/>
    <mergeCell ref="D313:D315"/>
    <mergeCell ref="E313:E315"/>
    <mergeCell ref="F313:F315"/>
    <mergeCell ref="J313:J315"/>
    <mergeCell ref="K313:K315"/>
    <mergeCell ref="J301:J302"/>
    <mergeCell ref="K301:K302"/>
    <mergeCell ref="A352:A353"/>
    <mergeCell ref="B352:B353"/>
    <mergeCell ref="C352:C353"/>
    <mergeCell ref="A339:A340"/>
    <mergeCell ref="B339:B340"/>
    <mergeCell ref="C339:C340"/>
    <mergeCell ref="D339:D340"/>
    <mergeCell ref="K1413:K1415"/>
    <mergeCell ref="K1416:K1417"/>
    <mergeCell ref="L1456:L1457"/>
    <mergeCell ref="G1457:J1457"/>
    <mergeCell ref="G1426:J1426"/>
    <mergeCell ref="C1427:C1429"/>
    <mergeCell ref="G1448:J1448"/>
    <mergeCell ref="D1456:D1457"/>
    <mergeCell ref="C1456:C1457"/>
    <mergeCell ref="B1456:B1457"/>
    <mergeCell ref="A1456:A1457"/>
    <mergeCell ref="E1456:E1457"/>
    <mergeCell ref="F1456:F1457"/>
    <mergeCell ref="G1456:J1456"/>
    <mergeCell ref="L1439:L1440"/>
    <mergeCell ref="F1436:F1438"/>
    <mergeCell ref="G1436:J1436"/>
    <mergeCell ref="G1437:J1437"/>
    <mergeCell ref="G1438:J1438"/>
    <mergeCell ref="L1430:L1432"/>
    <mergeCell ref="A1448:A1449"/>
    <mergeCell ref="B1448:B1449"/>
    <mergeCell ref="C1448:C1449"/>
    <mergeCell ref="D1448:D1449"/>
    <mergeCell ref="D1442:F1443"/>
    <mergeCell ref="A1420:A1422"/>
    <mergeCell ref="B1423:B1424"/>
    <mergeCell ref="C1423:C1424"/>
    <mergeCell ref="D1423:D1424"/>
    <mergeCell ref="E1423:E1424"/>
    <mergeCell ref="F1423:F1424"/>
    <mergeCell ref="A1439:A1441"/>
    <mergeCell ref="B1439:B1441"/>
    <mergeCell ref="B893:B894"/>
    <mergeCell ref="B1420:B1422"/>
    <mergeCell ref="C1420:C1422"/>
    <mergeCell ref="D1420:D1422"/>
    <mergeCell ref="B1461:B1463"/>
    <mergeCell ref="A1461:A1463"/>
    <mergeCell ref="G1416:G1417"/>
    <mergeCell ref="H1416:H1417"/>
    <mergeCell ref="I1416:I1417"/>
    <mergeCell ref="J1416:J1417"/>
    <mergeCell ref="E1412:E1415"/>
    <mergeCell ref="F1412:F1415"/>
    <mergeCell ref="J1413:J1415"/>
    <mergeCell ref="A1394:A1395"/>
    <mergeCell ref="B1394:B1395"/>
    <mergeCell ref="D1394:D1395"/>
    <mergeCell ref="E1394:E1395"/>
    <mergeCell ref="F1394:F1395"/>
    <mergeCell ref="A1383:A1384"/>
    <mergeCell ref="B1383:B1384"/>
    <mergeCell ref="C1383:C1384"/>
    <mergeCell ref="C1402:C1403"/>
    <mergeCell ref="A1324:A1325"/>
    <mergeCell ref="B1324:B1325"/>
    <mergeCell ref="C1324:C1325"/>
    <mergeCell ref="I1324:I1325"/>
    <mergeCell ref="J1324:J1325"/>
    <mergeCell ref="A1400:A1401"/>
    <mergeCell ref="G1458:J1458"/>
    <mergeCell ref="A1404:A1405"/>
    <mergeCell ref="B1121:B1126"/>
    <mergeCell ref="F1052:F1054"/>
    <mergeCell ref="G412:G413"/>
    <mergeCell ref="H412:H413"/>
    <mergeCell ref="I412:I413"/>
    <mergeCell ref="L412:L413"/>
    <mergeCell ref="K412:K416"/>
    <mergeCell ref="J412:J416"/>
    <mergeCell ref="B1052:B1058"/>
    <mergeCell ref="A1052:A1058"/>
    <mergeCell ref="C1055:C1058"/>
    <mergeCell ref="D1055:D1058"/>
    <mergeCell ref="E1055:E1058"/>
    <mergeCell ref="F1055:F1058"/>
    <mergeCell ref="K987:K989"/>
    <mergeCell ref="K941:K944"/>
    <mergeCell ref="K946:K947"/>
    <mergeCell ref="K919:K921"/>
    <mergeCell ref="K922:K924"/>
    <mergeCell ref="D940:E940"/>
    <mergeCell ref="G942:J942"/>
    <mergeCell ref="J943:J944"/>
    <mergeCell ref="D945:F945"/>
    <mergeCell ref="L1007:L1009"/>
    <mergeCell ref="L1010:L1013"/>
    <mergeCell ref="H1010:H1013"/>
    <mergeCell ref="I1010:I1013"/>
    <mergeCell ref="J1010:J1013"/>
    <mergeCell ref="K1010:K1013"/>
    <mergeCell ref="C1052:C1054"/>
    <mergeCell ref="D1052:D1054"/>
    <mergeCell ref="L865:L867"/>
    <mergeCell ref="J677:J678"/>
    <mergeCell ref="G768:G769"/>
    <mergeCell ref="E1272:E1273"/>
    <mergeCell ref="F1272:F1273"/>
    <mergeCell ref="E339:E340"/>
    <mergeCell ref="C435:C436"/>
    <mergeCell ref="D435:D436"/>
    <mergeCell ref="E435:E436"/>
    <mergeCell ref="K755:K756"/>
    <mergeCell ref="K686:K687"/>
    <mergeCell ref="G713:K713"/>
    <mergeCell ref="D714:E714"/>
    <mergeCell ref="G714:K714"/>
    <mergeCell ref="G715:K715"/>
    <mergeCell ref="G716:K716"/>
    <mergeCell ref="G717:K717"/>
    <mergeCell ref="D709:E709"/>
    <mergeCell ref="G709:K709"/>
    <mergeCell ref="G710:K710"/>
    <mergeCell ref="F435:F436"/>
    <mergeCell ref="J675:J676"/>
    <mergeCell ref="J686:J687"/>
    <mergeCell ref="K675:K676"/>
    <mergeCell ref="E752:F752"/>
    <mergeCell ref="H720:H721"/>
    <mergeCell ref="I720:I721"/>
    <mergeCell ref="J720:J721"/>
    <mergeCell ref="K720:K721"/>
    <mergeCell ref="I659:I660"/>
    <mergeCell ref="J659:J660"/>
    <mergeCell ref="K659:K660"/>
    <mergeCell ref="G661:J661"/>
    <mergeCell ref="G613:J613"/>
    <mergeCell ref="G616:J616"/>
    <mergeCell ref="K1087:K1088"/>
    <mergeCell ref="I987:I989"/>
    <mergeCell ref="K1281:K1282"/>
    <mergeCell ref="B1274:B1277"/>
    <mergeCell ref="A1274:A1277"/>
    <mergeCell ref="A1272:A1273"/>
    <mergeCell ref="B1264:B1265"/>
    <mergeCell ref="C1264:C1265"/>
    <mergeCell ref="D1264:D1265"/>
    <mergeCell ref="E1264:E1265"/>
    <mergeCell ref="H1264:H1265"/>
    <mergeCell ref="B1172:B1174"/>
    <mergeCell ref="C1172:C1174"/>
    <mergeCell ref="I1169:I1170"/>
    <mergeCell ref="J1169:J1171"/>
    <mergeCell ref="B1302:B1313"/>
    <mergeCell ref="A1302:A1313"/>
    <mergeCell ref="C1302:C1313"/>
    <mergeCell ref="D1312:D1313"/>
    <mergeCell ref="E1312:E1313"/>
    <mergeCell ref="F1312:F1313"/>
    <mergeCell ref="A1264:A1265"/>
    <mergeCell ref="J1264:J1265"/>
    <mergeCell ref="K1264:K1265"/>
    <mergeCell ref="G1262:J1262"/>
    <mergeCell ref="K1310:K1311"/>
    <mergeCell ref="C1183:C1184"/>
    <mergeCell ref="C1180:C1181"/>
    <mergeCell ref="I1172:I1174"/>
    <mergeCell ref="B1272:B1273"/>
    <mergeCell ref="C1272:C1273"/>
    <mergeCell ref="D1272:D1273"/>
    <mergeCell ref="G23:G27"/>
    <mergeCell ref="H23:H27"/>
    <mergeCell ref="I23:I27"/>
    <mergeCell ref="J23:J27"/>
    <mergeCell ref="K23:K27"/>
    <mergeCell ref="F865:F869"/>
    <mergeCell ref="J865:J869"/>
    <mergeCell ref="A850:A853"/>
    <mergeCell ref="B850:B853"/>
    <mergeCell ref="A1083:A1085"/>
    <mergeCell ref="H1077:H1079"/>
    <mergeCell ref="I1077:I1079"/>
    <mergeCell ref="G1080:G1081"/>
    <mergeCell ref="H1080:H1081"/>
    <mergeCell ref="J1059:J1060"/>
    <mergeCell ref="A1059:A1060"/>
    <mergeCell ref="B1059:B1060"/>
    <mergeCell ref="C1059:C1060"/>
    <mergeCell ref="F1062:F1064"/>
    <mergeCell ref="B162:B163"/>
    <mergeCell ref="A162:A163"/>
    <mergeCell ref="C162:C163"/>
    <mergeCell ref="A677:A678"/>
    <mergeCell ref="J184:J186"/>
    <mergeCell ref="K184:K186"/>
    <mergeCell ref="A184:A186"/>
    <mergeCell ref="B184:B186"/>
    <mergeCell ref="C184:C186"/>
    <mergeCell ref="G184:G186"/>
    <mergeCell ref="G617:J617"/>
    <mergeCell ref="G618:J618"/>
    <mergeCell ref="A118:A119"/>
    <mergeCell ref="C1398:C1399"/>
    <mergeCell ref="D1398:D1399"/>
    <mergeCell ref="E1398:E1399"/>
    <mergeCell ref="F1398:F1399"/>
    <mergeCell ref="A152:A159"/>
    <mergeCell ref="B152:B159"/>
    <mergeCell ref="C152:C159"/>
    <mergeCell ref="D159:F159"/>
    <mergeCell ref="J175:J181"/>
    <mergeCell ref="K175:K181"/>
    <mergeCell ref="G689:G695"/>
    <mergeCell ref="H689:H695"/>
    <mergeCell ref="I689:I695"/>
    <mergeCell ref="J689:J695"/>
    <mergeCell ref="K689:K695"/>
    <mergeCell ref="A301:A302"/>
    <mergeCell ref="G852:J852"/>
    <mergeCell ref="J822:J825"/>
    <mergeCell ref="K822:K825"/>
    <mergeCell ref="G1077:G1079"/>
    <mergeCell ref="D1112:F1115"/>
    <mergeCell ref="B1110:B1115"/>
    <mergeCell ref="A1110:A1115"/>
    <mergeCell ref="J1112:J1115"/>
    <mergeCell ref="J1108:J1109"/>
    <mergeCell ref="D1087:D1088"/>
    <mergeCell ref="E1087:E1088"/>
    <mergeCell ref="F1087:F1088"/>
    <mergeCell ref="D865:D869"/>
    <mergeCell ref="E865:E869"/>
    <mergeCell ref="A1153:A1154"/>
    <mergeCell ref="G1275:K1275"/>
    <mergeCell ref="G1272:J1272"/>
    <mergeCell ref="G1303:J1303"/>
    <mergeCell ref="G1304:J1304"/>
    <mergeCell ref="D1268:D1269"/>
    <mergeCell ref="G1302:K1302"/>
    <mergeCell ref="C1240:C1241"/>
    <mergeCell ref="C1390:C1392"/>
    <mergeCell ref="B1153:B1154"/>
    <mergeCell ref="C1153:C1154"/>
    <mergeCell ref="A1290:A1292"/>
    <mergeCell ref="B1290:B1292"/>
    <mergeCell ref="C1290:C1292"/>
    <mergeCell ref="E1248:E1249"/>
    <mergeCell ref="F1248:F1249"/>
    <mergeCell ref="I1264:I1265"/>
    <mergeCell ref="B1201:B1202"/>
    <mergeCell ref="C1201:C1202"/>
    <mergeCell ref="K1180:K1181"/>
    <mergeCell ref="F1268:F1269"/>
    <mergeCell ref="G1245:J1245"/>
    <mergeCell ref="G1247:J1247"/>
    <mergeCell ref="F1240:F1241"/>
    <mergeCell ref="G1321:J1321"/>
    <mergeCell ref="G1280:K1280"/>
    <mergeCell ref="A1281:A1282"/>
    <mergeCell ref="B1281:B1282"/>
    <mergeCell ref="C1281:C1282"/>
    <mergeCell ref="F1385:F1387"/>
    <mergeCell ref="G1385:J1385"/>
    <mergeCell ref="A1390:A1392"/>
    <mergeCell ref="B1390:B1392"/>
    <mergeCell ref="G1276:K1276"/>
    <mergeCell ref="G1434:J1434"/>
    <mergeCell ref="A1436:A1438"/>
    <mergeCell ref="B1436:B1438"/>
    <mergeCell ref="C1436:C1438"/>
    <mergeCell ref="D1427:D1429"/>
    <mergeCell ref="E1427:E1429"/>
    <mergeCell ref="E1404:E1405"/>
    <mergeCell ref="F1404:F1405"/>
    <mergeCell ref="B1400:B1401"/>
    <mergeCell ref="C1400:C1401"/>
    <mergeCell ref="G1324:G1325"/>
    <mergeCell ref="H1324:H1325"/>
    <mergeCell ref="A1368:A1371"/>
    <mergeCell ref="B1368:B1371"/>
    <mergeCell ref="C1368:C1371"/>
    <mergeCell ref="D1369:F1371"/>
    <mergeCell ref="G1337:J1337"/>
    <mergeCell ref="F1430:F1432"/>
    <mergeCell ref="G1430:J1430"/>
    <mergeCell ref="G1428:J1428"/>
    <mergeCell ref="C1412:C1415"/>
    <mergeCell ref="D1412:D1415"/>
    <mergeCell ref="E1385:E1387"/>
    <mergeCell ref="C1404:C1405"/>
    <mergeCell ref="G1427:J1427"/>
    <mergeCell ref="A1430:A1433"/>
    <mergeCell ref="B1430:B1433"/>
    <mergeCell ref="C1430:C1433"/>
    <mergeCell ref="D1430:D1432"/>
    <mergeCell ref="B1404:B1405"/>
    <mergeCell ref="A1398:A1399"/>
    <mergeCell ref="B1398:B1399"/>
    <mergeCell ref="A1408:A1409"/>
    <mergeCell ref="B1408:B1409"/>
    <mergeCell ref="C1408:C1409"/>
    <mergeCell ref="D1408:D1409"/>
    <mergeCell ref="E1420:E1422"/>
    <mergeCell ref="F1420:F1422"/>
    <mergeCell ref="G1445:J1446"/>
    <mergeCell ref="G1305:J1305"/>
    <mergeCell ref="B1329:B1341"/>
    <mergeCell ref="C1329:C1342"/>
    <mergeCell ref="A1388:A1389"/>
    <mergeCell ref="B1388:B1389"/>
    <mergeCell ref="A1402:A1403"/>
    <mergeCell ref="B1402:B1403"/>
    <mergeCell ref="G1372:J1373"/>
    <mergeCell ref="A1375:A1377"/>
    <mergeCell ref="B1375:B1377"/>
    <mergeCell ref="C1375:C1377"/>
    <mergeCell ref="D1375:D1376"/>
    <mergeCell ref="E1375:E1376"/>
    <mergeCell ref="F1375:F1376"/>
    <mergeCell ref="G1316:J1316"/>
    <mergeCell ref="G1412:J1412"/>
    <mergeCell ref="J1369:J1371"/>
    <mergeCell ref="E1408:E1409"/>
    <mergeCell ref="F1408:F1409"/>
    <mergeCell ref="C1385:C1387"/>
    <mergeCell ref="D1385:D1387"/>
    <mergeCell ref="G1429:J1429"/>
    <mergeCell ref="G1432:J1432"/>
    <mergeCell ref="G1433:J1433"/>
    <mergeCell ref="E1430:E1432"/>
    <mergeCell ref="J987:J989"/>
    <mergeCell ref="I1178:I1179"/>
    <mergeCell ref="J1178:J1179"/>
    <mergeCell ref="K1178:K1179"/>
    <mergeCell ref="D1400:D1401"/>
    <mergeCell ref="E1400:E1401"/>
    <mergeCell ref="G1347:J1347"/>
    <mergeCell ref="L1272:L1273"/>
    <mergeCell ref="G1273:J1273"/>
    <mergeCell ref="J1240:J1241"/>
    <mergeCell ref="F1264:F1265"/>
    <mergeCell ref="G1264:G1265"/>
    <mergeCell ref="L1220:L1221"/>
    <mergeCell ref="L1222:L1224"/>
    <mergeCell ref="J1219:J1221"/>
    <mergeCell ref="K1219:K1221"/>
    <mergeCell ref="L1240:L1241"/>
    <mergeCell ref="D1240:D1241"/>
    <mergeCell ref="F1178:F1179"/>
    <mergeCell ref="L1135:O1135"/>
    <mergeCell ref="L1136:O1136"/>
    <mergeCell ref="J1153:J1154"/>
    <mergeCell ref="K1210:K1211"/>
    <mergeCell ref="G1291:J1291"/>
    <mergeCell ref="K1240:K1241"/>
    <mergeCell ref="G1307:J1307"/>
    <mergeCell ref="G1308:J1308"/>
    <mergeCell ref="G1309:J1309"/>
    <mergeCell ref="D1248:D1249"/>
    <mergeCell ref="K1167:K1168"/>
    <mergeCell ref="K1169:K1171"/>
    <mergeCell ref="G1392:J1392"/>
    <mergeCell ref="C120:C122"/>
    <mergeCell ref="J120:J122"/>
    <mergeCell ref="G109:I109"/>
    <mergeCell ref="J113:J117"/>
    <mergeCell ref="K113:K117"/>
    <mergeCell ref="L196:L198"/>
    <mergeCell ref="H196:H198"/>
    <mergeCell ref="A762:A763"/>
    <mergeCell ref="B762:B763"/>
    <mergeCell ref="C762:C763"/>
    <mergeCell ref="B835:B843"/>
    <mergeCell ref="A835:A843"/>
    <mergeCell ref="C835:C843"/>
    <mergeCell ref="G843:J843"/>
    <mergeCell ref="A209:A211"/>
    <mergeCell ref="B209:B211"/>
    <mergeCell ref="C209:C211"/>
    <mergeCell ref="G210:J210"/>
    <mergeCell ref="F799:F801"/>
    <mergeCell ref="G799:G801"/>
    <mergeCell ref="H799:H801"/>
    <mergeCell ref="I799:I801"/>
    <mergeCell ref="J799:J801"/>
    <mergeCell ref="K799:K801"/>
    <mergeCell ref="K797:K798"/>
    <mergeCell ref="L818:L820"/>
    <mergeCell ref="G819:J819"/>
    <mergeCell ref="G820:J820"/>
    <mergeCell ref="G841:G842"/>
    <mergeCell ref="H841:H842"/>
    <mergeCell ref="A816:A820"/>
    <mergeCell ref="B816:B820"/>
    <mergeCell ref="L851:L853"/>
    <mergeCell ref="L107:L108"/>
    <mergeCell ref="D109:D110"/>
    <mergeCell ref="E109:E110"/>
    <mergeCell ref="F109:F110"/>
    <mergeCell ref="G107:G108"/>
    <mergeCell ref="H107:H108"/>
    <mergeCell ref="I107:I108"/>
    <mergeCell ref="J107:J108"/>
    <mergeCell ref="K107:K108"/>
    <mergeCell ref="L109:L112"/>
    <mergeCell ref="L118:L119"/>
    <mergeCell ref="A120:A122"/>
    <mergeCell ref="B120:B122"/>
    <mergeCell ref="L131:L133"/>
    <mergeCell ref="B118:B119"/>
    <mergeCell ref="C118:C119"/>
    <mergeCell ref="G118:G119"/>
    <mergeCell ref="H118:H119"/>
    <mergeCell ref="I118:I119"/>
    <mergeCell ref="D131:D133"/>
    <mergeCell ref="E131:E133"/>
    <mergeCell ref="F131:F133"/>
    <mergeCell ref="L120:L122"/>
    <mergeCell ref="L128:L130"/>
    <mergeCell ref="L123:L127"/>
    <mergeCell ref="D113:D114"/>
    <mergeCell ref="C797:C798"/>
    <mergeCell ref="D797:D798"/>
    <mergeCell ref="E797:E798"/>
    <mergeCell ref="F797:F798"/>
    <mergeCell ref="K816:K817"/>
    <mergeCell ref="A1503:B1503"/>
    <mergeCell ref="G1339:J1339"/>
    <mergeCell ref="G1340:J1340"/>
    <mergeCell ref="G1341:J1341"/>
    <mergeCell ref="G1342:J1342"/>
    <mergeCell ref="G1329:J1329"/>
    <mergeCell ref="D1331:D1342"/>
    <mergeCell ref="E1331:E1342"/>
    <mergeCell ref="F1331:F1342"/>
    <mergeCell ref="G1331:J1331"/>
    <mergeCell ref="G1332:J1332"/>
    <mergeCell ref="G1333:J1333"/>
    <mergeCell ref="G1334:J1334"/>
    <mergeCell ref="G1335:J1335"/>
    <mergeCell ref="G1336:J1336"/>
    <mergeCell ref="A1329:A1342"/>
    <mergeCell ref="D1329:D1330"/>
    <mergeCell ref="E1329:E1330"/>
    <mergeCell ref="F1329:F1330"/>
    <mergeCell ref="E1390:E1392"/>
    <mergeCell ref="F1390:F1392"/>
    <mergeCell ref="G1390:J1391"/>
    <mergeCell ref="A1385:A1387"/>
    <mergeCell ref="B1385:B1387"/>
    <mergeCell ref="F1427:F1429"/>
    <mergeCell ref="A1477:A1480"/>
    <mergeCell ref="G1468:J1468"/>
    <mergeCell ref="F1465:F1468"/>
    <mergeCell ref="E1465:E1468"/>
    <mergeCell ref="D1465:D1468"/>
    <mergeCell ref="C1465:C1468"/>
    <mergeCell ref="B1465:B1468"/>
    <mergeCell ref="G1306:J1306"/>
    <mergeCell ref="H1270:H1271"/>
    <mergeCell ref="I1270:I1271"/>
    <mergeCell ref="D1287:D1288"/>
    <mergeCell ref="A1299:A1300"/>
    <mergeCell ref="B20:B23"/>
    <mergeCell ref="A20:A23"/>
    <mergeCell ref="D1444:F1444"/>
    <mergeCell ref="A1445:A1446"/>
    <mergeCell ref="B1445:B1446"/>
    <mergeCell ref="C1445:C1446"/>
    <mergeCell ref="D1445:D1446"/>
    <mergeCell ref="E1445:E1446"/>
    <mergeCell ref="F1445:F1446"/>
    <mergeCell ref="G1439:J1439"/>
    <mergeCell ref="G1425:J1425"/>
    <mergeCell ref="G1420:J1420"/>
    <mergeCell ref="G1421:J1421"/>
    <mergeCell ref="G1423:J1423"/>
    <mergeCell ref="A1416:A1417"/>
    <mergeCell ref="B1416:B1417"/>
    <mergeCell ref="C1416:C1417"/>
    <mergeCell ref="G1398:J1398"/>
    <mergeCell ref="G1400:J1400"/>
    <mergeCell ref="G1440:J1440"/>
    <mergeCell ref="G1402:J1402"/>
    <mergeCell ref="G1404:J1404"/>
    <mergeCell ref="G1406:J1406"/>
    <mergeCell ref="H170:H171"/>
    <mergeCell ref="I170:I171"/>
    <mergeCell ref="G1408:J1408"/>
    <mergeCell ref="F1189:F1190"/>
    <mergeCell ref="A1167:A1168"/>
    <mergeCell ref="B1167:B1168"/>
    <mergeCell ref="C1167:C1168"/>
    <mergeCell ref="G1167:G1168"/>
    <mergeCell ref="H1167:H1168"/>
    <mergeCell ref="B1160:B1163"/>
    <mergeCell ref="A1160:A1163"/>
    <mergeCell ref="C1160:C1163"/>
    <mergeCell ref="A1180:A1181"/>
    <mergeCell ref="A1183:A1184"/>
    <mergeCell ref="B1183:B1184"/>
    <mergeCell ref="A1121:A1126"/>
    <mergeCell ref="A1136:A1137"/>
    <mergeCell ref="F1201:F1202"/>
    <mergeCell ref="A1129:A1130"/>
    <mergeCell ref="B1129:B1130"/>
    <mergeCell ref="C1129:C1130"/>
    <mergeCell ref="G1121:G1123"/>
    <mergeCell ref="H1121:H1123"/>
    <mergeCell ref="B1136:B1137"/>
    <mergeCell ref="C1136:C1137"/>
    <mergeCell ref="C1121:C1126"/>
    <mergeCell ref="A1147:A1149"/>
    <mergeCell ref="B1147:B1149"/>
    <mergeCell ref="C1147:C1149"/>
    <mergeCell ref="D1147:D1149"/>
    <mergeCell ref="E1147:E1149"/>
    <mergeCell ref="G1230:J1230"/>
    <mergeCell ref="E1189:E1190"/>
    <mergeCell ref="J1270:J1271"/>
    <mergeCell ref="G1178:G1179"/>
    <mergeCell ref="H1178:H1179"/>
    <mergeCell ref="D1222:D1224"/>
    <mergeCell ref="E1222:E1224"/>
    <mergeCell ref="F1222:F1224"/>
    <mergeCell ref="C1222:C1224"/>
    <mergeCell ref="J1222:J1224"/>
    <mergeCell ref="C1219:C1221"/>
    <mergeCell ref="D1219:D1221"/>
    <mergeCell ref="E1219:E1221"/>
    <mergeCell ref="F1219:F1221"/>
    <mergeCell ref="C1178:C1179"/>
    <mergeCell ref="D1178:D1179"/>
    <mergeCell ref="E1178:E1179"/>
    <mergeCell ref="D1201:D1202"/>
    <mergeCell ref="C1189:C1190"/>
    <mergeCell ref="D1189:D1190"/>
    <mergeCell ref="J1210:J1211"/>
    <mergeCell ref="C1225:C1226"/>
    <mergeCell ref="E1240:E1241"/>
    <mergeCell ref="E1217:E1218"/>
    <mergeCell ref="E1201:E1202"/>
    <mergeCell ref="A1262:A1263"/>
    <mergeCell ref="B1262:B1263"/>
    <mergeCell ref="C1262:C1263"/>
    <mergeCell ref="D1262:D1263"/>
    <mergeCell ref="C1254:C1256"/>
    <mergeCell ref="A1178:A1179"/>
    <mergeCell ref="A1185:A1186"/>
    <mergeCell ref="B1178:B1179"/>
    <mergeCell ref="B1219:B1224"/>
    <mergeCell ref="A1189:A1190"/>
    <mergeCell ref="B1189:B1190"/>
    <mergeCell ref="A1210:A1211"/>
    <mergeCell ref="A1225:A1226"/>
    <mergeCell ref="B1225:B1226"/>
    <mergeCell ref="A1172:A1174"/>
    <mergeCell ref="A1169:A1171"/>
    <mergeCell ref="B1169:B1171"/>
    <mergeCell ref="L1099:L1100"/>
    <mergeCell ref="G1101:G1102"/>
    <mergeCell ref="H1101:H1102"/>
    <mergeCell ref="I1101:I1102"/>
    <mergeCell ref="J1101:J1102"/>
    <mergeCell ref="K1101:K1102"/>
    <mergeCell ref="L1101:L1102"/>
    <mergeCell ref="A1103:A1104"/>
    <mergeCell ref="A1105:A1107"/>
    <mergeCell ref="B1105:B1107"/>
    <mergeCell ref="C1105:C1107"/>
    <mergeCell ref="D1105:D1107"/>
    <mergeCell ref="E1105:E1107"/>
    <mergeCell ref="F1105:F1107"/>
    <mergeCell ref="A1099:A1102"/>
    <mergeCell ref="B1099:B1102"/>
    <mergeCell ref="K1108:K1109"/>
    <mergeCell ref="I1108:I1109"/>
    <mergeCell ref="I1099:I1100"/>
    <mergeCell ref="J1099:J1100"/>
    <mergeCell ref="K1099:K1100"/>
    <mergeCell ref="C1099:C1102"/>
    <mergeCell ref="G1099:G1100"/>
    <mergeCell ref="H1099:H1100"/>
    <mergeCell ref="B1103:B1104"/>
    <mergeCell ref="C1103:C1104"/>
    <mergeCell ref="D1103:D1104"/>
    <mergeCell ref="A1108:A1109"/>
    <mergeCell ref="B1108:B1109"/>
    <mergeCell ref="C1108:C1109"/>
    <mergeCell ref="G1108:G1109"/>
    <mergeCell ref="H1108:H1109"/>
    <mergeCell ref="L932:L933"/>
    <mergeCell ref="D934:E934"/>
    <mergeCell ref="G934:J934"/>
    <mergeCell ref="G935:J935"/>
    <mergeCell ref="K935:K938"/>
    <mergeCell ref="D936:E938"/>
    <mergeCell ref="F936:F938"/>
    <mergeCell ref="G936:J936"/>
    <mergeCell ref="D932:E932"/>
    <mergeCell ref="A994:A995"/>
    <mergeCell ref="C991:C992"/>
    <mergeCell ref="J1007:J1009"/>
    <mergeCell ref="B973:B974"/>
    <mergeCell ref="C973:C974"/>
    <mergeCell ref="D973:D974"/>
    <mergeCell ref="L1025:L1026"/>
    <mergeCell ref="L1027:L1028"/>
    <mergeCell ref="K948:K951"/>
    <mergeCell ref="G952:J953"/>
    <mergeCell ref="G954:J955"/>
    <mergeCell ref="D960:E960"/>
    <mergeCell ref="D961:E961"/>
    <mergeCell ref="D962:E962"/>
    <mergeCell ref="K952:K953"/>
    <mergeCell ref="K954:K955"/>
    <mergeCell ref="G957:G958"/>
    <mergeCell ref="H957:H958"/>
    <mergeCell ref="I957:I958"/>
    <mergeCell ref="J957:J958"/>
    <mergeCell ref="K957:K958"/>
    <mergeCell ref="G987:G989"/>
    <mergeCell ref="H987:H989"/>
    <mergeCell ref="A1077:A1081"/>
    <mergeCell ref="B1077:B1081"/>
    <mergeCell ref="C1077:C1081"/>
    <mergeCell ref="D1077:D1078"/>
    <mergeCell ref="E1077:E1078"/>
    <mergeCell ref="F1077:F1078"/>
    <mergeCell ref="D1062:D1064"/>
    <mergeCell ref="A1040:A1041"/>
    <mergeCell ref="K1007:K1009"/>
    <mergeCell ref="G1018:J1019"/>
    <mergeCell ref="K1018:K1019"/>
    <mergeCell ref="D1010:D1013"/>
    <mergeCell ref="E1010:E1013"/>
    <mergeCell ref="F1010:F1013"/>
    <mergeCell ref="K1025:K1026"/>
    <mergeCell ref="H1057:H1058"/>
    <mergeCell ref="A1023:A1024"/>
    <mergeCell ref="I1007:I1009"/>
    <mergeCell ref="A1032:A1037"/>
    <mergeCell ref="F1023:F1024"/>
    <mergeCell ref="K1059:K1060"/>
    <mergeCell ref="G1068:J1068"/>
    <mergeCell ref="G1065:J1065"/>
    <mergeCell ref="G1066:J1066"/>
    <mergeCell ref="C1062:C1070"/>
    <mergeCell ref="B1062:B1070"/>
    <mergeCell ref="A1062:A1070"/>
    <mergeCell ref="A1029:A1030"/>
    <mergeCell ref="B1029:B1030"/>
    <mergeCell ref="A1025:A1028"/>
    <mergeCell ref="F1016:F1017"/>
    <mergeCell ref="J1027:J1028"/>
    <mergeCell ref="G925:J930"/>
    <mergeCell ref="K925:K930"/>
    <mergeCell ref="K932:K933"/>
    <mergeCell ref="E973:E974"/>
    <mergeCell ref="F973:F974"/>
    <mergeCell ref="D946:E946"/>
    <mergeCell ref="D947:E947"/>
    <mergeCell ref="I889:I890"/>
    <mergeCell ref="K913:K916"/>
    <mergeCell ref="D914:D915"/>
    <mergeCell ref="E914:E915"/>
    <mergeCell ref="F914:F915"/>
    <mergeCell ref="G914:G916"/>
    <mergeCell ref="H889:H890"/>
    <mergeCell ref="D904:D905"/>
    <mergeCell ref="E904:E905"/>
    <mergeCell ref="F904:F905"/>
    <mergeCell ref="G905:J905"/>
    <mergeCell ref="H908:H909"/>
    <mergeCell ref="I908:I909"/>
    <mergeCell ref="J908:J909"/>
    <mergeCell ref="K908:K909"/>
    <mergeCell ref="G940:J940"/>
    <mergeCell ref="D941:F944"/>
    <mergeCell ref="G941:J941"/>
    <mergeCell ref="J889:J890"/>
    <mergeCell ref="K889:K890"/>
    <mergeCell ref="G891:G892"/>
    <mergeCell ref="H891:H892"/>
    <mergeCell ref="I891:I892"/>
    <mergeCell ref="G931:J931"/>
    <mergeCell ref="J891:J892"/>
    <mergeCell ref="L908:L909"/>
    <mergeCell ref="G902:J902"/>
    <mergeCell ref="G903:J903"/>
    <mergeCell ref="H913:H916"/>
    <mergeCell ref="I913:I916"/>
    <mergeCell ref="G904:J904"/>
    <mergeCell ref="D909:D910"/>
    <mergeCell ref="E909:E910"/>
    <mergeCell ref="F909:F910"/>
    <mergeCell ref="G908:G909"/>
    <mergeCell ref="G895:G896"/>
    <mergeCell ref="H895:H896"/>
    <mergeCell ref="I895:I896"/>
    <mergeCell ref="J895:J896"/>
    <mergeCell ref="C914:C917"/>
    <mergeCell ref="B914:B917"/>
    <mergeCell ref="A914:A917"/>
    <mergeCell ref="C897:C907"/>
    <mergeCell ref="B897:B907"/>
    <mergeCell ref="A897:A907"/>
    <mergeCell ref="G906:J906"/>
    <mergeCell ref="G907:J907"/>
    <mergeCell ref="J913:J916"/>
    <mergeCell ref="A911:A912"/>
    <mergeCell ref="B911:B912"/>
    <mergeCell ref="A895:A896"/>
    <mergeCell ref="B895:B896"/>
    <mergeCell ref="C895:C896"/>
    <mergeCell ref="K891:K892"/>
    <mergeCell ref="H887:H888"/>
    <mergeCell ref="I887:I888"/>
    <mergeCell ref="J887:J888"/>
    <mergeCell ref="K865:K869"/>
    <mergeCell ref="K887:K888"/>
    <mergeCell ref="A889:A890"/>
    <mergeCell ref="B889:B890"/>
    <mergeCell ref="C889:C890"/>
    <mergeCell ref="G889:G890"/>
    <mergeCell ref="A887:A888"/>
    <mergeCell ref="B887:B888"/>
    <mergeCell ref="C887:C888"/>
    <mergeCell ref="H802:H803"/>
    <mergeCell ref="I802:I803"/>
    <mergeCell ref="C850:C853"/>
    <mergeCell ref="J841:J842"/>
    <mergeCell ref="K873:K874"/>
    <mergeCell ref="G865:G866"/>
    <mergeCell ref="H865:H866"/>
    <mergeCell ref="I865:I866"/>
    <mergeCell ref="C859:C863"/>
    <mergeCell ref="G859:G864"/>
    <mergeCell ref="H859:H864"/>
    <mergeCell ref="I859:I864"/>
    <mergeCell ref="J859:J864"/>
    <mergeCell ref="A880:A882"/>
    <mergeCell ref="A859:A869"/>
    <mergeCell ref="B865:B869"/>
    <mergeCell ref="C865:C869"/>
    <mergeCell ref="B873:B874"/>
    <mergeCell ref="E870:E871"/>
    <mergeCell ref="G853:J853"/>
    <mergeCell ref="J835:J837"/>
    <mergeCell ref="K835:K837"/>
    <mergeCell ref="G838:J838"/>
    <mergeCell ref="G839:J839"/>
    <mergeCell ref="G840:J840"/>
    <mergeCell ref="D841:D842"/>
    <mergeCell ref="E841:E842"/>
    <mergeCell ref="F841:F842"/>
    <mergeCell ref="G835:G837"/>
    <mergeCell ref="H835:H837"/>
    <mergeCell ref="I835:I837"/>
    <mergeCell ref="D818:D820"/>
    <mergeCell ref="E818:E820"/>
    <mergeCell ref="F818:F820"/>
    <mergeCell ref="G818:J818"/>
    <mergeCell ref="K804:K805"/>
    <mergeCell ref="D845:F845"/>
    <mergeCell ref="G804:G805"/>
    <mergeCell ref="G807:J807"/>
    <mergeCell ref="I841:I842"/>
    <mergeCell ref="G812:J812"/>
    <mergeCell ref="A822:A826"/>
    <mergeCell ref="F822:F826"/>
    <mergeCell ref="C822:C826"/>
    <mergeCell ref="D822:D826"/>
    <mergeCell ref="E822:E826"/>
    <mergeCell ref="G851:J851"/>
    <mergeCell ref="A786:A787"/>
    <mergeCell ref="B786:B787"/>
    <mergeCell ref="C786:C787"/>
    <mergeCell ref="G786:G787"/>
    <mergeCell ref="H786:H787"/>
    <mergeCell ref="I786:I787"/>
    <mergeCell ref="J786:J787"/>
    <mergeCell ref="K786:K787"/>
    <mergeCell ref="C816:C820"/>
    <mergeCell ref="G816:G817"/>
    <mergeCell ref="H816:H817"/>
    <mergeCell ref="I816:I817"/>
    <mergeCell ref="J816:J817"/>
    <mergeCell ref="K794:K795"/>
    <mergeCell ref="A806:A807"/>
    <mergeCell ref="G810:J810"/>
    <mergeCell ref="A802:A805"/>
    <mergeCell ref="B802:B805"/>
    <mergeCell ref="C802:C805"/>
    <mergeCell ref="B822:B826"/>
    <mergeCell ref="B806:B807"/>
    <mergeCell ref="G802:G803"/>
    <mergeCell ref="L767:L768"/>
    <mergeCell ref="A767:A769"/>
    <mergeCell ref="B767:B769"/>
    <mergeCell ref="C767:C769"/>
    <mergeCell ref="I768:I769"/>
    <mergeCell ref="G780:G781"/>
    <mergeCell ref="H780:I781"/>
    <mergeCell ref="J770:J778"/>
    <mergeCell ref="K770:K778"/>
    <mergeCell ref="H768:H769"/>
    <mergeCell ref="E779:E783"/>
    <mergeCell ref="F779:F783"/>
    <mergeCell ref="G770:I771"/>
    <mergeCell ref="B770:B783"/>
    <mergeCell ref="A770:A783"/>
    <mergeCell ref="J779:J783"/>
    <mergeCell ref="J789:J791"/>
    <mergeCell ref="B753:B754"/>
    <mergeCell ref="G711:K711"/>
    <mergeCell ref="D712:E712"/>
    <mergeCell ref="J767:J769"/>
    <mergeCell ref="K767:K769"/>
    <mergeCell ref="K789:K791"/>
    <mergeCell ref="A799:A801"/>
    <mergeCell ref="B799:B801"/>
    <mergeCell ref="C799:C801"/>
    <mergeCell ref="D799:D801"/>
    <mergeCell ref="E799:E801"/>
    <mergeCell ref="A788:A792"/>
    <mergeCell ref="B788:B792"/>
    <mergeCell ref="C788:C792"/>
    <mergeCell ref="A794:A795"/>
    <mergeCell ref="B794:B795"/>
    <mergeCell ref="C794:C795"/>
    <mergeCell ref="A797:A798"/>
    <mergeCell ref="B797:B798"/>
    <mergeCell ref="F733:F737"/>
    <mergeCell ref="J733:J737"/>
    <mergeCell ref="K733:K737"/>
    <mergeCell ref="K779:K783"/>
    <mergeCell ref="F770:F778"/>
    <mergeCell ref="E770:E778"/>
    <mergeCell ref="D770:D778"/>
    <mergeCell ref="C770:C778"/>
    <mergeCell ref="L686:L687"/>
    <mergeCell ref="G726:K726"/>
    <mergeCell ref="A689:A696"/>
    <mergeCell ref="B689:B696"/>
    <mergeCell ref="C689:C696"/>
    <mergeCell ref="A686:A687"/>
    <mergeCell ref="B686:B687"/>
    <mergeCell ref="C686:C687"/>
    <mergeCell ref="G686:G687"/>
    <mergeCell ref="H686:H687"/>
    <mergeCell ref="I686:I687"/>
    <mergeCell ref="B755:B756"/>
    <mergeCell ref="G753:J753"/>
    <mergeCell ref="D719:E721"/>
    <mergeCell ref="F719:F721"/>
    <mergeCell ref="D755:D756"/>
    <mergeCell ref="E755:E756"/>
    <mergeCell ref="F755:F756"/>
    <mergeCell ref="F739:F740"/>
    <mergeCell ref="C753:C754"/>
    <mergeCell ref="C747:C748"/>
    <mergeCell ref="D747:D748"/>
    <mergeCell ref="E747:E748"/>
    <mergeCell ref="F747:F748"/>
    <mergeCell ref="B747:B748"/>
    <mergeCell ref="G705:K705"/>
    <mergeCell ref="G706:K706"/>
    <mergeCell ref="G707:K707"/>
    <mergeCell ref="G708:K708"/>
    <mergeCell ref="G728:K728"/>
    <mergeCell ref="G729:K729"/>
    <mergeCell ref="D730:E730"/>
    <mergeCell ref="G731:J731"/>
    <mergeCell ref="G732:K732"/>
    <mergeCell ref="A670:A672"/>
    <mergeCell ref="B670:B672"/>
    <mergeCell ref="C670:C672"/>
    <mergeCell ref="A675:A676"/>
    <mergeCell ref="B675:B676"/>
    <mergeCell ref="C675:C676"/>
    <mergeCell ref="D675:D676"/>
    <mergeCell ref="E675:E676"/>
    <mergeCell ref="A698:A737"/>
    <mergeCell ref="B698:B737"/>
    <mergeCell ref="C698:C737"/>
    <mergeCell ref="G699:K699"/>
    <mergeCell ref="G700:K700"/>
    <mergeCell ref="G701:K701"/>
    <mergeCell ref="G702:K702"/>
    <mergeCell ref="G722:K722"/>
    <mergeCell ref="G723:K723"/>
    <mergeCell ref="G724:K724"/>
    <mergeCell ref="G725:K725"/>
    <mergeCell ref="G727:K727"/>
    <mergeCell ref="G718:K718"/>
    <mergeCell ref="D733:E737"/>
    <mergeCell ref="A664:A668"/>
    <mergeCell ref="B664:B668"/>
    <mergeCell ref="C664:C668"/>
    <mergeCell ref="G664:G665"/>
    <mergeCell ref="H664:H665"/>
    <mergeCell ref="I664:I665"/>
    <mergeCell ref="B659:B663"/>
    <mergeCell ref="A659:A663"/>
    <mergeCell ref="C659:C663"/>
    <mergeCell ref="G662:J662"/>
    <mergeCell ref="G666:J666"/>
    <mergeCell ref="G667:J667"/>
    <mergeCell ref="K661:K663"/>
    <mergeCell ref="A656:A658"/>
    <mergeCell ref="B656:B658"/>
    <mergeCell ref="C656:C658"/>
    <mergeCell ref="K656:K658"/>
    <mergeCell ref="A652:A653"/>
    <mergeCell ref="B652:B653"/>
    <mergeCell ref="C652:C653"/>
    <mergeCell ref="G652:G653"/>
    <mergeCell ref="H652:H653"/>
    <mergeCell ref="I652:I653"/>
    <mergeCell ref="K648:K649"/>
    <mergeCell ref="J656:J658"/>
    <mergeCell ref="A648:A649"/>
    <mergeCell ref="B648:B649"/>
    <mergeCell ref="C648:C649"/>
    <mergeCell ref="G648:G649"/>
    <mergeCell ref="H648:H649"/>
    <mergeCell ref="I648:I649"/>
    <mergeCell ref="J648:J649"/>
    <mergeCell ref="G622:J622"/>
    <mergeCell ref="G623:J623"/>
    <mergeCell ref="G625:J625"/>
    <mergeCell ref="D658:E658"/>
    <mergeCell ref="G640:J640"/>
    <mergeCell ref="J634:J638"/>
    <mergeCell ref="G639:J639"/>
    <mergeCell ref="B606:B633"/>
    <mergeCell ref="A606:A633"/>
    <mergeCell ref="G614:J614"/>
    <mergeCell ref="G630:J630"/>
    <mergeCell ref="K677:K678"/>
    <mergeCell ref="F675:F676"/>
    <mergeCell ref="G659:G660"/>
    <mergeCell ref="H659:H660"/>
    <mergeCell ref="J652:J653"/>
    <mergeCell ref="K652:K653"/>
    <mergeCell ref="J664:J665"/>
    <mergeCell ref="K664:K665"/>
    <mergeCell ref="C571:C572"/>
    <mergeCell ref="G572:J572"/>
    <mergeCell ref="K559:K561"/>
    <mergeCell ref="L559:L561"/>
    <mergeCell ref="D560:E560"/>
    <mergeCell ref="D561:E561"/>
    <mergeCell ref="G562:J564"/>
    <mergeCell ref="K562:K564"/>
    <mergeCell ref="L562:L564"/>
    <mergeCell ref="G607:J607"/>
    <mergeCell ref="C606:C633"/>
    <mergeCell ref="D619:F619"/>
    <mergeCell ref="G619:J619"/>
    <mergeCell ref="E634:E638"/>
    <mergeCell ref="L677:L678"/>
    <mergeCell ref="A597:A598"/>
    <mergeCell ref="B597:B598"/>
    <mergeCell ref="C597:C598"/>
    <mergeCell ref="D597:D598"/>
    <mergeCell ref="E597:E598"/>
    <mergeCell ref="F597:F598"/>
    <mergeCell ref="A604:A605"/>
    <mergeCell ref="B604:B605"/>
    <mergeCell ref="C604:C605"/>
    <mergeCell ref="D604:D605"/>
    <mergeCell ref="E604:E605"/>
    <mergeCell ref="F604:F605"/>
    <mergeCell ref="D602:D603"/>
    <mergeCell ref="E602:E603"/>
    <mergeCell ref="F602:F603"/>
    <mergeCell ref="A587:A588"/>
    <mergeCell ref="B587:B588"/>
    <mergeCell ref="G549:G550"/>
    <mergeCell ref="H549:H550"/>
    <mergeCell ref="L540:L541"/>
    <mergeCell ref="A542:A543"/>
    <mergeCell ref="C542:C543"/>
    <mergeCell ref="A555:A561"/>
    <mergeCell ref="B555:B561"/>
    <mergeCell ref="C555:C561"/>
    <mergeCell ref="G555:J558"/>
    <mergeCell ref="K555:K558"/>
    <mergeCell ref="D558:E558"/>
    <mergeCell ref="G559:J561"/>
    <mergeCell ref="I549:I550"/>
    <mergeCell ref="J549:J550"/>
    <mergeCell ref="K549:K550"/>
    <mergeCell ref="D564:E564"/>
    <mergeCell ref="G565:J567"/>
    <mergeCell ref="K565:K567"/>
    <mergeCell ref="L565:L567"/>
    <mergeCell ref="D566:F566"/>
    <mergeCell ref="K537:K538"/>
    <mergeCell ref="G540:G541"/>
    <mergeCell ref="H540:H541"/>
    <mergeCell ref="I540:I541"/>
    <mergeCell ref="J540:J541"/>
    <mergeCell ref="K540:K541"/>
    <mergeCell ref="I534:I536"/>
    <mergeCell ref="J534:J536"/>
    <mergeCell ref="K534:K536"/>
    <mergeCell ref="A537:A538"/>
    <mergeCell ref="B537:B538"/>
    <mergeCell ref="C537:C538"/>
    <mergeCell ref="G537:G538"/>
    <mergeCell ref="H537:H538"/>
    <mergeCell ref="I537:I538"/>
    <mergeCell ref="J537:J538"/>
    <mergeCell ref="E532:E533"/>
    <mergeCell ref="F532:F533"/>
    <mergeCell ref="A534:A536"/>
    <mergeCell ref="B534:B536"/>
    <mergeCell ref="C534:C536"/>
    <mergeCell ref="G534:G536"/>
    <mergeCell ref="H534:H536"/>
    <mergeCell ref="L526:L527"/>
    <mergeCell ref="C531:C533"/>
    <mergeCell ref="J531:J533"/>
    <mergeCell ref="K531:K533"/>
    <mergeCell ref="D532:D533"/>
    <mergeCell ref="J523:J525"/>
    <mergeCell ref="K523:K525"/>
    <mergeCell ref="A526:A527"/>
    <mergeCell ref="B526:B527"/>
    <mergeCell ref="C526:C527"/>
    <mergeCell ref="D526:D527"/>
    <mergeCell ref="E526:E527"/>
    <mergeCell ref="F526:F527"/>
    <mergeCell ref="G526:G527"/>
    <mergeCell ref="H526:H527"/>
    <mergeCell ref="H531:H533"/>
    <mergeCell ref="I531:I533"/>
    <mergeCell ref="L523:L525"/>
    <mergeCell ref="G531:G533"/>
    <mergeCell ref="G523:G525"/>
    <mergeCell ref="H523:H525"/>
    <mergeCell ref="I523:I525"/>
    <mergeCell ref="J511:J513"/>
    <mergeCell ref="K511:K513"/>
    <mergeCell ref="I526:I527"/>
    <mergeCell ref="J526:J527"/>
    <mergeCell ref="K526:K527"/>
    <mergeCell ref="A515:A522"/>
    <mergeCell ref="B515:B522"/>
    <mergeCell ref="C515:C522"/>
    <mergeCell ref="G515:G522"/>
    <mergeCell ref="I515:I522"/>
    <mergeCell ref="J515:J522"/>
    <mergeCell ref="K515:K522"/>
    <mergeCell ref="H515:H522"/>
    <mergeCell ref="A511:A514"/>
    <mergeCell ref="B511:B514"/>
    <mergeCell ref="C511:C514"/>
    <mergeCell ref="G511:G513"/>
    <mergeCell ref="H511:H513"/>
    <mergeCell ref="I511:I513"/>
    <mergeCell ref="D507:D508"/>
    <mergeCell ref="E507:E508"/>
    <mergeCell ref="F507:F508"/>
    <mergeCell ref="G486:J486"/>
    <mergeCell ref="G483:G484"/>
    <mergeCell ref="H483:H484"/>
    <mergeCell ref="I483:I484"/>
    <mergeCell ref="J483:J484"/>
    <mergeCell ref="A477:A478"/>
    <mergeCell ref="B477:B478"/>
    <mergeCell ref="G467:G468"/>
    <mergeCell ref="H467:H468"/>
    <mergeCell ref="I467:I468"/>
    <mergeCell ref="J467:J468"/>
    <mergeCell ref="A480:A481"/>
    <mergeCell ref="B480:B481"/>
    <mergeCell ref="C480:C481"/>
    <mergeCell ref="D480:D481"/>
    <mergeCell ref="E480:E481"/>
    <mergeCell ref="F480:F481"/>
    <mergeCell ref="L509:L510"/>
    <mergeCell ref="J507:J508"/>
    <mergeCell ref="K507:K508"/>
    <mergeCell ref="K467:K468"/>
    <mergeCell ref="L494:L495"/>
    <mergeCell ref="A497:A498"/>
    <mergeCell ref="B497:B498"/>
    <mergeCell ref="C497:C498"/>
    <mergeCell ref="G497:J497"/>
    <mergeCell ref="A494:A495"/>
    <mergeCell ref="C494:C495"/>
    <mergeCell ref="G494:G495"/>
    <mergeCell ref="H494:H495"/>
    <mergeCell ref="I494:I495"/>
    <mergeCell ref="J494:J495"/>
    <mergeCell ref="D469:D470"/>
    <mergeCell ref="E469:E470"/>
    <mergeCell ref="F469:F470"/>
    <mergeCell ref="G469:J469"/>
    <mergeCell ref="G470:J470"/>
    <mergeCell ref="K483:K484"/>
    <mergeCell ref="G485:J485"/>
    <mergeCell ref="A483:A487"/>
    <mergeCell ref="B483:B487"/>
    <mergeCell ref="E477:E478"/>
    <mergeCell ref="F477:F478"/>
    <mergeCell ref="A509:A510"/>
    <mergeCell ref="B509:B510"/>
    <mergeCell ref="C509:C510"/>
    <mergeCell ref="G509:G510"/>
    <mergeCell ref="H509:H510"/>
    <mergeCell ref="A500:A501"/>
    <mergeCell ref="H409:H410"/>
    <mergeCell ref="I409:I410"/>
    <mergeCell ref="J409:J410"/>
    <mergeCell ref="J465:J466"/>
    <mergeCell ref="L390:L393"/>
    <mergeCell ref="A430:A431"/>
    <mergeCell ref="B430:B431"/>
    <mergeCell ref="C430:C431"/>
    <mergeCell ref="D424:F424"/>
    <mergeCell ref="G424:J425"/>
    <mergeCell ref="B425:B426"/>
    <mergeCell ref="D425:F425"/>
    <mergeCell ref="D426:F426"/>
    <mergeCell ref="B417:B419"/>
    <mergeCell ref="C417:C419"/>
    <mergeCell ref="D417:D419"/>
    <mergeCell ref="E417:E419"/>
    <mergeCell ref="F417:F419"/>
    <mergeCell ref="A441:A443"/>
    <mergeCell ref="B441:B443"/>
    <mergeCell ref="G437:G438"/>
    <mergeCell ref="H437:H438"/>
    <mergeCell ref="I437:I438"/>
    <mergeCell ref="L409:L410"/>
    <mergeCell ref="J437:J438"/>
    <mergeCell ref="K437:K438"/>
    <mergeCell ref="A405:A406"/>
    <mergeCell ref="B405:B406"/>
    <mergeCell ref="C405:C406"/>
    <mergeCell ref="K465:K466"/>
    <mergeCell ref="G446:J446"/>
    <mergeCell ref="C463:C464"/>
    <mergeCell ref="K387:K388"/>
    <mergeCell ref="C390:C393"/>
    <mergeCell ref="D390:D393"/>
    <mergeCell ref="E390:E393"/>
    <mergeCell ref="F390:F393"/>
    <mergeCell ref="A387:A388"/>
    <mergeCell ref="B387:B388"/>
    <mergeCell ref="C387:C388"/>
    <mergeCell ref="G387:G388"/>
    <mergeCell ref="H387:H388"/>
    <mergeCell ref="I387:I388"/>
    <mergeCell ref="G364:K364"/>
    <mergeCell ref="B390:B396"/>
    <mergeCell ref="A390:A396"/>
    <mergeCell ref="G390:J390"/>
    <mergeCell ref="G376:J376"/>
    <mergeCell ref="D377:F377"/>
    <mergeCell ref="B375:B382"/>
    <mergeCell ref="A375:A382"/>
    <mergeCell ref="D374:F374"/>
    <mergeCell ref="A373:A374"/>
    <mergeCell ref="B373:B374"/>
    <mergeCell ref="C373:C374"/>
    <mergeCell ref="F383:F384"/>
    <mergeCell ref="A385:A386"/>
    <mergeCell ref="B385:B386"/>
    <mergeCell ref="C385:C386"/>
    <mergeCell ref="D385:D386"/>
    <mergeCell ref="E385:E386"/>
    <mergeCell ref="F385:F386"/>
    <mergeCell ref="A368:A370"/>
    <mergeCell ref="B368:B370"/>
    <mergeCell ref="L366:P366"/>
    <mergeCell ref="A361:A362"/>
    <mergeCell ref="B361:B362"/>
    <mergeCell ref="C361:C362"/>
    <mergeCell ref="D362:F362"/>
    <mergeCell ref="A363:A365"/>
    <mergeCell ref="B363:B365"/>
    <mergeCell ref="C363:C365"/>
    <mergeCell ref="A355:A357"/>
    <mergeCell ref="B355:B357"/>
    <mergeCell ref="C355:C357"/>
    <mergeCell ref="G355:G357"/>
    <mergeCell ref="H355:H357"/>
    <mergeCell ref="I355:I357"/>
    <mergeCell ref="J355:J357"/>
    <mergeCell ref="K355:K357"/>
    <mergeCell ref="A359:A360"/>
    <mergeCell ref="B359:B360"/>
    <mergeCell ref="C359:C360"/>
    <mergeCell ref="D359:D360"/>
    <mergeCell ref="E359:E360"/>
    <mergeCell ref="F359:F360"/>
    <mergeCell ref="A349:A350"/>
    <mergeCell ref="B349:B350"/>
    <mergeCell ref="C349:C350"/>
    <mergeCell ref="A346:A348"/>
    <mergeCell ref="B346:B348"/>
    <mergeCell ref="C346:C348"/>
    <mergeCell ref="F339:F340"/>
    <mergeCell ref="J339:J340"/>
    <mergeCell ref="B301:B302"/>
    <mergeCell ref="C301:C302"/>
    <mergeCell ref="D301:D302"/>
    <mergeCell ref="E301:E302"/>
    <mergeCell ref="F301:F302"/>
    <mergeCell ref="E320:E326"/>
    <mergeCell ref="F320:F326"/>
    <mergeCell ref="J320:J321"/>
    <mergeCell ref="D342:D343"/>
    <mergeCell ref="E342:E343"/>
    <mergeCell ref="F342:F343"/>
    <mergeCell ref="A342:A343"/>
    <mergeCell ref="B342:B343"/>
    <mergeCell ref="B303:B304"/>
    <mergeCell ref="C303:C304"/>
    <mergeCell ref="A292:A293"/>
    <mergeCell ref="B292:B293"/>
    <mergeCell ref="C292:C293"/>
    <mergeCell ref="D292:D293"/>
    <mergeCell ref="E292:E293"/>
    <mergeCell ref="F292:F293"/>
    <mergeCell ref="J292:J293"/>
    <mergeCell ref="K292:K293"/>
    <mergeCell ref="F294:F295"/>
    <mergeCell ref="J294:J295"/>
    <mergeCell ref="A328:A329"/>
    <mergeCell ref="B328:B329"/>
    <mergeCell ref="C328:C329"/>
    <mergeCell ref="A336:A337"/>
    <mergeCell ref="B336:B337"/>
    <mergeCell ref="C336:C337"/>
    <mergeCell ref="G337:J337"/>
    <mergeCell ref="I311:I312"/>
    <mergeCell ref="J311:J312"/>
    <mergeCell ref="K311:K312"/>
    <mergeCell ref="A294:A295"/>
    <mergeCell ref="B294:B295"/>
    <mergeCell ref="C294:C295"/>
    <mergeCell ref="D294:D295"/>
    <mergeCell ref="E294:E295"/>
    <mergeCell ref="B297:B298"/>
    <mergeCell ref="C297:C298"/>
    <mergeCell ref="D297:D298"/>
    <mergeCell ref="E297:E298"/>
    <mergeCell ref="F297:F298"/>
    <mergeCell ref="A297:A298"/>
    <mergeCell ref="F275:F276"/>
    <mergeCell ref="A268:A271"/>
    <mergeCell ref="B268:B271"/>
    <mergeCell ref="G270:J270"/>
    <mergeCell ref="G271:J271"/>
    <mergeCell ref="A273:A274"/>
    <mergeCell ref="B273:B274"/>
    <mergeCell ref="C273:C274"/>
    <mergeCell ref="A260:A262"/>
    <mergeCell ref="B260:B262"/>
    <mergeCell ref="L311:L312"/>
    <mergeCell ref="A311:A312"/>
    <mergeCell ref="B311:B312"/>
    <mergeCell ref="C311:C312"/>
    <mergeCell ref="G311:G312"/>
    <mergeCell ref="H311:H312"/>
    <mergeCell ref="J322:J326"/>
    <mergeCell ref="K322:K326"/>
    <mergeCell ref="J279:J281"/>
    <mergeCell ref="K279:K281"/>
    <mergeCell ref="A284:A290"/>
    <mergeCell ref="B284:B290"/>
    <mergeCell ref="C286:C290"/>
    <mergeCell ref="D286:D290"/>
    <mergeCell ref="E286:E290"/>
    <mergeCell ref="F286:F290"/>
    <mergeCell ref="A279:A282"/>
    <mergeCell ref="B279:B282"/>
    <mergeCell ref="C279:C282"/>
    <mergeCell ref="G279:G281"/>
    <mergeCell ref="H279:H281"/>
    <mergeCell ref="I279:I281"/>
    <mergeCell ref="L232:L234"/>
    <mergeCell ref="D235:D237"/>
    <mergeCell ref="E235:E237"/>
    <mergeCell ref="F235:F237"/>
    <mergeCell ref="G235:J235"/>
    <mergeCell ref="G236:J236"/>
    <mergeCell ref="G237:J237"/>
    <mergeCell ref="A232:A237"/>
    <mergeCell ref="B232:B237"/>
    <mergeCell ref="C232:C237"/>
    <mergeCell ref="G232:G234"/>
    <mergeCell ref="H232:H234"/>
    <mergeCell ref="I232:I234"/>
    <mergeCell ref="G242:G243"/>
    <mergeCell ref="H242:H243"/>
    <mergeCell ref="I242:I243"/>
    <mergeCell ref="K252:K253"/>
    <mergeCell ref="J250:J251"/>
    <mergeCell ref="K250:K251"/>
    <mergeCell ref="D252:D253"/>
    <mergeCell ref="E252:E253"/>
    <mergeCell ref="F252:F253"/>
    <mergeCell ref="G252:G253"/>
    <mergeCell ref="H252:H253"/>
    <mergeCell ref="A250:A251"/>
    <mergeCell ref="B250:B251"/>
    <mergeCell ref="C250:C251"/>
    <mergeCell ref="G250:G251"/>
    <mergeCell ref="H250:H251"/>
    <mergeCell ref="I250:I251"/>
    <mergeCell ref="I252:I253"/>
    <mergeCell ref="J252:J253"/>
    <mergeCell ref="I238:I241"/>
    <mergeCell ref="J232:J234"/>
    <mergeCell ref="K232:K234"/>
    <mergeCell ref="H184:H186"/>
    <mergeCell ref="I184:I186"/>
    <mergeCell ref="C215:C216"/>
    <mergeCell ref="D215:D216"/>
    <mergeCell ref="E215:E216"/>
    <mergeCell ref="F215:F216"/>
    <mergeCell ref="G215:J215"/>
    <mergeCell ref="G216:J216"/>
    <mergeCell ref="D213:D214"/>
    <mergeCell ref="E213:E214"/>
    <mergeCell ref="F213:F214"/>
    <mergeCell ref="G213:J213"/>
    <mergeCell ref="D204:D206"/>
    <mergeCell ref="E204:E206"/>
    <mergeCell ref="F204:F206"/>
    <mergeCell ref="K196:K198"/>
    <mergeCell ref="I191:I193"/>
    <mergeCell ref="L170:L171"/>
    <mergeCell ref="L172:L173"/>
    <mergeCell ref="A123:A136"/>
    <mergeCell ref="K131:K133"/>
    <mergeCell ref="C131:C133"/>
    <mergeCell ref="J123:J127"/>
    <mergeCell ref="D123:D127"/>
    <mergeCell ref="E123:E127"/>
    <mergeCell ref="C128:C130"/>
    <mergeCell ref="D128:D130"/>
    <mergeCell ref="E128:E130"/>
    <mergeCell ref="A165:A173"/>
    <mergeCell ref="B165:B173"/>
    <mergeCell ref="C165:C173"/>
    <mergeCell ref="J170:J171"/>
    <mergeCell ref="K170:K171"/>
    <mergeCell ref="J172:J173"/>
    <mergeCell ref="K172:K173"/>
    <mergeCell ref="A137:A138"/>
    <mergeCell ref="B137:B138"/>
    <mergeCell ref="J144:J147"/>
    <mergeCell ref="K144:K147"/>
    <mergeCell ref="G155:J155"/>
    <mergeCell ref="G172:G173"/>
    <mergeCell ref="C134:C136"/>
    <mergeCell ref="L140:L141"/>
    <mergeCell ref="L142:L143"/>
    <mergeCell ref="A142:A143"/>
    <mergeCell ref="L134:L136"/>
    <mergeCell ref="E134:E136"/>
    <mergeCell ref="F134:F136"/>
    <mergeCell ref="I172:I173"/>
    <mergeCell ref="L213:L214"/>
    <mergeCell ref="G214:J214"/>
    <mergeCell ref="G220:G225"/>
    <mergeCell ref="H220:H225"/>
    <mergeCell ref="I220:I225"/>
    <mergeCell ref="D180:D181"/>
    <mergeCell ref="E180:E181"/>
    <mergeCell ref="L187:L189"/>
    <mergeCell ref="G211:J211"/>
    <mergeCell ref="I196:I198"/>
    <mergeCell ref="J196:J198"/>
    <mergeCell ref="A212:A214"/>
    <mergeCell ref="B212:B214"/>
    <mergeCell ref="C212:C214"/>
    <mergeCell ref="B215:B217"/>
    <mergeCell ref="A215:A217"/>
    <mergeCell ref="C196:C198"/>
    <mergeCell ref="C175:C181"/>
    <mergeCell ref="G175:G177"/>
    <mergeCell ref="I175:I177"/>
    <mergeCell ref="H175:H177"/>
    <mergeCell ref="B196:B198"/>
    <mergeCell ref="L175:L177"/>
    <mergeCell ref="G178:G181"/>
    <mergeCell ref="H178:H181"/>
    <mergeCell ref="I178:I181"/>
    <mergeCell ref="F180:F181"/>
    <mergeCell ref="A187:A189"/>
    <mergeCell ref="J187:J189"/>
    <mergeCell ref="K187:K189"/>
    <mergeCell ref="G191:G193"/>
    <mergeCell ref="H191:H193"/>
    <mergeCell ref="J3:J4"/>
    <mergeCell ref="K3:K4"/>
    <mergeCell ref="A3:A4"/>
    <mergeCell ref="B3:B4"/>
    <mergeCell ref="C3:C4"/>
    <mergeCell ref="G3:G4"/>
    <mergeCell ref="H3:H4"/>
    <mergeCell ref="I3:I4"/>
    <mergeCell ref="G12:J13"/>
    <mergeCell ref="G14:J14"/>
    <mergeCell ref="G15:J15"/>
    <mergeCell ref="G16:J16"/>
    <mergeCell ref="G17:J17"/>
    <mergeCell ref="G18:J18"/>
    <mergeCell ref="B12:B19"/>
    <mergeCell ref="A12:A19"/>
    <mergeCell ref="C12:C19"/>
    <mergeCell ref="A6:A9"/>
    <mergeCell ref="B6:B9"/>
    <mergeCell ref="C6:C9"/>
    <mergeCell ref="D6:D9"/>
    <mergeCell ref="E6:E9"/>
    <mergeCell ref="F6:F9"/>
    <mergeCell ref="J6:J8"/>
    <mergeCell ref="H8:H9"/>
    <mergeCell ref="I8:I9"/>
    <mergeCell ref="K6:K8"/>
    <mergeCell ref="C94:C97"/>
    <mergeCell ref="B94:B97"/>
    <mergeCell ref="L28:L29"/>
    <mergeCell ref="A30:A31"/>
    <mergeCell ref="B30:B31"/>
    <mergeCell ref="C30:C31"/>
    <mergeCell ref="A28:A29"/>
    <mergeCell ref="B28:B29"/>
    <mergeCell ref="C28:C29"/>
    <mergeCell ref="G28:G29"/>
    <mergeCell ref="H28:H29"/>
    <mergeCell ref="I28:I29"/>
    <mergeCell ref="J28:J29"/>
    <mergeCell ref="A33:A34"/>
    <mergeCell ref="B33:B34"/>
    <mergeCell ref="C33:C34"/>
    <mergeCell ref="L35:L36"/>
    <mergeCell ref="J35:J36"/>
    <mergeCell ref="K35:K36"/>
    <mergeCell ref="D35:D36"/>
    <mergeCell ref="E35:E36"/>
    <mergeCell ref="F35:F36"/>
    <mergeCell ref="K28:K29"/>
    <mergeCell ref="B35:B38"/>
    <mergeCell ref="C35:C38"/>
    <mergeCell ref="G33:G34"/>
    <mergeCell ref="H33:H34"/>
    <mergeCell ref="I33:I34"/>
    <mergeCell ref="K33:K34"/>
    <mergeCell ref="D37:D38"/>
    <mergeCell ref="E37:E38"/>
    <mergeCell ref="A52:A56"/>
    <mergeCell ref="F52:F53"/>
    <mergeCell ref="A61:A62"/>
    <mergeCell ref="B61:B62"/>
    <mergeCell ref="H79:H80"/>
    <mergeCell ref="A35:A38"/>
    <mergeCell ref="D64:D67"/>
    <mergeCell ref="E64:E67"/>
    <mergeCell ref="F64:F67"/>
    <mergeCell ref="A83:A84"/>
    <mergeCell ref="B83:B84"/>
    <mergeCell ref="C83:C84"/>
    <mergeCell ref="D83:D84"/>
    <mergeCell ref="E83:E84"/>
    <mergeCell ref="F83:F84"/>
    <mergeCell ref="F37:F38"/>
    <mergeCell ref="B85:B86"/>
    <mergeCell ref="A85:A86"/>
    <mergeCell ref="C85:C86"/>
    <mergeCell ref="G54:J54"/>
    <mergeCell ref="G55:J55"/>
    <mergeCell ref="B58:B60"/>
    <mergeCell ref="A58:A60"/>
    <mergeCell ref="C58:C60"/>
    <mergeCell ref="D58:D60"/>
    <mergeCell ref="E58:E60"/>
    <mergeCell ref="F58:F60"/>
    <mergeCell ref="G58:J58"/>
    <mergeCell ref="L71:L72"/>
    <mergeCell ref="C71:C73"/>
    <mergeCell ref="D79:D80"/>
    <mergeCell ref="E79:E80"/>
    <mergeCell ref="A75:A80"/>
    <mergeCell ref="K65:K67"/>
    <mergeCell ref="A98:A100"/>
    <mergeCell ref="B98:B100"/>
    <mergeCell ref="C98:C100"/>
    <mergeCell ref="I79:I80"/>
    <mergeCell ref="K42:K44"/>
    <mergeCell ref="A42:A44"/>
    <mergeCell ref="B42:B44"/>
    <mergeCell ref="C42:C44"/>
    <mergeCell ref="E42:E43"/>
    <mergeCell ref="F42:F43"/>
    <mergeCell ref="G42:G44"/>
    <mergeCell ref="A64:A67"/>
    <mergeCell ref="A72:A73"/>
    <mergeCell ref="K61:K62"/>
    <mergeCell ref="K75:K78"/>
    <mergeCell ref="G77:G78"/>
    <mergeCell ref="H77:H78"/>
    <mergeCell ref="I77:I78"/>
    <mergeCell ref="L75:L78"/>
    <mergeCell ref="J75:J78"/>
    <mergeCell ref="L58:L60"/>
    <mergeCell ref="B75:B80"/>
    <mergeCell ref="G59:J59"/>
    <mergeCell ref="G60:J60"/>
    <mergeCell ref="K94:K97"/>
    <mergeCell ref="G98:J98"/>
    <mergeCell ref="K120:K122"/>
    <mergeCell ref="K153:K155"/>
    <mergeCell ref="G153:J153"/>
    <mergeCell ref="G154:J154"/>
    <mergeCell ref="G144:G147"/>
    <mergeCell ref="H144:H147"/>
    <mergeCell ref="I144:I147"/>
    <mergeCell ref="D153:F156"/>
    <mergeCell ref="G156:J156"/>
    <mergeCell ref="G170:G171"/>
    <mergeCell ref="K123:K127"/>
    <mergeCell ref="J134:J136"/>
    <mergeCell ref="G140:G141"/>
    <mergeCell ref="H140:H141"/>
    <mergeCell ref="I140:I141"/>
    <mergeCell ref="J140:J141"/>
    <mergeCell ref="K140:K141"/>
    <mergeCell ref="D157:F158"/>
    <mergeCell ref="D134:D136"/>
    <mergeCell ref="D164:F164"/>
    <mergeCell ref="J131:J133"/>
    <mergeCell ref="K134:K136"/>
    <mergeCell ref="K142:K143"/>
    <mergeCell ref="K165:K168"/>
    <mergeCell ref="G123:I123"/>
    <mergeCell ref="C142:C143"/>
    <mergeCell ref="J94:J97"/>
    <mergeCell ref="A226:A231"/>
    <mergeCell ref="A175:A181"/>
    <mergeCell ref="B175:B181"/>
    <mergeCell ref="I42:I44"/>
    <mergeCell ref="J42:J44"/>
    <mergeCell ref="J33:J34"/>
    <mergeCell ref="H172:H173"/>
    <mergeCell ref="A140:A141"/>
    <mergeCell ref="C140:C141"/>
    <mergeCell ref="A144:A147"/>
    <mergeCell ref="B144:B147"/>
    <mergeCell ref="C144:C147"/>
    <mergeCell ref="J109:J112"/>
    <mergeCell ref="G120:G121"/>
    <mergeCell ref="E113:E114"/>
    <mergeCell ref="F113:F114"/>
    <mergeCell ref="D115:E117"/>
    <mergeCell ref="I120:I121"/>
    <mergeCell ref="B64:B67"/>
    <mergeCell ref="B72:B73"/>
    <mergeCell ref="B52:B56"/>
    <mergeCell ref="C52:C56"/>
    <mergeCell ref="H42:H44"/>
    <mergeCell ref="B107:B108"/>
    <mergeCell ref="A107:A108"/>
    <mergeCell ref="C107:C108"/>
    <mergeCell ref="A94:A97"/>
    <mergeCell ref="F94:F97"/>
    <mergeCell ref="D52:D53"/>
    <mergeCell ref="E52:E53"/>
    <mergeCell ref="K260:K261"/>
    <mergeCell ref="D328:F329"/>
    <mergeCell ref="G375:J375"/>
    <mergeCell ref="G409:G410"/>
    <mergeCell ref="J238:J241"/>
    <mergeCell ref="K238:K241"/>
    <mergeCell ref="B412:B416"/>
    <mergeCell ref="D405:D406"/>
    <mergeCell ref="K339:K340"/>
    <mergeCell ref="D352:D353"/>
    <mergeCell ref="E352:E353"/>
    <mergeCell ref="F352:F353"/>
    <mergeCell ref="J387:J388"/>
    <mergeCell ref="A398:A399"/>
    <mergeCell ref="A303:A304"/>
    <mergeCell ref="A25:A27"/>
    <mergeCell ref="B25:B27"/>
    <mergeCell ref="C25:C27"/>
    <mergeCell ref="D25:D27"/>
    <mergeCell ref="E25:E27"/>
    <mergeCell ref="F25:F27"/>
    <mergeCell ref="B307:B308"/>
    <mergeCell ref="A307:A308"/>
    <mergeCell ref="J118:J119"/>
    <mergeCell ref="G142:G143"/>
    <mergeCell ref="H142:H143"/>
    <mergeCell ref="I142:I143"/>
    <mergeCell ref="J142:J143"/>
    <mergeCell ref="C75:C77"/>
    <mergeCell ref="C79:C80"/>
    <mergeCell ref="B142:B143"/>
    <mergeCell ref="D105:D106"/>
    <mergeCell ref="C260:C262"/>
    <mergeCell ref="D260:D262"/>
    <mergeCell ref="E260:E262"/>
    <mergeCell ref="C267:C271"/>
    <mergeCell ref="G267:G269"/>
    <mergeCell ref="H267:H269"/>
    <mergeCell ref="I267:I269"/>
    <mergeCell ref="J267:J269"/>
    <mergeCell ref="K267:K269"/>
    <mergeCell ref="K634:K638"/>
    <mergeCell ref="G611:J611"/>
    <mergeCell ref="G612:J612"/>
    <mergeCell ref="F260:F262"/>
    <mergeCell ref="J260:J261"/>
    <mergeCell ref="A412:A416"/>
    <mergeCell ref="A333:A334"/>
    <mergeCell ref="H275:H276"/>
    <mergeCell ref="I275:I276"/>
    <mergeCell ref="J275:J276"/>
    <mergeCell ref="K275:K276"/>
    <mergeCell ref="A277:A278"/>
    <mergeCell ref="B277:B278"/>
    <mergeCell ref="C277:C278"/>
    <mergeCell ref="A275:A276"/>
    <mergeCell ref="B275:B276"/>
    <mergeCell ref="C275:C276"/>
    <mergeCell ref="D275:D276"/>
    <mergeCell ref="E275:E276"/>
    <mergeCell ref="K303:K304"/>
    <mergeCell ref="A417:A429"/>
    <mergeCell ref="C477:C478"/>
    <mergeCell ref="D477:D478"/>
    <mergeCell ref="E105:E106"/>
    <mergeCell ref="C242:C244"/>
    <mergeCell ref="F115:F117"/>
    <mergeCell ref="C113:C117"/>
    <mergeCell ref="A204:A208"/>
    <mergeCell ref="B545:B546"/>
    <mergeCell ref="C545:C546"/>
    <mergeCell ref="D545:D546"/>
    <mergeCell ref="E545:E546"/>
    <mergeCell ref="B333:B334"/>
    <mergeCell ref="C333:C334"/>
    <mergeCell ref="G333:G334"/>
    <mergeCell ref="H333:H334"/>
    <mergeCell ref="I333:I334"/>
    <mergeCell ref="B140:B141"/>
    <mergeCell ref="J333:J334"/>
    <mergeCell ref="A320:A326"/>
    <mergeCell ref="B320:B326"/>
    <mergeCell ref="C320:C326"/>
    <mergeCell ref="D320:D326"/>
    <mergeCell ref="A238:A244"/>
    <mergeCell ref="B238:B244"/>
    <mergeCell ref="C238:C241"/>
    <mergeCell ref="G238:G241"/>
    <mergeCell ref="A252:A257"/>
    <mergeCell ref="B252:B257"/>
    <mergeCell ref="C252:C257"/>
    <mergeCell ref="A220:A225"/>
    <mergeCell ref="B220:B225"/>
    <mergeCell ref="B226:B231"/>
    <mergeCell ref="C226:C231"/>
    <mergeCell ref="G169:J169"/>
    <mergeCell ref="B204:B208"/>
    <mergeCell ref="G396:J396"/>
    <mergeCell ref="C394:C396"/>
    <mergeCell ref="K409:K410"/>
    <mergeCell ref="C483:C487"/>
    <mergeCell ref="J477:J478"/>
    <mergeCell ref="K477:K478"/>
    <mergeCell ref="A507:A508"/>
    <mergeCell ref="B507:B508"/>
    <mergeCell ref="A545:A546"/>
    <mergeCell ref="B602:B603"/>
    <mergeCell ref="C602:C603"/>
    <mergeCell ref="A755:A756"/>
    <mergeCell ref="C412:C416"/>
    <mergeCell ref="A584:A585"/>
    <mergeCell ref="B584:B585"/>
    <mergeCell ref="G275:G276"/>
    <mergeCell ref="K333:K334"/>
    <mergeCell ref="G226:J228"/>
    <mergeCell ref="K226:K228"/>
    <mergeCell ref="J204:J206"/>
    <mergeCell ref="K204:K206"/>
    <mergeCell ref="G207:J207"/>
    <mergeCell ref="C204:C208"/>
    <mergeCell ref="G624:J624"/>
    <mergeCell ref="J584:J585"/>
    <mergeCell ref="K584:K585"/>
    <mergeCell ref="G568:J569"/>
    <mergeCell ref="C562:C569"/>
    <mergeCell ref="F303:F304"/>
    <mergeCell ref="J303:J304"/>
    <mergeCell ref="K320:K321"/>
    <mergeCell ref="B191:B193"/>
    <mergeCell ref="C191:C193"/>
    <mergeCell ref="E187:E189"/>
    <mergeCell ref="F187:F189"/>
    <mergeCell ref="H238:H241"/>
    <mergeCell ref="F1439:F1441"/>
    <mergeCell ref="L1465:L1468"/>
    <mergeCell ref="K1465:K1468"/>
    <mergeCell ref="C1453:C1454"/>
    <mergeCell ref="B1453:B1454"/>
    <mergeCell ref="A1453:A1454"/>
    <mergeCell ref="G1453:J1454"/>
    <mergeCell ref="G1465:J1465"/>
    <mergeCell ref="G1466:J1466"/>
    <mergeCell ref="G1467:J1467"/>
    <mergeCell ref="C1461:C1462"/>
    <mergeCell ref="D1461:D1462"/>
    <mergeCell ref="E1461:E1462"/>
    <mergeCell ref="J1461:J1462"/>
    <mergeCell ref="K1461:K1462"/>
    <mergeCell ref="A1442:A1443"/>
    <mergeCell ref="B1442:B1443"/>
    <mergeCell ref="C1442:C1443"/>
    <mergeCell ref="G1431:J1431"/>
    <mergeCell ref="A1092:A1094"/>
    <mergeCell ref="B1092:B1094"/>
    <mergeCell ref="C1092:C1094"/>
    <mergeCell ref="E854:E856"/>
    <mergeCell ref="F854:F856"/>
    <mergeCell ref="J854:J856"/>
    <mergeCell ref="G610:J610"/>
    <mergeCell ref="L822:L824"/>
    <mergeCell ref="K109:K112"/>
    <mergeCell ref="K118:K119"/>
    <mergeCell ref="H120:H121"/>
    <mergeCell ref="A191:A193"/>
    <mergeCell ref="B123:B136"/>
    <mergeCell ref="C123:C127"/>
    <mergeCell ref="J220:J225"/>
    <mergeCell ref="K220:K225"/>
    <mergeCell ref="D222:E222"/>
    <mergeCell ref="G196:G198"/>
    <mergeCell ref="J191:J193"/>
    <mergeCell ref="K191:K193"/>
    <mergeCell ref="A409:A411"/>
    <mergeCell ref="B409:B411"/>
    <mergeCell ref="B562:B569"/>
    <mergeCell ref="A562:A569"/>
    <mergeCell ref="K568:K569"/>
    <mergeCell ref="B299:B300"/>
    <mergeCell ref="C299:C300"/>
    <mergeCell ref="D299:D300"/>
    <mergeCell ref="E299:E300"/>
    <mergeCell ref="F299:F300"/>
    <mergeCell ref="D303:D304"/>
    <mergeCell ref="E303:E304"/>
    <mergeCell ref="B398:B399"/>
    <mergeCell ref="C398:C399"/>
    <mergeCell ref="D398:D399"/>
    <mergeCell ref="E398:E399"/>
    <mergeCell ref="F398:F399"/>
    <mergeCell ref="F545:F546"/>
    <mergeCell ref="J545:J546"/>
    <mergeCell ref="K545:K546"/>
    <mergeCell ref="A1465:A1468"/>
    <mergeCell ref="C1287:C1289"/>
    <mergeCell ref="B1287:B1289"/>
    <mergeCell ref="A1287:A1289"/>
    <mergeCell ref="E1262:E1263"/>
    <mergeCell ref="F1262:F1263"/>
    <mergeCell ref="A1248:A1252"/>
    <mergeCell ref="B1248:B1252"/>
    <mergeCell ref="C1248:C1252"/>
    <mergeCell ref="F880:F882"/>
    <mergeCell ref="C1439:C1441"/>
    <mergeCell ref="D1439:D1441"/>
    <mergeCell ref="E1439:E1441"/>
    <mergeCell ref="G887:G888"/>
    <mergeCell ref="B883:B886"/>
    <mergeCell ref="A1046:A1047"/>
    <mergeCell ref="A1357:A1358"/>
    <mergeCell ref="C1016:C1017"/>
    <mergeCell ref="D1016:D1017"/>
    <mergeCell ref="E1016:E1017"/>
    <mergeCell ref="B1042:B1043"/>
    <mergeCell ref="C1042:C1043"/>
    <mergeCell ref="D1042:D1043"/>
    <mergeCell ref="E1042:E1043"/>
    <mergeCell ref="B1046:B1047"/>
    <mergeCell ref="A1018:A1021"/>
    <mergeCell ref="B1018:B1021"/>
    <mergeCell ref="C1018:C1021"/>
    <mergeCell ref="D1018:D1019"/>
    <mergeCell ref="E1018:E1019"/>
    <mergeCell ref="A891:A892"/>
    <mergeCell ref="B891:B892"/>
    <mergeCell ref="L1477:L1480"/>
    <mergeCell ref="A1423:A1424"/>
    <mergeCell ref="F1287:F1288"/>
    <mergeCell ref="G1288:J1288"/>
    <mergeCell ref="G1172:G1174"/>
    <mergeCell ref="H1172:H1174"/>
    <mergeCell ref="A444:A445"/>
    <mergeCell ref="B444:B445"/>
    <mergeCell ref="C444:C445"/>
    <mergeCell ref="D444:D445"/>
    <mergeCell ref="E444:E445"/>
    <mergeCell ref="L974:L975"/>
    <mergeCell ref="G1067:J1067"/>
    <mergeCell ref="H804:H805"/>
    <mergeCell ref="I804:I805"/>
    <mergeCell ref="J804:J805"/>
    <mergeCell ref="F608:F612"/>
    <mergeCell ref="G608:J608"/>
    <mergeCell ref="L948:O948"/>
    <mergeCell ref="B919:B971"/>
    <mergeCell ref="A919:A971"/>
    <mergeCell ref="C919:C971"/>
    <mergeCell ref="G946:J947"/>
    <mergeCell ref="L880:O880"/>
    <mergeCell ref="G682:J682"/>
    <mergeCell ref="G683:J683"/>
    <mergeCell ref="G681:J681"/>
    <mergeCell ref="A1426:A1429"/>
    <mergeCell ref="B1426:B1429"/>
    <mergeCell ref="G1447:J1447"/>
    <mergeCell ref="L681:L683"/>
    <mergeCell ref="G811:J811"/>
    <mergeCell ref="L47:L49"/>
    <mergeCell ref="A68:A70"/>
    <mergeCell ref="B68:B70"/>
    <mergeCell ref="G69:J69"/>
    <mergeCell ref="L485:L486"/>
    <mergeCell ref="F105:F106"/>
    <mergeCell ref="J105:J106"/>
    <mergeCell ref="K105:K106"/>
    <mergeCell ref="G165:G168"/>
    <mergeCell ref="I165:I168"/>
    <mergeCell ref="H165:H168"/>
    <mergeCell ref="C61:C62"/>
    <mergeCell ref="D61:D62"/>
    <mergeCell ref="E61:E62"/>
    <mergeCell ref="F61:F62"/>
    <mergeCell ref="J61:J62"/>
    <mergeCell ref="D394:F395"/>
    <mergeCell ref="G47:J47"/>
    <mergeCell ref="G48:J48"/>
    <mergeCell ref="G49:J49"/>
    <mergeCell ref="J165:J168"/>
    <mergeCell ref="A299:A300"/>
    <mergeCell ref="A196:A198"/>
    <mergeCell ref="B187:B189"/>
    <mergeCell ref="C187:C189"/>
    <mergeCell ref="D187:D189"/>
    <mergeCell ref="F123:F127"/>
    <mergeCell ref="C220:C225"/>
    <mergeCell ref="C441:C442"/>
    <mergeCell ref="D441:D442"/>
    <mergeCell ref="E441:E442"/>
    <mergeCell ref="F441:F442"/>
    <mergeCell ref="F21:F22"/>
    <mergeCell ref="E21:E22"/>
    <mergeCell ref="D21:D22"/>
    <mergeCell ref="G22:J22"/>
    <mergeCell ref="C20:C22"/>
    <mergeCell ref="G148:J148"/>
    <mergeCell ref="A366:A367"/>
    <mergeCell ref="B366:B367"/>
    <mergeCell ref="C366:C367"/>
    <mergeCell ref="D366:D367"/>
    <mergeCell ref="E366:E367"/>
    <mergeCell ref="F366:F367"/>
    <mergeCell ref="J65:J67"/>
    <mergeCell ref="A47:A49"/>
    <mergeCell ref="B47:B49"/>
    <mergeCell ref="C47:C49"/>
    <mergeCell ref="D47:D49"/>
    <mergeCell ref="E47:E49"/>
    <mergeCell ref="F47:F49"/>
    <mergeCell ref="G282:J282"/>
    <mergeCell ref="D98:D100"/>
    <mergeCell ref="E98:E100"/>
    <mergeCell ref="D94:D97"/>
    <mergeCell ref="E94:E97"/>
    <mergeCell ref="H112:H113"/>
    <mergeCell ref="I112:I113"/>
    <mergeCell ref="D111:E112"/>
    <mergeCell ref="F111:F112"/>
    <mergeCell ref="C109:C112"/>
    <mergeCell ref="A105:A106"/>
    <mergeCell ref="B105:B106"/>
    <mergeCell ref="C105:C106"/>
    <mergeCell ref="A109:A117"/>
    <mergeCell ref="G1482:J1482"/>
    <mergeCell ref="J391:J393"/>
    <mergeCell ref="K391:K393"/>
    <mergeCell ref="C64:C67"/>
    <mergeCell ref="B996:B997"/>
    <mergeCell ref="C996:C997"/>
    <mergeCell ref="D996:D997"/>
    <mergeCell ref="E996:E997"/>
    <mergeCell ref="B1001:B1002"/>
    <mergeCell ref="C1001:C1002"/>
    <mergeCell ref="D1001:D1002"/>
    <mergeCell ref="E1001:E1002"/>
    <mergeCell ref="B1083:B1085"/>
    <mergeCell ref="C1083:C1085"/>
    <mergeCell ref="B1007:B1013"/>
    <mergeCell ref="C1007:C1013"/>
    <mergeCell ref="B1016:B1017"/>
    <mergeCell ref="J1477:J1480"/>
    <mergeCell ref="K1477:K1480"/>
    <mergeCell ref="D1477:F1480"/>
    <mergeCell ref="C1477:C1480"/>
    <mergeCell ref="B1477:B1480"/>
    <mergeCell ref="B1227:B1231"/>
    <mergeCell ref="C1227:C1231"/>
    <mergeCell ref="G1231:J1231"/>
    <mergeCell ref="G1229:J1229"/>
    <mergeCell ref="B1185:B1186"/>
    <mergeCell ref="C1185:C1186"/>
    <mergeCell ref="B1023:B1024"/>
    <mergeCell ref="C1023:C1024"/>
    <mergeCell ref="D1023:D1024"/>
    <mergeCell ref="A996:A997"/>
    <mergeCell ref="A1001:A1002"/>
    <mergeCell ref="A1007:A1013"/>
    <mergeCell ref="A1016:A1017"/>
    <mergeCell ref="A973:A974"/>
    <mergeCell ref="B987:B989"/>
    <mergeCell ref="D948:F952"/>
    <mergeCell ref="D956:F956"/>
    <mergeCell ref="D957:F958"/>
    <mergeCell ref="A980:A981"/>
    <mergeCell ref="B980:B981"/>
    <mergeCell ref="C980:C981"/>
    <mergeCell ref="A998:A999"/>
    <mergeCell ref="B998:B999"/>
    <mergeCell ref="C998:C999"/>
    <mergeCell ref="F998:F999"/>
    <mergeCell ref="B994:B995"/>
    <mergeCell ref="D998:D999"/>
    <mergeCell ref="E998:E999"/>
    <mergeCell ref="A987:A989"/>
    <mergeCell ref="I1057:I1058"/>
    <mergeCell ref="J1055:J1057"/>
    <mergeCell ref="G1036:J1036"/>
    <mergeCell ref="D1032:F1037"/>
    <mergeCell ref="G1037:J1037"/>
    <mergeCell ref="G1032:J1033"/>
    <mergeCell ref="G1025:G1026"/>
    <mergeCell ref="H1025:H1026"/>
    <mergeCell ref="I1025:I1026"/>
    <mergeCell ref="J1025:J1026"/>
    <mergeCell ref="G1059:G1060"/>
    <mergeCell ref="H1059:H1060"/>
    <mergeCell ref="I1059:I1060"/>
    <mergeCell ref="C1169:C1171"/>
    <mergeCell ref="G1169:G1170"/>
    <mergeCell ref="H1169:H1170"/>
    <mergeCell ref="E1052:E1054"/>
    <mergeCell ref="C1119:C1120"/>
    <mergeCell ref="F1147:F1149"/>
    <mergeCell ref="I1153:I1154"/>
    <mergeCell ref="C1087:C1089"/>
    <mergeCell ref="G1062:J1062"/>
    <mergeCell ref="G1063:J1063"/>
    <mergeCell ref="K1375:K1377"/>
    <mergeCell ref="F1001:F1002"/>
    <mergeCell ref="F1217:F1218"/>
    <mergeCell ref="K1270:K1271"/>
    <mergeCell ref="E1040:E1041"/>
    <mergeCell ref="F1040:F1041"/>
    <mergeCell ref="G1034:J1035"/>
    <mergeCell ref="D1040:D1041"/>
    <mergeCell ref="G1083:J1083"/>
    <mergeCell ref="G1084:J1084"/>
    <mergeCell ref="K1153:K1154"/>
    <mergeCell ref="I1121:I1123"/>
    <mergeCell ref="J1121:J1123"/>
    <mergeCell ref="K1121:K1123"/>
    <mergeCell ref="G1124:J1124"/>
    <mergeCell ref="G1125:J1125"/>
    <mergeCell ref="F1314:F1315"/>
    <mergeCell ref="E1062:E1064"/>
    <mergeCell ref="K1027:K1028"/>
    <mergeCell ref="K1032:K1033"/>
    <mergeCell ref="J1052:J1054"/>
    <mergeCell ref="E1023:E1024"/>
    <mergeCell ref="F1018:F1019"/>
    <mergeCell ref="I1167:I1168"/>
    <mergeCell ref="K1324:K1325"/>
    <mergeCell ref="D1309:D1311"/>
    <mergeCell ref="E1309:E1311"/>
    <mergeCell ref="F1309:F1311"/>
    <mergeCell ref="J1310:J1311"/>
    <mergeCell ref="K1369:K1371"/>
    <mergeCell ref="G1338:J1338"/>
    <mergeCell ref="K1222:K1224"/>
    <mergeCell ref="G1483:J1483"/>
    <mergeCell ref="G346:G348"/>
    <mergeCell ref="H346:H348"/>
    <mergeCell ref="I346:I348"/>
    <mergeCell ref="J346:J348"/>
    <mergeCell ref="K346:K348"/>
    <mergeCell ref="A1143:A1144"/>
    <mergeCell ref="B1143:B1144"/>
    <mergeCell ref="C1143:C1144"/>
    <mergeCell ref="D1143:D1144"/>
    <mergeCell ref="E1143:E1144"/>
    <mergeCell ref="D1383:D1384"/>
    <mergeCell ref="E1383:E1384"/>
    <mergeCell ref="A1194:A1195"/>
    <mergeCell ref="B1194:B1195"/>
    <mergeCell ref="C1194:C1195"/>
    <mergeCell ref="A1379:A1380"/>
    <mergeCell ref="B1379:B1380"/>
    <mergeCell ref="C1379:C1380"/>
    <mergeCell ref="F1210:F1211"/>
    <mergeCell ref="B1197:B1198"/>
    <mergeCell ref="C1197:C1198"/>
    <mergeCell ref="B1357:B1358"/>
    <mergeCell ref="C1357:C1358"/>
    <mergeCell ref="D1357:D1358"/>
    <mergeCell ref="E1357:E1358"/>
    <mergeCell ref="F1357:F1358"/>
    <mergeCell ref="A1217:A1218"/>
    <mergeCell ref="B1217:B1218"/>
    <mergeCell ref="C1217:C1218"/>
    <mergeCell ref="D1217:D1218"/>
    <mergeCell ref="C873:C874"/>
    <mergeCell ref="F1461:F1462"/>
    <mergeCell ref="G1228:J1228"/>
    <mergeCell ref="G1481:J1481"/>
    <mergeCell ref="J1250:J1252"/>
    <mergeCell ref="K1250:K1252"/>
    <mergeCell ref="G1153:G1154"/>
    <mergeCell ref="H1153:H1154"/>
    <mergeCell ref="F128:F130"/>
    <mergeCell ref="G72:J72"/>
    <mergeCell ref="K1172:K1174"/>
    <mergeCell ref="F996:F997"/>
    <mergeCell ref="G1375:G1377"/>
    <mergeCell ref="H1375:H1377"/>
    <mergeCell ref="I1375:I1377"/>
    <mergeCell ref="F1143:F1144"/>
    <mergeCell ref="F1383:F1384"/>
    <mergeCell ref="D1195:F1195"/>
    <mergeCell ref="D1379:D1380"/>
    <mergeCell ref="E1379:E1380"/>
    <mergeCell ref="F1379:F1380"/>
    <mergeCell ref="F1197:F1198"/>
    <mergeCell ref="D1136:D1137"/>
    <mergeCell ref="E1136:E1137"/>
    <mergeCell ref="F1136:F1137"/>
    <mergeCell ref="D1185:D1186"/>
    <mergeCell ref="E1185:E1186"/>
    <mergeCell ref="D1197:D1198"/>
    <mergeCell ref="D854:D856"/>
    <mergeCell ref="F1185:F1186"/>
    <mergeCell ref="G1270:G1271"/>
    <mergeCell ref="J802:J803"/>
    <mergeCell ref="K802:K803"/>
    <mergeCell ref="K47:K49"/>
    <mergeCell ref="F79:F80"/>
    <mergeCell ref="J79:J80"/>
    <mergeCell ref="K79:K80"/>
    <mergeCell ref="G79:G80"/>
    <mergeCell ref="A1042:A1043"/>
    <mergeCell ref="B854:B856"/>
    <mergeCell ref="C854:C856"/>
    <mergeCell ref="B1040:B1041"/>
    <mergeCell ref="C1040:C1041"/>
    <mergeCell ref="B1032:B1037"/>
    <mergeCell ref="C1032:C1037"/>
    <mergeCell ref="B991:B992"/>
    <mergeCell ref="E1197:E1198"/>
    <mergeCell ref="E1103:E1104"/>
    <mergeCell ref="F1103:F1104"/>
    <mergeCell ref="K1077:K1081"/>
    <mergeCell ref="A747:A748"/>
    <mergeCell ref="J1172:J1174"/>
    <mergeCell ref="C1014:C1015"/>
    <mergeCell ref="D1014:D1015"/>
    <mergeCell ref="E1014:E1015"/>
    <mergeCell ref="F1014:F1015"/>
    <mergeCell ref="C1029:C1030"/>
    <mergeCell ref="D1029:D1030"/>
    <mergeCell ref="E1029:E1030"/>
    <mergeCell ref="F1029:F1030"/>
    <mergeCell ref="J948:J951"/>
    <mergeCell ref="A893:A894"/>
    <mergeCell ref="C911:C912"/>
    <mergeCell ref="C893:C894"/>
    <mergeCell ref="A909:A910"/>
    <mergeCell ref="C1268:C1269"/>
    <mergeCell ref="E608:E612"/>
    <mergeCell ref="A1197:A1198"/>
    <mergeCell ref="A1227:A1231"/>
    <mergeCell ref="E1314:E1315"/>
    <mergeCell ref="D870:D871"/>
    <mergeCell ref="A1201:A1202"/>
    <mergeCell ref="A1278:A1279"/>
    <mergeCell ref="B1278:B1279"/>
    <mergeCell ref="C1278:C1279"/>
    <mergeCell ref="D1278:D1279"/>
    <mergeCell ref="E1278:E1279"/>
    <mergeCell ref="F1278:F1279"/>
    <mergeCell ref="E1268:E1269"/>
    <mergeCell ref="E1287:E1288"/>
    <mergeCell ref="B1210:B1211"/>
    <mergeCell ref="C1210:C1211"/>
    <mergeCell ref="D1210:D1211"/>
    <mergeCell ref="E1210:E1211"/>
    <mergeCell ref="B1254:B1256"/>
    <mergeCell ref="B909:B910"/>
    <mergeCell ref="C909:C910"/>
    <mergeCell ref="D926:E926"/>
    <mergeCell ref="D927:E927"/>
    <mergeCell ref="D928:E928"/>
    <mergeCell ref="D929:E929"/>
    <mergeCell ref="D930:E930"/>
    <mergeCell ref="A873:A874"/>
    <mergeCell ref="C987:C989"/>
    <mergeCell ref="E1299:E1300"/>
    <mergeCell ref="C1046:C1047"/>
    <mergeCell ref="C891:C892"/>
    <mergeCell ref="J1375:J1377"/>
    <mergeCell ref="C1274:C1277"/>
    <mergeCell ref="G463:G464"/>
    <mergeCell ref="H463:H464"/>
    <mergeCell ref="G1278:K1278"/>
    <mergeCell ref="A1254:A1256"/>
    <mergeCell ref="L1490:L1491"/>
    <mergeCell ref="A844:A846"/>
    <mergeCell ref="B844:B846"/>
    <mergeCell ref="C844:C846"/>
    <mergeCell ref="D846:F846"/>
    <mergeCell ref="B531:B533"/>
    <mergeCell ref="A531:A533"/>
    <mergeCell ref="G1490:J1490"/>
    <mergeCell ref="G1491:J1491"/>
    <mergeCell ref="F1490:F1491"/>
    <mergeCell ref="E1490:E1491"/>
    <mergeCell ref="D1490:D1491"/>
    <mergeCell ref="C1490:C1491"/>
    <mergeCell ref="B1490:B1491"/>
    <mergeCell ref="A1490:A1491"/>
    <mergeCell ref="D1250:F1251"/>
    <mergeCell ref="A1285:A1286"/>
    <mergeCell ref="B1285:B1286"/>
    <mergeCell ref="A1372:A1374"/>
    <mergeCell ref="B1372:B1374"/>
    <mergeCell ref="C1372:C1374"/>
    <mergeCell ref="A1119:A1120"/>
    <mergeCell ref="B1119:B1120"/>
    <mergeCell ref="A883:A886"/>
    <mergeCell ref="A1268:A1269"/>
    <mergeCell ref="B1268:B1269"/>
    <mergeCell ref="B1314:B1315"/>
    <mergeCell ref="C1314:C1315"/>
    <mergeCell ref="D1314:D1315"/>
    <mergeCell ref="E405:E406"/>
    <mergeCell ref="F405:F406"/>
    <mergeCell ref="G1493:J1493"/>
    <mergeCell ref="A1494:A1495"/>
    <mergeCell ref="B1494:B1495"/>
    <mergeCell ref="C1494:C1495"/>
    <mergeCell ref="D1494:D1495"/>
    <mergeCell ref="E1494:E1495"/>
    <mergeCell ref="F1494:F1495"/>
    <mergeCell ref="J1494:J1495"/>
    <mergeCell ref="K1494:K1495"/>
    <mergeCell ref="A456:A458"/>
    <mergeCell ref="B456:B458"/>
    <mergeCell ref="C456:C458"/>
    <mergeCell ref="D456:D458"/>
    <mergeCell ref="E456:E458"/>
    <mergeCell ref="F456:F458"/>
    <mergeCell ref="G1177:J1177"/>
    <mergeCell ref="B1175:B1177"/>
    <mergeCell ref="A1175:A1177"/>
    <mergeCell ref="C580:C582"/>
    <mergeCell ref="B580:B582"/>
    <mergeCell ref="A580:A582"/>
    <mergeCell ref="G581:J581"/>
    <mergeCell ref="B1299:B1300"/>
    <mergeCell ref="C1299:C1300"/>
    <mergeCell ref="D1299:D1300"/>
    <mergeCell ref="F1299:F1300"/>
    <mergeCell ref="C870:C871"/>
    <mergeCell ref="A467:A470"/>
    <mergeCell ref="B467:B470"/>
    <mergeCell ref="C467:C470"/>
    <mergeCell ref="I463:I464"/>
    <mergeCell ref="J463:J464"/>
    <mergeCell ref="K463:K464"/>
    <mergeCell ref="K494:K495"/>
    <mergeCell ref="B1496:B1497"/>
    <mergeCell ref="A1496:A1497"/>
    <mergeCell ref="C1496:C1497"/>
    <mergeCell ref="G1497:J1497"/>
    <mergeCell ref="G1496:J1496"/>
    <mergeCell ref="A401:A402"/>
    <mergeCell ref="B401:B402"/>
    <mergeCell ref="C401:C402"/>
    <mergeCell ref="D401:D402"/>
    <mergeCell ref="E401:E402"/>
    <mergeCell ref="F401:F402"/>
    <mergeCell ref="A1360:A1361"/>
    <mergeCell ref="B1360:B1361"/>
    <mergeCell ref="C1360:C1361"/>
    <mergeCell ref="D1360:D1361"/>
    <mergeCell ref="E1360:E1361"/>
    <mergeCell ref="F1360:F1361"/>
    <mergeCell ref="A446:A449"/>
    <mergeCell ref="B446:B449"/>
    <mergeCell ref="C446:C449"/>
    <mergeCell ref="D446:D449"/>
    <mergeCell ref="E446:E449"/>
    <mergeCell ref="F446:F449"/>
    <mergeCell ref="J448:J449"/>
    <mergeCell ref="A1314:A1315"/>
    <mergeCell ref="B880:B882"/>
    <mergeCell ref="A854:A856"/>
    <mergeCell ref="D520:F521"/>
    <mergeCell ref="A523:A525"/>
    <mergeCell ref="B523:B525"/>
    <mergeCell ref="C523:C525"/>
    <mergeCell ref="A549:A550"/>
    <mergeCell ref="F634:F638"/>
    <mergeCell ref="C880:C882"/>
    <mergeCell ref="A465:A466"/>
    <mergeCell ref="B465:B466"/>
    <mergeCell ref="C465:C466"/>
    <mergeCell ref="B549:B550"/>
    <mergeCell ref="C549:C550"/>
    <mergeCell ref="D549:D550"/>
    <mergeCell ref="E549:E550"/>
    <mergeCell ref="F549:F550"/>
    <mergeCell ref="A571:A572"/>
    <mergeCell ref="B571:B572"/>
    <mergeCell ref="C587:C588"/>
    <mergeCell ref="C634:C640"/>
    <mergeCell ref="A599:A601"/>
    <mergeCell ref="B599:B601"/>
    <mergeCell ref="C599:C601"/>
    <mergeCell ref="D599:D601"/>
    <mergeCell ref="E599:E601"/>
    <mergeCell ref="F599:F601"/>
    <mergeCell ref="A593:A594"/>
    <mergeCell ref="B593:B594"/>
    <mergeCell ref="C593:C594"/>
    <mergeCell ref="F870:F871"/>
    <mergeCell ref="D634:D638"/>
    <mergeCell ref="K1106:K1107"/>
    <mergeCell ref="L1106:L1107"/>
    <mergeCell ref="C739:C740"/>
    <mergeCell ref="D739:D740"/>
    <mergeCell ref="E739:E740"/>
    <mergeCell ref="J1106:J1107"/>
    <mergeCell ref="C848:C849"/>
    <mergeCell ref="D848:D849"/>
    <mergeCell ref="E848:E849"/>
    <mergeCell ref="F848:F849"/>
    <mergeCell ref="D789:F791"/>
    <mergeCell ref="D608:D612"/>
    <mergeCell ref="D1046:D1047"/>
    <mergeCell ref="E1046:E1047"/>
    <mergeCell ref="F1046:F1047"/>
    <mergeCell ref="G609:J609"/>
    <mergeCell ref="D991:D992"/>
    <mergeCell ref="E991:E992"/>
    <mergeCell ref="F991:F992"/>
    <mergeCell ref="K1055:K1057"/>
    <mergeCell ref="F1042:F1043"/>
    <mergeCell ref="G615:J615"/>
    <mergeCell ref="J873:J874"/>
    <mergeCell ref="G813:J813"/>
    <mergeCell ref="C809:C814"/>
    <mergeCell ref="D880:D882"/>
    <mergeCell ref="E880:E882"/>
    <mergeCell ref="C755:C756"/>
    <mergeCell ref="G632:J632"/>
    <mergeCell ref="G633:J633"/>
    <mergeCell ref="G620:J620"/>
    <mergeCell ref="G621:J621"/>
    <mergeCell ref="B848:B849"/>
    <mergeCell ref="B809:B814"/>
    <mergeCell ref="F452:F453"/>
    <mergeCell ref="J480:J481"/>
    <mergeCell ref="K480:K481"/>
    <mergeCell ref="I509:I510"/>
    <mergeCell ref="J509:J510"/>
    <mergeCell ref="F444:F445"/>
    <mergeCell ref="B870:B871"/>
    <mergeCell ref="C584:C585"/>
    <mergeCell ref="D584:D585"/>
    <mergeCell ref="E584:E585"/>
    <mergeCell ref="F584:F585"/>
    <mergeCell ref="D452:D453"/>
    <mergeCell ref="E452:E453"/>
    <mergeCell ref="J600:J601"/>
    <mergeCell ref="K600:K601"/>
    <mergeCell ref="D593:D594"/>
    <mergeCell ref="B454:B455"/>
    <mergeCell ref="C454:C455"/>
    <mergeCell ref="D454:D455"/>
    <mergeCell ref="E454:E455"/>
    <mergeCell ref="F454:F455"/>
    <mergeCell ref="B459:B460"/>
    <mergeCell ref="C459:C460"/>
    <mergeCell ref="K509:K510"/>
    <mergeCell ref="G465:G466"/>
    <mergeCell ref="H465:H466"/>
    <mergeCell ref="I465:I466"/>
    <mergeCell ref="B500:B501"/>
    <mergeCell ref="C500:C501"/>
    <mergeCell ref="C507:C508"/>
    <mergeCell ref="L369:L370"/>
    <mergeCell ref="K854:K856"/>
    <mergeCell ref="F98:F100"/>
    <mergeCell ref="J99:J100"/>
    <mergeCell ref="K99:K100"/>
    <mergeCell ref="J286:J289"/>
    <mergeCell ref="K286:K289"/>
    <mergeCell ref="A634:A642"/>
    <mergeCell ref="B634:B642"/>
    <mergeCell ref="C641:C642"/>
    <mergeCell ref="D641:D642"/>
    <mergeCell ref="E641:E642"/>
    <mergeCell ref="F641:F642"/>
    <mergeCell ref="J641:J642"/>
    <mergeCell ref="K641:K642"/>
    <mergeCell ref="B109:B117"/>
    <mergeCell ref="L448:L449"/>
    <mergeCell ref="L600:L601"/>
    <mergeCell ref="E593:E594"/>
    <mergeCell ref="F593:F594"/>
    <mergeCell ref="A450:A451"/>
    <mergeCell ref="B450:B451"/>
    <mergeCell ref="C450:C451"/>
    <mergeCell ref="D450:D451"/>
    <mergeCell ref="E450:E451"/>
    <mergeCell ref="F450:F451"/>
    <mergeCell ref="A459:A460"/>
    <mergeCell ref="G414:G416"/>
    <mergeCell ref="H414:H416"/>
    <mergeCell ref="I414:I416"/>
    <mergeCell ref="K448:K449"/>
    <mergeCell ref="A848:A849"/>
    <mergeCell ref="G960:J960"/>
    <mergeCell ref="G961:J961"/>
    <mergeCell ref="G959:J959"/>
    <mergeCell ref="G963:J963"/>
    <mergeCell ref="G964:J964"/>
    <mergeCell ref="C368:C370"/>
    <mergeCell ref="D368:D370"/>
    <mergeCell ref="E368:E370"/>
    <mergeCell ref="F368:F370"/>
    <mergeCell ref="J369:J370"/>
    <mergeCell ref="K369:K370"/>
    <mergeCell ref="A809:A814"/>
    <mergeCell ref="B1025:B1028"/>
    <mergeCell ref="C1025:C1028"/>
    <mergeCell ref="B739:B740"/>
    <mergeCell ref="A452:A453"/>
    <mergeCell ref="B452:B453"/>
    <mergeCell ref="C452:C453"/>
    <mergeCell ref="A753:A754"/>
    <mergeCell ref="A739:A740"/>
    <mergeCell ref="A403:A404"/>
    <mergeCell ref="A870:A871"/>
    <mergeCell ref="B403:B404"/>
    <mergeCell ref="C403:C404"/>
    <mergeCell ref="D403:D404"/>
    <mergeCell ref="E403:E404"/>
    <mergeCell ref="F403:F404"/>
    <mergeCell ref="A1014:A1015"/>
    <mergeCell ref="B1014:B1015"/>
    <mergeCell ref="A991:A992"/>
    <mergeCell ref="A602:A603"/>
    <mergeCell ref="A454:A45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23"/>
  <sheetViews>
    <sheetView rightToLeft="1" topLeftCell="B959" zoomScale="60" zoomScaleNormal="60" workbookViewId="0">
      <selection activeCell="D969" sqref="D96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6527"/>
      <c r="B2" s="6526" t="s">
        <v>5751</v>
      </c>
      <c r="C2" s="6434" t="s">
        <v>1300</v>
      </c>
      <c r="D2" s="6393">
        <v>6000000</v>
      </c>
      <c r="E2" s="6471">
        <v>7.0000000000000007E-2</v>
      </c>
      <c r="F2" s="6393">
        <v>450000</v>
      </c>
      <c r="G2" s="6393"/>
      <c r="H2" s="6393"/>
      <c r="I2" s="24" t="s">
        <v>6407</v>
      </c>
      <c r="J2" s="6393">
        <f>G2</f>
        <v>0</v>
      </c>
      <c r="K2" s="6393">
        <f>F2-J2</f>
        <v>450000</v>
      </c>
      <c r="L2" s="180"/>
    </row>
    <row r="3" spans="1:12" ht="30" customHeight="1" x14ac:dyDescent="0.2">
      <c r="A3" s="8309"/>
      <c r="B3" s="8307" t="s">
        <v>5752</v>
      </c>
      <c r="C3" s="7723" t="s">
        <v>1300</v>
      </c>
      <c r="D3" s="6393">
        <v>5000000</v>
      </c>
      <c r="E3" s="6471">
        <v>7.0000000000000007E-2</v>
      </c>
      <c r="F3" s="6393">
        <f t="shared" ref="F3:F4" si="0">D3*E3</f>
        <v>350000.00000000006</v>
      </c>
      <c r="G3" s="7563"/>
      <c r="H3" s="7563"/>
      <c r="I3" s="7561" t="s">
        <v>6405</v>
      </c>
      <c r="J3" s="7563">
        <f>G3</f>
        <v>0</v>
      </c>
      <c r="K3" s="7563">
        <f>(F3+F4)-J3</f>
        <v>700000.00000000012</v>
      </c>
      <c r="L3" s="736"/>
    </row>
    <row r="4" spans="1:12" ht="30" customHeight="1" x14ac:dyDescent="0.2">
      <c r="A4" s="8310"/>
      <c r="B4" s="8308"/>
      <c r="C4" s="7724"/>
      <c r="D4" s="6393">
        <v>5000000</v>
      </c>
      <c r="E4" s="6471">
        <v>7.0000000000000007E-2</v>
      </c>
      <c r="F4" s="6393">
        <f t="shared" si="0"/>
        <v>350000.00000000006</v>
      </c>
      <c r="G4" s="7564"/>
      <c r="H4" s="7564"/>
      <c r="I4" s="7562"/>
      <c r="J4" s="7564"/>
      <c r="K4" s="7564"/>
      <c r="L4" s="736"/>
    </row>
    <row r="5" spans="1:12" ht="30" customHeight="1" x14ac:dyDescent="0.2">
      <c r="A5" s="6475">
        <v>3</v>
      </c>
      <c r="B5" s="19" t="s">
        <v>285</v>
      </c>
      <c r="C5" s="6434" t="s">
        <v>359</v>
      </c>
      <c r="D5" s="6393">
        <v>36000000</v>
      </c>
      <c r="E5" s="6471">
        <v>7.0000000000000007E-2</v>
      </c>
      <c r="F5" s="6393">
        <v>2500000</v>
      </c>
      <c r="G5" s="6393"/>
      <c r="H5" s="6393"/>
      <c r="I5" s="24" t="s">
        <v>2026</v>
      </c>
      <c r="J5" s="6393">
        <f>G5</f>
        <v>0</v>
      </c>
      <c r="K5" s="6393">
        <f>F5-J5</f>
        <v>2500000</v>
      </c>
      <c r="L5" s="6470"/>
    </row>
    <row r="6" spans="1:12" ht="30" customHeight="1" x14ac:dyDescent="0.2">
      <c r="A6" s="7654">
        <v>4</v>
      </c>
      <c r="B6" s="7652" t="s">
        <v>310</v>
      </c>
      <c r="C6" s="7723" t="s">
        <v>2644</v>
      </c>
      <c r="D6" s="7563">
        <v>800000000</v>
      </c>
      <c r="E6" s="7659">
        <v>6.7000000000000004E-2</v>
      </c>
      <c r="F6" s="7563">
        <f>D6*E6</f>
        <v>53600000</v>
      </c>
      <c r="G6" s="6393"/>
      <c r="H6" s="6393"/>
      <c r="I6" s="6547" t="s">
        <v>7317</v>
      </c>
      <c r="J6" s="7563">
        <f>G6+G7+G8</f>
        <v>0</v>
      </c>
      <c r="K6" s="7563">
        <f>F6-J6</f>
        <v>53600000</v>
      </c>
      <c r="L6" s="637"/>
    </row>
    <row r="7" spans="1:12" ht="30" customHeight="1" x14ac:dyDescent="0.2">
      <c r="A7" s="7656"/>
      <c r="B7" s="7665"/>
      <c r="C7" s="7747"/>
      <c r="D7" s="7586"/>
      <c r="E7" s="7676"/>
      <c r="F7" s="7586"/>
      <c r="G7" s="6393"/>
      <c r="H7" s="6393"/>
      <c r="I7" s="6547" t="s">
        <v>7317</v>
      </c>
      <c r="J7" s="7586"/>
      <c r="K7" s="7586"/>
      <c r="L7" s="3734" t="s">
        <v>7615</v>
      </c>
    </row>
    <row r="8" spans="1:12" ht="30" customHeight="1" x14ac:dyDescent="0.2">
      <c r="A8" s="7656"/>
      <c r="B8" s="7665"/>
      <c r="C8" s="7747"/>
      <c r="D8" s="7586"/>
      <c r="E8" s="7676"/>
      <c r="F8" s="7586"/>
      <c r="G8" s="6393"/>
      <c r="H8" s="7563"/>
      <c r="I8" s="8115" t="s">
        <v>7317</v>
      </c>
      <c r="J8" s="7564"/>
      <c r="K8" s="7564"/>
      <c r="L8" s="3734"/>
    </row>
    <row r="9" spans="1:12" ht="30" customHeight="1" x14ac:dyDescent="0.2">
      <c r="A9" s="7655"/>
      <c r="B9" s="7653"/>
      <c r="C9" s="7724"/>
      <c r="D9" s="7564"/>
      <c r="E9" s="7660"/>
      <c r="F9" s="7564"/>
      <c r="G9" s="6393"/>
      <c r="H9" s="7564"/>
      <c r="I9" s="8116"/>
      <c r="J9" s="6393"/>
      <c r="K9" s="6393"/>
      <c r="L9" s="29"/>
    </row>
    <row r="10" spans="1:12" ht="30" customHeight="1" x14ac:dyDescent="0.2">
      <c r="A10" s="6397">
        <v>6</v>
      </c>
      <c r="B10" s="6468" t="s">
        <v>407</v>
      </c>
      <c r="C10" s="6433"/>
      <c r="D10" s="6393">
        <v>15000000</v>
      </c>
      <c r="E10" s="6471">
        <v>0.05</v>
      </c>
      <c r="F10" s="6393">
        <f t="shared" ref="F10:F29" si="1">D10*E10</f>
        <v>750000</v>
      </c>
      <c r="G10" s="6393"/>
      <c r="H10" s="6393"/>
      <c r="I10" s="24"/>
      <c r="J10" s="6393">
        <f t="shared" ref="J10:J11" si="2">G10</f>
        <v>0</v>
      </c>
      <c r="K10" s="6393">
        <f t="shared" ref="K10:K11" si="3">F10-J10</f>
        <v>750000</v>
      </c>
      <c r="L10" s="637"/>
    </row>
    <row r="11" spans="1:12" ht="30" customHeight="1" x14ac:dyDescent="0.2">
      <c r="A11" s="6397">
        <v>7</v>
      </c>
      <c r="B11" s="19" t="s">
        <v>102</v>
      </c>
      <c r="C11" s="6472" t="s">
        <v>889</v>
      </c>
      <c r="D11" s="6393">
        <v>45000000</v>
      </c>
      <c r="E11" s="6471">
        <v>0.05</v>
      </c>
      <c r="F11" s="6393">
        <f t="shared" si="1"/>
        <v>2250000</v>
      </c>
      <c r="G11" s="6393"/>
      <c r="H11" s="6393"/>
      <c r="I11" s="6547" t="s">
        <v>6225</v>
      </c>
      <c r="J11" s="6393">
        <f t="shared" si="2"/>
        <v>0</v>
      </c>
      <c r="K11" s="6393">
        <f t="shared" si="3"/>
        <v>2250000</v>
      </c>
      <c r="L11" s="736"/>
    </row>
    <row r="12" spans="1:12" ht="30" customHeight="1" x14ac:dyDescent="0.2">
      <c r="A12" s="7654"/>
      <c r="B12" s="7652" t="s">
        <v>349</v>
      </c>
      <c r="C12" s="7723" t="s">
        <v>1287</v>
      </c>
      <c r="D12" s="6393">
        <v>650000000</v>
      </c>
      <c r="E12" s="6402">
        <v>0.06</v>
      </c>
      <c r="F12" s="6393">
        <f t="shared" si="1"/>
        <v>39000000</v>
      </c>
      <c r="G12" s="7991" t="s">
        <v>7406</v>
      </c>
      <c r="H12" s="7992"/>
      <c r="I12" s="7992"/>
      <c r="J12" s="7993"/>
      <c r="K12" s="6393">
        <f>F12-J12</f>
        <v>39000000</v>
      </c>
      <c r="L12" s="6503" t="s">
        <v>5261</v>
      </c>
    </row>
    <row r="13" spans="1:12" ht="30" customHeight="1" x14ac:dyDescent="0.2">
      <c r="A13" s="7656"/>
      <c r="B13" s="7665"/>
      <c r="C13" s="7747"/>
      <c r="D13" s="6393">
        <v>39000000</v>
      </c>
      <c r="E13" s="6402"/>
      <c r="F13" s="6393"/>
      <c r="G13" s="7997"/>
      <c r="H13" s="7998"/>
      <c r="I13" s="7998"/>
      <c r="J13" s="7999"/>
      <c r="K13" s="6393"/>
      <c r="L13" s="6450"/>
    </row>
    <row r="14" spans="1:12" ht="30" customHeight="1" x14ac:dyDescent="0.2">
      <c r="A14" s="7656"/>
      <c r="B14" s="7665"/>
      <c r="C14" s="7747"/>
      <c r="D14" s="6393">
        <v>50000000</v>
      </c>
      <c r="E14" s="6402"/>
      <c r="F14" s="6393"/>
      <c r="G14" s="7732" t="s">
        <v>7407</v>
      </c>
      <c r="H14" s="7733"/>
      <c r="I14" s="7733"/>
      <c r="J14" s="7734"/>
      <c r="K14" s="6393"/>
      <c r="L14" s="6450" t="s">
        <v>7411</v>
      </c>
    </row>
    <row r="15" spans="1:12" ht="30" customHeight="1" x14ac:dyDescent="0.2">
      <c r="A15" s="7656"/>
      <c r="B15" s="7665"/>
      <c r="C15" s="7747"/>
      <c r="D15" s="6393">
        <v>50000000</v>
      </c>
      <c r="E15" s="6402"/>
      <c r="F15" s="6393"/>
      <c r="G15" s="7732" t="s">
        <v>7408</v>
      </c>
      <c r="H15" s="7733"/>
      <c r="I15" s="7733"/>
      <c r="J15" s="7734"/>
      <c r="K15" s="6393"/>
      <c r="L15" s="6450" t="s">
        <v>7410</v>
      </c>
    </row>
    <row r="16" spans="1:12" ht="30" customHeight="1" x14ac:dyDescent="0.2">
      <c r="A16" s="7656"/>
      <c r="B16" s="7665"/>
      <c r="C16" s="7747"/>
      <c r="D16" s="6393">
        <v>100000000</v>
      </c>
      <c r="E16" s="6402"/>
      <c r="F16" s="6393"/>
      <c r="G16" s="7732" t="s">
        <v>7412</v>
      </c>
      <c r="H16" s="7733"/>
      <c r="I16" s="7733"/>
      <c r="J16" s="7734"/>
      <c r="K16" s="6393"/>
      <c r="L16" s="6450" t="s">
        <v>7409</v>
      </c>
    </row>
    <row r="17" spans="1:12" ht="30" customHeight="1" x14ac:dyDescent="0.2">
      <c r="A17" s="7656"/>
      <c r="B17" s="7665"/>
      <c r="C17" s="7747"/>
      <c r="D17" s="6393">
        <v>50000000</v>
      </c>
      <c r="E17" s="6402"/>
      <c r="F17" s="6393"/>
      <c r="G17" s="7732" t="s">
        <v>7413</v>
      </c>
      <c r="H17" s="7733"/>
      <c r="I17" s="7733"/>
      <c r="J17" s="7734"/>
      <c r="K17" s="6393"/>
      <c r="L17" s="6450" t="s">
        <v>7410</v>
      </c>
    </row>
    <row r="18" spans="1:12" ht="30" customHeight="1" x14ac:dyDescent="0.2">
      <c r="A18" s="7656"/>
      <c r="B18" s="7665"/>
      <c r="C18" s="7747"/>
      <c r="D18" s="6393">
        <v>61000000</v>
      </c>
      <c r="E18" s="6402"/>
      <c r="F18" s="6393"/>
      <c r="G18" s="7732" t="s">
        <v>7414</v>
      </c>
      <c r="H18" s="7733"/>
      <c r="I18" s="7733"/>
      <c r="J18" s="7734"/>
      <c r="K18" s="6393"/>
      <c r="L18" s="6450" t="s">
        <v>7410</v>
      </c>
    </row>
    <row r="19" spans="1:12" ht="30" customHeight="1" x14ac:dyDescent="0.2">
      <c r="A19" s="7655"/>
      <c r="B19" s="7653"/>
      <c r="C19" s="7724"/>
      <c r="D19" s="6494">
        <f>SUM(D12:D18)</f>
        <v>1000000000</v>
      </c>
      <c r="E19" s="6496"/>
      <c r="F19" s="6494"/>
      <c r="G19" s="6485"/>
      <c r="H19" s="6486"/>
      <c r="I19" s="6486"/>
      <c r="J19" s="6487"/>
      <c r="K19" s="6393"/>
      <c r="L19" s="6450" t="s">
        <v>7415</v>
      </c>
    </row>
    <row r="20" spans="1:12" ht="30" customHeight="1" x14ac:dyDescent="0.2">
      <c r="A20" s="7879">
        <v>10</v>
      </c>
      <c r="B20" s="7717" t="s">
        <v>999</v>
      </c>
      <c r="C20" s="7723" t="s">
        <v>1796</v>
      </c>
      <c r="D20" s="6393">
        <v>180000000</v>
      </c>
      <c r="E20" s="6471">
        <v>7.0000000000000007E-2</v>
      </c>
      <c r="F20" s="6393">
        <f t="shared" si="1"/>
        <v>12600000.000000002</v>
      </c>
      <c r="G20" s="6393"/>
      <c r="H20" s="6393"/>
      <c r="I20" s="24" t="s">
        <v>7527</v>
      </c>
      <c r="J20" s="7563">
        <f>G20+G21</f>
        <v>0</v>
      </c>
      <c r="K20" s="7482"/>
      <c r="L20" s="180"/>
    </row>
    <row r="21" spans="1:12" ht="30" customHeight="1" x14ac:dyDescent="0.2">
      <c r="A21" s="7879"/>
      <c r="B21" s="7717"/>
      <c r="C21" s="7747"/>
      <c r="D21" s="7563">
        <v>50000000</v>
      </c>
      <c r="E21" s="7659">
        <v>0.08</v>
      </c>
      <c r="F21" s="7563">
        <f>D21*E21</f>
        <v>4000000</v>
      </c>
      <c r="G21" s="6392"/>
      <c r="H21" s="6392"/>
      <c r="I21" s="24" t="s">
        <v>7527</v>
      </c>
      <c r="J21" s="7564"/>
      <c r="K21" s="7482"/>
      <c r="L21" s="6426" t="s">
        <v>7737</v>
      </c>
    </row>
    <row r="22" spans="1:12" ht="30" customHeight="1" x14ac:dyDescent="0.2">
      <c r="A22" s="7879"/>
      <c r="B22" s="7717"/>
      <c r="C22" s="7724"/>
      <c r="D22" s="7564"/>
      <c r="E22" s="7660"/>
      <c r="F22" s="7564"/>
      <c r="G22" s="8000" t="s">
        <v>7664</v>
      </c>
      <c r="H22" s="8000"/>
      <c r="I22" s="8000"/>
      <c r="J22" s="8000"/>
      <c r="K22" s="6392"/>
      <c r="L22" s="6426" t="s">
        <v>7663</v>
      </c>
    </row>
    <row r="23" spans="1:12" ht="30" customHeight="1" x14ac:dyDescent="0.2">
      <c r="A23" s="7879"/>
      <c r="B23" s="7717"/>
      <c r="C23" s="6472" t="s">
        <v>371</v>
      </c>
      <c r="D23" s="6385">
        <v>60000000</v>
      </c>
      <c r="E23" s="6471">
        <v>7.0000000000000007E-2</v>
      </c>
      <c r="F23" s="6385">
        <f>D23*E23</f>
        <v>4200000</v>
      </c>
      <c r="G23" s="7563"/>
      <c r="H23" s="7563"/>
      <c r="I23" s="7657" t="s">
        <v>7527</v>
      </c>
      <c r="J23" s="7563">
        <f>G23</f>
        <v>0</v>
      </c>
      <c r="K23" s="7563">
        <f>(F23+F24+F25)-J23</f>
        <v>7350000</v>
      </c>
      <c r="L23" s="180"/>
    </row>
    <row r="24" spans="1:12" ht="30" customHeight="1" x14ac:dyDescent="0.2">
      <c r="A24" s="6398"/>
      <c r="B24" s="6412" t="s">
        <v>5565</v>
      </c>
      <c r="C24" s="6472" t="s">
        <v>371</v>
      </c>
      <c r="D24" s="6391">
        <v>25000000</v>
      </c>
      <c r="E24" s="6401">
        <v>7.0000000000000007E-2</v>
      </c>
      <c r="F24" s="6391">
        <f>D24*E24</f>
        <v>1750000.0000000002</v>
      </c>
      <c r="G24" s="7586"/>
      <c r="H24" s="7586"/>
      <c r="I24" s="7664"/>
      <c r="J24" s="7586"/>
      <c r="K24" s="7586"/>
      <c r="L24" s="180"/>
    </row>
    <row r="25" spans="1:12" ht="30" customHeight="1" x14ac:dyDescent="0.2">
      <c r="A25" s="7879"/>
      <c r="B25" s="7717" t="s">
        <v>7135</v>
      </c>
      <c r="C25" s="7873" t="s">
        <v>371</v>
      </c>
      <c r="D25" s="7482">
        <v>20000000</v>
      </c>
      <c r="E25" s="7870">
        <v>7.0000000000000007E-2</v>
      </c>
      <c r="F25" s="7482">
        <f>D25*E25</f>
        <v>1400000.0000000002</v>
      </c>
      <c r="G25" s="7586"/>
      <c r="H25" s="7586"/>
      <c r="I25" s="7664"/>
      <c r="J25" s="7586"/>
      <c r="K25" s="7586"/>
      <c r="L25" s="736" t="s">
        <v>7136</v>
      </c>
    </row>
    <row r="26" spans="1:12" ht="30" customHeight="1" x14ac:dyDescent="0.2">
      <c r="A26" s="7879"/>
      <c r="B26" s="7717"/>
      <c r="C26" s="7873"/>
      <c r="D26" s="7482"/>
      <c r="E26" s="7870"/>
      <c r="F26" s="7482"/>
      <c r="G26" s="7586"/>
      <c r="H26" s="7586"/>
      <c r="I26" s="7664"/>
      <c r="J26" s="7586"/>
      <c r="K26" s="7586"/>
      <c r="L26" s="736" t="s">
        <v>7137</v>
      </c>
    </row>
    <row r="27" spans="1:12" ht="30" customHeight="1" x14ac:dyDescent="0.2">
      <c r="A27" s="7879"/>
      <c r="B27" s="7717"/>
      <c r="C27" s="7873"/>
      <c r="D27" s="7482"/>
      <c r="E27" s="7870"/>
      <c r="F27" s="7482"/>
      <c r="G27" s="7564"/>
      <c r="H27" s="7564"/>
      <c r="I27" s="7658"/>
      <c r="J27" s="7564"/>
      <c r="K27" s="7564"/>
      <c r="L27" s="736" t="s">
        <v>7297</v>
      </c>
    </row>
    <row r="28" spans="1:12" ht="30" customHeight="1" x14ac:dyDescent="0.2">
      <c r="A28" s="7654">
        <v>11</v>
      </c>
      <c r="B28" s="7717" t="s">
        <v>393</v>
      </c>
      <c r="C28" s="7723" t="s">
        <v>359</v>
      </c>
      <c r="D28" s="6385">
        <v>15000000</v>
      </c>
      <c r="E28" s="6471">
        <v>7.0000000000000007E-2</v>
      </c>
      <c r="F28" s="6385">
        <f t="shared" si="1"/>
        <v>1050000</v>
      </c>
      <c r="G28" s="7563"/>
      <c r="H28" s="7563"/>
      <c r="I28" s="8115" t="s">
        <v>394</v>
      </c>
      <c r="J28" s="7563">
        <f>G28+G29</f>
        <v>0</v>
      </c>
      <c r="K28" s="7563">
        <v>0</v>
      </c>
      <c r="L28" s="7713"/>
    </row>
    <row r="29" spans="1:12" ht="30" customHeight="1" x14ac:dyDescent="0.2">
      <c r="A29" s="7656"/>
      <c r="B29" s="7717"/>
      <c r="C29" s="7724"/>
      <c r="D29" s="6385">
        <v>5000000</v>
      </c>
      <c r="E29" s="6471">
        <v>0.05</v>
      </c>
      <c r="F29" s="6385">
        <f t="shared" si="1"/>
        <v>250000</v>
      </c>
      <c r="G29" s="7564"/>
      <c r="H29" s="7564"/>
      <c r="I29" s="8116"/>
      <c r="J29" s="7564"/>
      <c r="K29" s="7564"/>
      <c r="L29" s="7714"/>
    </row>
    <row r="30" spans="1:12" ht="30" customHeight="1" x14ac:dyDescent="0.2">
      <c r="A30" s="7654">
        <v>12</v>
      </c>
      <c r="B30" s="7652" t="s">
        <v>399</v>
      </c>
      <c r="C30" s="7723" t="s">
        <v>1172</v>
      </c>
      <c r="D30" s="6393">
        <v>75000000</v>
      </c>
      <c r="E30" s="6402">
        <f>F30/D30</f>
        <v>5.3333333333333337E-2</v>
      </c>
      <c r="F30" s="6393">
        <v>4000000</v>
      </c>
      <c r="G30" s="6393"/>
      <c r="H30" s="6393"/>
      <c r="I30" s="52" t="s">
        <v>3728</v>
      </c>
      <c r="J30" s="6393">
        <f>G30</f>
        <v>0</v>
      </c>
      <c r="K30" s="6393">
        <f>F30-J30</f>
        <v>4000000</v>
      </c>
      <c r="L30" s="6426"/>
    </row>
    <row r="31" spans="1:12" ht="30" customHeight="1" x14ac:dyDescent="0.2">
      <c r="A31" s="7655"/>
      <c r="B31" s="7653"/>
      <c r="C31" s="7724"/>
      <c r="D31" s="6393">
        <v>10000000</v>
      </c>
      <c r="E31" s="6402"/>
      <c r="F31" s="6393"/>
      <c r="G31" s="6385"/>
      <c r="H31" s="6385"/>
      <c r="I31" s="6385"/>
      <c r="J31" s="6385"/>
      <c r="K31" s="6393"/>
      <c r="L31" s="6426" t="s">
        <v>7144</v>
      </c>
    </row>
    <row r="32" spans="1:12" ht="30" customHeight="1" x14ac:dyDescent="0.2">
      <c r="A32" s="6475"/>
      <c r="B32" s="19" t="s">
        <v>420</v>
      </c>
      <c r="C32" s="6472" t="s">
        <v>359</v>
      </c>
      <c r="D32" s="6385">
        <v>100000000</v>
      </c>
      <c r="E32" s="6471">
        <v>7.0000000000000007E-2</v>
      </c>
      <c r="F32" s="6385">
        <f t="shared" ref="F32:F41" si="4">D32*E32</f>
        <v>7000000.0000000009</v>
      </c>
      <c r="G32" s="1455"/>
      <c r="H32" s="1455"/>
      <c r="I32" s="1455" t="s">
        <v>1946</v>
      </c>
      <c r="J32" s="6385">
        <f>G32</f>
        <v>0</v>
      </c>
      <c r="K32" s="6385">
        <f>F32-J32</f>
        <v>7000000.0000000009</v>
      </c>
      <c r="L32" s="6503"/>
    </row>
    <row r="33" spans="1:12" ht="30" customHeight="1" x14ac:dyDescent="0.2">
      <c r="A33" s="7654">
        <v>14</v>
      </c>
      <c r="B33" s="7652" t="s">
        <v>428</v>
      </c>
      <c r="C33" s="7723" t="s">
        <v>1300</v>
      </c>
      <c r="D33" s="6393">
        <v>150000000</v>
      </c>
      <c r="E33" s="6402">
        <v>0.04</v>
      </c>
      <c r="F33" s="6393">
        <f t="shared" si="4"/>
        <v>6000000</v>
      </c>
      <c r="G33" s="7563"/>
      <c r="H33" s="7563"/>
      <c r="I33" s="7762" t="s">
        <v>4061</v>
      </c>
      <c r="J33" s="7563">
        <f t="shared" ref="J33:J42" si="5">G33</f>
        <v>0</v>
      </c>
      <c r="K33" s="7563"/>
      <c r="L33" s="6419"/>
    </row>
    <row r="34" spans="1:12" ht="30" customHeight="1" x14ac:dyDescent="0.2">
      <c r="A34" s="7655"/>
      <c r="B34" s="7653"/>
      <c r="C34" s="7724"/>
      <c r="D34" s="6393">
        <v>200000000</v>
      </c>
      <c r="E34" s="6402"/>
      <c r="F34" s="6393"/>
      <c r="G34" s="7564"/>
      <c r="H34" s="7564"/>
      <c r="I34" s="7763"/>
      <c r="J34" s="7564"/>
      <c r="K34" s="7564"/>
      <c r="L34" s="6426" t="s">
        <v>7355</v>
      </c>
    </row>
    <row r="35" spans="1:12" ht="30" customHeight="1" x14ac:dyDescent="0.2">
      <c r="A35" s="7654"/>
      <c r="B35" s="7652" t="s">
        <v>4726</v>
      </c>
      <c r="C35" s="7723" t="s">
        <v>1138</v>
      </c>
      <c r="D35" s="7563">
        <v>350000000</v>
      </c>
      <c r="E35" s="7659">
        <v>7.0000000000000007E-2</v>
      </c>
      <c r="F35" s="7563">
        <f t="shared" si="4"/>
        <v>24500000.000000004</v>
      </c>
      <c r="G35" s="7563">
        <v>24500000</v>
      </c>
      <c r="H35" s="7563" t="s">
        <v>7864</v>
      </c>
      <c r="I35" s="7762" t="s">
        <v>4814</v>
      </c>
      <c r="J35" s="7563">
        <f>G35+G36</f>
        <v>24500000</v>
      </c>
      <c r="K35" s="7563">
        <f>F35-J35</f>
        <v>0</v>
      </c>
      <c r="L35" s="7713" t="s">
        <v>7501</v>
      </c>
    </row>
    <row r="36" spans="1:12" ht="30" customHeight="1" x14ac:dyDescent="0.2">
      <c r="A36" s="7656"/>
      <c r="B36" s="7665"/>
      <c r="C36" s="7747"/>
      <c r="D36" s="7564"/>
      <c r="E36" s="7660"/>
      <c r="F36" s="7564"/>
      <c r="G36" s="7564"/>
      <c r="H36" s="7564"/>
      <c r="I36" s="7763"/>
      <c r="J36" s="7564"/>
      <c r="K36" s="7564"/>
      <c r="L36" s="7714"/>
    </row>
    <row r="37" spans="1:12" ht="30" customHeight="1" x14ac:dyDescent="0.2">
      <c r="A37" s="7656"/>
      <c r="B37" s="7665"/>
      <c r="C37" s="7747"/>
      <c r="D37" s="7563">
        <v>350000000</v>
      </c>
      <c r="E37" s="7659">
        <v>7.0000000000000007E-2</v>
      </c>
      <c r="F37" s="7563">
        <f>D37*E37</f>
        <v>24500000.000000004</v>
      </c>
      <c r="G37" s="6393"/>
      <c r="H37" s="6393"/>
      <c r="I37" s="64"/>
      <c r="J37" s="6393"/>
      <c r="K37" s="6393"/>
      <c r="L37" s="6426" t="s">
        <v>7677</v>
      </c>
    </row>
    <row r="38" spans="1:12" ht="30" customHeight="1" x14ac:dyDescent="0.2">
      <c r="A38" s="7655"/>
      <c r="B38" s="7653"/>
      <c r="C38" s="7724"/>
      <c r="D38" s="7564"/>
      <c r="E38" s="7660"/>
      <c r="F38" s="7564"/>
      <c r="G38" s="6393"/>
      <c r="H38" s="6393"/>
      <c r="I38" s="64"/>
      <c r="J38" s="6393"/>
      <c r="K38" s="6393"/>
      <c r="L38" s="6426" t="s">
        <v>7678</v>
      </c>
    </row>
    <row r="39" spans="1:12" ht="30" customHeight="1" x14ac:dyDescent="0.2">
      <c r="A39" s="6475">
        <v>15</v>
      </c>
      <c r="B39" s="6431" t="s">
        <v>436</v>
      </c>
      <c r="C39" s="6472" t="s">
        <v>1300</v>
      </c>
      <c r="D39" s="6393">
        <v>100000000</v>
      </c>
      <c r="E39" s="6402">
        <v>0.05</v>
      </c>
      <c r="F39" s="6393">
        <f t="shared" si="4"/>
        <v>5000000</v>
      </c>
      <c r="G39" s="6385"/>
      <c r="H39" s="6385"/>
      <c r="I39" s="6499" t="s">
        <v>7630</v>
      </c>
      <c r="J39" s="6385">
        <f>G39</f>
        <v>0</v>
      </c>
      <c r="K39" s="6385">
        <f>F39-J39</f>
        <v>5000000</v>
      </c>
      <c r="L39" s="6426"/>
    </row>
    <row r="40" spans="1:12" ht="30" customHeight="1" x14ac:dyDescent="0.2">
      <c r="A40" s="6475">
        <v>16</v>
      </c>
      <c r="B40" s="19" t="s">
        <v>487</v>
      </c>
      <c r="C40" s="6472" t="s">
        <v>889</v>
      </c>
      <c r="D40" s="6385">
        <v>80000000</v>
      </c>
      <c r="E40" s="6471">
        <v>0.04</v>
      </c>
      <c r="F40" s="6385">
        <f t="shared" si="4"/>
        <v>3200000</v>
      </c>
      <c r="G40" s="6385"/>
      <c r="H40" s="6385"/>
      <c r="I40" s="6499" t="s">
        <v>4000</v>
      </c>
      <c r="J40" s="6385">
        <f t="shared" si="5"/>
        <v>0</v>
      </c>
      <c r="K40" s="6385">
        <f t="shared" ref="K40" si="6">F40-J40</f>
        <v>3200000</v>
      </c>
      <c r="L40" s="6521"/>
    </row>
    <row r="41" spans="1:12" ht="30" customHeight="1" x14ac:dyDescent="0.2">
      <c r="A41" s="6475">
        <v>17</v>
      </c>
      <c r="B41" s="6431" t="s">
        <v>747</v>
      </c>
      <c r="C41" s="6472" t="s">
        <v>1289</v>
      </c>
      <c r="D41" s="6393">
        <v>150000000</v>
      </c>
      <c r="E41" s="6402">
        <v>0.06</v>
      </c>
      <c r="F41" s="6393">
        <f t="shared" si="4"/>
        <v>9000000</v>
      </c>
      <c r="G41" s="6391"/>
      <c r="H41" s="6391"/>
      <c r="I41" s="6440" t="s">
        <v>3208</v>
      </c>
      <c r="J41" s="6391">
        <f>G41</f>
        <v>0</v>
      </c>
      <c r="K41" s="6391">
        <f>F41-J41</f>
        <v>9000000</v>
      </c>
      <c r="L41" s="6419"/>
    </row>
    <row r="42" spans="1:12" ht="30" customHeight="1" x14ac:dyDescent="0.2">
      <c r="A42" s="7879">
        <v>19</v>
      </c>
      <c r="B42" s="7652" t="s">
        <v>560</v>
      </c>
      <c r="C42" s="7723" t="s">
        <v>1300</v>
      </c>
      <c r="D42" s="6393">
        <v>50000000</v>
      </c>
      <c r="E42" s="7659">
        <f>F42/(D42+D43)</f>
        <v>0.05</v>
      </c>
      <c r="F42" s="7563">
        <v>3250000</v>
      </c>
      <c r="G42" s="7563"/>
      <c r="H42" s="7563"/>
      <c r="I42" s="7762" t="s">
        <v>4401</v>
      </c>
      <c r="J42" s="7563">
        <f t="shared" si="5"/>
        <v>0</v>
      </c>
      <c r="K42" s="7563">
        <f>(F42+F44)-G42</f>
        <v>4750000</v>
      </c>
      <c r="L42" s="6450"/>
    </row>
    <row r="43" spans="1:12" ht="30" customHeight="1" x14ac:dyDescent="0.2">
      <c r="A43" s="7879"/>
      <c r="B43" s="7665"/>
      <c r="C43" s="7747"/>
      <c r="D43" s="6393">
        <v>15000000</v>
      </c>
      <c r="E43" s="7660"/>
      <c r="F43" s="7564"/>
      <c r="G43" s="7586"/>
      <c r="H43" s="7586"/>
      <c r="I43" s="8114"/>
      <c r="J43" s="7586"/>
      <c r="K43" s="7586"/>
      <c r="L43" s="6450"/>
    </row>
    <row r="44" spans="1:12" ht="30" customHeight="1" x14ac:dyDescent="0.2">
      <c r="A44" s="7879"/>
      <c r="B44" s="7653"/>
      <c r="C44" s="7724"/>
      <c r="D44" s="6393">
        <v>30000000</v>
      </c>
      <c r="E44" s="6402">
        <v>0.05</v>
      </c>
      <c r="F44" s="6393">
        <f>E44*D44</f>
        <v>1500000</v>
      </c>
      <c r="G44" s="7564"/>
      <c r="H44" s="7564"/>
      <c r="I44" s="7763"/>
      <c r="J44" s="7564"/>
      <c r="K44" s="7564"/>
      <c r="L44" s="6450"/>
    </row>
    <row r="45" spans="1:12" ht="30" customHeight="1" x14ac:dyDescent="0.2">
      <c r="A45" s="7654">
        <v>22</v>
      </c>
      <c r="B45" s="7652" t="s">
        <v>658</v>
      </c>
      <c r="C45" s="7723" t="s">
        <v>1287</v>
      </c>
      <c r="D45" s="7563">
        <v>300000000</v>
      </c>
      <c r="E45" s="7659">
        <v>7.0000000000000007E-2</v>
      </c>
      <c r="F45" s="7563">
        <f>D45*E45</f>
        <v>21000000.000000004</v>
      </c>
      <c r="G45" s="6393"/>
      <c r="H45" s="6393"/>
      <c r="I45" s="6393" t="s">
        <v>7624</v>
      </c>
      <c r="J45" s="7563">
        <f>G45+G46</f>
        <v>0</v>
      </c>
      <c r="K45" s="7563">
        <f>F45-J45</f>
        <v>21000000.000000004</v>
      </c>
      <c r="L45" s="6503"/>
    </row>
    <row r="46" spans="1:12" ht="30" customHeight="1" x14ac:dyDescent="0.2">
      <c r="A46" s="7655"/>
      <c r="B46" s="7653"/>
      <c r="C46" s="7724"/>
      <c r="D46" s="7564"/>
      <c r="E46" s="7660"/>
      <c r="F46" s="7564"/>
      <c r="G46" s="6385"/>
      <c r="H46" s="6385"/>
      <c r="I46" s="6385" t="s">
        <v>7624</v>
      </c>
      <c r="J46" s="7564"/>
      <c r="K46" s="7564"/>
      <c r="L46" s="6425"/>
    </row>
    <row r="47" spans="1:12" ht="30" customHeight="1" x14ac:dyDescent="0.2">
      <c r="A47" s="7654"/>
      <c r="B47" s="7652" t="s">
        <v>7576</v>
      </c>
      <c r="C47" s="7723"/>
      <c r="D47" s="7563">
        <v>91000000</v>
      </c>
      <c r="E47" s="7659">
        <v>0.06</v>
      </c>
      <c r="F47" s="7563">
        <v>5500000</v>
      </c>
      <c r="G47" s="7470" t="s">
        <v>7578</v>
      </c>
      <c r="H47" s="7493"/>
      <c r="I47" s="7493"/>
      <c r="J47" s="7510"/>
      <c r="K47" s="7563"/>
      <c r="L47" s="7713" t="s">
        <v>7577</v>
      </c>
    </row>
    <row r="48" spans="1:12" ht="30" customHeight="1" x14ac:dyDescent="0.2">
      <c r="A48" s="7656"/>
      <c r="B48" s="7665"/>
      <c r="C48" s="7747"/>
      <c r="D48" s="7586"/>
      <c r="E48" s="7676"/>
      <c r="F48" s="7586"/>
      <c r="G48" s="7732" t="s">
        <v>7579</v>
      </c>
      <c r="H48" s="7733"/>
      <c r="I48" s="7733"/>
      <c r="J48" s="7734"/>
      <c r="K48" s="7586"/>
      <c r="L48" s="7797"/>
    </row>
    <row r="49" spans="1:14" ht="30" customHeight="1" x14ac:dyDescent="0.2">
      <c r="A49" s="7655"/>
      <c r="B49" s="7653"/>
      <c r="C49" s="7724"/>
      <c r="D49" s="7564"/>
      <c r="E49" s="7660"/>
      <c r="F49" s="7564"/>
      <c r="G49" s="7732" t="s">
        <v>7580</v>
      </c>
      <c r="H49" s="7733"/>
      <c r="I49" s="7733"/>
      <c r="J49" s="7734"/>
      <c r="K49" s="7564"/>
      <c r="L49" s="7714"/>
    </row>
    <row r="50" spans="1:14" ht="30" customHeight="1" x14ac:dyDescent="0.2">
      <c r="A50" s="6475">
        <v>23</v>
      </c>
      <c r="B50" s="19" t="s">
        <v>2121</v>
      </c>
      <c r="C50" s="6472" t="s">
        <v>3390</v>
      </c>
      <c r="D50" s="6393">
        <v>150000000</v>
      </c>
      <c r="E50" s="6402">
        <v>7.0000000000000007E-2</v>
      </c>
      <c r="F50" s="6393">
        <f>D50*E50</f>
        <v>10500000.000000002</v>
      </c>
      <c r="G50" s="6385"/>
      <c r="H50" s="6385"/>
      <c r="I50" s="6499" t="s">
        <v>3704</v>
      </c>
      <c r="J50" s="6385">
        <f>G50</f>
        <v>0</v>
      </c>
      <c r="K50" s="6385">
        <f>F50-J50</f>
        <v>10500000.000000002</v>
      </c>
      <c r="L50" s="736"/>
    </row>
    <row r="51" spans="1:14" ht="30" customHeight="1" x14ac:dyDescent="0.2">
      <c r="A51" s="6475"/>
      <c r="B51" s="19" t="s">
        <v>3618</v>
      </c>
      <c r="C51" s="6472" t="s">
        <v>3390</v>
      </c>
      <c r="D51" s="6393">
        <v>70000000</v>
      </c>
      <c r="E51" s="6402">
        <v>0.06</v>
      </c>
      <c r="F51" s="6393">
        <f>D51*E51</f>
        <v>4200000</v>
      </c>
      <c r="G51" s="6385"/>
      <c r="H51" s="6385"/>
      <c r="I51" s="6499" t="s">
        <v>7732</v>
      </c>
      <c r="J51" s="6385">
        <f>G51</f>
        <v>0</v>
      </c>
      <c r="K51" s="6385">
        <f>F51-J51</f>
        <v>4200000</v>
      </c>
      <c r="L51" s="29"/>
    </row>
    <row r="52" spans="1:14" ht="30" customHeight="1" x14ac:dyDescent="0.2">
      <c r="A52" s="7654">
        <v>25</v>
      </c>
      <c r="B52" s="7652" t="s">
        <v>718</v>
      </c>
      <c r="C52" s="7723" t="s">
        <v>1296</v>
      </c>
      <c r="D52" s="7563">
        <v>60000000</v>
      </c>
      <c r="E52" s="7659">
        <v>5.8000000000000003E-2</v>
      </c>
      <c r="F52" s="7563">
        <v>3500000</v>
      </c>
      <c r="G52" s="6391"/>
      <c r="H52" s="6391"/>
      <c r="I52" s="6440" t="s">
        <v>4135</v>
      </c>
      <c r="J52" s="6391">
        <f>G52</f>
        <v>0</v>
      </c>
      <c r="K52" s="6391">
        <f>F52-J52</f>
        <v>3500000</v>
      </c>
      <c r="L52" s="6426"/>
      <c r="M52" s="366"/>
      <c r="N52" s="366"/>
    </row>
    <row r="53" spans="1:14" ht="30" customHeight="1" x14ac:dyDescent="0.2">
      <c r="A53" s="7656"/>
      <c r="B53" s="7665"/>
      <c r="C53" s="7747"/>
      <c r="D53" s="7564"/>
      <c r="E53" s="7660"/>
      <c r="F53" s="7564"/>
      <c r="G53" s="6385"/>
      <c r="H53" s="6385"/>
      <c r="I53" s="6499" t="s">
        <v>4135</v>
      </c>
      <c r="J53" s="6385">
        <f>G53</f>
        <v>0</v>
      </c>
      <c r="K53" s="6391">
        <f>F52-J53</f>
        <v>3500000</v>
      </c>
      <c r="L53" s="6426"/>
      <c r="M53" s="366"/>
      <c r="N53" s="366"/>
    </row>
    <row r="54" spans="1:14" ht="30" customHeight="1" x14ac:dyDescent="0.2">
      <c r="A54" s="7656"/>
      <c r="B54" s="7665"/>
      <c r="C54" s="7747"/>
      <c r="D54" s="6391">
        <v>10000000</v>
      </c>
      <c r="E54" s="6401"/>
      <c r="F54" s="6391"/>
      <c r="G54" s="7732" t="s">
        <v>7349</v>
      </c>
      <c r="H54" s="7733"/>
      <c r="I54" s="7733"/>
      <c r="J54" s="7734"/>
      <c r="K54" s="6391"/>
      <c r="L54" s="6426"/>
      <c r="M54" s="366"/>
      <c r="N54" s="366"/>
    </row>
    <row r="55" spans="1:14" ht="30" customHeight="1" x14ac:dyDescent="0.2">
      <c r="A55" s="7656"/>
      <c r="B55" s="7665"/>
      <c r="C55" s="7747"/>
      <c r="D55" s="6391">
        <v>10000000</v>
      </c>
      <c r="E55" s="6401"/>
      <c r="F55" s="6391"/>
      <c r="G55" s="7732" t="s">
        <v>7350</v>
      </c>
      <c r="H55" s="7733"/>
      <c r="I55" s="7733"/>
      <c r="J55" s="7734"/>
      <c r="K55" s="6391"/>
      <c r="L55" s="6426"/>
      <c r="M55" s="366"/>
      <c r="N55" s="366"/>
    </row>
    <row r="56" spans="1:14" ht="30" customHeight="1" x14ac:dyDescent="0.2">
      <c r="A56" s="7655"/>
      <c r="B56" s="7653"/>
      <c r="C56" s="7724"/>
      <c r="D56" s="6416">
        <f>SUM(D52:D55)</f>
        <v>80000000</v>
      </c>
      <c r="E56" s="6414">
        <v>7.0000000000000007E-2</v>
      </c>
      <c r="F56" s="6416">
        <f>D56*E56</f>
        <v>5600000.0000000009</v>
      </c>
      <c r="G56" s="6422"/>
      <c r="H56" s="6423"/>
      <c r="I56" s="6423"/>
      <c r="J56" s="6424"/>
      <c r="K56" s="6391"/>
      <c r="L56" s="6426" t="s">
        <v>7560</v>
      </c>
      <c r="M56" s="366"/>
      <c r="N56" s="366"/>
    </row>
    <row r="57" spans="1:14" ht="30" customHeight="1" x14ac:dyDescent="0.2">
      <c r="A57" s="6475"/>
      <c r="B57" s="6431" t="s">
        <v>6215</v>
      </c>
      <c r="C57" s="6472"/>
      <c r="D57" s="6385">
        <v>30000000</v>
      </c>
      <c r="E57" s="6471">
        <v>0.05</v>
      </c>
      <c r="F57" s="6385">
        <f>D57*E57</f>
        <v>1500000</v>
      </c>
      <c r="G57" s="6385"/>
      <c r="H57" s="6385"/>
      <c r="I57" s="6385" t="s">
        <v>7475</v>
      </c>
      <c r="J57" s="6385">
        <f>G57</f>
        <v>0</v>
      </c>
      <c r="K57" s="6385">
        <f>F57-J57</f>
        <v>1500000</v>
      </c>
      <c r="L57" s="6503"/>
      <c r="M57" s="366"/>
      <c r="N57" s="366"/>
    </row>
    <row r="58" spans="1:14" ht="30" customHeight="1" x14ac:dyDescent="0.2">
      <c r="A58" s="7879"/>
      <c r="B58" s="7717" t="s">
        <v>7351</v>
      </c>
      <c r="C58" s="7873"/>
      <c r="D58" s="7482">
        <v>30000000</v>
      </c>
      <c r="E58" s="7870">
        <v>7.0000000000000007E-2</v>
      </c>
      <c r="F58" s="7482">
        <f>D58*E58</f>
        <v>2100000</v>
      </c>
      <c r="G58" s="7732" t="s">
        <v>7352</v>
      </c>
      <c r="H58" s="7733"/>
      <c r="I58" s="7733"/>
      <c r="J58" s="7734"/>
      <c r="K58" s="6385"/>
      <c r="L58" s="7713" t="s">
        <v>7561</v>
      </c>
      <c r="M58" s="366"/>
      <c r="N58" s="366"/>
    </row>
    <row r="59" spans="1:14" ht="30" customHeight="1" x14ac:dyDescent="0.2">
      <c r="A59" s="7879"/>
      <c r="B59" s="7717"/>
      <c r="C59" s="7873"/>
      <c r="D59" s="7482"/>
      <c r="E59" s="7870"/>
      <c r="F59" s="7482"/>
      <c r="G59" s="7732" t="s">
        <v>7353</v>
      </c>
      <c r="H59" s="7733"/>
      <c r="I59" s="7733"/>
      <c r="J59" s="7734"/>
      <c r="K59" s="6385"/>
      <c r="L59" s="7797"/>
      <c r="M59" s="366"/>
      <c r="N59" s="366"/>
    </row>
    <row r="60" spans="1:14" ht="30" customHeight="1" x14ac:dyDescent="0.2">
      <c r="A60" s="7879"/>
      <c r="B60" s="7717"/>
      <c r="C60" s="7873"/>
      <c r="D60" s="7482"/>
      <c r="E60" s="7870"/>
      <c r="F60" s="7482"/>
      <c r="G60" s="7732" t="s">
        <v>7354</v>
      </c>
      <c r="H60" s="7733"/>
      <c r="I60" s="7733"/>
      <c r="J60" s="7734"/>
      <c r="K60" s="6385"/>
      <c r="L60" s="7714"/>
      <c r="M60" s="366"/>
      <c r="N60" s="366"/>
    </row>
    <row r="61" spans="1:14" ht="30" customHeight="1" x14ac:dyDescent="0.2">
      <c r="A61" s="7654"/>
      <c r="B61" s="7652" t="s">
        <v>803</v>
      </c>
      <c r="C61" s="7723" t="s">
        <v>359</v>
      </c>
      <c r="D61" s="7563">
        <v>700000000</v>
      </c>
      <c r="E61" s="7659">
        <v>0.05</v>
      </c>
      <c r="F61" s="7563">
        <f t="shared" ref="F61:F79" si="7">D61*E61</f>
        <v>35000000</v>
      </c>
      <c r="G61" s="6393"/>
      <c r="H61" s="6393"/>
      <c r="I61" s="6393" t="s">
        <v>3156</v>
      </c>
      <c r="J61" s="7563">
        <f>G61+G62</f>
        <v>0</v>
      </c>
      <c r="K61" s="7563">
        <f>F61-J61</f>
        <v>35000000</v>
      </c>
      <c r="L61" s="29"/>
      <c r="M61" s="366"/>
      <c r="N61" s="366"/>
    </row>
    <row r="62" spans="1:14" ht="30" customHeight="1" x14ac:dyDescent="0.2">
      <c r="A62" s="7655"/>
      <c r="B62" s="7653"/>
      <c r="C62" s="7724"/>
      <c r="D62" s="7564"/>
      <c r="E62" s="7660"/>
      <c r="F62" s="7564"/>
      <c r="G62" s="6392"/>
      <c r="H62" s="6392"/>
      <c r="I62" s="6392" t="s">
        <v>3156</v>
      </c>
      <c r="J62" s="7564"/>
      <c r="K62" s="7564"/>
      <c r="L62" s="29"/>
      <c r="M62" s="366"/>
      <c r="N62" s="366"/>
    </row>
    <row r="63" spans="1:14" ht="30" customHeight="1" x14ac:dyDescent="0.2">
      <c r="A63" s="6397">
        <v>27</v>
      </c>
      <c r="B63" s="6468" t="s">
        <v>807</v>
      </c>
      <c r="C63" s="6433" t="s">
        <v>1299</v>
      </c>
      <c r="D63" s="6391">
        <v>650000000</v>
      </c>
      <c r="E63" s="6401">
        <v>7.0000000000000007E-2</v>
      </c>
      <c r="F63" s="6391">
        <f t="shared" si="7"/>
        <v>45500000.000000007</v>
      </c>
      <c r="G63" s="6391"/>
      <c r="H63" s="6391"/>
      <c r="I63" s="6440" t="s">
        <v>3034</v>
      </c>
      <c r="J63" s="6391">
        <f t="shared" ref="J63:J74" si="8">G63</f>
        <v>0</v>
      </c>
      <c r="K63" s="6391">
        <f>F63-J63</f>
        <v>45500000.000000007</v>
      </c>
      <c r="L63" s="736"/>
      <c r="M63" s="366"/>
      <c r="N63" s="366"/>
    </row>
    <row r="64" spans="1:14" ht="30" customHeight="1" x14ac:dyDescent="0.2">
      <c r="A64" s="7654"/>
      <c r="B64" s="7717" t="s">
        <v>3369</v>
      </c>
      <c r="C64" s="7873" t="s">
        <v>1299</v>
      </c>
      <c r="D64" s="7482">
        <v>700000000</v>
      </c>
      <c r="E64" s="7870">
        <v>0.06</v>
      </c>
      <c r="F64" s="7482">
        <f t="shared" si="7"/>
        <v>42000000</v>
      </c>
      <c r="G64" s="6385"/>
      <c r="H64" s="6385"/>
      <c r="I64" s="6385" t="s">
        <v>7620</v>
      </c>
      <c r="J64" s="6385">
        <f>G64</f>
        <v>0</v>
      </c>
      <c r="K64" s="6385"/>
      <c r="L64" s="736" t="s">
        <v>5196</v>
      </c>
      <c r="M64" s="366"/>
      <c r="N64" s="366"/>
    </row>
    <row r="65" spans="1:14" ht="30" customHeight="1" x14ac:dyDescent="0.2">
      <c r="A65" s="7656"/>
      <c r="B65" s="7717"/>
      <c r="C65" s="7873"/>
      <c r="D65" s="7482"/>
      <c r="E65" s="7870"/>
      <c r="F65" s="7482"/>
      <c r="G65" s="6385"/>
      <c r="H65" s="6385"/>
      <c r="I65" s="6385" t="s">
        <v>7620</v>
      </c>
      <c r="J65" s="7563">
        <f>G65+G66+G67</f>
        <v>0</v>
      </c>
      <c r="K65" s="7563">
        <f>F64-J65</f>
        <v>42000000</v>
      </c>
      <c r="L65" s="180"/>
      <c r="M65" s="366"/>
      <c r="N65" s="366"/>
    </row>
    <row r="66" spans="1:14" ht="30" customHeight="1" x14ac:dyDescent="0.2">
      <c r="A66" s="7656"/>
      <c r="B66" s="7717"/>
      <c r="C66" s="7873"/>
      <c r="D66" s="7482"/>
      <c r="E66" s="7870"/>
      <c r="F66" s="7482"/>
      <c r="G66" s="6385"/>
      <c r="H66" s="6385"/>
      <c r="I66" s="6385" t="s">
        <v>7620</v>
      </c>
      <c r="J66" s="7586"/>
      <c r="K66" s="7586"/>
      <c r="L66" s="180"/>
      <c r="M66" s="366"/>
      <c r="N66" s="366"/>
    </row>
    <row r="67" spans="1:14" ht="30" customHeight="1" x14ac:dyDescent="0.2">
      <c r="A67" s="7655"/>
      <c r="B67" s="7717"/>
      <c r="C67" s="7873"/>
      <c r="D67" s="7482"/>
      <c r="E67" s="7870"/>
      <c r="F67" s="7482"/>
      <c r="G67" s="6385"/>
      <c r="H67" s="6385"/>
      <c r="I67" s="6385" t="s">
        <v>7620</v>
      </c>
      <c r="J67" s="7564"/>
      <c r="K67" s="7564"/>
      <c r="L67" s="180"/>
      <c r="M67" s="366"/>
      <c r="N67" s="366"/>
    </row>
    <row r="68" spans="1:14" ht="30" customHeight="1" x14ac:dyDescent="0.2">
      <c r="A68" s="7654">
        <v>29</v>
      </c>
      <c r="B68" s="7665" t="s">
        <v>839</v>
      </c>
      <c r="C68" s="6435" t="s">
        <v>1306</v>
      </c>
      <c r="D68" s="6548">
        <v>42000000</v>
      </c>
      <c r="E68" s="6549">
        <v>7.0000000000000007E-2</v>
      </c>
      <c r="F68" s="6548">
        <f t="shared" si="7"/>
        <v>2940000.0000000005</v>
      </c>
      <c r="G68" s="6392"/>
      <c r="H68" s="6474"/>
      <c r="I68" s="1537" t="s">
        <v>5851</v>
      </c>
      <c r="J68" s="6392">
        <f t="shared" si="8"/>
        <v>0</v>
      </c>
      <c r="K68" s="6393">
        <f t="shared" ref="K68:K74" si="9">F68-J68</f>
        <v>2940000.0000000005</v>
      </c>
      <c r="L68" s="6026" t="s">
        <v>7106</v>
      </c>
      <c r="M68" s="366"/>
      <c r="N68" s="366"/>
    </row>
    <row r="69" spans="1:14" ht="30" customHeight="1" x14ac:dyDescent="0.2">
      <c r="A69" s="7656"/>
      <c r="B69" s="7665"/>
      <c r="C69" s="6433" t="s">
        <v>4105</v>
      </c>
      <c r="D69" s="6394"/>
      <c r="E69" s="2519"/>
      <c r="F69" s="6394"/>
      <c r="G69" s="7732"/>
      <c r="H69" s="7733"/>
      <c r="I69" s="7733"/>
      <c r="J69" s="7734"/>
      <c r="K69" s="6392"/>
      <c r="L69" s="6026" t="s">
        <v>7480</v>
      </c>
      <c r="M69" s="366"/>
      <c r="N69" s="366"/>
    </row>
    <row r="70" spans="1:14" ht="30" customHeight="1" x14ac:dyDescent="0.2">
      <c r="A70" s="7655"/>
      <c r="B70" s="7653"/>
      <c r="C70" s="6433" t="s">
        <v>1306</v>
      </c>
      <c r="D70" s="6548">
        <v>42000000</v>
      </c>
      <c r="E70" s="6549">
        <v>7.0000000000000007E-2</v>
      </c>
      <c r="F70" s="6548">
        <f t="shared" ref="F70" si="10">D70*E70</f>
        <v>2940000.0000000005</v>
      </c>
      <c r="G70" s="6385"/>
      <c r="H70" s="6385"/>
      <c r="I70" s="6385" t="s">
        <v>7807</v>
      </c>
      <c r="J70" s="6385">
        <f>G70</f>
        <v>0</v>
      </c>
      <c r="K70" s="6385">
        <f>F70-J70</f>
        <v>2940000.0000000005</v>
      </c>
      <c r="L70" s="6027" t="s">
        <v>7481</v>
      </c>
      <c r="M70" s="366"/>
      <c r="N70" s="366"/>
    </row>
    <row r="71" spans="1:14" s="1539" customFormat="1" ht="30" customHeight="1" x14ac:dyDescent="0.2">
      <c r="A71" s="6475">
        <v>30</v>
      </c>
      <c r="B71" s="6431" t="s">
        <v>843</v>
      </c>
      <c r="C71" s="7723" t="s">
        <v>1107</v>
      </c>
      <c r="D71" s="6385">
        <v>40000000</v>
      </c>
      <c r="E71" s="6471">
        <v>0.05</v>
      </c>
      <c r="F71" s="6385">
        <f t="shared" si="7"/>
        <v>2000000</v>
      </c>
      <c r="G71" s="6385"/>
      <c r="H71" s="6385"/>
      <c r="I71" s="6499" t="s">
        <v>7208</v>
      </c>
      <c r="J71" s="6385">
        <f>G71</f>
        <v>0</v>
      </c>
      <c r="K71" s="6385">
        <f>F71-J71</f>
        <v>2000000</v>
      </c>
      <c r="L71" s="7713" t="s">
        <v>7489</v>
      </c>
      <c r="M71" s="9"/>
      <c r="N71" s="9"/>
    </row>
    <row r="72" spans="1:14" s="184" customFormat="1" ht="30" customHeight="1" x14ac:dyDescent="0.2">
      <c r="A72" s="7654"/>
      <c r="B72" s="7652" t="s">
        <v>3006</v>
      </c>
      <c r="C72" s="7747"/>
      <c r="D72" s="6385">
        <v>50000000</v>
      </c>
      <c r="E72" s="6471"/>
      <c r="F72" s="6385"/>
      <c r="G72" s="7732" t="s">
        <v>7057</v>
      </c>
      <c r="H72" s="7733"/>
      <c r="I72" s="7733"/>
      <c r="J72" s="7734"/>
      <c r="K72" s="6391"/>
      <c r="L72" s="7714"/>
      <c r="M72" s="1659"/>
      <c r="N72" s="1659"/>
    </row>
    <row r="73" spans="1:14" s="184" customFormat="1" ht="30" customHeight="1" x14ac:dyDescent="0.2">
      <c r="A73" s="7655"/>
      <c r="B73" s="7653"/>
      <c r="C73" s="7724"/>
      <c r="D73" s="6513">
        <v>90000000</v>
      </c>
      <c r="E73" s="6552">
        <v>7.0000000000000007E-2</v>
      </c>
      <c r="F73" s="6513">
        <f>D73*E73</f>
        <v>6300000.0000000009</v>
      </c>
      <c r="G73" s="6385"/>
      <c r="H73" s="6385"/>
      <c r="I73" s="6385" t="s">
        <v>3343</v>
      </c>
      <c r="J73" s="6385">
        <f>G73</f>
        <v>0</v>
      </c>
      <c r="K73" s="6391">
        <f>F73-J73</f>
        <v>6300000.0000000009</v>
      </c>
      <c r="L73" s="6450" t="s">
        <v>7694</v>
      </c>
      <c r="M73" s="1659"/>
      <c r="N73" s="1659"/>
    </row>
    <row r="74" spans="1:14" ht="30" customHeight="1" x14ac:dyDescent="0.2">
      <c r="A74" s="6397">
        <v>31</v>
      </c>
      <c r="B74" s="6468" t="s">
        <v>915</v>
      </c>
      <c r="C74" s="6433" t="s">
        <v>1107</v>
      </c>
      <c r="D74" s="6385">
        <v>100000000</v>
      </c>
      <c r="E74" s="6471">
        <v>7.0000000000000007E-2</v>
      </c>
      <c r="F74" s="6385">
        <f t="shared" si="7"/>
        <v>7000000.0000000009</v>
      </c>
      <c r="G74" s="6393"/>
      <c r="H74" s="6443"/>
      <c r="I74" s="64" t="s">
        <v>3195</v>
      </c>
      <c r="J74" s="6391">
        <f t="shared" si="8"/>
        <v>0</v>
      </c>
      <c r="K74" s="6391">
        <f t="shared" si="9"/>
        <v>7000000.0000000009</v>
      </c>
      <c r="L74" s="6418"/>
      <c r="M74" s="366"/>
      <c r="N74" s="366"/>
    </row>
    <row r="75" spans="1:14" ht="30" customHeight="1" x14ac:dyDescent="0.2">
      <c r="A75" s="7654">
        <v>32</v>
      </c>
      <c r="B75" s="7652" t="s">
        <v>982</v>
      </c>
      <c r="C75" s="7873" t="s">
        <v>1306</v>
      </c>
      <c r="D75" s="6393">
        <v>100000000</v>
      </c>
      <c r="E75" s="6402">
        <v>0.05</v>
      </c>
      <c r="F75" s="6393">
        <f t="shared" si="7"/>
        <v>5000000</v>
      </c>
      <c r="G75" s="6385"/>
      <c r="H75" s="6385"/>
      <c r="I75" s="6499" t="s">
        <v>7724</v>
      </c>
      <c r="J75" s="7563">
        <f>G75+G76+G77</f>
        <v>0</v>
      </c>
      <c r="K75" s="7563">
        <f>(F75+F76+F77+F78)-J75</f>
        <v>21850000</v>
      </c>
      <c r="L75" s="7679"/>
      <c r="M75" s="366"/>
      <c r="N75" s="366"/>
    </row>
    <row r="76" spans="1:14" ht="30" customHeight="1" x14ac:dyDescent="0.2">
      <c r="A76" s="7656"/>
      <c r="B76" s="7665"/>
      <c r="C76" s="7873"/>
      <c r="D76" s="6393">
        <v>35000000</v>
      </c>
      <c r="E76" s="6402">
        <v>7.0000000000000007E-2</v>
      </c>
      <c r="F76" s="6393">
        <f t="shared" si="7"/>
        <v>2450000.0000000005</v>
      </c>
      <c r="G76" s="6385"/>
      <c r="H76" s="6385"/>
      <c r="I76" s="6499" t="s">
        <v>2377</v>
      </c>
      <c r="J76" s="7586"/>
      <c r="K76" s="7586"/>
      <c r="L76" s="7801"/>
      <c r="M76" s="366"/>
      <c r="N76" s="366"/>
    </row>
    <row r="77" spans="1:14" ht="30" customHeight="1" x14ac:dyDescent="0.2">
      <c r="A77" s="7656"/>
      <c r="B77" s="7665"/>
      <c r="C77" s="7873"/>
      <c r="D77" s="6385">
        <v>20000000</v>
      </c>
      <c r="E77" s="6471">
        <v>7.0000000000000007E-2</v>
      </c>
      <c r="F77" s="6385">
        <f t="shared" si="7"/>
        <v>1400000.0000000002</v>
      </c>
      <c r="G77" s="7563"/>
      <c r="H77" s="7563"/>
      <c r="I77" s="7762" t="s">
        <v>7724</v>
      </c>
      <c r="J77" s="7586"/>
      <c r="K77" s="7586"/>
      <c r="L77" s="7801"/>
      <c r="M77" s="1662"/>
      <c r="N77" s="1604"/>
    </row>
    <row r="78" spans="1:14" ht="30" customHeight="1" x14ac:dyDescent="0.2">
      <c r="A78" s="7656"/>
      <c r="B78" s="7665"/>
      <c r="C78" s="6434" t="s">
        <v>1306</v>
      </c>
      <c r="D78" s="6393">
        <v>200000000</v>
      </c>
      <c r="E78" s="6402">
        <v>6.5000000000000002E-2</v>
      </c>
      <c r="F78" s="6393">
        <f t="shared" si="7"/>
        <v>13000000</v>
      </c>
      <c r="G78" s="7564"/>
      <c r="H78" s="7564"/>
      <c r="I78" s="7763"/>
      <c r="J78" s="7564"/>
      <c r="K78" s="7564"/>
      <c r="L78" s="7680"/>
      <c r="M78" s="248"/>
      <c r="N78" s="248"/>
    </row>
    <row r="79" spans="1:14" ht="30" customHeight="1" x14ac:dyDescent="0.2">
      <c r="A79" s="7656"/>
      <c r="B79" s="7665"/>
      <c r="C79" s="7873" t="s">
        <v>371</v>
      </c>
      <c r="D79" s="7563">
        <v>180000000</v>
      </c>
      <c r="E79" s="7659">
        <v>6.5000000000000002E-2</v>
      </c>
      <c r="F79" s="7563">
        <f t="shared" si="7"/>
        <v>11700000</v>
      </c>
      <c r="G79" s="7563"/>
      <c r="H79" s="7563"/>
      <c r="I79" s="7762" t="s">
        <v>2377</v>
      </c>
      <c r="J79" s="7563">
        <f>G79+G80</f>
        <v>0</v>
      </c>
      <c r="K79" s="7563">
        <f>F79-J79</f>
        <v>11700000</v>
      </c>
      <c r="L79" s="227"/>
      <c r="M79" s="248"/>
      <c r="N79" s="248"/>
    </row>
    <row r="80" spans="1:14" ht="30" customHeight="1" x14ac:dyDescent="0.2">
      <c r="A80" s="7656"/>
      <c r="B80" s="7665"/>
      <c r="C80" s="7873"/>
      <c r="D80" s="7564"/>
      <c r="E80" s="7660"/>
      <c r="F80" s="7564"/>
      <c r="G80" s="7564"/>
      <c r="H80" s="7564"/>
      <c r="I80" s="7763"/>
      <c r="J80" s="7564"/>
      <c r="K80" s="7564"/>
      <c r="L80" s="7"/>
      <c r="M80" s="248"/>
      <c r="N80" s="248"/>
    </row>
    <row r="81" spans="1:14" ht="30" customHeight="1" x14ac:dyDescent="0.2">
      <c r="A81" s="6475">
        <v>33</v>
      </c>
      <c r="B81" s="6431" t="s">
        <v>993</v>
      </c>
      <c r="C81" s="6434" t="s">
        <v>1287</v>
      </c>
      <c r="D81" s="6393">
        <v>63580000</v>
      </c>
      <c r="E81" s="6402">
        <v>7.0000000000000007E-2</v>
      </c>
      <c r="F81" s="6393">
        <v>4450000</v>
      </c>
      <c r="G81" s="6393"/>
      <c r="H81" s="6393"/>
      <c r="I81" s="64" t="s">
        <v>484</v>
      </c>
      <c r="J81" s="6393">
        <f>G81</f>
        <v>0</v>
      </c>
      <c r="K81" s="6393">
        <f t="shared" ref="K81:K91" si="11">F81-J81</f>
        <v>4450000</v>
      </c>
      <c r="L81" s="6426"/>
      <c r="M81" s="366"/>
      <c r="N81" s="366"/>
    </row>
    <row r="82" spans="1:14" ht="30" customHeight="1" x14ac:dyDescent="0.2">
      <c r="A82" s="6398">
        <v>34</v>
      </c>
      <c r="B82" s="6412" t="s">
        <v>1110</v>
      </c>
      <c r="C82" s="6434" t="s">
        <v>1306</v>
      </c>
      <c r="D82" s="6393">
        <v>20000000</v>
      </c>
      <c r="E82" s="6402">
        <v>0.04</v>
      </c>
      <c r="F82" s="6393">
        <f t="shared" ref="F82:F86" si="12">D82*E82</f>
        <v>800000</v>
      </c>
      <c r="G82" s="6393"/>
      <c r="H82" s="6393"/>
      <c r="I82" s="64" t="s">
        <v>1112</v>
      </c>
      <c r="J82" s="6393">
        <f>G82</f>
        <v>0</v>
      </c>
      <c r="K82" s="6393">
        <f t="shared" si="11"/>
        <v>800000</v>
      </c>
      <c r="L82" s="6426"/>
      <c r="M82" s="366"/>
      <c r="N82" s="366"/>
    </row>
    <row r="83" spans="1:14" ht="30" customHeight="1" x14ac:dyDescent="0.2">
      <c r="A83" s="7654">
        <v>35</v>
      </c>
      <c r="B83" s="7652" t="s">
        <v>1150</v>
      </c>
      <c r="C83" s="7723" t="s">
        <v>1138</v>
      </c>
      <c r="D83" s="7563">
        <v>175000000</v>
      </c>
      <c r="E83" s="7659">
        <v>0.06</v>
      </c>
      <c r="F83" s="7563">
        <f t="shared" si="12"/>
        <v>10500000</v>
      </c>
      <c r="G83" s="6385"/>
      <c r="H83" s="6385"/>
      <c r="I83" s="6385" t="s">
        <v>1720</v>
      </c>
      <c r="J83" s="6385">
        <f>G83</f>
        <v>0</v>
      </c>
      <c r="K83" s="6385">
        <f>F83-J83</f>
        <v>10500000</v>
      </c>
      <c r="L83" s="6503"/>
      <c r="M83" s="366"/>
      <c r="N83" s="366"/>
    </row>
    <row r="84" spans="1:14" ht="30" customHeight="1" x14ac:dyDescent="0.2">
      <c r="A84" s="7655"/>
      <c r="B84" s="7653"/>
      <c r="C84" s="7724"/>
      <c r="D84" s="7564"/>
      <c r="E84" s="7660"/>
      <c r="F84" s="7564"/>
      <c r="G84" s="6385"/>
      <c r="H84" s="6385"/>
      <c r="I84" s="6385" t="s">
        <v>1720</v>
      </c>
      <c r="J84" s="6385">
        <f>G84</f>
        <v>0</v>
      </c>
      <c r="K84" s="6385">
        <f>F83-J84</f>
        <v>10500000</v>
      </c>
      <c r="L84" s="6503"/>
      <c r="M84" s="366"/>
      <c r="N84" s="366"/>
    </row>
    <row r="85" spans="1:14" ht="30" customHeight="1" x14ac:dyDescent="0.2">
      <c r="A85" s="7654">
        <v>36</v>
      </c>
      <c r="B85" s="7652" t="s">
        <v>3370</v>
      </c>
      <c r="C85" s="7723" t="s">
        <v>1081</v>
      </c>
      <c r="D85" s="6385">
        <v>350000000</v>
      </c>
      <c r="E85" s="6471">
        <v>7.0000000000000007E-2</v>
      </c>
      <c r="F85" s="6385">
        <f t="shared" si="12"/>
        <v>24500000.000000004</v>
      </c>
      <c r="G85" s="6385">
        <v>24500000</v>
      </c>
      <c r="H85" s="6385" t="s">
        <v>7821</v>
      </c>
      <c r="I85" s="6550" t="s">
        <v>4264</v>
      </c>
      <c r="J85" s="6385">
        <f>G85</f>
        <v>24500000</v>
      </c>
      <c r="K85" s="6385">
        <f>F85-J85</f>
        <v>0</v>
      </c>
      <c r="L85" s="6503" t="s">
        <v>7501</v>
      </c>
      <c r="M85" s="366"/>
      <c r="N85" s="366"/>
    </row>
    <row r="86" spans="1:14" ht="30" customHeight="1" x14ac:dyDescent="0.2">
      <c r="A86" s="7655"/>
      <c r="B86" s="7653"/>
      <c r="C86" s="7724"/>
      <c r="D86" s="6385">
        <v>350000000</v>
      </c>
      <c r="E86" s="6471">
        <v>7.0000000000000007E-2</v>
      </c>
      <c r="F86" s="6385">
        <f t="shared" si="12"/>
        <v>24500000.000000004</v>
      </c>
      <c r="G86" s="7732" t="s">
        <v>7934</v>
      </c>
      <c r="H86" s="7733"/>
      <c r="I86" s="7733"/>
      <c r="J86" s="7734"/>
      <c r="K86" s="6385">
        <f>F86-J86</f>
        <v>24500000.000000004</v>
      </c>
      <c r="L86" s="6503"/>
      <c r="M86" s="366"/>
      <c r="N86" s="366"/>
    </row>
    <row r="87" spans="1:14" ht="30" customHeight="1" x14ac:dyDescent="0.2">
      <c r="A87" s="6398"/>
      <c r="B87" s="6400" t="s">
        <v>4965</v>
      </c>
      <c r="C87" s="6434" t="s">
        <v>3216</v>
      </c>
      <c r="D87" s="6393">
        <v>20000000</v>
      </c>
      <c r="E87" s="6402">
        <v>0.05</v>
      </c>
      <c r="F87" s="6393">
        <f>D87*E87</f>
        <v>1000000</v>
      </c>
      <c r="G87" s="6393"/>
      <c r="H87" s="6393"/>
      <c r="I87" s="6443" t="s">
        <v>6580</v>
      </c>
      <c r="J87" s="6393">
        <f>G87</f>
        <v>0</v>
      </c>
      <c r="K87" s="6393">
        <f>F87-J87</f>
        <v>1000000</v>
      </c>
      <c r="L87" s="6426"/>
      <c r="M87" s="366"/>
      <c r="N87" s="366"/>
    </row>
    <row r="88" spans="1:14" ht="30" customHeight="1" x14ac:dyDescent="0.2">
      <c r="A88" s="6398">
        <v>38</v>
      </c>
      <c r="B88" s="6399" t="s">
        <v>1254</v>
      </c>
      <c r="C88" s="6434"/>
      <c r="D88" s="298"/>
      <c r="E88" s="299"/>
      <c r="F88" s="298"/>
      <c r="G88" s="6393"/>
      <c r="H88" s="6393"/>
      <c r="I88" s="64"/>
      <c r="J88" s="6393"/>
      <c r="K88" s="6411">
        <f t="shared" si="11"/>
        <v>0</v>
      </c>
      <c r="L88" s="6426"/>
    </row>
    <row r="89" spans="1:14" ht="30" customHeight="1" x14ac:dyDescent="0.2">
      <c r="A89" s="6398">
        <v>39</v>
      </c>
      <c r="B89" s="6399" t="s">
        <v>1213</v>
      </c>
      <c r="C89" s="6434" t="s">
        <v>4105</v>
      </c>
      <c r="D89" s="6482">
        <v>100000000</v>
      </c>
      <c r="E89" s="6557">
        <v>0.05</v>
      </c>
      <c r="F89" s="6482">
        <f>D89*E89</f>
        <v>5000000</v>
      </c>
      <c r="G89" s="6393">
        <v>5000000</v>
      </c>
      <c r="H89" s="6393" t="s">
        <v>7864</v>
      </c>
      <c r="I89" s="64" t="s">
        <v>6530</v>
      </c>
      <c r="J89" s="6393">
        <f>G89</f>
        <v>5000000</v>
      </c>
      <c r="K89" s="6393">
        <f t="shared" si="11"/>
        <v>0</v>
      </c>
      <c r="L89" s="6426"/>
    </row>
    <row r="90" spans="1:14" ht="30" customHeight="1" x14ac:dyDescent="0.2">
      <c r="A90" s="6398">
        <v>40</v>
      </c>
      <c r="B90" s="6399" t="s">
        <v>1265</v>
      </c>
      <c r="C90" s="6434" t="s">
        <v>1289</v>
      </c>
      <c r="D90" s="6482">
        <v>16000000</v>
      </c>
      <c r="E90" s="6557">
        <v>0.05</v>
      </c>
      <c r="F90" s="6482">
        <f>D90*E90</f>
        <v>800000</v>
      </c>
      <c r="G90" s="6393"/>
      <c r="H90" s="6393"/>
      <c r="I90" s="64" t="s">
        <v>3149</v>
      </c>
      <c r="J90" s="6393">
        <f>G90</f>
        <v>0</v>
      </c>
      <c r="K90" s="6393">
        <f t="shared" si="11"/>
        <v>800000</v>
      </c>
      <c r="L90" s="6426"/>
    </row>
    <row r="91" spans="1:14" ht="30" customHeight="1" x14ac:dyDescent="0.2">
      <c r="A91" s="6398">
        <v>41</v>
      </c>
      <c r="B91" s="6399" t="s">
        <v>1285</v>
      </c>
      <c r="C91" s="6434"/>
      <c r="D91" s="298"/>
      <c r="E91" s="299"/>
      <c r="F91" s="298"/>
      <c r="G91" s="6393"/>
      <c r="H91" s="6393"/>
      <c r="I91" s="64"/>
      <c r="J91" s="6393"/>
      <c r="K91" s="6411">
        <f t="shared" si="11"/>
        <v>0</v>
      </c>
      <c r="L91" s="6426"/>
    </row>
    <row r="92" spans="1:14" ht="30" customHeight="1" x14ac:dyDescent="0.2">
      <c r="A92" s="6398">
        <v>42</v>
      </c>
      <c r="B92" s="6468" t="s">
        <v>183</v>
      </c>
      <c r="C92" s="6434"/>
      <c r="D92" s="6393">
        <v>110000000</v>
      </c>
      <c r="E92" s="6471">
        <v>5.5E-2</v>
      </c>
      <c r="F92" s="6393">
        <f t="shared" ref="F92:F260" si="13">D92*E92</f>
        <v>6050000</v>
      </c>
      <c r="G92" s="6385"/>
      <c r="H92" s="6481"/>
      <c r="I92" s="6481" t="s">
        <v>2820</v>
      </c>
      <c r="J92" s="6385">
        <f>G92</f>
        <v>0</v>
      </c>
      <c r="K92" s="6385">
        <f>F92-J92</f>
        <v>6050000</v>
      </c>
      <c r="L92" s="6437"/>
    </row>
    <row r="93" spans="1:14" ht="30" customHeight="1" x14ac:dyDescent="0.2">
      <c r="A93" s="6398">
        <v>44</v>
      </c>
      <c r="B93" s="6431" t="s">
        <v>184</v>
      </c>
      <c r="C93" s="6434" t="s">
        <v>889</v>
      </c>
      <c r="D93" s="6393">
        <v>150000000</v>
      </c>
      <c r="E93" s="6471">
        <v>0.05</v>
      </c>
      <c r="F93" s="6393">
        <f t="shared" si="13"/>
        <v>7500000</v>
      </c>
      <c r="G93" s="6393"/>
      <c r="H93" s="6393"/>
      <c r="I93" s="6393" t="s">
        <v>1339</v>
      </c>
      <c r="J93" s="6393">
        <f>G93</f>
        <v>0</v>
      </c>
      <c r="K93" s="6393">
        <f>F93-J93</f>
        <v>7500000</v>
      </c>
      <c r="L93" s="6431"/>
    </row>
    <row r="94" spans="1:14" ht="30" customHeight="1" x14ac:dyDescent="0.2">
      <c r="A94" s="7654">
        <v>45</v>
      </c>
      <c r="B94" s="7652" t="s">
        <v>185</v>
      </c>
      <c r="C94" s="7723" t="s">
        <v>1295</v>
      </c>
      <c r="D94" s="7563">
        <v>2270000000</v>
      </c>
      <c r="E94" s="7659">
        <v>7.0000000000000007E-2</v>
      </c>
      <c r="F94" s="7563">
        <f>D94*E94</f>
        <v>158900000.00000003</v>
      </c>
      <c r="G94" s="6385"/>
      <c r="H94" s="6385"/>
      <c r="I94" s="6385" t="s">
        <v>2696</v>
      </c>
      <c r="J94" s="7482">
        <f>G94+G95+G97+G96</f>
        <v>0</v>
      </c>
      <c r="K94" s="7482">
        <f>F94-J94</f>
        <v>158900000.00000003</v>
      </c>
      <c r="L94" s="6523"/>
    </row>
    <row r="95" spans="1:14" ht="30" customHeight="1" x14ac:dyDescent="0.2">
      <c r="A95" s="7656"/>
      <c r="B95" s="7665"/>
      <c r="C95" s="7747"/>
      <c r="D95" s="7586"/>
      <c r="E95" s="7676"/>
      <c r="F95" s="7586"/>
      <c r="G95" s="6391"/>
      <c r="H95" s="6391"/>
      <c r="I95" s="6391" t="s">
        <v>2696</v>
      </c>
      <c r="J95" s="7482"/>
      <c r="K95" s="7482"/>
      <c r="L95" s="6523"/>
    </row>
    <row r="96" spans="1:14" ht="30" customHeight="1" x14ac:dyDescent="0.2">
      <c r="A96" s="7656"/>
      <c r="B96" s="7665"/>
      <c r="C96" s="7747"/>
      <c r="D96" s="7586"/>
      <c r="E96" s="7676"/>
      <c r="F96" s="7586"/>
      <c r="G96" s="6391"/>
      <c r="H96" s="6391"/>
      <c r="I96" s="6391" t="s">
        <v>2696</v>
      </c>
      <c r="J96" s="7482"/>
      <c r="K96" s="7482"/>
      <c r="L96" s="6523"/>
    </row>
    <row r="97" spans="1:12" ht="30" customHeight="1" x14ac:dyDescent="0.2">
      <c r="A97" s="7655"/>
      <c r="B97" s="7653"/>
      <c r="C97" s="7724"/>
      <c r="D97" s="7564"/>
      <c r="E97" s="7660"/>
      <c r="F97" s="7564"/>
      <c r="G97" s="6391"/>
      <c r="H97" s="6391"/>
      <c r="I97" s="6391" t="s">
        <v>2696</v>
      </c>
      <c r="J97" s="7482"/>
      <c r="K97" s="7482"/>
      <c r="L97" s="6523"/>
    </row>
    <row r="98" spans="1:12" ht="30" customHeight="1" x14ac:dyDescent="0.2">
      <c r="A98" s="7654">
        <v>46</v>
      </c>
      <c r="B98" s="7652" t="s">
        <v>186</v>
      </c>
      <c r="C98" s="7723" t="s">
        <v>4105</v>
      </c>
      <c r="D98" s="7563">
        <v>1240000000</v>
      </c>
      <c r="E98" s="7659">
        <v>0.09</v>
      </c>
      <c r="F98" s="7846">
        <f>D98*E98</f>
        <v>111600000</v>
      </c>
      <c r="G98" s="7954" t="s">
        <v>6929</v>
      </c>
      <c r="H98" s="7955"/>
      <c r="I98" s="7955"/>
      <c r="J98" s="7956"/>
      <c r="K98" s="7"/>
      <c r="L98" s="6451"/>
    </row>
    <row r="99" spans="1:12" ht="30" customHeight="1" x14ac:dyDescent="0.2">
      <c r="A99" s="7656"/>
      <c r="B99" s="7665"/>
      <c r="C99" s="7747"/>
      <c r="D99" s="7586"/>
      <c r="E99" s="7676"/>
      <c r="F99" s="7847"/>
      <c r="G99" s="6385">
        <v>50000000</v>
      </c>
      <c r="H99" s="6385" t="s">
        <v>7845</v>
      </c>
      <c r="I99" s="6480" t="s">
        <v>1076</v>
      </c>
      <c r="J99" s="7563"/>
      <c r="K99" s="7563"/>
      <c r="L99" s="6451"/>
    </row>
    <row r="100" spans="1:12" ht="30" customHeight="1" x14ac:dyDescent="0.2">
      <c r="A100" s="7655"/>
      <c r="B100" s="7653"/>
      <c r="C100" s="7724"/>
      <c r="D100" s="7564"/>
      <c r="E100" s="7660"/>
      <c r="F100" s="7848"/>
      <c r="G100" s="6385">
        <v>23000000</v>
      </c>
      <c r="H100" s="6385" t="s">
        <v>8268</v>
      </c>
      <c r="I100" s="6480" t="s">
        <v>1076</v>
      </c>
      <c r="J100" s="7564"/>
      <c r="K100" s="7564"/>
      <c r="L100" s="6451"/>
    </row>
    <row r="101" spans="1:12" ht="30" customHeight="1" x14ac:dyDescent="0.2">
      <c r="A101" s="6475">
        <v>47</v>
      </c>
      <c r="B101" s="6431" t="s">
        <v>187</v>
      </c>
      <c r="C101" s="6472" t="s">
        <v>1080</v>
      </c>
      <c r="D101" s="6385">
        <v>20000000</v>
      </c>
      <c r="E101" s="6471">
        <v>0.05</v>
      </c>
      <c r="F101" s="6385">
        <f t="shared" si="13"/>
        <v>1000000</v>
      </c>
      <c r="G101" s="6385">
        <v>1200000</v>
      </c>
      <c r="H101" s="6385" t="s">
        <v>7845</v>
      </c>
      <c r="I101" s="6480" t="s">
        <v>4309</v>
      </c>
      <c r="J101" s="6385">
        <f t="shared" ref="J101:J106" si="14">G101</f>
        <v>1200000</v>
      </c>
      <c r="K101" s="6385">
        <f>F101-J101</f>
        <v>-200000</v>
      </c>
      <c r="L101" s="6546"/>
    </row>
    <row r="102" spans="1:12" ht="30" customHeight="1" x14ac:dyDescent="0.2">
      <c r="A102" s="6475">
        <v>48</v>
      </c>
      <c r="B102" s="6431" t="s">
        <v>1615</v>
      </c>
      <c r="C102" s="6472" t="s">
        <v>2849</v>
      </c>
      <c r="D102" s="6385">
        <v>400000000</v>
      </c>
      <c r="E102" s="6471">
        <v>0.06</v>
      </c>
      <c r="F102" s="6385">
        <f>D102*E102</f>
        <v>24000000</v>
      </c>
      <c r="G102" s="6385"/>
      <c r="H102" s="6385"/>
      <c r="I102" s="6480" t="s">
        <v>6419</v>
      </c>
      <c r="J102" s="6385">
        <f t="shared" si="14"/>
        <v>0</v>
      </c>
      <c r="K102" s="6550">
        <f>F102-J102</f>
        <v>24000000</v>
      </c>
      <c r="L102" s="6503"/>
    </row>
    <row r="103" spans="1:12" ht="30" customHeight="1" x14ac:dyDescent="0.2">
      <c r="A103" s="6475">
        <v>49</v>
      </c>
      <c r="B103" s="19" t="s">
        <v>189</v>
      </c>
      <c r="C103" s="6472" t="s">
        <v>1295</v>
      </c>
      <c r="D103" s="6385">
        <v>230000000</v>
      </c>
      <c r="E103" s="6471">
        <v>0.05</v>
      </c>
      <c r="F103" s="6385">
        <f t="shared" si="13"/>
        <v>11500000</v>
      </c>
      <c r="G103" s="6385"/>
      <c r="H103" s="6385"/>
      <c r="I103" s="6467" t="s">
        <v>1052</v>
      </c>
      <c r="J103" s="6385">
        <f t="shared" si="14"/>
        <v>0</v>
      </c>
      <c r="K103" s="6385">
        <f>F103-J103</f>
        <v>11500000</v>
      </c>
      <c r="L103" s="6523"/>
    </row>
    <row r="104" spans="1:12" ht="30" customHeight="1" x14ac:dyDescent="0.2">
      <c r="A104" s="6397">
        <v>50</v>
      </c>
      <c r="B104" s="6468" t="s">
        <v>190</v>
      </c>
      <c r="C104" s="6433" t="s">
        <v>889</v>
      </c>
      <c r="D104" s="6391">
        <v>350000000</v>
      </c>
      <c r="E104" s="6401">
        <v>0.05</v>
      </c>
      <c r="F104" s="6391">
        <f t="shared" si="13"/>
        <v>17500000</v>
      </c>
      <c r="G104" s="6591">
        <v>17500000</v>
      </c>
      <c r="H104" s="6591" t="s">
        <v>7821</v>
      </c>
      <c r="I104" s="6591" t="s">
        <v>1054</v>
      </c>
      <c r="J104" s="6591">
        <f t="shared" si="14"/>
        <v>17500000</v>
      </c>
      <c r="K104" s="6591">
        <f>F104-J104</f>
        <v>0</v>
      </c>
      <c r="L104" s="6503"/>
    </row>
    <row r="105" spans="1:12" ht="30" customHeight="1" x14ac:dyDescent="0.2">
      <c r="A105" s="6617">
        <v>51</v>
      </c>
      <c r="B105" s="6608" t="s">
        <v>191</v>
      </c>
      <c r="C105" s="6616" t="s">
        <v>889</v>
      </c>
      <c r="D105" s="6590">
        <v>260000000</v>
      </c>
      <c r="E105" s="6615">
        <f>F105/D105</f>
        <v>5.5769230769230772E-2</v>
      </c>
      <c r="F105" s="6590">
        <v>14500000</v>
      </c>
      <c r="G105" s="6590">
        <v>14500000</v>
      </c>
      <c r="H105" s="6590" t="s">
        <v>7864</v>
      </c>
      <c r="I105" s="6590" t="s">
        <v>3500</v>
      </c>
      <c r="J105" s="6590">
        <f t="shared" si="14"/>
        <v>14500000</v>
      </c>
      <c r="K105" s="6590">
        <f>F105-J105</f>
        <v>0</v>
      </c>
      <c r="L105" s="1388"/>
    </row>
    <row r="106" spans="1:12" ht="30" customHeight="1" x14ac:dyDescent="0.2">
      <c r="A106" s="8123"/>
      <c r="B106" s="7652" t="s">
        <v>192</v>
      </c>
      <c r="C106" s="7723" t="s">
        <v>889</v>
      </c>
      <c r="D106" s="6391">
        <v>100000000</v>
      </c>
      <c r="E106" s="6401">
        <v>7.0000000000000007E-2</v>
      </c>
      <c r="F106" s="6391">
        <f>D106*E106</f>
        <v>7000000.0000000009</v>
      </c>
      <c r="G106" s="7563"/>
      <c r="H106" s="7563"/>
      <c r="I106" s="7563" t="s">
        <v>2540</v>
      </c>
      <c r="J106" s="7563">
        <f t="shared" si="14"/>
        <v>0</v>
      </c>
      <c r="K106" s="7563">
        <f>(F106+F107)-J106</f>
        <v>9500000</v>
      </c>
      <c r="L106" s="7757"/>
    </row>
    <row r="107" spans="1:12" ht="30" customHeight="1" x14ac:dyDescent="0.2">
      <c r="A107" s="8124"/>
      <c r="B107" s="7653"/>
      <c r="C107" s="7724"/>
      <c r="D107" s="6391">
        <v>50000000</v>
      </c>
      <c r="E107" s="6401">
        <v>0.05</v>
      </c>
      <c r="F107" s="6391">
        <f>D107*E107</f>
        <v>2500000</v>
      </c>
      <c r="G107" s="7586"/>
      <c r="H107" s="7586"/>
      <c r="I107" s="7586"/>
      <c r="J107" s="7586"/>
      <c r="K107" s="7586"/>
      <c r="L107" s="8037"/>
    </row>
    <row r="108" spans="1:12" ht="30" customHeight="1" x14ac:dyDescent="0.2">
      <c r="A108" s="7654"/>
      <c r="B108" s="7703" t="s">
        <v>193</v>
      </c>
      <c r="C108" s="7873" t="s">
        <v>1287</v>
      </c>
      <c r="D108" s="7482">
        <v>1050000000</v>
      </c>
      <c r="E108" s="7870">
        <v>7.0000000000000007E-2</v>
      </c>
      <c r="F108" s="7482">
        <f>D108*E108</f>
        <v>73500000</v>
      </c>
      <c r="G108" s="7470" t="s">
        <v>7825</v>
      </c>
      <c r="H108" s="7493"/>
      <c r="I108" s="7510"/>
      <c r="J108" s="7482">
        <f>G109+G110+G111</f>
        <v>25000000</v>
      </c>
      <c r="K108" s="7482">
        <f>39000000-J108</f>
        <v>14000000</v>
      </c>
      <c r="L108" s="8494"/>
    </row>
    <row r="109" spans="1:12" ht="30" customHeight="1" x14ac:dyDescent="0.2">
      <c r="A109" s="7656"/>
      <c r="B109" s="7704"/>
      <c r="C109" s="7873"/>
      <c r="D109" s="7482"/>
      <c r="E109" s="7870"/>
      <c r="F109" s="7482"/>
      <c r="G109" s="6385">
        <v>10000000</v>
      </c>
      <c r="H109" s="6385" t="s">
        <v>7826</v>
      </c>
      <c r="I109" s="6385" t="s">
        <v>6520</v>
      </c>
      <c r="J109" s="7482"/>
      <c r="K109" s="7482"/>
      <c r="L109" s="8494"/>
    </row>
    <row r="110" spans="1:12" ht="30" customHeight="1" x14ac:dyDescent="0.2">
      <c r="A110" s="7656"/>
      <c r="B110" s="7704"/>
      <c r="C110" s="7873"/>
      <c r="D110" s="7482" t="s">
        <v>6087</v>
      </c>
      <c r="E110" s="7482"/>
      <c r="F110" s="7482">
        <v>2000000</v>
      </c>
      <c r="G110" s="6385">
        <v>15000000</v>
      </c>
      <c r="H110" s="6385" t="s">
        <v>7864</v>
      </c>
      <c r="I110" s="6385" t="s">
        <v>7200</v>
      </c>
      <c r="J110" s="7482"/>
      <c r="K110" s="7482"/>
      <c r="L110" s="8494"/>
    </row>
    <row r="111" spans="1:12" ht="30" customHeight="1" x14ac:dyDescent="0.2">
      <c r="A111" s="7656"/>
      <c r="B111" s="7704"/>
      <c r="C111" s="7873"/>
      <c r="D111" s="7482"/>
      <c r="E111" s="7482"/>
      <c r="F111" s="7482"/>
      <c r="G111" s="6391"/>
      <c r="H111" s="6577"/>
      <c r="I111" s="6564" t="s">
        <v>7646</v>
      </c>
      <c r="J111" s="7482"/>
      <c r="K111" s="7482"/>
      <c r="L111" s="8494"/>
    </row>
    <row r="112" spans="1:12" ht="30" customHeight="1" x14ac:dyDescent="0.2">
      <c r="A112" s="7656"/>
      <c r="B112" s="7704"/>
      <c r="C112" s="7873" t="s">
        <v>1287</v>
      </c>
      <c r="D112" s="7482">
        <v>1050000000</v>
      </c>
      <c r="E112" s="7870">
        <v>7.0000000000000007E-2</v>
      </c>
      <c r="F112" s="7482">
        <f>D112*E112</f>
        <v>73500000</v>
      </c>
      <c r="G112" s="6391"/>
      <c r="H112" s="6577"/>
      <c r="I112" s="6564"/>
      <c r="J112" s="7563">
        <f>G112+G113+G114+G116+G115</f>
        <v>0</v>
      </c>
      <c r="K112" s="7563">
        <f>(F112+F114)-J112</f>
        <v>75500000</v>
      </c>
      <c r="L112" s="6497"/>
    </row>
    <row r="113" spans="1:12" ht="30" customHeight="1" x14ac:dyDescent="0.2">
      <c r="A113" s="7656"/>
      <c r="B113" s="7704"/>
      <c r="C113" s="7873"/>
      <c r="D113" s="7482"/>
      <c r="E113" s="7870"/>
      <c r="F113" s="7482"/>
      <c r="G113" s="6391"/>
      <c r="H113" s="6449"/>
      <c r="I113" s="6385" t="s">
        <v>6520</v>
      </c>
      <c r="J113" s="7586"/>
      <c r="K113" s="7586"/>
      <c r="L113" s="6497"/>
    </row>
    <row r="114" spans="1:12" ht="30" customHeight="1" x14ac:dyDescent="0.2">
      <c r="A114" s="7656"/>
      <c r="B114" s="7704"/>
      <c r="C114" s="7873"/>
      <c r="D114" s="7482" t="s">
        <v>6087</v>
      </c>
      <c r="E114" s="7482"/>
      <c r="F114" s="7482">
        <v>2000000</v>
      </c>
      <c r="G114" s="6391"/>
      <c r="H114" s="6449"/>
      <c r="I114" s="6385" t="s">
        <v>6520</v>
      </c>
      <c r="J114" s="7586"/>
      <c r="K114" s="7586"/>
      <c r="L114" s="6497"/>
    </row>
    <row r="115" spans="1:12" ht="30" customHeight="1" x14ac:dyDescent="0.2">
      <c r="A115" s="7656"/>
      <c r="B115" s="7704"/>
      <c r="C115" s="7873"/>
      <c r="D115" s="7482"/>
      <c r="E115" s="7482"/>
      <c r="F115" s="7482"/>
      <c r="G115" s="6391"/>
      <c r="H115" s="6449"/>
      <c r="I115" s="6385" t="s">
        <v>6520</v>
      </c>
      <c r="J115" s="7586"/>
      <c r="K115" s="7586"/>
      <c r="L115" s="6497"/>
    </row>
    <row r="116" spans="1:12" ht="30" customHeight="1" x14ac:dyDescent="0.2">
      <c r="A116" s="7655"/>
      <c r="B116" s="7705"/>
      <c r="C116" s="7873"/>
      <c r="D116" s="7482"/>
      <c r="E116" s="7482"/>
      <c r="F116" s="7482"/>
      <c r="G116" s="6391"/>
      <c r="H116" s="6385"/>
      <c r="I116" s="6385"/>
      <c r="J116" s="7564"/>
      <c r="K116" s="7564"/>
      <c r="L116" s="6497"/>
    </row>
    <row r="117" spans="1:12" ht="30" customHeight="1" x14ac:dyDescent="0.2">
      <c r="A117" s="7654">
        <v>54</v>
      </c>
      <c r="B117" s="7652" t="s">
        <v>1060</v>
      </c>
      <c r="C117" s="7723" t="s">
        <v>889</v>
      </c>
      <c r="D117" s="6393">
        <v>35000000</v>
      </c>
      <c r="E117" s="6402">
        <v>7.1999999999999995E-2</v>
      </c>
      <c r="F117" s="6393">
        <v>2500000</v>
      </c>
      <c r="G117" s="7924">
        <v>3500000</v>
      </c>
      <c r="H117" s="7924" t="s">
        <v>7864</v>
      </c>
      <c r="I117" s="7926" t="s">
        <v>7873</v>
      </c>
      <c r="J117" s="7924">
        <f>G117</f>
        <v>3500000</v>
      </c>
      <c r="K117" s="7924">
        <f>(F117+F118)-J117</f>
        <v>0</v>
      </c>
      <c r="L117" s="7703"/>
    </row>
    <row r="118" spans="1:12" ht="30" customHeight="1" x14ac:dyDescent="0.2">
      <c r="A118" s="7656"/>
      <c r="B118" s="7653"/>
      <c r="C118" s="7724"/>
      <c r="D118" s="6393">
        <v>13000000</v>
      </c>
      <c r="E118" s="6471">
        <v>7.6999999999999999E-2</v>
      </c>
      <c r="F118" s="6393">
        <v>1000000</v>
      </c>
      <c r="G118" s="7925"/>
      <c r="H118" s="7925"/>
      <c r="I118" s="7927"/>
      <c r="J118" s="7925"/>
      <c r="K118" s="7925"/>
      <c r="L118" s="7705"/>
    </row>
    <row r="119" spans="1:12" ht="30" customHeight="1" x14ac:dyDescent="0.2">
      <c r="A119" s="7654">
        <v>55</v>
      </c>
      <c r="B119" s="7652" t="s">
        <v>1247</v>
      </c>
      <c r="C119" s="7723" t="s">
        <v>1295</v>
      </c>
      <c r="D119" s="6385">
        <v>175000000</v>
      </c>
      <c r="E119" s="6471">
        <v>0.52</v>
      </c>
      <c r="F119" s="6385">
        <v>9000000</v>
      </c>
      <c r="G119" s="7482"/>
      <c r="H119" s="7857"/>
      <c r="I119" s="7857" t="s">
        <v>1063</v>
      </c>
      <c r="J119" s="7563">
        <f>G119+G121</f>
        <v>0</v>
      </c>
      <c r="K119" s="7563">
        <f>(F119+F120+F121)-J119</f>
        <v>18250000</v>
      </c>
      <c r="L119" s="7713"/>
    </row>
    <row r="120" spans="1:12" ht="30" customHeight="1" x14ac:dyDescent="0.2">
      <c r="A120" s="7656"/>
      <c r="B120" s="7665"/>
      <c r="C120" s="7747"/>
      <c r="D120" s="6391">
        <f>85000000+20000000</f>
        <v>105000000</v>
      </c>
      <c r="E120" s="6401">
        <v>7.0000000000000007E-2</v>
      </c>
      <c r="F120" s="6391">
        <v>7500000</v>
      </c>
      <c r="G120" s="7482"/>
      <c r="H120" s="7857"/>
      <c r="I120" s="7857"/>
      <c r="J120" s="7586"/>
      <c r="K120" s="7586"/>
      <c r="L120" s="7797"/>
    </row>
    <row r="121" spans="1:12" ht="30" customHeight="1" x14ac:dyDescent="0.2">
      <c r="A121" s="7655"/>
      <c r="B121" s="7653"/>
      <c r="C121" s="7724"/>
      <c r="D121" s="6385">
        <v>35000000</v>
      </c>
      <c r="E121" s="6471">
        <v>0.05</v>
      </c>
      <c r="F121" s="6385">
        <f>D121*E121</f>
        <v>1750000</v>
      </c>
      <c r="G121" s="6393"/>
      <c r="H121" s="6404"/>
      <c r="I121" s="6404" t="s">
        <v>1063</v>
      </c>
      <c r="J121" s="7564"/>
      <c r="K121" s="7564"/>
      <c r="L121" s="7714"/>
    </row>
    <row r="122" spans="1:12" ht="30" customHeight="1" x14ac:dyDescent="0.2">
      <c r="A122" s="7654">
        <v>56</v>
      </c>
      <c r="B122" s="7652" t="s">
        <v>35</v>
      </c>
      <c r="C122" s="7723" t="s">
        <v>1295</v>
      </c>
      <c r="D122" s="7563">
        <v>3284000000</v>
      </c>
      <c r="E122" s="7659">
        <v>7.0000000000000007E-2</v>
      </c>
      <c r="F122" s="7563">
        <v>229880000</v>
      </c>
      <c r="G122" s="7461" t="s">
        <v>7472</v>
      </c>
      <c r="H122" s="7481"/>
      <c r="I122" s="7520"/>
      <c r="J122" s="7924">
        <f>G123+G124+G125+G126</f>
        <v>0</v>
      </c>
      <c r="K122" s="7563">
        <f>83000000-J122</f>
        <v>83000000</v>
      </c>
      <c r="L122" s="7713" t="s">
        <v>7471</v>
      </c>
    </row>
    <row r="123" spans="1:12" ht="30" customHeight="1" x14ac:dyDescent="0.2">
      <c r="A123" s="7656"/>
      <c r="B123" s="7665"/>
      <c r="C123" s="7747"/>
      <c r="D123" s="7586"/>
      <c r="E123" s="7676"/>
      <c r="F123" s="7586"/>
      <c r="G123" s="6385"/>
      <c r="H123" s="6385"/>
      <c r="I123" s="6385" t="s">
        <v>7473</v>
      </c>
      <c r="J123" s="8234"/>
      <c r="K123" s="7586"/>
      <c r="L123" s="7797"/>
    </row>
    <row r="124" spans="1:12" ht="30" customHeight="1" x14ac:dyDescent="0.2">
      <c r="A124" s="7656"/>
      <c r="B124" s="7665"/>
      <c r="C124" s="7747"/>
      <c r="D124" s="7586"/>
      <c r="E124" s="7676"/>
      <c r="F124" s="7586"/>
      <c r="G124" s="6385"/>
      <c r="H124" s="6385"/>
      <c r="I124" s="6385" t="s">
        <v>7473</v>
      </c>
      <c r="J124" s="8234"/>
      <c r="K124" s="7586"/>
      <c r="L124" s="7797"/>
    </row>
    <row r="125" spans="1:12" ht="30" customHeight="1" x14ac:dyDescent="0.2">
      <c r="A125" s="7656"/>
      <c r="B125" s="7665"/>
      <c r="C125" s="7747"/>
      <c r="D125" s="7586"/>
      <c r="E125" s="7676"/>
      <c r="F125" s="7586"/>
      <c r="G125" s="6122"/>
      <c r="H125" s="6122"/>
      <c r="I125" s="6122" t="s">
        <v>4945</v>
      </c>
      <c r="J125" s="8234"/>
      <c r="K125" s="7586"/>
      <c r="L125" s="7797"/>
    </row>
    <row r="126" spans="1:12" ht="30" customHeight="1" x14ac:dyDescent="0.2">
      <c r="A126" s="7656"/>
      <c r="B126" s="7665"/>
      <c r="C126" s="7724"/>
      <c r="D126" s="7564"/>
      <c r="E126" s="7660"/>
      <c r="F126" s="7564"/>
      <c r="G126" s="6385"/>
      <c r="H126" s="6385"/>
      <c r="I126" s="6385"/>
      <c r="J126" s="7925"/>
      <c r="K126" s="7564"/>
      <c r="L126" s="7714"/>
    </row>
    <row r="127" spans="1:12" ht="30" customHeight="1" x14ac:dyDescent="0.2">
      <c r="A127" s="7656"/>
      <c r="B127" s="7665"/>
      <c r="C127" s="7723" t="s">
        <v>889</v>
      </c>
      <c r="D127" s="7563"/>
      <c r="E127" s="7659"/>
      <c r="F127" s="7563"/>
      <c r="G127" s="6385"/>
      <c r="H127" s="6385"/>
      <c r="I127" s="6385"/>
      <c r="J127" s="6482"/>
      <c r="K127" s="6393"/>
      <c r="L127" s="8072" t="s">
        <v>7470</v>
      </c>
    </row>
    <row r="128" spans="1:12" ht="30" customHeight="1" x14ac:dyDescent="0.2">
      <c r="A128" s="7656"/>
      <c r="B128" s="7665"/>
      <c r="C128" s="7747"/>
      <c r="D128" s="7586"/>
      <c r="E128" s="7676"/>
      <c r="F128" s="7586"/>
      <c r="G128" s="6385"/>
      <c r="H128" s="6385"/>
      <c r="I128" s="6385"/>
      <c r="J128" s="6482"/>
      <c r="K128" s="6393"/>
      <c r="L128" s="8072"/>
    </row>
    <row r="129" spans="1:12" ht="30" customHeight="1" x14ac:dyDescent="0.2">
      <c r="A129" s="7656"/>
      <c r="B129" s="7665"/>
      <c r="C129" s="7724"/>
      <c r="D129" s="7564"/>
      <c r="E129" s="7660"/>
      <c r="F129" s="7564"/>
      <c r="G129" s="6385"/>
      <c r="H129" s="6385"/>
      <c r="I129" s="6385"/>
      <c r="J129" s="6482"/>
      <c r="K129" s="6393"/>
      <c r="L129" s="8072"/>
    </row>
    <row r="130" spans="1:12" ht="30" customHeight="1" x14ac:dyDescent="0.2">
      <c r="A130" s="7656"/>
      <c r="B130" s="7665"/>
      <c r="C130" s="7873" t="s">
        <v>1306</v>
      </c>
      <c r="D130" s="7563">
        <v>2451198840</v>
      </c>
      <c r="E130" s="7659">
        <v>0.08</v>
      </c>
      <c r="F130" s="7563">
        <f t="shared" ref="F130:F137" si="15">D130*E130</f>
        <v>196095907.20000002</v>
      </c>
      <c r="G130" s="6122"/>
      <c r="H130" s="6122"/>
      <c r="I130" s="6122" t="s">
        <v>4945</v>
      </c>
      <c r="J130" s="7482">
        <f>G130+G131+G132</f>
        <v>0</v>
      </c>
      <c r="K130" s="7482">
        <f>F130-J130</f>
        <v>196095907.20000002</v>
      </c>
      <c r="L130" s="7919" t="s">
        <v>7272</v>
      </c>
    </row>
    <row r="131" spans="1:12" ht="30" customHeight="1" x14ac:dyDescent="0.2">
      <c r="A131" s="7656"/>
      <c r="B131" s="7665"/>
      <c r="C131" s="7873"/>
      <c r="D131" s="7586"/>
      <c r="E131" s="7676"/>
      <c r="F131" s="7586"/>
      <c r="G131" s="6385"/>
      <c r="H131" s="6385"/>
      <c r="I131" s="6385" t="s">
        <v>4945</v>
      </c>
      <c r="J131" s="7482"/>
      <c r="K131" s="7482"/>
      <c r="L131" s="7920"/>
    </row>
    <row r="132" spans="1:12" ht="30" customHeight="1" x14ac:dyDescent="0.2">
      <c r="A132" s="7656"/>
      <c r="B132" s="7665"/>
      <c r="C132" s="7873"/>
      <c r="D132" s="7564"/>
      <c r="E132" s="7660"/>
      <c r="F132" s="7564"/>
      <c r="G132" s="6385"/>
      <c r="H132" s="6385"/>
      <c r="I132" s="6385" t="s">
        <v>4945</v>
      </c>
      <c r="J132" s="7482"/>
      <c r="K132" s="7482"/>
      <c r="L132" s="7921"/>
    </row>
    <row r="133" spans="1:12" ht="30" customHeight="1" x14ac:dyDescent="0.2">
      <c r="A133" s="7656"/>
      <c r="B133" s="7665"/>
      <c r="C133" s="7873" t="s">
        <v>1306</v>
      </c>
      <c r="D133" s="7563">
        <v>2451198840</v>
      </c>
      <c r="E133" s="7659">
        <v>0.08</v>
      </c>
      <c r="F133" s="7563">
        <f>D133*E133</f>
        <v>196095907.20000002</v>
      </c>
      <c r="G133" s="6385"/>
      <c r="H133" s="6385"/>
      <c r="I133" s="6385"/>
      <c r="J133" s="7563"/>
      <c r="K133" s="7563"/>
      <c r="L133" s="7919" t="s">
        <v>7273</v>
      </c>
    </row>
    <row r="134" spans="1:12" ht="30" customHeight="1" x14ac:dyDescent="0.2">
      <c r="A134" s="7656"/>
      <c r="B134" s="7665"/>
      <c r="C134" s="7873"/>
      <c r="D134" s="7586"/>
      <c r="E134" s="7676"/>
      <c r="F134" s="7586"/>
      <c r="G134" s="6385"/>
      <c r="H134" s="6385"/>
      <c r="I134" s="6385"/>
      <c r="J134" s="7586"/>
      <c r="K134" s="7586"/>
      <c r="L134" s="7920"/>
    </row>
    <row r="135" spans="1:12" ht="30" customHeight="1" x14ac:dyDescent="0.2">
      <c r="A135" s="7656"/>
      <c r="B135" s="7653"/>
      <c r="C135" s="7873"/>
      <c r="D135" s="7564"/>
      <c r="E135" s="7660"/>
      <c r="F135" s="7564"/>
      <c r="G135" s="6385"/>
      <c r="H135" s="6385"/>
      <c r="I135" s="6385"/>
      <c r="J135" s="7564"/>
      <c r="K135" s="7564"/>
      <c r="L135" s="7921"/>
    </row>
    <row r="136" spans="1:12" ht="30" customHeight="1" x14ac:dyDescent="0.2">
      <c r="A136" s="7654">
        <v>57</v>
      </c>
      <c r="B136" s="7652" t="s">
        <v>1077</v>
      </c>
      <c r="C136" s="6472" t="s">
        <v>1298</v>
      </c>
      <c r="D136" s="6385">
        <v>317000000</v>
      </c>
      <c r="E136" s="6471">
        <v>7.0000000000000007E-2</v>
      </c>
      <c r="F136" s="6385">
        <f t="shared" si="15"/>
        <v>22190000.000000004</v>
      </c>
      <c r="G136" s="6385"/>
      <c r="H136" s="6385"/>
      <c r="I136" s="6385" t="s">
        <v>4945</v>
      </c>
      <c r="J136" s="6385">
        <f>G136</f>
        <v>0</v>
      </c>
      <c r="K136" s="6385">
        <v>0</v>
      </c>
      <c r="L136" s="6503" t="s">
        <v>7272</v>
      </c>
    </row>
    <row r="137" spans="1:12" ht="30" customHeight="1" x14ac:dyDescent="0.2">
      <c r="A137" s="7655"/>
      <c r="B137" s="7653"/>
      <c r="C137" s="6472" t="s">
        <v>1298</v>
      </c>
      <c r="D137" s="6385">
        <v>317000000</v>
      </c>
      <c r="E137" s="6471">
        <v>7.0000000000000007E-2</v>
      </c>
      <c r="F137" s="6385">
        <f t="shared" si="15"/>
        <v>22190000.000000004</v>
      </c>
      <c r="G137" s="6391"/>
      <c r="H137" s="6391"/>
      <c r="I137" s="6391"/>
      <c r="J137" s="6391"/>
      <c r="K137" s="6391"/>
      <c r="L137" s="162" t="s">
        <v>7273</v>
      </c>
    </row>
    <row r="138" spans="1:12" ht="30" customHeight="1" x14ac:dyDescent="0.2">
      <c r="A138" s="6432"/>
      <c r="B138" s="6468" t="s">
        <v>5903</v>
      </c>
      <c r="C138" s="345"/>
      <c r="D138" s="6393">
        <v>50000000</v>
      </c>
      <c r="E138" s="6402">
        <v>0.08</v>
      </c>
      <c r="F138" s="6393">
        <f>D138*E138</f>
        <v>4000000</v>
      </c>
      <c r="G138" s="6391"/>
      <c r="H138" s="6391"/>
      <c r="I138" s="6391" t="s">
        <v>6391</v>
      </c>
      <c r="J138" s="6391">
        <f>G138</f>
        <v>0</v>
      </c>
      <c r="K138" s="6391">
        <f>F138-J138</f>
        <v>4000000</v>
      </c>
      <c r="L138" s="1611"/>
    </row>
    <row r="139" spans="1:12" ht="30" customHeight="1" x14ac:dyDescent="0.2">
      <c r="A139" s="7879"/>
      <c r="B139" s="7717" t="s">
        <v>6673</v>
      </c>
      <c r="C139" s="7873" t="s">
        <v>1796</v>
      </c>
      <c r="D139" s="6385">
        <v>56000000</v>
      </c>
      <c r="E139" s="6471">
        <v>7.0000000000000007E-2</v>
      </c>
      <c r="F139" s="6385">
        <f>D139*E139</f>
        <v>3920000.0000000005</v>
      </c>
      <c r="G139" s="7482"/>
      <c r="H139" s="7482"/>
      <c r="I139" s="7482" t="s">
        <v>4263</v>
      </c>
      <c r="J139" s="7482">
        <f>G139</f>
        <v>0</v>
      </c>
      <c r="K139" s="7482">
        <f>(F139+F140)-J139</f>
        <v>10920000.000000002</v>
      </c>
      <c r="L139" s="7713" t="s">
        <v>7275</v>
      </c>
    </row>
    <row r="140" spans="1:12" ht="30" customHeight="1" x14ac:dyDescent="0.2">
      <c r="A140" s="7879"/>
      <c r="B140" s="7717"/>
      <c r="C140" s="7873"/>
      <c r="D140" s="6385">
        <v>100000000</v>
      </c>
      <c r="E140" s="6471">
        <v>7.0000000000000007E-2</v>
      </c>
      <c r="F140" s="6385">
        <f>D140*E140</f>
        <v>7000000.0000000009</v>
      </c>
      <c r="G140" s="7482"/>
      <c r="H140" s="7482"/>
      <c r="I140" s="7482"/>
      <c r="J140" s="7482"/>
      <c r="K140" s="7482"/>
      <c r="L140" s="7714"/>
    </row>
    <row r="141" spans="1:12" ht="30" customHeight="1" x14ac:dyDescent="0.2">
      <c r="A141" s="7654"/>
      <c r="B141" s="7717" t="s">
        <v>6673</v>
      </c>
      <c r="C141" s="7873" t="s">
        <v>1796</v>
      </c>
      <c r="D141" s="6393">
        <v>56000000</v>
      </c>
      <c r="E141" s="6402">
        <v>7.0000000000000007E-2</v>
      </c>
      <c r="F141" s="6393">
        <f>D141*E141</f>
        <v>3920000.0000000005</v>
      </c>
      <c r="G141" s="7586"/>
      <c r="H141" s="7586"/>
      <c r="I141" s="7586" t="s">
        <v>4263</v>
      </c>
      <c r="J141" s="7586">
        <f>G141</f>
        <v>0</v>
      </c>
      <c r="K141" s="7586">
        <f>(F141+F142)-J141</f>
        <v>10920000.000000002</v>
      </c>
      <c r="L141" s="7809" t="s">
        <v>7276</v>
      </c>
    </row>
    <row r="142" spans="1:12" ht="30" customHeight="1" x14ac:dyDescent="0.2">
      <c r="A142" s="7655"/>
      <c r="B142" s="7717"/>
      <c r="C142" s="7873"/>
      <c r="D142" s="6385">
        <v>100000000</v>
      </c>
      <c r="E142" s="6471">
        <v>7.0000000000000007E-2</v>
      </c>
      <c r="F142" s="6385">
        <f>D142*E142</f>
        <v>7000000.0000000009</v>
      </c>
      <c r="G142" s="7564"/>
      <c r="H142" s="7564"/>
      <c r="I142" s="7564"/>
      <c r="J142" s="7564"/>
      <c r="K142" s="7564"/>
      <c r="L142" s="7810"/>
    </row>
    <row r="143" spans="1:12" ht="30" customHeight="1" x14ac:dyDescent="0.2">
      <c r="A143" s="7654">
        <v>58</v>
      </c>
      <c r="B143" s="7652" t="s">
        <v>1064</v>
      </c>
      <c r="C143" s="7723" t="s">
        <v>889</v>
      </c>
      <c r="D143" s="6393">
        <v>11000000</v>
      </c>
      <c r="E143" s="6471">
        <v>7.0000000000000007E-2</v>
      </c>
      <c r="F143" s="6393">
        <v>700000</v>
      </c>
      <c r="G143" s="7563"/>
      <c r="H143" s="7563"/>
      <c r="I143" s="7775" t="s">
        <v>7322</v>
      </c>
      <c r="J143" s="7563">
        <f>G143</f>
        <v>0</v>
      </c>
      <c r="K143" s="7563"/>
      <c r="L143" s="6431"/>
    </row>
    <row r="144" spans="1:12" ht="30" customHeight="1" x14ac:dyDescent="0.2">
      <c r="A144" s="7656"/>
      <c r="B144" s="7665"/>
      <c r="C144" s="7747"/>
      <c r="D144" s="6393">
        <v>20000000</v>
      </c>
      <c r="E144" s="6471">
        <v>7.0000000000000007E-2</v>
      </c>
      <c r="F144" s="6393">
        <f>D144*E144</f>
        <v>1400000.0000000002</v>
      </c>
      <c r="G144" s="7586"/>
      <c r="H144" s="7586"/>
      <c r="I144" s="7776"/>
      <c r="J144" s="7586"/>
      <c r="K144" s="7586"/>
      <c r="L144" s="6503" t="s">
        <v>7428</v>
      </c>
    </row>
    <row r="145" spans="1:12" ht="30" customHeight="1" x14ac:dyDescent="0.2">
      <c r="A145" s="7656"/>
      <c r="B145" s="7665"/>
      <c r="C145" s="7747"/>
      <c r="D145" s="6393">
        <v>30000000</v>
      </c>
      <c r="E145" s="6471">
        <v>7.0000000000000007E-2</v>
      </c>
      <c r="F145" s="6393">
        <f>D145*E145</f>
        <v>2100000</v>
      </c>
      <c r="G145" s="7586"/>
      <c r="H145" s="7586"/>
      <c r="I145" s="7776"/>
      <c r="J145" s="7586"/>
      <c r="K145" s="7586"/>
      <c r="L145" s="6425"/>
    </row>
    <row r="146" spans="1:12" ht="30" customHeight="1" x14ac:dyDescent="0.2">
      <c r="A146" s="7655"/>
      <c r="B146" s="7653"/>
      <c r="C146" s="7724"/>
      <c r="D146" s="6393">
        <v>10000000</v>
      </c>
      <c r="E146" s="6471">
        <v>7.0000000000000007E-2</v>
      </c>
      <c r="F146" s="6393">
        <f>D146*E146</f>
        <v>700000.00000000012</v>
      </c>
      <c r="G146" s="7564"/>
      <c r="H146" s="7564"/>
      <c r="I146" s="7777"/>
      <c r="J146" s="7564"/>
      <c r="K146" s="7564"/>
      <c r="L146" s="6425" t="s">
        <v>7323</v>
      </c>
    </row>
    <row r="147" spans="1:12" ht="30" customHeight="1" x14ac:dyDescent="0.2">
      <c r="A147" s="6408"/>
      <c r="B147" s="6412" t="s">
        <v>7665</v>
      </c>
      <c r="C147" s="6434"/>
      <c r="D147" s="6393">
        <v>20000000</v>
      </c>
      <c r="E147" s="6471">
        <v>0.08</v>
      </c>
      <c r="F147" s="6393">
        <f>D147*E147</f>
        <v>1600000</v>
      </c>
      <c r="G147" s="7732" t="s">
        <v>7666</v>
      </c>
      <c r="H147" s="7733"/>
      <c r="I147" s="7733"/>
      <c r="J147" s="7734"/>
      <c r="K147" s="6393"/>
      <c r="L147" s="736" t="s">
        <v>7667</v>
      </c>
    </row>
    <row r="148" spans="1:12" ht="30" customHeight="1" x14ac:dyDescent="0.2">
      <c r="A148" s="6432"/>
      <c r="B148" s="6468" t="s">
        <v>194</v>
      </c>
      <c r="C148" s="6472" t="s">
        <v>1295</v>
      </c>
      <c r="D148" s="6393">
        <v>160000000</v>
      </c>
      <c r="E148" s="6471">
        <v>5.1999999999999998E-2</v>
      </c>
      <c r="F148" s="6393">
        <v>8300000</v>
      </c>
      <c r="G148" s="6385"/>
      <c r="H148" s="6385"/>
      <c r="I148" s="6385" t="s">
        <v>6193</v>
      </c>
      <c r="J148" s="6385">
        <f>G148</f>
        <v>0</v>
      </c>
      <c r="K148" s="6385">
        <f>F148-J148</f>
        <v>8300000</v>
      </c>
      <c r="L148" s="637" t="s">
        <v>6336</v>
      </c>
    </row>
    <row r="149" spans="1:12" ht="30" customHeight="1" x14ac:dyDescent="0.2">
      <c r="A149" s="6475">
        <v>60</v>
      </c>
      <c r="B149" s="6431" t="s">
        <v>1498</v>
      </c>
      <c r="C149" s="6434" t="s">
        <v>889</v>
      </c>
      <c r="D149" s="6393"/>
      <c r="E149" s="6471"/>
      <c r="F149" s="6393">
        <f t="shared" si="13"/>
        <v>0</v>
      </c>
      <c r="G149" s="6393">
        <v>10000000</v>
      </c>
      <c r="H149" s="6393" t="s">
        <v>7281</v>
      </c>
      <c r="I149" s="6512" t="s">
        <v>1810</v>
      </c>
      <c r="J149" s="6393">
        <f>G149</f>
        <v>10000000</v>
      </c>
      <c r="K149" s="6393">
        <f>F149-J149</f>
        <v>-10000000</v>
      </c>
      <c r="L149" s="6431"/>
    </row>
    <row r="150" spans="1:12" ht="30" customHeight="1" x14ac:dyDescent="0.2">
      <c r="A150" s="6398">
        <v>61</v>
      </c>
      <c r="B150" s="6431" t="s">
        <v>196</v>
      </c>
      <c r="C150" s="6434"/>
      <c r="D150" s="6393">
        <v>100000000</v>
      </c>
      <c r="E150" s="6471">
        <v>7.0000000000000007E-2</v>
      </c>
      <c r="F150" s="6393">
        <f t="shared" si="13"/>
        <v>7000000.0000000009</v>
      </c>
      <c r="G150" s="6393"/>
      <c r="H150" s="6393"/>
      <c r="I150" s="6512" t="s">
        <v>3466</v>
      </c>
      <c r="J150" s="6393">
        <f>G150</f>
        <v>0</v>
      </c>
      <c r="K150" s="6393">
        <f>F150-J150</f>
        <v>7000000.0000000009</v>
      </c>
      <c r="L150" s="6431"/>
    </row>
    <row r="151" spans="1:12" ht="30" customHeight="1" x14ac:dyDescent="0.2">
      <c r="A151" s="7703">
        <v>62</v>
      </c>
      <c r="B151" s="7652" t="s">
        <v>197</v>
      </c>
      <c r="C151" s="7723"/>
      <c r="D151" s="6391">
        <v>125000000</v>
      </c>
      <c r="E151" s="6401">
        <v>5.1999999999999998E-2</v>
      </c>
      <c r="F151" s="6391">
        <f t="shared" si="13"/>
        <v>6500000</v>
      </c>
      <c r="G151" s="6385"/>
      <c r="H151" s="6385"/>
      <c r="I151" s="6385"/>
      <c r="J151" s="6385"/>
      <c r="K151" s="6385"/>
      <c r="L151" s="6426"/>
    </row>
    <row r="152" spans="1:12" ht="30" customHeight="1" x14ac:dyDescent="0.2">
      <c r="A152" s="7704"/>
      <c r="B152" s="7665"/>
      <c r="C152" s="7747"/>
      <c r="D152" s="7494" t="s">
        <v>6674</v>
      </c>
      <c r="E152" s="7495"/>
      <c r="F152" s="7768"/>
      <c r="G152" s="7991" t="s">
        <v>7329</v>
      </c>
      <c r="H152" s="7992"/>
      <c r="I152" s="7992"/>
      <c r="J152" s="7993"/>
      <c r="K152" s="7563"/>
      <c r="L152" s="6450" t="s">
        <v>7330</v>
      </c>
    </row>
    <row r="153" spans="1:12" ht="30" customHeight="1" x14ac:dyDescent="0.2">
      <c r="A153" s="7704"/>
      <c r="B153" s="7665"/>
      <c r="C153" s="7747"/>
      <c r="D153" s="7877"/>
      <c r="E153" s="7524"/>
      <c r="F153" s="7878"/>
      <c r="G153" s="7994" t="s">
        <v>7333</v>
      </c>
      <c r="H153" s="7995"/>
      <c r="I153" s="7995"/>
      <c r="J153" s="7996"/>
      <c r="K153" s="7586"/>
      <c r="L153" s="6450" t="s">
        <v>7331</v>
      </c>
    </row>
    <row r="154" spans="1:12" ht="30" customHeight="1" x14ac:dyDescent="0.2">
      <c r="A154" s="7704"/>
      <c r="B154" s="7665"/>
      <c r="C154" s="7747"/>
      <c r="D154" s="7877"/>
      <c r="E154" s="7524"/>
      <c r="F154" s="7878"/>
      <c r="G154" s="7997" t="s">
        <v>7338</v>
      </c>
      <c r="H154" s="7998"/>
      <c r="I154" s="7998"/>
      <c r="J154" s="7999"/>
      <c r="K154" s="7564"/>
      <c r="L154" s="6450" t="s">
        <v>7332</v>
      </c>
    </row>
    <row r="155" spans="1:12" ht="30" customHeight="1" x14ac:dyDescent="0.2">
      <c r="A155" s="7704"/>
      <c r="B155" s="7665"/>
      <c r="C155" s="7747"/>
      <c r="D155" s="7769"/>
      <c r="E155" s="7805"/>
      <c r="F155" s="7770"/>
      <c r="G155" s="7997" t="s">
        <v>7337</v>
      </c>
      <c r="H155" s="7998"/>
      <c r="I155" s="7998"/>
      <c r="J155" s="7999"/>
      <c r="K155" s="6393"/>
      <c r="L155" s="6450"/>
    </row>
    <row r="156" spans="1:12" ht="30" customHeight="1" x14ac:dyDescent="0.2">
      <c r="A156" s="7704"/>
      <c r="B156" s="7665"/>
      <c r="C156" s="7747"/>
      <c r="D156" s="7494" t="s">
        <v>7494</v>
      </c>
      <c r="E156" s="7495"/>
      <c r="F156" s="7768"/>
      <c r="G156" s="6385"/>
      <c r="H156" s="6385"/>
      <c r="I156" s="6385" t="s">
        <v>1251</v>
      </c>
      <c r="J156" s="6385">
        <f>G156</f>
        <v>0</v>
      </c>
      <c r="K156" s="6392"/>
      <c r="L156" s="6450"/>
    </row>
    <row r="157" spans="1:12" ht="30" customHeight="1" x14ac:dyDescent="0.2">
      <c r="A157" s="7704"/>
      <c r="B157" s="7665"/>
      <c r="C157" s="7747"/>
      <c r="D157" s="7769"/>
      <c r="E157" s="7805"/>
      <c r="F157" s="7770"/>
      <c r="G157" s="6385"/>
      <c r="H157" s="6385"/>
      <c r="I157" s="6385" t="s">
        <v>7222</v>
      </c>
      <c r="J157" s="6385">
        <f>G157</f>
        <v>0</v>
      </c>
      <c r="K157" s="6392"/>
      <c r="L157" s="6450"/>
    </row>
    <row r="158" spans="1:12" ht="30" customHeight="1" x14ac:dyDescent="0.2">
      <c r="A158" s="7704"/>
      <c r="B158" s="7665"/>
      <c r="C158" s="7747"/>
      <c r="D158" s="7494"/>
      <c r="E158" s="7495"/>
      <c r="F158" s="7768"/>
      <c r="G158" s="6391"/>
      <c r="H158" s="6391"/>
      <c r="I158" s="6391" t="s">
        <v>7222</v>
      </c>
      <c r="J158" s="6391">
        <f>G158</f>
        <v>0</v>
      </c>
      <c r="K158" s="6392"/>
      <c r="L158" s="6450"/>
    </row>
    <row r="159" spans="1:12" ht="30" customHeight="1" x14ac:dyDescent="0.2">
      <c r="A159" s="6483"/>
      <c r="B159" s="6431" t="s">
        <v>7594</v>
      </c>
      <c r="C159" s="6472"/>
      <c r="D159" s="6385">
        <v>5000000</v>
      </c>
      <c r="E159" s="6385"/>
      <c r="F159" s="6385"/>
      <c r="G159" s="6385"/>
      <c r="H159" s="6385"/>
      <c r="I159" s="6385"/>
      <c r="J159" s="6385"/>
      <c r="K159" s="6385"/>
      <c r="L159" s="736" t="s">
        <v>7595</v>
      </c>
    </row>
    <row r="160" spans="1:12" ht="30" customHeight="1" x14ac:dyDescent="0.2">
      <c r="A160" s="6483"/>
      <c r="B160" s="6431" t="s">
        <v>7596</v>
      </c>
      <c r="C160" s="6472"/>
      <c r="D160" s="6385">
        <v>50000000</v>
      </c>
      <c r="E160" s="6385"/>
      <c r="F160" s="6385"/>
      <c r="G160" s="6385"/>
      <c r="H160" s="6385"/>
      <c r="I160" s="6385"/>
      <c r="J160" s="6385"/>
      <c r="K160" s="6385"/>
      <c r="L160" s="736" t="s">
        <v>7602</v>
      </c>
    </row>
    <row r="161" spans="1:12" ht="30" customHeight="1" x14ac:dyDescent="0.2">
      <c r="A161" s="7703"/>
      <c r="B161" s="7652" t="s">
        <v>4139</v>
      </c>
      <c r="C161" s="7723"/>
      <c r="D161" s="6385">
        <v>5000000</v>
      </c>
      <c r="E161" s="6385"/>
      <c r="F161" s="6385"/>
      <c r="G161" s="6385"/>
      <c r="H161" s="6385"/>
      <c r="I161" s="6385"/>
      <c r="J161" s="6385"/>
      <c r="K161" s="6385"/>
      <c r="L161" s="736" t="s">
        <v>7597</v>
      </c>
    </row>
    <row r="162" spans="1:12" ht="30" customHeight="1" x14ac:dyDescent="0.2">
      <c r="A162" s="7705"/>
      <c r="B162" s="7653"/>
      <c r="C162" s="7724"/>
      <c r="D162" s="6385">
        <v>5000000</v>
      </c>
      <c r="E162" s="6385"/>
      <c r="F162" s="6385"/>
      <c r="G162" s="6385"/>
      <c r="H162" s="6385"/>
      <c r="I162" s="6385"/>
      <c r="J162" s="6385"/>
      <c r="K162" s="6385"/>
      <c r="L162" s="736" t="s">
        <v>7598</v>
      </c>
    </row>
    <row r="163" spans="1:12" ht="30" customHeight="1" x14ac:dyDescent="0.2">
      <c r="A163" s="6428"/>
      <c r="B163" s="6412" t="s">
        <v>7791</v>
      </c>
      <c r="C163" s="6435"/>
      <c r="D163" s="7470" t="s">
        <v>7793</v>
      </c>
      <c r="E163" s="7493"/>
      <c r="F163" s="7510"/>
      <c r="G163" s="6391"/>
      <c r="H163" s="6391"/>
      <c r="I163" s="6391" t="s">
        <v>7792</v>
      </c>
      <c r="J163" s="6391">
        <f>G163</f>
        <v>0</v>
      </c>
      <c r="K163" s="6391"/>
      <c r="L163" s="637"/>
    </row>
    <row r="164" spans="1:12" ht="30" customHeight="1" x14ac:dyDescent="0.2">
      <c r="A164" s="7654"/>
      <c r="B164" s="7652" t="s">
        <v>198</v>
      </c>
      <c r="C164" s="7723" t="s">
        <v>889</v>
      </c>
      <c r="D164" s="3829">
        <v>2000000000</v>
      </c>
      <c r="E164" s="6471">
        <v>7.0000000000000007E-2</v>
      </c>
      <c r="F164" s="6385">
        <f t="shared" ref="F164:F170" si="16">D164*E164</f>
        <v>140000000</v>
      </c>
      <c r="G164" s="7563"/>
      <c r="H164" s="7563"/>
      <c r="I164" s="8428" t="s">
        <v>3724</v>
      </c>
      <c r="J164" s="7563">
        <f>G164</f>
        <v>0</v>
      </c>
      <c r="K164" s="7563">
        <f>(F164+F165+F166+F167)-J164</f>
        <v>161000000</v>
      </c>
      <c r="L164" s="637" t="s">
        <v>6749</v>
      </c>
    </row>
    <row r="165" spans="1:12" ht="30" customHeight="1" x14ac:dyDescent="0.2">
      <c r="A165" s="7656"/>
      <c r="B165" s="7665"/>
      <c r="C165" s="7747"/>
      <c r="D165" s="3829">
        <v>100000000</v>
      </c>
      <c r="E165" s="6402">
        <v>7.0000000000000007E-2</v>
      </c>
      <c r="F165" s="6385">
        <f t="shared" si="16"/>
        <v>7000000.0000000009</v>
      </c>
      <c r="G165" s="7586"/>
      <c r="H165" s="7586"/>
      <c r="I165" s="8496"/>
      <c r="J165" s="7586"/>
      <c r="K165" s="7586"/>
      <c r="L165" s="180"/>
    </row>
    <row r="166" spans="1:12" ht="30" customHeight="1" x14ac:dyDescent="0.2">
      <c r="A166" s="7656"/>
      <c r="B166" s="7665"/>
      <c r="C166" s="7747"/>
      <c r="D166" s="940">
        <v>100000000</v>
      </c>
      <c r="E166" s="6402">
        <v>7.0000000000000007E-2</v>
      </c>
      <c r="F166" s="6393">
        <f t="shared" si="16"/>
        <v>7000000.0000000009</v>
      </c>
      <c r="G166" s="7586"/>
      <c r="H166" s="7586"/>
      <c r="I166" s="8496"/>
      <c r="J166" s="7586"/>
      <c r="K166" s="7586"/>
      <c r="L166" s="6450"/>
    </row>
    <row r="167" spans="1:12" ht="30" customHeight="1" x14ac:dyDescent="0.2">
      <c r="A167" s="7656"/>
      <c r="B167" s="7665"/>
      <c r="C167" s="7747"/>
      <c r="D167" s="940">
        <v>100000000</v>
      </c>
      <c r="E167" s="6402">
        <v>7.0000000000000007E-2</v>
      </c>
      <c r="F167" s="6393">
        <f t="shared" si="16"/>
        <v>7000000.0000000009</v>
      </c>
      <c r="G167" s="7564"/>
      <c r="H167" s="7564"/>
      <c r="I167" s="8429"/>
      <c r="J167" s="7564"/>
      <c r="K167" s="7564"/>
      <c r="L167" s="6450"/>
    </row>
    <row r="168" spans="1:12" ht="30" customHeight="1" x14ac:dyDescent="0.2">
      <c r="A168" s="7656"/>
      <c r="B168" s="7665"/>
      <c r="C168" s="7747"/>
      <c r="D168" s="940">
        <v>100000000</v>
      </c>
      <c r="E168" s="6402">
        <v>7.0000000000000007E-2</v>
      </c>
      <c r="F168" s="6393">
        <f t="shared" si="16"/>
        <v>7000000.0000000009</v>
      </c>
      <c r="G168" s="7732" t="s">
        <v>7447</v>
      </c>
      <c r="H168" s="7733"/>
      <c r="I168" s="7733"/>
      <c r="J168" s="7734"/>
      <c r="K168" s="6393"/>
      <c r="L168" s="6450"/>
    </row>
    <row r="169" spans="1:12" ht="30" customHeight="1" x14ac:dyDescent="0.2">
      <c r="A169" s="7656"/>
      <c r="B169" s="7665"/>
      <c r="C169" s="7747"/>
      <c r="D169" s="6489">
        <v>300000000</v>
      </c>
      <c r="E169" s="6402">
        <v>7.0000000000000007E-2</v>
      </c>
      <c r="F169" s="6393">
        <f t="shared" si="16"/>
        <v>21000000.000000004</v>
      </c>
      <c r="G169" s="7563"/>
      <c r="H169" s="7563"/>
      <c r="I169" s="8180" t="s">
        <v>6196</v>
      </c>
      <c r="J169" s="7563">
        <f>G169</f>
        <v>0</v>
      </c>
      <c r="K169" s="7563">
        <f>(F169+F170)-J169</f>
        <v>31500000.000000007</v>
      </c>
      <c r="L169" s="7797" t="s">
        <v>5581</v>
      </c>
    </row>
    <row r="170" spans="1:12" ht="30" customHeight="1" x14ac:dyDescent="0.2">
      <c r="A170" s="7656"/>
      <c r="B170" s="7665"/>
      <c r="C170" s="7747"/>
      <c r="D170" s="6520">
        <v>150000000</v>
      </c>
      <c r="E170" s="6471">
        <v>7.0000000000000007E-2</v>
      </c>
      <c r="F170" s="6385">
        <f t="shared" si="16"/>
        <v>10500000.000000002</v>
      </c>
      <c r="G170" s="7564"/>
      <c r="H170" s="7564"/>
      <c r="I170" s="8183"/>
      <c r="J170" s="7564"/>
      <c r="K170" s="7564"/>
      <c r="L170" s="7714"/>
    </row>
    <row r="171" spans="1:12" ht="30" customHeight="1" x14ac:dyDescent="0.2">
      <c r="A171" s="7656"/>
      <c r="B171" s="7665"/>
      <c r="C171" s="7747"/>
      <c r="D171" s="6520">
        <v>50000000</v>
      </c>
      <c r="E171" s="6471">
        <v>7.0000000000000007E-2</v>
      </c>
      <c r="F171" s="6385">
        <f>D171*E171</f>
        <v>3500000.0000000005</v>
      </c>
      <c r="G171" s="7563"/>
      <c r="H171" s="7563"/>
      <c r="I171" s="7563" t="s">
        <v>6196</v>
      </c>
      <c r="J171" s="7563">
        <f>G171</f>
        <v>0</v>
      </c>
      <c r="K171" s="7563"/>
      <c r="L171" s="637" t="s">
        <v>6751</v>
      </c>
    </row>
    <row r="172" spans="1:12" ht="30" customHeight="1" x14ac:dyDescent="0.2">
      <c r="A172" s="7655"/>
      <c r="B172" s="7653"/>
      <c r="C172" s="7724"/>
      <c r="D172" s="6520">
        <v>150000000</v>
      </c>
      <c r="E172" s="6471">
        <v>7.0000000000000007E-2</v>
      </c>
      <c r="F172" s="6385">
        <f>D172*E172</f>
        <v>10500000.000000002</v>
      </c>
      <c r="G172" s="7564"/>
      <c r="H172" s="7564"/>
      <c r="I172" s="7564"/>
      <c r="J172" s="7564"/>
      <c r="K172" s="7564"/>
      <c r="L172" s="29" t="s">
        <v>7854</v>
      </c>
    </row>
    <row r="173" spans="1:12" ht="30" customHeight="1" x14ac:dyDescent="0.2">
      <c r="A173" s="6398">
        <v>64</v>
      </c>
      <c r="B173" s="6431" t="s">
        <v>1336</v>
      </c>
      <c r="C173" s="6472" t="s">
        <v>889</v>
      </c>
      <c r="D173" s="6385">
        <v>200000000</v>
      </c>
      <c r="E173" s="6471">
        <v>5.5E-2</v>
      </c>
      <c r="F173" s="6385">
        <f t="shared" si="13"/>
        <v>11000000</v>
      </c>
      <c r="G173" s="6393"/>
      <c r="H173" s="6393"/>
      <c r="I173" s="6512" t="s">
        <v>7466</v>
      </c>
      <c r="J173" s="6393">
        <f>G173</f>
        <v>0</v>
      </c>
      <c r="K173" s="6393">
        <f t="shared" ref="K173:K186" si="17">F173-J173</f>
        <v>11000000</v>
      </c>
      <c r="L173" s="6503" t="s">
        <v>7467</v>
      </c>
    </row>
    <row r="174" spans="1:12" ht="30" customHeight="1" x14ac:dyDescent="0.2">
      <c r="A174" s="7654"/>
      <c r="B174" s="7652" t="s">
        <v>4816</v>
      </c>
      <c r="C174" s="7723" t="s">
        <v>262</v>
      </c>
      <c r="D174" s="6385">
        <v>534000000</v>
      </c>
      <c r="E174" s="6471">
        <v>6.2E-2</v>
      </c>
      <c r="F174" s="6385">
        <v>32880000</v>
      </c>
      <c r="G174" s="7482"/>
      <c r="H174" s="7563"/>
      <c r="I174" s="7561" t="s">
        <v>7513</v>
      </c>
      <c r="J174" s="7563">
        <f>G174+G177</f>
        <v>0</v>
      </c>
      <c r="K174" s="7563">
        <f>F179-J174</f>
        <v>39180000</v>
      </c>
      <c r="L174" s="7713" t="s">
        <v>7514</v>
      </c>
    </row>
    <row r="175" spans="1:12" ht="30" customHeight="1" x14ac:dyDescent="0.2">
      <c r="A175" s="7656"/>
      <c r="B175" s="7665"/>
      <c r="C175" s="7747"/>
      <c r="D175" s="6385">
        <v>20000000</v>
      </c>
      <c r="E175" s="6471">
        <v>7.0000000000000007E-2</v>
      </c>
      <c r="F175" s="6385">
        <f>D175*E175</f>
        <v>1400000.0000000002</v>
      </c>
      <c r="G175" s="7482"/>
      <c r="H175" s="7586"/>
      <c r="I175" s="7672"/>
      <c r="J175" s="7586"/>
      <c r="K175" s="7586"/>
      <c r="L175" s="7797"/>
    </row>
    <row r="176" spans="1:12" ht="30" customHeight="1" x14ac:dyDescent="0.2">
      <c r="A176" s="7656"/>
      <c r="B176" s="7665"/>
      <c r="C176" s="7747"/>
      <c r="D176" s="6385">
        <v>30000000</v>
      </c>
      <c r="E176" s="6471">
        <v>7.0000000000000007E-2</v>
      </c>
      <c r="F176" s="6385">
        <f>D176*E176</f>
        <v>2100000</v>
      </c>
      <c r="G176" s="7482"/>
      <c r="H176" s="7564"/>
      <c r="I176" s="7562"/>
      <c r="J176" s="7586"/>
      <c r="K176" s="7586"/>
      <c r="L176" s="7714"/>
    </row>
    <row r="177" spans="1:12" ht="30" customHeight="1" x14ac:dyDescent="0.2">
      <c r="A177" s="7656"/>
      <c r="B177" s="7665"/>
      <c r="C177" s="7747"/>
      <c r="D177" s="6385">
        <v>20000000</v>
      </c>
      <c r="E177" s="6471">
        <v>7.0000000000000007E-2</v>
      </c>
      <c r="F177" s="6385">
        <f>D177*E177</f>
        <v>1400000.0000000002</v>
      </c>
      <c r="G177" s="7563"/>
      <c r="H177" s="7563"/>
      <c r="I177" s="7561" t="s">
        <v>7513</v>
      </c>
      <c r="J177" s="7586"/>
      <c r="K177" s="7586"/>
      <c r="L177" s="637" t="s">
        <v>7514</v>
      </c>
    </row>
    <row r="178" spans="1:12" ht="30" customHeight="1" x14ac:dyDescent="0.2">
      <c r="A178" s="7656"/>
      <c r="B178" s="7665"/>
      <c r="C178" s="7747"/>
      <c r="D178" s="6385">
        <v>20000000</v>
      </c>
      <c r="E178" s="6471">
        <v>7.0000000000000007E-2</v>
      </c>
      <c r="F178" s="6385">
        <f>D178*E178</f>
        <v>1400000.0000000002</v>
      </c>
      <c r="G178" s="7586"/>
      <c r="H178" s="7586"/>
      <c r="I178" s="7672"/>
      <c r="J178" s="7586"/>
      <c r="K178" s="7586"/>
      <c r="L178" s="180" t="s">
        <v>7530</v>
      </c>
    </row>
    <row r="179" spans="1:12" ht="30" customHeight="1" x14ac:dyDescent="0.2">
      <c r="A179" s="7656"/>
      <c r="B179" s="7665"/>
      <c r="C179" s="7747"/>
      <c r="D179" s="8026">
        <f>SUM(D174:D178)</f>
        <v>624000000</v>
      </c>
      <c r="E179" s="8028"/>
      <c r="F179" s="8026">
        <f>SUM(F174:F178)</f>
        <v>39180000</v>
      </c>
      <c r="G179" s="7586"/>
      <c r="H179" s="7586"/>
      <c r="I179" s="7672"/>
      <c r="J179" s="7586"/>
      <c r="K179" s="7586"/>
      <c r="L179" s="180"/>
    </row>
    <row r="180" spans="1:12" ht="30" customHeight="1" x14ac:dyDescent="0.2">
      <c r="A180" s="7655"/>
      <c r="B180" s="7653"/>
      <c r="C180" s="7724"/>
      <c r="D180" s="8027"/>
      <c r="E180" s="8029"/>
      <c r="F180" s="8027"/>
      <c r="G180" s="7564"/>
      <c r="H180" s="7564"/>
      <c r="I180" s="7562"/>
      <c r="J180" s="7564"/>
      <c r="K180" s="7564"/>
      <c r="L180" s="29"/>
    </row>
    <row r="181" spans="1:12" ht="30" customHeight="1" x14ac:dyDescent="0.2">
      <c r="A181" s="6475">
        <v>68</v>
      </c>
      <c r="B181" s="6431" t="s">
        <v>202</v>
      </c>
      <c r="C181" s="6472" t="s">
        <v>1295</v>
      </c>
      <c r="D181" s="6385">
        <v>150000000</v>
      </c>
      <c r="E181" s="6471">
        <v>0.05</v>
      </c>
      <c r="F181" s="6385">
        <f t="shared" si="13"/>
        <v>7500000</v>
      </c>
      <c r="G181" s="6385"/>
      <c r="H181" s="6385"/>
      <c r="I181" s="6550" t="s">
        <v>2538</v>
      </c>
      <c r="J181" s="6385">
        <f t="shared" ref="J181:J183" si="18">G181</f>
        <v>0</v>
      </c>
      <c r="K181" s="6385">
        <f t="shared" si="17"/>
        <v>7500000</v>
      </c>
      <c r="L181" s="6427"/>
    </row>
    <row r="182" spans="1:12" ht="30" customHeight="1" x14ac:dyDescent="0.2">
      <c r="A182" s="6475"/>
      <c r="B182" s="6412" t="s">
        <v>5399</v>
      </c>
      <c r="C182" s="6435" t="s">
        <v>392</v>
      </c>
      <c r="D182" s="6385">
        <v>450000000</v>
      </c>
      <c r="E182" s="6402">
        <v>7.0000000000000007E-2</v>
      </c>
      <c r="F182" s="6385">
        <f>D182*E182</f>
        <v>31500000.000000004</v>
      </c>
      <c r="G182" s="6391"/>
      <c r="H182" s="6391"/>
      <c r="I182" s="6447" t="s">
        <v>6224</v>
      </c>
      <c r="J182" s="6391">
        <f>G182</f>
        <v>0</v>
      </c>
      <c r="K182" s="6391">
        <f>F182-J182</f>
        <v>31500000.000000004</v>
      </c>
      <c r="L182" s="736"/>
    </row>
    <row r="183" spans="1:12" ht="30" customHeight="1" x14ac:dyDescent="0.2">
      <c r="A183" s="7654"/>
      <c r="B183" s="7652" t="s">
        <v>205</v>
      </c>
      <c r="C183" s="7723" t="s">
        <v>889</v>
      </c>
      <c r="D183" s="6393">
        <v>30000000</v>
      </c>
      <c r="E183" s="6402">
        <v>0.05</v>
      </c>
      <c r="F183" s="6393">
        <f t="shared" si="13"/>
        <v>1500000</v>
      </c>
      <c r="G183" s="7563">
        <v>3000000</v>
      </c>
      <c r="H183" s="7563" t="s">
        <v>7864</v>
      </c>
      <c r="I183" s="7563" t="s">
        <v>1407</v>
      </c>
      <c r="J183" s="7563">
        <f t="shared" si="18"/>
        <v>3000000</v>
      </c>
      <c r="K183" s="7563">
        <f>(F183+F184+F185)-J183</f>
        <v>0</v>
      </c>
      <c r="L183" s="7679"/>
    </row>
    <row r="184" spans="1:12" ht="30" customHeight="1" x14ac:dyDescent="0.2">
      <c r="A184" s="7656"/>
      <c r="B184" s="7665"/>
      <c r="C184" s="7747"/>
      <c r="D184" s="6392">
        <v>10000000</v>
      </c>
      <c r="E184" s="6409">
        <v>0.05</v>
      </c>
      <c r="F184" s="6392">
        <f t="shared" si="13"/>
        <v>500000</v>
      </c>
      <c r="G184" s="7586"/>
      <c r="H184" s="7586"/>
      <c r="I184" s="7586"/>
      <c r="J184" s="7586"/>
      <c r="K184" s="7586"/>
      <c r="L184" s="7801"/>
    </row>
    <row r="185" spans="1:12" ht="30" customHeight="1" x14ac:dyDescent="0.2">
      <c r="A185" s="7655"/>
      <c r="B185" s="7653"/>
      <c r="C185" s="7724"/>
      <c r="D185" s="6385">
        <v>20000000</v>
      </c>
      <c r="E185" s="6471">
        <v>0.05</v>
      </c>
      <c r="F185" s="6385">
        <f t="shared" si="13"/>
        <v>1000000</v>
      </c>
      <c r="G185" s="7564"/>
      <c r="H185" s="7564"/>
      <c r="I185" s="7564"/>
      <c r="J185" s="7564"/>
      <c r="K185" s="7564"/>
      <c r="L185" s="7680"/>
    </row>
    <row r="186" spans="1:12" ht="30" customHeight="1" x14ac:dyDescent="0.2">
      <c r="A186" s="7990">
        <v>72</v>
      </c>
      <c r="B186" s="7717" t="s">
        <v>1023</v>
      </c>
      <c r="C186" s="7873" t="s">
        <v>1718</v>
      </c>
      <c r="D186" s="7563">
        <v>900000000</v>
      </c>
      <c r="E186" s="7659">
        <v>0.06</v>
      </c>
      <c r="F186" s="7563">
        <f t="shared" si="13"/>
        <v>54000000</v>
      </c>
      <c r="G186" s="6385"/>
      <c r="H186" s="6385"/>
      <c r="I186" s="6467" t="s">
        <v>7721</v>
      </c>
      <c r="J186" s="7563">
        <f>G186+G187</f>
        <v>0</v>
      </c>
      <c r="K186" s="7563">
        <f t="shared" si="17"/>
        <v>54000000</v>
      </c>
      <c r="L186" s="8558"/>
    </row>
    <row r="187" spans="1:12" ht="30" customHeight="1" x14ac:dyDescent="0.2">
      <c r="A187" s="7990"/>
      <c r="B187" s="7717"/>
      <c r="C187" s="7873"/>
      <c r="D187" s="7586"/>
      <c r="E187" s="7676"/>
      <c r="F187" s="7586"/>
      <c r="G187" s="6385"/>
      <c r="H187" s="6385"/>
      <c r="I187" s="6467" t="s">
        <v>7721</v>
      </c>
      <c r="J187" s="7586"/>
      <c r="K187" s="7586"/>
      <c r="L187" s="8559"/>
    </row>
    <row r="188" spans="1:12" ht="30" customHeight="1" x14ac:dyDescent="0.2">
      <c r="A188" s="7990"/>
      <c r="B188" s="7717"/>
      <c r="C188" s="7873"/>
      <c r="D188" s="7564"/>
      <c r="E188" s="7660"/>
      <c r="F188" s="7564"/>
      <c r="G188" s="6385"/>
      <c r="H188" s="6385"/>
      <c r="I188" s="6467"/>
      <c r="J188" s="7564"/>
      <c r="K188" s="7564"/>
      <c r="L188" s="8560"/>
    </row>
    <row r="189" spans="1:12" ht="30" customHeight="1" x14ac:dyDescent="0.2">
      <c r="A189" s="6398">
        <v>73</v>
      </c>
      <c r="B189" s="6400" t="s">
        <v>206</v>
      </c>
      <c r="C189" s="6434" t="s">
        <v>1293</v>
      </c>
      <c r="D189" s="6393">
        <v>20000000</v>
      </c>
      <c r="E189" s="6402">
        <v>0.05</v>
      </c>
      <c r="F189" s="6393">
        <f t="shared" si="13"/>
        <v>1000000</v>
      </c>
      <c r="G189" s="6393"/>
      <c r="H189" s="6393"/>
      <c r="I189" s="6512" t="s">
        <v>4899</v>
      </c>
      <c r="J189" s="6393">
        <f>G189</f>
        <v>0</v>
      </c>
      <c r="K189" s="6393">
        <f>F189-J189</f>
        <v>1000000</v>
      </c>
      <c r="L189" s="6431"/>
    </row>
    <row r="190" spans="1:12" ht="30" customHeight="1" x14ac:dyDescent="0.2">
      <c r="A190" s="7654">
        <v>74</v>
      </c>
      <c r="B190" s="7652" t="s">
        <v>4203</v>
      </c>
      <c r="C190" s="7723" t="s">
        <v>2644</v>
      </c>
      <c r="D190" s="6393">
        <v>125000000</v>
      </c>
      <c r="E190" s="6471">
        <v>0.04</v>
      </c>
      <c r="F190" s="6393">
        <f t="shared" si="13"/>
        <v>5000000</v>
      </c>
      <c r="G190" s="7563">
        <v>10000000</v>
      </c>
      <c r="H190" s="7563" t="s">
        <v>7864</v>
      </c>
      <c r="I190" s="7563" t="s">
        <v>3067</v>
      </c>
      <c r="J190" s="7563">
        <f>G190</f>
        <v>10000000</v>
      </c>
      <c r="K190" s="7563">
        <f>(F190+F191+F192)-J190</f>
        <v>0</v>
      </c>
      <c r="L190" s="637"/>
    </row>
    <row r="191" spans="1:12" ht="30" customHeight="1" x14ac:dyDescent="0.2">
      <c r="A191" s="7656"/>
      <c r="B191" s="7665"/>
      <c r="C191" s="7747"/>
      <c r="D191" s="6393">
        <v>90000000</v>
      </c>
      <c r="E191" s="6471">
        <v>0.05</v>
      </c>
      <c r="F191" s="6393">
        <f t="shared" si="13"/>
        <v>4500000</v>
      </c>
      <c r="G191" s="7586"/>
      <c r="H191" s="7586"/>
      <c r="I191" s="7586"/>
      <c r="J191" s="7586"/>
      <c r="K191" s="7586"/>
      <c r="L191" s="180" t="s">
        <v>7456</v>
      </c>
    </row>
    <row r="192" spans="1:12" ht="30" customHeight="1" x14ac:dyDescent="0.2">
      <c r="A192" s="7655"/>
      <c r="B192" s="7653"/>
      <c r="C192" s="7724"/>
      <c r="D192" s="6393">
        <v>10000000</v>
      </c>
      <c r="E192" s="6471">
        <v>0.05</v>
      </c>
      <c r="F192" s="6393">
        <f t="shared" si="13"/>
        <v>500000</v>
      </c>
      <c r="G192" s="7564"/>
      <c r="H192" s="7564"/>
      <c r="I192" s="7564"/>
      <c r="J192" s="7564"/>
      <c r="K192" s="7564"/>
      <c r="L192" s="29"/>
    </row>
    <row r="193" spans="1:16" ht="30" customHeight="1" x14ac:dyDescent="0.2">
      <c r="A193" s="6475"/>
      <c r="B193" s="6431" t="s">
        <v>4205</v>
      </c>
      <c r="C193" s="6434" t="s">
        <v>262</v>
      </c>
      <c r="D193" s="6393">
        <v>200000000</v>
      </c>
      <c r="E193" s="6471">
        <v>0.05</v>
      </c>
      <c r="F193" s="6393">
        <f t="shared" si="13"/>
        <v>10000000</v>
      </c>
      <c r="G193" s="6393"/>
      <c r="H193" s="6393"/>
      <c r="I193" s="6443" t="s">
        <v>4461</v>
      </c>
      <c r="J193" s="6393">
        <f>G193</f>
        <v>0</v>
      </c>
      <c r="K193" s="6393">
        <f>F193-J193</f>
        <v>10000000</v>
      </c>
      <c r="L193" s="736" t="s">
        <v>7455</v>
      </c>
    </row>
    <row r="194" spans="1:16" ht="30" customHeight="1" x14ac:dyDescent="0.2">
      <c r="A194" s="6397"/>
      <c r="B194" s="6431" t="s">
        <v>208</v>
      </c>
      <c r="C194" s="6434" t="s">
        <v>392</v>
      </c>
      <c r="D194" s="6393">
        <v>50000000</v>
      </c>
      <c r="E194" s="6471">
        <v>0.05</v>
      </c>
      <c r="F194" s="6393">
        <f t="shared" si="13"/>
        <v>2500000</v>
      </c>
      <c r="G194" s="6393"/>
      <c r="H194" s="6393"/>
      <c r="I194" s="6443" t="s">
        <v>5417</v>
      </c>
      <c r="J194" s="6393">
        <f>G194</f>
        <v>0</v>
      </c>
      <c r="K194" s="6393">
        <f>F194-J194</f>
        <v>2500000</v>
      </c>
      <c r="L194" s="180"/>
    </row>
    <row r="195" spans="1:16" ht="30" customHeight="1" x14ac:dyDescent="0.2">
      <c r="A195" s="7654">
        <v>77</v>
      </c>
      <c r="B195" s="7652" t="s">
        <v>210</v>
      </c>
      <c r="C195" s="7723" t="s">
        <v>392</v>
      </c>
      <c r="D195" s="6385">
        <v>30000000</v>
      </c>
      <c r="E195" s="6471">
        <v>7.0000000000000007E-2</v>
      </c>
      <c r="F195" s="6385">
        <f t="shared" si="13"/>
        <v>2100000</v>
      </c>
      <c r="G195" s="8105" t="s">
        <v>7884</v>
      </c>
      <c r="H195" s="8106"/>
      <c r="I195" s="8106"/>
      <c r="J195" s="8107"/>
      <c r="K195" s="7482">
        <f>(F195+F196+F197)-J195</f>
        <v>6975000</v>
      </c>
      <c r="L195" s="7679"/>
    </row>
    <row r="196" spans="1:16" ht="30" customHeight="1" x14ac:dyDescent="0.2">
      <c r="A196" s="7656"/>
      <c r="B196" s="7665"/>
      <c r="C196" s="7747"/>
      <c r="D196" s="6385">
        <v>35000000</v>
      </c>
      <c r="E196" s="6471">
        <v>4.4999999999999998E-2</v>
      </c>
      <c r="F196" s="6385">
        <f t="shared" si="13"/>
        <v>1575000</v>
      </c>
      <c r="G196" s="8108"/>
      <c r="H196" s="8109"/>
      <c r="I196" s="8109"/>
      <c r="J196" s="8110"/>
      <c r="K196" s="7482"/>
      <c r="L196" s="7801"/>
    </row>
    <row r="197" spans="1:16" ht="30" customHeight="1" x14ac:dyDescent="0.2">
      <c r="A197" s="7656"/>
      <c r="B197" s="7665"/>
      <c r="C197" s="7747"/>
      <c r="D197" s="6385">
        <v>60000000</v>
      </c>
      <c r="E197" s="6471">
        <v>5.5E-2</v>
      </c>
      <c r="F197" s="6385">
        <f t="shared" si="13"/>
        <v>3300000</v>
      </c>
      <c r="G197" s="8111"/>
      <c r="H197" s="8112"/>
      <c r="I197" s="8112"/>
      <c r="J197" s="8113"/>
      <c r="K197" s="7482"/>
      <c r="L197" s="7680"/>
    </row>
    <row r="198" spans="1:16" ht="30" customHeight="1" x14ac:dyDescent="0.2">
      <c r="A198" s="7655"/>
      <c r="B198" s="7653"/>
      <c r="C198" s="7724"/>
      <c r="D198" s="6623">
        <v>160000000</v>
      </c>
      <c r="E198" s="6624">
        <v>7.0000000000000007E-2</v>
      </c>
      <c r="F198" s="6623">
        <f t="shared" si="13"/>
        <v>11200000.000000002</v>
      </c>
      <c r="G198" s="7954" t="s">
        <v>7885</v>
      </c>
      <c r="H198" s="7955"/>
      <c r="I198" s="7955"/>
      <c r="J198" s="7956"/>
      <c r="K198" s="6593"/>
      <c r="L198" s="6602"/>
    </row>
    <row r="199" spans="1:16" ht="30" customHeight="1" x14ac:dyDescent="0.2">
      <c r="A199" s="6398">
        <v>78</v>
      </c>
      <c r="B199" s="6400" t="s">
        <v>211</v>
      </c>
      <c r="C199" s="6434" t="s">
        <v>2644</v>
      </c>
      <c r="D199" s="6393">
        <v>45000000</v>
      </c>
      <c r="E199" s="6402">
        <v>4.2000000000000003E-2</v>
      </c>
      <c r="F199" s="6393">
        <v>1900000</v>
      </c>
      <c r="G199" s="6393">
        <v>1900000</v>
      </c>
      <c r="H199" s="6393" t="s">
        <v>7845</v>
      </c>
      <c r="I199" s="6448" t="s">
        <v>7848</v>
      </c>
      <c r="J199" s="6393">
        <f t="shared" ref="J199:J203" si="19">G199</f>
        <v>1900000</v>
      </c>
      <c r="K199" s="6393">
        <f t="shared" ref="K199:K203" si="20">F199-J199</f>
        <v>0</v>
      </c>
      <c r="L199" s="6431"/>
    </row>
    <row r="200" spans="1:16" ht="30" customHeight="1" x14ac:dyDescent="0.2">
      <c r="A200" s="6475">
        <v>80</v>
      </c>
      <c r="B200" s="6431" t="s">
        <v>182</v>
      </c>
      <c r="C200" s="6472" t="s">
        <v>1293</v>
      </c>
      <c r="D200" s="6393">
        <v>100000000</v>
      </c>
      <c r="E200" s="6471">
        <v>0.05</v>
      </c>
      <c r="F200" s="6393">
        <f>D200*E200</f>
        <v>5000000</v>
      </c>
      <c r="G200" s="6393">
        <v>5000000</v>
      </c>
      <c r="H200" s="6393" t="s">
        <v>7864</v>
      </c>
      <c r="I200" s="6385" t="s">
        <v>960</v>
      </c>
      <c r="J200" s="6393">
        <f t="shared" si="19"/>
        <v>5000000</v>
      </c>
      <c r="K200" s="6393">
        <f t="shared" si="20"/>
        <v>0</v>
      </c>
      <c r="L200" s="6465"/>
      <c r="M200" s="366"/>
      <c r="N200" s="366"/>
      <c r="O200" s="366"/>
      <c r="P200" s="366"/>
    </row>
    <row r="201" spans="1:16" ht="30" customHeight="1" x14ac:dyDescent="0.2">
      <c r="A201" s="6475">
        <v>81</v>
      </c>
      <c r="B201" s="6431" t="s">
        <v>213</v>
      </c>
      <c r="C201" s="6434" t="s">
        <v>392</v>
      </c>
      <c r="D201" s="6393">
        <v>5000000</v>
      </c>
      <c r="E201" s="6471">
        <v>0.04</v>
      </c>
      <c r="F201" s="6393">
        <f t="shared" si="13"/>
        <v>200000</v>
      </c>
      <c r="G201" s="6393">
        <v>200000</v>
      </c>
      <c r="H201" s="6393" t="s">
        <v>7864</v>
      </c>
      <c r="I201" s="6512" t="s">
        <v>1363</v>
      </c>
      <c r="J201" s="6393">
        <f t="shared" si="19"/>
        <v>200000</v>
      </c>
      <c r="K201" s="6393">
        <f t="shared" si="20"/>
        <v>0</v>
      </c>
      <c r="L201" s="6431"/>
      <c r="M201" s="366"/>
      <c r="N201" s="366"/>
      <c r="O201" s="366"/>
      <c r="P201" s="366"/>
    </row>
    <row r="202" spans="1:16" ht="30" customHeight="1" x14ac:dyDescent="0.2">
      <c r="A202" s="6475">
        <v>83</v>
      </c>
      <c r="B202" s="6431" t="s">
        <v>215</v>
      </c>
      <c r="C202" s="6472" t="s">
        <v>889</v>
      </c>
      <c r="D202" s="6385">
        <v>160000000</v>
      </c>
      <c r="E202" s="6471">
        <v>0.05</v>
      </c>
      <c r="F202" s="6385">
        <f>D202*E202</f>
        <v>8000000</v>
      </c>
      <c r="G202" s="6385"/>
      <c r="H202" s="6385"/>
      <c r="I202" s="6385" t="s">
        <v>3982</v>
      </c>
      <c r="J202" s="6385">
        <f t="shared" si="19"/>
        <v>0</v>
      </c>
      <c r="K202" s="6385">
        <f t="shared" si="20"/>
        <v>8000000</v>
      </c>
      <c r="L202" s="29"/>
      <c r="M202" s="366"/>
      <c r="N202" s="366"/>
      <c r="O202" s="366"/>
      <c r="P202" s="366"/>
    </row>
    <row r="203" spans="1:16" ht="30" customHeight="1" x14ac:dyDescent="0.2">
      <c r="A203" s="6475">
        <v>84</v>
      </c>
      <c r="B203" s="6431" t="s">
        <v>216</v>
      </c>
      <c r="C203" s="6434"/>
      <c r="D203" s="6393">
        <v>400000000</v>
      </c>
      <c r="E203" s="6471">
        <v>6.0999999999999999E-2</v>
      </c>
      <c r="F203" s="6393">
        <f t="shared" si="13"/>
        <v>24400000</v>
      </c>
      <c r="G203" s="6393"/>
      <c r="H203" s="6393"/>
      <c r="I203" s="6481" t="s">
        <v>1553</v>
      </c>
      <c r="J203" s="6393">
        <f t="shared" si="19"/>
        <v>0</v>
      </c>
      <c r="K203" s="6393">
        <f t="shared" si="20"/>
        <v>24400000</v>
      </c>
      <c r="L203" s="6431"/>
      <c r="M203" s="366"/>
      <c r="N203" s="366"/>
      <c r="O203" s="366"/>
      <c r="P203" s="366"/>
    </row>
    <row r="204" spans="1:16" ht="30" customHeight="1" x14ac:dyDescent="0.2">
      <c r="A204" s="7654"/>
      <c r="B204" s="7652" t="s">
        <v>975</v>
      </c>
      <c r="C204" s="7723" t="s">
        <v>889</v>
      </c>
      <c r="D204" s="7846">
        <v>1080000000</v>
      </c>
      <c r="E204" s="7659">
        <v>7.0000000000000007E-2</v>
      </c>
      <c r="F204" s="7563">
        <f>D204*E204</f>
        <v>75600000</v>
      </c>
      <c r="G204" s="6385">
        <v>20000000</v>
      </c>
      <c r="H204" s="6385" t="s">
        <v>7864</v>
      </c>
      <c r="I204" s="6589" t="s">
        <v>7867</v>
      </c>
      <c r="J204" s="7482">
        <f>G204+G205+G206</f>
        <v>77000000</v>
      </c>
      <c r="K204" s="7482">
        <f>F208-J204</f>
        <v>0</v>
      </c>
      <c r="L204" s="6459" t="s">
        <v>7303</v>
      </c>
      <c r="M204" s="366"/>
      <c r="N204" s="366"/>
      <c r="O204" s="366"/>
      <c r="P204" s="366"/>
    </row>
    <row r="205" spans="1:16" ht="30" customHeight="1" x14ac:dyDescent="0.2">
      <c r="A205" s="7656"/>
      <c r="B205" s="7665"/>
      <c r="C205" s="7747"/>
      <c r="D205" s="7847"/>
      <c r="E205" s="7676"/>
      <c r="F205" s="7586"/>
      <c r="G205" s="6385">
        <v>57000000</v>
      </c>
      <c r="H205" s="6385" t="s">
        <v>7864</v>
      </c>
      <c r="I205" s="6589" t="s">
        <v>7881</v>
      </c>
      <c r="J205" s="7482"/>
      <c r="K205" s="7482"/>
      <c r="L205" s="6459" t="s">
        <v>7303</v>
      </c>
      <c r="M205" s="366"/>
      <c r="N205" s="366"/>
      <c r="O205" s="366"/>
      <c r="P205" s="366"/>
    </row>
    <row r="206" spans="1:16" ht="30" customHeight="1" x14ac:dyDescent="0.2">
      <c r="A206" s="7656"/>
      <c r="B206" s="7665"/>
      <c r="C206" s="7747"/>
      <c r="D206" s="7848"/>
      <c r="E206" s="7660"/>
      <c r="F206" s="7564"/>
      <c r="G206" s="6385"/>
      <c r="H206" s="6385"/>
      <c r="I206" s="6589"/>
      <c r="J206" s="7482"/>
      <c r="K206" s="7482"/>
      <c r="L206" s="735" t="s">
        <v>7319</v>
      </c>
      <c r="M206" s="366"/>
      <c r="N206" s="366"/>
      <c r="O206" s="366"/>
      <c r="P206" s="366"/>
    </row>
    <row r="207" spans="1:16" ht="30" customHeight="1" x14ac:dyDescent="0.2">
      <c r="A207" s="7656"/>
      <c r="B207" s="7665"/>
      <c r="C207" s="7747"/>
      <c r="D207" s="6464">
        <v>20000000</v>
      </c>
      <c r="E207" s="6402">
        <v>7.0000000000000007E-2</v>
      </c>
      <c r="F207" s="6393">
        <f>D207*E207</f>
        <v>1400000.0000000002</v>
      </c>
      <c r="G207" s="6590"/>
      <c r="H207" s="6590"/>
      <c r="I207" s="6589"/>
      <c r="J207" s="7482"/>
      <c r="K207" s="7482"/>
      <c r="L207" s="735" t="s">
        <v>7485</v>
      </c>
      <c r="M207" s="366"/>
      <c r="N207" s="366"/>
      <c r="O207" s="366"/>
      <c r="P207" s="366"/>
    </row>
    <row r="208" spans="1:16" ht="30" customHeight="1" x14ac:dyDescent="0.2">
      <c r="A208" s="7655"/>
      <c r="B208" s="7653"/>
      <c r="C208" s="7724"/>
      <c r="D208" s="6518">
        <f>D204+D207</f>
        <v>1100000000</v>
      </c>
      <c r="E208" s="6496">
        <v>7.0000000000000007E-2</v>
      </c>
      <c r="F208" s="6494">
        <f>D208*E208</f>
        <v>77000000</v>
      </c>
      <c r="G208" s="6622"/>
      <c r="H208" s="6622"/>
      <c r="I208" s="6622"/>
      <c r="J208" s="7482"/>
      <c r="K208" s="7482"/>
      <c r="L208" s="735" t="s">
        <v>7448</v>
      </c>
      <c r="M208" s="366"/>
      <c r="N208" s="366"/>
      <c r="O208" s="366"/>
      <c r="P208" s="366"/>
    </row>
    <row r="209" spans="1:16" ht="30" customHeight="1" x14ac:dyDescent="0.2">
      <c r="A209" s="7654">
        <v>86</v>
      </c>
      <c r="B209" s="7652" t="s">
        <v>217</v>
      </c>
      <c r="C209" s="7723" t="s">
        <v>889</v>
      </c>
      <c r="D209" s="6393">
        <v>136000000</v>
      </c>
      <c r="E209" s="6402">
        <v>0.05</v>
      </c>
      <c r="F209" s="6393">
        <f>D209*E209</f>
        <v>6800000</v>
      </c>
      <c r="G209" s="6385"/>
      <c r="H209" s="6385"/>
      <c r="I209" s="6385" t="s">
        <v>3971</v>
      </c>
      <c r="J209" s="6385">
        <f>G209</f>
        <v>0</v>
      </c>
      <c r="K209" s="6385"/>
      <c r="L209" s="6503"/>
      <c r="M209" s="366"/>
      <c r="N209" s="366"/>
      <c r="O209" s="366"/>
      <c r="P209" s="366"/>
    </row>
    <row r="210" spans="1:16" ht="30" customHeight="1" x14ac:dyDescent="0.2">
      <c r="A210" s="7656"/>
      <c r="B210" s="7665"/>
      <c r="C210" s="7747"/>
      <c r="D210" s="6385">
        <v>4000000</v>
      </c>
      <c r="E210" s="6471">
        <v>0.05</v>
      </c>
      <c r="F210" s="6385">
        <f>D210*E210</f>
        <v>200000</v>
      </c>
      <c r="G210" s="7732" t="s">
        <v>7447</v>
      </c>
      <c r="H210" s="7733"/>
      <c r="I210" s="7733"/>
      <c r="J210" s="7734"/>
      <c r="K210" s="6391"/>
      <c r="L210" s="6008"/>
      <c r="M210" s="366"/>
      <c r="N210" s="366"/>
      <c r="O210" s="366"/>
      <c r="P210" s="366"/>
    </row>
    <row r="211" spans="1:16" ht="30" customHeight="1" x14ac:dyDescent="0.2">
      <c r="A211" s="7655"/>
      <c r="B211" s="7653"/>
      <c r="C211" s="7724"/>
      <c r="D211" s="6518">
        <v>140000000</v>
      </c>
      <c r="E211" s="6496">
        <v>0.05</v>
      </c>
      <c r="F211" s="6494">
        <f>D211*E211</f>
        <v>7000000</v>
      </c>
      <c r="G211" s="7732" t="s">
        <v>7448</v>
      </c>
      <c r="H211" s="7733"/>
      <c r="I211" s="7733"/>
      <c r="J211" s="7734"/>
      <c r="K211" s="6391"/>
      <c r="L211" s="6008"/>
      <c r="M211" s="366"/>
      <c r="N211" s="366"/>
      <c r="O211" s="366"/>
      <c r="P211" s="366"/>
    </row>
    <row r="212" spans="1:16" ht="30" customHeight="1" x14ac:dyDescent="0.2">
      <c r="A212" s="7654"/>
      <c r="B212" s="7652" t="s">
        <v>174</v>
      </c>
      <c r="C212" s="7723" t="s">
        <v>889</v>
      </c>
      <c r="D212" s="6391">
        <v>793000000</v>
      </c>
      <c r="E212" s="6401">
        <v>6.6000000000000003E-2</v>
      </c>
      <c r="F212" s="6391">
        <v>52300000</v>
      </c>
      <c r="G212" s="6385"/>
      <c r="H212" s="6385"/>
      <c r="I212" s="6385" t="s">
        <v>3061</v>
      </c>
      <c r="J212" s="6391">
        <f>G212</f>
        <v>0</v>
      </c>
      <c r="K212" s="6391"/>
      <c r="L212" s="6473"/>
      <c r="M212" s="2927"/>
      <c r="N212" s="2927"/>
      <c r="O212" s="2927"/>
      <c r="P212" s="2299"/>
    </row>
    <row r="213" spans="1:16" ht="30" customHeight="1" x14ac:dyDescent="0.2">
      <c r="A213" s="7656"/>
      <c r="B213" s="7665"/>
      <c r="C213" s="7747"/>
      <c r="D213" s="7563">
        <v>80000000</v>
      </c>
      <c r="E213" s="7659">
        <v>7.0000000000000007E-2</v>
      </c>
      <c r="F213" s="7563">
        <f>D213*E213</f>
        <v>5600000.0000000009</v>
      </c>
      <c r="G213" s="7991" t="s">
        <v>7207</v>
      </c>
      <c r="H213" s="7992"/>
      <c r="I213" s="7992"/>
      <c r="J213" s="7993"/>
      <c r="K213" s="6393"/>
      <c r="L213" s="7991" t="s">
        <v>7206</v>
      </c>
      <c r="M213" s="5147"/>
      <c r="N213" s="5147"/>
      <c r="O213" s="5147"/>
      <c r="P213" s="5147"/>
    </row>
    <row r="214" spans="1:16" ht="30" customHeight="1" x14ac:dyDescent="0.2">
      <c r="A214" s="7656"/>
      <c r="B214" s="7665"/>
      <c r="C214" s="7747"/>
      <c r="D214" s="7564"/>
      <c r="E214" s="7660"/>
      <c r="F214" s="7564"/>
      <c r="G214" s="7997" t="s">
        <v>7318</v>
      </c>
      <c r="H214" s="7998"/>
      <c r="I214" s="7998"/>
      <c r="J214" s="7999"/>
      <c r="K214" s="6393"/>
      <c r="L214" s="7997"/>
      <c r="M214" s="5147"/>
      <c r="N214" s="5147"/>
      <c r="O214" s="5147"/>
      <c r="P214" s="5147"/>
    </row>
    <row r="215" spans="1:16" ht="30" customHeight="1" x14ac:dyDescent="0.2">
      <c r="A215" s="7655"/>
      <c r="B215" s="7653"/>
      <c r="C215" s="7724"/>
      <c r="D215" s="6630">
        <v>1000000000</v>
      </c>
      <c r="E215" s="6631"/>
      <c r="F215" s="6630"/>
      <c r="G215" s="7732" t="s">
        <v>7897</v>
      </c>
      <c r="H215" s="7733"/>
      <c r="I215" s="7733"/>
      <c r="J215" s="7734"/>
      <c r="K215" s="6593"/>
      <c r="L215" s="6622" t="s">
        <v>7898</v>
      </c>
      <c r="M215" s="5147"/>
      <c r="N215" s="5147"/>
      <c r="O215" s="5147"/>
      <c r="P215" s="5147"/>
    </row>
    <row r="216" spans="1:16" ht="30" customHeight="1" x14ac:dyDescent="0.2">
      <c r="A216" s="7654"/>
      <c r="B216" s="7652" t="s">
        <v>6035</v>
      </c>
      <c r="C216" s="7723" t="s">
        <v>1796</v>
      </c>
      <c r="D216" s="7563">
        <v>80000000</v>
      </c>
      <c r="E216" s="7659">
        <v>0.06</v>
      </c>
      <c r="F216" s="7563">
        <f>D216*E216</f>
        <v>4800000</v>
      </c>
      <c r="G216" s="7732" t="s">
        <v>7205</v>
      </c>
      <c r="H216" s="7733"/>
      <c r="I216" s="7733"/>
      <c r="J216" s="7734"/>
      <c r="K216" s="6385"/>
      <c r="L216" s="6488" t="s">
        <v>7203</v>
      </c>
      <c r="M216" s="5147"/>
      <c r="N216" s="5147"/>
      <c r="O216" s="5147"/>
      <c r="P216" s="5147"/>
    </row>
    <row r="217" spans="1:16" ht="30" customHeight="1" x14ac:dyDescent="0.2">
      <c r="A217" s="7656"/>
      <c r="B217" s="7665"/>
      <c r="C217" s="7724"/>
      <c r="D217" s="7564"/>
      <c r="E217" s="7660"/>
      <c r="F217" s="7564"/>
      <c r="G217" s="7732" t="s">
        <v>7621</v>
      </c>
      <c r="H217" s="7733"/>
      <c r="I217" s="7733"/>
      <c r="J217" s="7734"/>
      <c r="K217" s="6393"/>
      <c r="L217" s="6473"/>
      <c r="M217" s="5147"/>
      <c r="N217" s="5147"/>
      <c r="O217" s="5147"/>
      <c r="P217" s="5147"/>
    </row>
    <row r="218" spans="1:16" ht="30" customHeight="1" x14ac:dyDescent="0.2">
      <c r="A218" s="7655"/>
      <c r="B218" s="7653"/>
      <c r="C218" s="6610" t="s">
        <v>942</v>
      </c>
      <c r="D218" s="6593">
        <v>80000000</v>
      </c>
      <c r="E218" s="6597">
        <v>5.5E-2</v>
      </c>
      <c r="F218" s="6593">
        <f>D218*E218</f>
        <v>4400000</v>
      </c>
      <c r="G218" s="6385">
        <v>9200000</v>
      </c>
      <c r="H218" s="6385" t="s">
        <v>7826</v>
      </c>
      <c r="I218" s="6385" t="s">
        <v>2409</v>
      </c>
      <c r="J218" s="6385">
        <f>G218</f>
        <v>9200000</v>
      </c>
      <c r="K218" s="6393">
        <f>(F216+F218)-J218</f>
        <v>0</v>
      </c>
      <c r="L218" s="6473"/>
      <c r="M218" s="5147"/>
      <c r="N218" s="5147"/>
      <c r="O218" s="5147"/>
      <c r="P218" s="5147"/>
    </row>
    <row r="219" spans="1:16" ht="30" customHeight="1" x14ac:dyDescent="0.2">
      <c r="A219" s="6398"/>
      <c r="B219" s="6400" t="s">
        <v>7201</v>
      </c>
      <c r="C219" s="6434"/>
      <c r="D219" s="6385">
        <v>10000000</v>
      </c>
      <c r="E219" s="6471">
        <v>0.08</v>
      </c>
      <c r="F219" s="6385">
        <f>D219*E219</f>
        <v>800000</v>
      </c>
      <c r="G219" s="6385"/>
      <c r="H219" s="6385"/>
      <c r="I219" s="6385" t="s">
        <v>7799</v>
      </c>
      <c r="J219" s="6385">
        <f>G219</f>
        <v>0</v>
      </c>
      <c r="K219" s="6385">
        <f>F219-J219</f>
        <v>800000</v>
      </c>
      <c r="L219" s="6488" t="s">
        <v>7202</v>
      </c>
      <c r="M219" s="5147"/>
      <c r="N219" s="5147"/>
      <c r="O219" s="5147"/>
      <c r="P219" s="5147"/>
    </row>
    <row r="220" spans="1:16" ht="30" customHeight="1" x14ac:dyDescent="0.2">
      <c r="A220" s="6475">
        <v>88</v>
      </c>
      <c r="B220" s="6431" t="s">
        <v>218</v>
      </c>
      <c r="C220" s="6434" t="s">
        <v>1295</v>
      </c>
      <c r="D220" s="6393">
        <v>100000000</v>
      </c>
      <c r="E220" s="6471">
        <v>0.06</v>
      </c>
      <c r="F220" s="6393">
        <f>D220*E220</f>
        <v>6000000</v>
      </c>
      <c r="G220" s="6393"/>
      <c r="H220" s="6393"/>
      <c r="I220" s="18" t="s">
        <v>4866</v>
      </c>
      <c r="J220" s="6393">
        <f>G220</f>
        <v>0</v>
      </c>
      <c r="K220" s="6393">
        <f>F220-J220</f>
        <v>6000000</v>
      </c>
      <c r="L220" s="6431"/>
      <c r="M220" s="366"/>
      <c r="N220" s="366"/>
      <c r="O220" s="366"/>
      <c r="P220" s="366"/>
    </row>
    <row r="221" spans="1:16" ht="30" customHeight="1" x14ac:dyDescent="0.2">
      <c r="A221" s="7654">
        <v>89</v>
      </c>
      <c r="B221" s="7652" t="s">
        <v>219</v>
      </c>
      <c r="C221" s="7723" t="s">
        <v>1293</v>
      </c>
      <c r="D221" s="6385">
        <v>93000000</v>
      </c>
      <c r="E221" s="6471">
        <v>7.0000000000000007E-2</v>
      </c>
      <c r="F221" s="6385">
        <v>6500000</v>
      </c>
      <c r="G221" s="7924">
        <v>22800000</v>
      </c>
      <c r="H221" s="7924" t="s">
        <v>7864</v>
      </c>
      <c r="I221" s="7924" t="s">
        <v>2666</v>
      </c>
      <c r="J221" s="7924">
        <f>G221</f>
        <v>22800000</v>
      </c>
      <c r="K221" s="7563">
        <f>F226-J221</f>
        <v>17400000</v>
      </c>
      <c r="L221" s="29"/>
      <c r="M221" s="366"/>
      <c r="N221" s="366"/>
      <c r="O221" s="366"/>
      <c r="P221" s="366"/>
    </row>
    <row r="222" spans="1:16" ht="30" customHeight="1" x14ac:dyDescent="0.2">
      <c r="A222" s="7656"/>
      <c r="B222" s="7665"/>
      <c r="C222" s="7747"/>
      <c r="D222" s="6385">
        <v>450000000</v>
      </c>
      <c r="E222" s="6471">
        <v>5.1999999999999998E-2</v>
      </c>
      <c r="F222" s="6393">
        <v>23500000</v>
      </c>
      <c r="G222" s="8234"/>
      <c r="H222" s="8234"/>
      <c r="I222" s="8234"/>
      <c r="J222" s="8234"/>
      <c r="K222" s="7586"/>
      <c r="L222" s="29"/>
      <c r="M222" s="366"/>
      <c r="N222" s="366"/>
      <c r="O222" s="366"/>
      <c r="P222" s="366"/>
    </row>
    <row r="223" spans="1:16" ht="30" customHeight="1" x14ac:dyDescent="0.2">
      <c r="A223" s="7656"/>
      <c r="B223" s="7665"/>
      <c r="C223" s="7747"/>
      <c r="D223" s="7470" t="s">
        <v>5866</v>
      </c>
      <c r="E223" s="7510"/>
      <c r="F223" s="6393">
        <v>1200000</v>
      </c>
      <c r="G223" s="8234"/>
      <c r="H223" s="8234"/>
      <c r="I223" s="8234"/>
      <c r="J223" s="8234"/>
      <c r="K223" s="7586"/>
      <c r="L223" s="29"/>
      <c r="M223" s="366"/>
      <c r="N223" s="366"/>
      <c r="O223" s="366"/>
      <c r="P223" s="366"/>
    </row>
    <row r="224" spans="1:16" ht="30" customHeight="1" x14ac:dyDescent="0.2">
      <c r="A224" s="7656"/>
      <c r="B224" s="7665"/>
      <c r="C224" s="7747"/>
      <c r="D224" s="6393">
        <v>100000000</v>
      </c>
      <c r="E224" s="6471">
        <v>0.06</v>
      </c>
      <c r="F224" s="6393">
        <f>D224*E224</f>
        <v>6000000</v>
      </c>
      <c r="G224" s="8234"/>
      <c r="H224" s="8234"/>
      <c r="I224" s="8234"/>
      <c r="J224" s="8234"/>
      <c r="K224" s="7586"/>
      <c r="L224" s="29"/>
      <c r="M224" s="366"/>
      <c r="N224" s="366"/>
      <c r="O224" s="366"/>
      <c r="P224" s="366"/>
    </row>
    <row r="225" spans="1:16" ht="30" customHeight="1" x14ac:dyDescent="0.2">
      <c r="A225" s="7656"/>
      <c r="B225" s="7665"/>
      <c r="C225" s="7747"/>
      <c r="D225" s="6393">
        <v>50000000</v>
      </c>
      <c r="E225" s="6471">
        <v>0.06</v>
      </c>
      <c r="F225" s="6393">
        <f>D225*E225</f>
        <v>3000000</v>
      </c>
      <c r="G225" s="8234"/>
      <c r="H225" s="8234"/>
      <c r="I225" s="8234"/>
      <c r="J225" s="8234"/>
      <c r="K225" s="7586"/>
      <c r="L225" s="180"/>
      <c r="M225" s="366"/>
      <c r="N225" s="366"/>
      <c r="O225" s="366"/>
      <c r="P225" s="366"/>
    </row>
    <row r="226" spans="1:16" ht="30" customHeight="1" x14ac:dyDescent="0.2">
      <c r="A226" s="7655"/>
      <c r="B226" s="7653"/>
      <c r="C226" s="7724"/>
      <c r="D226" s="6494">
        <f>D221+D222+D224+D225</f>
        <v>693000000</v>
      </c>
      <c r="E226" s="6552"/>
      <c r="F226" s="6494">
        <f>SUM(F221:F225)</f>
        <v>40200000</v>
      </c>
      <c r="G226" s="7925"/>
      <c r="H226" s="7925"/>
      <c r="I226" s="7925"/>
      <c r="J226" s="7925"/>
      <c r="K226" s="7564"/>
      <c r="L226" s="180"/>
      <c r="M226" s="366"/>
      <c r="N226" s="366"/>
      <c r="O226" s="366"/>
      <c r="P226" s="366"/>
    </row>
    <row r="227" spans="1:16" ht="30" customHeight="1" x14ac:dyDescent="0.2">
      <c r="A227" s="7654">
        <v>90</v>
      </c>
      <c r="B227" s="7652" t="s">
        <v>220</v>
      </c>
      <c r="C227" s="7723" t="s">
        <v>1172</v>
      </c>
      <c r="D227" s="6393">
        <v>130000000</v>
      </c>
      <c r="E227" s="6471">
        <v>7.0000000000000007E-2</v>
      </c>
      <c r="F227" s="6393">
        <f>D227*E227</f>
        <v>9100000</v>
      </c>
      <c r="G227" s="8494" t="s">
        <v>6812</v>
      </c>
      <c r="H227" s="8494"/>
      <c r="I227" s="8494"/>
      <c r="J227" s="8494"/>
      <c r="K227" s="7482">
        <f>F227+F228+F229</f>
        <v>15327600</v>
      </c>
      <c r="L227" s="345" t="s">
        <v>6741</v>
      </c>
      <c r="M227" s="366"/>
      <c r="N227" s="366"/>
      <c r="O227" s="366"/>
      <c r="P227" s="366"/>
    </row>
    <row r="228" spans="1:16" ht="30" customHeight="1" x14ac:dyDescent="0.2">
      <c r="A228" s="7656"/>
      <c r="B228" s="7665"/>
      <c r="C228" s="7747"/>
      <c r="D228" s="6393">
        <v>100000000</v>
      </c>
      <c r="E228" s="6471">
        <v>5.3999999999999999E-2</v>
      </c>
      <c r="F228" s="6393">
        <v>5360000</v>
      </c>
      <c r="G228" s="8494"/>
      <c r="H228" s="8494"/>
      <c r="I228" s="8494"/>
      <c r="J228" s="8494"/>
      <c r="K228" s="7482"/>
      <c r="L228" s="710" t="s">
        <v>6742</v>
      </c>
      <c r="M228" s="366"/>
      <c r="N228" s="366"/>
      <c r="O228" s="366"/>
      <c r="P228" s="366"/>
    </row>
    <row r="229" spans="1:16" ht="30" customHeight="1" x14ac:dyDescent="0.2">
      <c r="A229" s="7656"/>
      <c r="B229" s="7665"/>
      <c r="C229" s="7747"/>
      <c r="D229" s="6393">
        <v>14460000</v>
      </c>
      <c r="E229" s="6471">
        <v>0.06</v>
      </c>
      <c r="F229" s="6393">
        <f>D229*E229</f>
        <v>867600</v>
      </c>
      <c r="G229" s="8494"/>
      <c r="H229" s="8494"/>
      <c r="I229" s="8494"/>
      <c r="J229" s="8494"/>
      <c r="K229" s="7482"/>
      <c r="L229" s="735"/>
      <c r="M229" s="366"/>
      <c r="N229" s="366"/>
      <c r="O229" s="366"/>
      <c r="P229" s="366"/>
    </row>
    <row r="230" spans="1:16" ht="30" customHeight="1" x14ac:dyDescent="0.2">
      <c r="A230" s="7656"/>
      <c r="B230" s="7665"/>
      <c r="C230" s="7747"/>
      <c r="D230" s="6393">
        <v>15327600</v>
      </c>
      <c r="E230" s="6471">
        <v>0.06</v>
      </c>
      <c r="F230" s="6393">
        <f>D230*E230</f>
        <v>919656</v>
      </c>
      <c r="G230" s="233"/>
      <c r="H230" s="233"/>
      <c r="I230" s="233"/>
      <c r="J230" s="233"/>
      <c r="K230" s="233"/>
      <c r="L230" s="735"/>
      <c r="M230" s="366"/>
      <c r="N230" s="366"/>
      <c r="O230" s="366"/>
      <c r="P230" s="366"/>
    </row>
    <row r="231" spans="1:16" ht="30" customHeight="1" x14ac:dyDescent="0.2">
      <c r="A231" s="7656"/>
      <c r="B231" s="7665"/>
      <c r="C231" s="7747"/>
      <c r="D231" s="6393">
        <v>100000000</v>
      </c>
      <c r="E231" s="6471">
        <v>0.06</v>
      </c>
      <c r="F231" s="6393">
        <f>D231*E231</f>
        <v>6000000</v>
      </c>
      <c r="G231" s="1539"/>
      <c r="H231" s="6385"/>
      <c r="I231" s="6467"/>
      <c r="J231" s="6385"/>
      <c r="K231" s="233"/>
      <c r="L231" s="735" t="s">
        <v>6811</v>
      </c>
      <c r="M231" s="366"/>
      <c r="N231" s="366"/>
      <c r="O231" s="366"/>
      <c r="P231" s="366"/>
    </row>
    <row r="232" spans="1:16" ht="30" customHeight="1" x14ac:dyDescent="0.2">
      <c r="A232" s="7655"/>
      <c r="B232" s="7653"/>
      <c r="C232" s="7724"/>
      <c r="D232" s="6417">
        <v>360000000</v>
      </c>
      <c r="E232" s="6529">
        <f>F232/D232</f>
        <v>6.183333333333333E-2</v>
      </c>
      <c r="F232" s="6417">
        <v>22260000</v>
      </c>
      <c r="G232" s="6385"/>
      <c r="H232" s="6385"/>
      <c r="I232" s="6385" t="s">
        <v>1808</v>
      </c>
      <c r="J232" s="6385">
        <f>G232</f>
        <v>0</v>
      </c>
      <c r="K232" s="6385">
        <f>F232-J232</f>
        <v>22260000</v>
      </c>
      <c r="L232" s="735" t="s">
        <v>7496</v>
      </c>
      <c r="M232" s="366"/>
      <c r="N232" s="366"/>
      <c r="O232" s="366"/>
      <c r="P232" s="366"/>
    </row>
    <row r="233" spans="1:16" ht="30" customHeight="1" x14ac:dyDescent="0.2">
      <c r="A233" s="7654">
        <v>91</v>
      </c>
      <c r="B233" s="7652" t="s">
        <v>4466</v>
      </c>
      <c r="C233" s="7723"/>
      <c r="D233" s="6393">
        <v>50000000</v>
      </c>
      <c r="E233" s="6471">
        <v>0.05</v>
      </c>
      <c r="F233" s="6393">
        <f t="shared" si="13"/>
        <v>2500000</v>
      </c>
      <c r="G233" s="7563"/>
      <c r="H233" s="7563"/>
      <c r="I233" s="7772" t="s">
        <v>4464</v>
      </c>
      <c r="J233" s="7563">
        <f>G233</f>
        <v>0</v>
      </c>
      <c r="K233" s="7563">
        <f>(F233+F234+F235+F236)-J233</f>
        <v>16500000</v>
      </c>
      <c r="L233" s="7713"/>
      <c r="M233" s="366"/>
      <c r="N233" s="366"/>
      <c r="O233" s="366"/>
      <c r="P233" s="366"/>
    </row>
    <row r="234" spans="1:16" ht="30" customHeight="1" x14ac:dyDescent="0.2">
      <c r="A234" s="7656"/>
      <c r="B234" s="7665"/>
      <c r="C234" s="7747"/>
      <c r="D234" s="6393">
        <v>30000000</v>
      </c>
      <c r="E234" s="6471">
        <v>0.05</v>
      </c>
      <c r="F234" s="6393">
        <f t="shared" si="13"/>
        <v>1500000</v>
      </c>
      <c r="G234" s="7586"/>
      <c r="H234" s="7586"/>
      <c r="I234" s="8185"/>
      <c r="J234" s="7586"/>
      <c r="K234" s="7586"/>
      <c r="L234" s="7797"/>
      <c r="M234" s="366"/>
      <c r="N234" s="366"/>
      <c r="O234" s="366"/>
      <c r="P234" s="366"/>
    </row>
    <row r="235" spans="1:16" ht="30" customHeight="1" x14ac:dyDescent="0.2">
      <c r="A235" s="7656"/>
      <c r="B235" s="7665"/>
      <c r="C235" s="7747"/>
      <c r="D235" s="6393">
        <v>200000000</v>
      </c>
      <c r="E235" s="6471">
        <v>0.05</v>
      </c>
      <c r="F235" s="6393">
        <f t="shared" si="13"/>
        <v>10000000</v>
      </c>
      <c r="G235" s="7564"/>
      <c r="H235" s="7564"/>
      <c r="I235" s="7773"/>
      <c r="J235" s="7564"/>
      <c r="K235" s="7564"/>
      <c r="L235" s="7714"/>
      <c r="M235" s="366"/>
      <c r="N235" s="366"/>
      <c r="O235" s="366"/>
      <c r="P235" s="366"/>
    </row>
    <row r="236" spans="1:16" ht="30" customHeight="1" x14ac:dyDescent="0.2">
      <c r="A236" s="7656"/>
      <c r="B236" s="7665"/>
      <c r="C236" s="7747"/>
      <c r="D236" s="7563">
        <v>50000000</v>
      </c>
      <c r="E236" s="7659">
        <v>0.05</v>
      </c>
      <c r="F236" s="7563">
        <f t="shared" si="13"/>
        <v>2500000</v>
      </c>
      <c r="G236" s="7732" t="s">
        <v>6957</v>
      </c>
      <c r="H236" s="7733"/>
      <c r="I236" s="7733"/>
      <c r="J236" s="7734"/>
      <c r="K236" s="6392"/>
      <c r="L236" s="6426" t="s">
        <v>6958</v>
      </c>
      <c r="M236" s="366"/>
      <c r="N236" s="366"/>
      <c r="O236" s="366"/>
      <c r="P236" s="366"/>
    </row>
    <row r="237" spans="1:16" ht="30" customHeight="1" x14ac:dyDescent="0.2">
      <c r="A237" s="7656"/>
      <c r="B237" s="7665"/>
      <c r="C237" s="7747"/>
      <c r="D237" s="7586"/>
      <c r="E237" s="7676"/>
      <c r="F237" s="7586"/>
      <c r="G237" s="7732" t="s">
        <v>7045</v>
      </c>
      <c r="H237" s="7733"/>
      <c r="I237" s="7733"/>
      <c r="J237" s="7734"/>
      <c r="K237" s="6392"/>
      <c r="L237" s="6450"/>
      <c r="M237" s="366"/>
      <c r="N237" s="366"/>
      <c r="O237" s="366"/>
      <c r="P237" s="366"/>
    </row>
    <row r="238" spans="1:16" ht="30" customHeight="1" x14ac:dyDescent="0.2">
      <c r="A238" s="7655"/>
      <c r="B238" s="7653"/>
      <c r="C238" s="7724"/>
      <c r="D238" s="7564"/>
      <c r="E238" s="7660"/>
      <c r="F238" s="7564"/>
      <c r="G238" s="7732" t="s">
        <v>6964</v>
      </c>
      <c r="H238" s="7733"/>
      <c r="I238" s="7733"/>
      <c r="J238" s="7734"/>
      <c r="K238" s="6392"/>
      <c r="L238" s="6450"/>
      <c r="M238" s="366"/>
      <c r="N238" s="366"/>
      <c r="O238" s="366"/>
      <c r="P238" s="366"/>
    </row>
    <row r="239" spans="1:16" ht="30" customHeight="1" x14ac:dyDescent="0.2">
      <c r="A239" s="7654">
        <v>92</v>
      </c>
      <c r="B239" s="7652" t="s">
        <v>749</v>
      </c>
      <c r="C239" s="7723" t="s">
        <v>889</v>
      </c>
      <c r="D239" s="6385">
        <v>50000000</v>
      </c>
      <c r="E239" s="6471">
        <v>7.0000000000000007E-2</v>
      </c>
      <c r="F239" s="6385">
        <f t="shared" si="13"/>
        <v>3500000.0000000005</v>
      </c>
      <c r="G239" s="7563"/>
      <c r="H239" s="7563"/>
      <c r="I239" s="7561" t="s">
        <v>3009</v>
      </c>
      <c r="J239" s="7563">
        <f>G239</f>
        <v>0</v>
      </c>
      <c r="K239" s="7563">
        <f>(F239+F240+F241+F242)-J239</f>
        <v>25500000</v>
      </c>
      <c r="L239" s="6468"/>
      <c r="M239" s="366"/>
      <c r="N239" s="366"/>
      <c r="O239" s="366"/>
      <c r="P239" s="366"/>
    </row>
    <row r="240" spans="1:16" ht="30" customHeight="1" x14ac:dyDescent="0.2">
      <c r="A240" s="7656"/>
      <c r="B240" s="7665"/>
      <c r="C240" s="7747"/>
      <c r="D240" s="6393">
        <v>270000000</v>
      </c>
      <c r="E240" s="6402">
        <v>0.05</v>
      </c>
      <c r="F240" s="6385">
        <f t="shared" si="13"/>
        <v>13500000</v>
      </c>
      <c r="G240" s="7586"/>
      <c r="H240" s="7586"/>
      <c r="I240" s="7672"/>
      <c r="J240" s="7586"/>
      <c r="K240" s="7586"/>
      <c r="L240" s="6468"/>
      <c r="M240" s="366"/>
      <c r="N240" s="366"/>
      <c r="O240" s="366"/>
      <c r="P240" s="366"/>
    </row>
    <row r="241" spans="1:16" ht="30" customHeight="1" x14ac:dyDescent="0.2">
      <c r="A241" s="7656"/>
      <c r="B241" s="7665"/>
      <c r="C241" s="7747"/>
      <c r="D241" s="6393">
        <v>20000000</v>
      </c>
      <c r="E241" s="6402">
        <v>0.05</v>
      </c>
      <c r="F241" s="6393">
        <f t="shared" si="13"/>
        <v>1000000</v>
      </c>
      <c r="G241" s="7586"/>
      <c r="H241" s="7586"/>
      <c r="I241" s="7672"/>
      <c r="J241" s="7586"/>
      <c r="K241" s="7586"/>
      <c r="L241" s="6536"/>
      <c r="M241" s="366"/>
      <c r="N241" s="366"/>
      <c r="O241" s="366"/>
      <c r="P241" s="366"/>
    </row>
    <row r="242" spans="1:16" ht="30" customHeight="1" x14ac:dyDescent="0.2">
      <c r="A242" s="7656"/>
      <c r="B242" s="7665"/>
      <c r="C242" s="7724"/>
      <c r="D242" s="6393">
        <v>150000000</v>
      </c>
      <c r="E242" s="6402">
        <v>0.05</v>
      </c>
      <c r="F242" s="6393">
        <f t="shared" si="13"/>
        <v>7500000</v>
      </c>
      <c r="G242" s="7564"/>
      <c r="H242" s="7564"/>
      <c r="I242" s="7562"/>
      <c r="J242" s="7564"/>
      <c r="K242" s="7564"/>
      <c r="L242" s="6536"/>
      <c r="M242" s="366"/>
      <c r="N242" s="366"/>
      <c r="O242" s="366"/>
      <c r="P242" s="366"/>
    </row>
    <row r="243" spans="1:16" ht="30" customHeight="1" x14ac:dyDescent="0.2">
      <c r="A243" s="7656"/>
      <c r="B243" s="7665"/>
      <c r="C243" s="7723" t="s">
        <v>1287</v>
      </c>
      <c r="D243" s="6393">
        <v>273000000</v>
      </c>
      <c r="E243" s="6402">
        <f>F243/D243</f>
        <v>5.4615384615384614E-2</v>
      </c>
      <c r="F243" s="6393">
        <v>14910000</v>
      </c>
      <c r="G243" s="7482"/>
      <c r="H243" s="7482"/>
      <c r="I243" s="7482" t="s">
        <v>3009</v>
      </c>
      <c r="J243" s="7563">
        <f>G243+G245</f>
        <v>0</v>
      </c>
      <c r="K243" s="7563">
        <f>(F243+F244+F245)-J243</f>
        <v>20410000</v>
      </c>
      <c r="L243" s="180"/>
      <c r="M243" s="366"/>
      <c r="N243" s="366"/>
      <c r="O243" s="366"/>
      <c r="P243" s="366"/>
    </row>
    <row r="244" spans="1:16" ht="30" customHeight="1" x14ac:dyDescent="0.2">
      <c r="A244" s="7656"/>
      <c r="B244" s="7665"/>
      <c r="C244" s="7747"/>
      <c r="D244" s="6385">
        <v>100000000</v>
      </c>
      <c r="E244" s="6471">
        <v>0.05</v>
      </c>
      <c r="F244" s="6385">
        <f>D244*E244</f>
        <v>5000000</v>
      </c>
      <c r="G244" s="7482"/>
      <c r="H244" s="7482"/>
      <c r="I244" s="7482"/>
      <c r="J244" s="7586"/>
      <c r="K244" s="7586"/>
      <c r="L244" s="180"/>
      <c r="M244" s="366"/>
      <c r="N244" s="366"/>
      <c r="O244" s="366"/>
      <c r="P244" s="366"/>
    </row>
    <row r="245" spans="1:16" ht="30" customHeight="1" x14ac:dyDescent="0.2">
      <c r="A245" s="7655"/>
      <c r="B245" s="7653"/>
      <c r="C245" s="7724"/>
      <c r="D245" s="6474">
        <v>10000000</v>
      </c>
      <c r="E245" s="6409">
        <v>0.05</v>
      </c>
      <c r="F245" s="6392">
        <f>D245*E245</f>
        <v>500000</v>
      </c>
      <c r="G245" s="6393"/>
      <c r="H245" s="6393"/>
      <c r="I245" s="6393" t="s">
        <v>3009</v>
      </c>
      <c r="J245" s="7564"/>
      <c r="K245" s="7564"/>
      <c r="L245" s="180"/>
      <c r="M245" s="366"/>
      <c r="N245" s="366"/>
      <c r="O245" s="366"/>
      <c r="P245" s="366"/>
    </row>
    <row r="246" spans="1:16" ht="30" customHeight="1" x14ac:dyDescent="0.2">
      <c r="A246" s="6397"/>
      <c r="B246" s="6399" t="s">
        <v>222</v>
      </c>
      <c r="C246" s="6472" t="s">
        <v>889</v>
      </c>
      <c r="D246" s="6385">
        <v>40000000</v>
      </c>
      <c r="E246" s="6471">
        <v>5.5E-2</v>
      </c>
      <c r="F246" s="6385">
        <f>D246*E246</f>
        <v>2200000</v>
      </c>
      <c r="G246" s="6385">
        <v>2200000</v>
      </c>
      <c r="H246" s="6385" t="s">
        <v>7864</v>
      </c>
      <c r="I246" s="6385" t="s">
        <v>7871</v>
      </c>
      <c r="J246" s="6385">
        <f>F246</f>
        <v>2200000</v>
      </c>
      <c r="K246" s="6385">
        <f>F246-J246</f>
        <v>0</v>
      </c>
      <c r="L246" s="6536"/>
      <c r="M246" s="366"/>
      <c r="N246" s="366"/>
      <c r="O246" s="366"/>
      <c r="P246" s="366"/>
    </row>
    <row r="247" spans="1:16" ht="30" customHeight="1" x14ac:dyDescent="0.2">
      <c r="A247" s="6475">
        <v>94</v>
      </c>
      <c r="B247" s="6431" t="s">
        <v>1144</v>
      </c>
      <c r="C247" s="6434"/>
      <c r="D247" s="6393">
        <v>25000000</v>
      </c>
      <c r="E247" s="6471">
        <v>0.04</v>
      </c>
      <c r="F247" s="6393">
        <f>D247*E247</f>
        <v>1000000</v>
      </c>
      <c r="G247" s="6393"/>
      <c r="H247" s="6393"/>
      <c r="I247" s="6512" t="s">
        <v>1146</v>
      </c>
      <c r="J247" s="6393">
        <f>G247</f>
        <v>0</v>
      </c>
      <c r="K247" s="6393">
        <f t="shared" ref="K247:K250" si="21">F247-J247</f>
        <v>1000000</v>
      </c>
      <c r="L247" s="6431"/>
      <c r="M247" s="366"/>
      <c r="N247" s="366"/>
      <c r="O247" s="366"/>
      <c r="P247" s="366"/>
    </row>
    <row r="248" spans="1:16" ht="30" customHeight="1" x14ac:dyDescent="0.2">
      <c r="A248" s="6398"/>
      <c r="B248" s="19" t="s">
        <v>223</v>
      </c>
      <c r="C248" s="6472" t="s">
        <v>1172</v>
      </c>
      <c r="D248" s="6385">
        <v>355000000</v>
      </c>
      <c r="E248" s="6471">
        <v>0.05</v>
      </c>
      <c r="F248" s="6385">
        <v>17800000</v>
      </c>
      <c r="G248" s="6385"/>
      <c r="H248" s="6385"/>
      <c r="I248" s="6467" t="s">
        <v>3431</v>
      </c>
      <c r="J248" s="6385">
        <f>G248</f>
        <v>0</v>
      </c>
      <c r="K248" s="6385">
        <f t="shared" si="21"/>
        <v>17800000</v>
      </c>
      <c r="L248" s="378" t="s">
        <v>6887</v>
      </c>
      <c r="M248" s="366"/>
      <c r="N248" s="366"/>
      <c r="O248" s="366"/>
      <c r="P248" s="366"/>
    </row>
    <row r="249" spans="1:16" ht="30" customHeight="1" x14ac:dyDescent="0.2">
      <c r="A249" s="6475">
        <v>99</v>
      </c>
      <c r="B249" s="6431" t="s">
        <v>227</v>
      </c>
      <c r="C249" s="6434" t="s">
        <v>1297</v>
      </c>
      <c r="D249" s="6393">
        <v>100000000</v>
      </c>
      <c r="E249" s="6471">
        <v>0.04</v>
      </c>
      <c r="F249" s="6393">
        <f>D249*E249</f>
        <v>4000000</v>
      </c>
      <c r="G249" s="6393"/>
      <c r="H249" s="6393"/>
      <c r="I249" s="6481" t="s">
        <v>4847</v>
      </c>
      <c r="J249" s="6393">
        <f>G249</f>
        <v>0</v>
      </c>
      <c r="K249" s="6393">
        <f t="shared" si="21"/>
        <v>4000000</v>
      </c>
      <c r="L249" s="6431"/>
      <c r="M249" s="366"/>
      <c r="N249" s="366"/>
      <c r="O249" s="366"/>
      <c r="P249" s="366"/>
    </row>
    <row r="250" spans="1:16" ht="30" customHeight="1" x14ac:dyDescent="0.2">
      <c r="A250" s="6475">
        <v>100</v>
      </c>
      <c r="B250" s="6431" t="s">
        <v>228</v>
      </c>
      <c r="C250" s="6434" t="s">
        <v>392</v>
      </c>
      <c r="D250" s="6393">
        <v>101000000</v>
      </c>
      <c r="E250" s="6471">
        <v>5.0999999999999997E-2</v>
      </c>
      <c r="F250" s="6393">
        <v>5100000</v>
      </c>
      <c r="G250" s="6393"/>
      <c r="H250" s="6393"/>
      <c r="I250" s="6512" t="s">
        <v>7581</v>
      </c>
      <c r="J250" s="6393">
        <f>G250</f>
        <v>0</v>
      </c>
      <c r="K250" s="6393">
        <f t="shared" si="21"/>
        <v>5100000</v>
      </c>
      <c r="L250" s="6431"/>
      <c r="M250" s="366"/>
      <c r="N250" s="366"/>
      <c r="O250" s="366"/>
      <c r="P250" s="366"/>
    </row>
    <row r="251" spans="1:16" ht="30" customHeight="1" x14ac:dyDescent="0.2">
      <c r="A251" s="7795"/>
      <c r="B251" s="7652" t="s">
        <v>177</v>
      </c>
      <c r="C251" s="7723" t="s">
        <v>1080</v>
      </c>
      <c r="D251" s="6385">
        <v>100000000</v>
      </c>
      <c r="E251" s="6471">
        <v>0.06</v>
      </c>
      <c r="F251" s="6385">
        <f>D251*E251</f>
        <v>6000000</v>
      </c>
      <c r="G251" s="7563"/>
      <c r="H251" s="7563"/>
      <c r="I251" s="7563" t="s">
        <v>3345</v>
      </c>
      <c r="J251" s="7563">
        <f>G251</f>
        <v>0</v>
      </c>
      <c r="K251" s="7563">
        <f>(F251+F252)-J251</f>
        <v>8100000</v>
      </c>
      <c r="L251" s="6472" t="s">
        <v>5350</v>
      </c>
      <c r="M251" s="366"/>
      <c r="N251" s="366"/>
      <c r="O251" s="366"/>
      <c r="P251" s="366"/>
    </row>
    <row r="252" spans="1:16" ht="30" customHeight="1" x14ac:dyDescent="0.2">
      <c r="A252" s="7796"/>
      <c r="B252" s="7653"/>
      <c r="C252" s="7724"/>
      <c r="D252" s="6391">
        <v>35000000</v>
      </c>
      <c r="E252" s="6401">
        <v>0.06</v>
      </c>
      <c r="F252" s="6391">
        <f>D252*E252</f>
        <v>2100000</v>
      </c>
      <c r="G252" s="7564"/>
      <c r="H252" s="7564"/>
      <c r="I252" s="7564"/>
      <c r="J252" s="7564"/>
      <c r="K252" s="7564"/>
      <c r="L252" s="6536"/>
      <c r="M252" s="366"/>
      <c r="N252" s="366"/>
      <c r="O252" s="366"/>
      <c r="P252" s="366"/>
    </row>
    <row r="253" spans="1:16" ht="30" customHeight="1" x14ac:dyDescent="0.2">
      <c r="A253" s="7703"/>
      <c r="B253" s="8291" t="s">
        <v>6067</v>
      </c>
      <c r="C253" s="8341"/>
      <c r="D253" s="7563">
        <v>350000000</v>
      </c>
      <c r="E253" s="7659">
        <v>0.05</v>
      </c>
      <c r="F253" s="7563">
        <f>D253*E253</f>
        <v>17500000</v>
      </c>
      <c r="G253" s="7563">
        <v>17500000</v>
      </c>
      <c r="H253" s="7563" t="s">
        <v>7864</v>
      </c>
      <c r="I253" s="7563" t="s">
        <v>6791</v>
      </c>
      <c r="J253" s="7563">
        <f>G253</f>
        <v>17500000</v>
      </c>
      <c r="K253" s="7563">
        <f>F253-J253</f>
        <v>0</v>
      </c>
      <c r="L253" s="6536"/>
      <c r="M253" s="366"/>
      <c r="N253" s="366"/>
      <c r="O253" s="366"/>
      <c r="P253" s="366"/>
    </row>
    <row r="254" spans="1:16" ht="30" customHeight="1" x14ac:dyDescent="0.2">
      <c r="A254" s="7704"/>
      <c r="B254" s="8292"/>
      <c r="C254" s="8342"/>
      <c r="D254" s="7564"/>
      <c r="E254" s="7660"/>
      <c r="F254" s="7564"/>
      <c r="G254" s="7564"/>
      <c r="H254" s="7564"/>
      <c r="I254" s="7564"/>
      <c r="J254" s="7564"/>
      <c r="K254" s="7564"/>
      <c r="L254" s="6536"/>
      <c r="M254" s="366"/>
      <c r="N254" s="366"/>
      <c r="O254" s="366"/>
      <c r="P254" s="366"/>
    </row>
    <row r="255" spans="1:16" ht="30" customHeight="1" x14ac:dyDescent="0.2">
      <c r="A255" s="7704"/>
      <c r="B255" s="8292"/>
      <c r="C255" s="8342"/>
      <c r="D255" s="6393">
        <v>110000000</v>
      </c>
      <c r="E255" s="6402">
        <v>0.05</v>
      </c>
      <c r="F255" s="6393">
        <f>D255*E255</f>
        <v>5500000</v>
      </c>
      <c r="G255" s="233"/>
      <c r="H255" s="233"/>
      <c r="I255" s="233"/>
      <c r="J255" s="233"/>
      <c r="K255" s="6393"/>
      <c r="L255" s="6536" t="s">
        <v>7039</v>
      </c>
      <c r="M255" s="366"/>
      <c r="N255" s="366"/>
      <c r="O255" s="366"/>
      <c r="P255" s="366"/>
    </row>
    <row r="256" spans="1:16" ht="30" customHeight="1" x14ac:dyDescent="0.2">
      <c r="A256" s="7704"/>
      <c r="B256" s="8292"/>
      <c r="C256" s="8342"/>
      <c r="D256" s="6393">
        <v>40000000</v>
      </c>
      <c r="E256" s="6402">
        <v>0.05</v>
      </c>
      <c r="F256" s="6393">
        <f>D256*E256</f>
        <v>2000000</v>
      </c>
      <c r="G256" s="233"/>
      <c r="H256" s="233"/>
      <c r="I256" s="233"/>
      <c r="J256" s="233"/>
      <c r="K256" s="6393"/>
      <c r="L256" s="6536" t="s">
        <v>7040</v>
      </c>
      <c r="M256" s="366"/>
      <c r="N256" s="366"/>
      <c r="O256" s="366"/>
      <c r="P256" s="366"/>
    </row>
    <row r="257" spans="1:16" ht="30" customHeight="1" x14ac:dyDescent="0.2">
      <c r="A257" s="7704"/>
      <c r="B257" s="8292"/>
      <c r="C257" s="8342"/>
      <c r="D257" s="6385">
        <v>200000000</v>
      </c>
      <c r="E257" s="6385"/>
      <c r="F257" s="6385"/>
      <c r="G257" s="233"/>
      <c r="H257" s="233"/>
      <c r="I257" s="233"/>
      <c r="J257" s="233"/>
      <c r="K257" s="6393"/>
      <c r="L257" s="6536" t="s">
        <v>7569</v>
      </c>
      <c r="M257" s="366"/>
      <c r="N257" s="366"/>
      <c r="O257" s="366"/>
      <c r="P257" s="366"/>
    </row>
    <row r="258" spans="1:16" ht="30" customHeight="1" x14ac:dyDescent="0.2">
      <c r="A258" s="7705"/>
      <c r="B258" s="8293"/>
      <c r="C258" s="8343"/>
      <c r="D258" s="6417">
        <v>700000000</v>
      </c>
      <c r="E258" s="6415">
        <v>0.05</v>
      </c>
      <c r="F258" s="6417">
        <f>D258*E258</f>
        <v>35000000</v>
      </c>
      <c r="G258" s="233"/>
      <c r="H258" s="233"/>
      <c r="I258" s="233"/>
      <c r="J258" s="233"/>
      <c r="K258" s="6393"/>
      <c r="L258" s="6536" t="s">
        <v>7568</v>
      </c>
      <c r="M258" s="366"/>
      <c r="N258" s="366"/>
      <c r="O258" s="366"/>
      <c r="P258" s="366"/>
    </row>
    <row r="259" spans="1:16" s="1539" customFormat="1" ht="30" customHeight="1" x14ac:dyDescent="0.2">
      <c r="A259" s="6475"/>
      <c r="B259" s="6431" t="s">
        <v>230</v>
      </c>
      <c r="C259" s="6472" t="s">
        <v>1172</v>
      </c>
      <c r="D259" s="6385">
        <v>37000000</v>
      </c>
      <c r="E259" s="6471">
        <v>5.5E-2</v>
      </c>
      <c r="F259" s="6385">
        <v>2000000</v>
      </c>
      <c r="G259" s="6385"/>
      <c r="H259" s="6385"/>
      <c r="I259" s="6385" t="s">
        <v>1551</v>
      </c>
      <c r="J259" s="6385">
        <f>G259</f>
        <v>0</v>
      </c>
      <c r="K259" s="6385">
        <f>F259-J259</f>
        <v>2000000</v>
      </c>
      <c r="L259" s="6536"/>
      <c r="M259" s="9"/>
      <c r="N259" s="9"/>
      <c r="O259" s="9"/>
      <c r="P259" s="9"/>
    </row>
    <row r="260" spans="1:16" ht="30" customHeight="1" x14ac:dyDescent="0.2">
      <c r="A260" s="6398">
        <v>104</v>
      </c>
      <c r="B260" s="6400" t="s">
        <v>231</v>
      </c>
      <c r="C260" s="6434" t="s">
        <v>1172</v>
      </c>
      <c r="D260" s="6393">
        <v>20000000</v>
      </c>
      <c r="E260" s="6402">
        <v>0.05</v>
      </c>
      <c r="F260" s="6393">
        <f t="shared" si="13"/>
        <v>1000000</v>
      </c>
      <c r="G260" s="6393"/>
      <c r="H260" s="6393"/>
      <c r="I260" s="6512" t="s">
        <v>3437</v>
      </c>
      <c r="J260" s="6393">
        <f>G260</f>
        <v>0</v>
      </c>
      <c r="K260" s="6393">
        <f>F260-J260</f>
        <v>1000000</v>
      </c>
      <c r="L260" s="6400"/>
      <c r="M260" s="366"/>
      <c r="N260" s="366"/>
      <c r="O260" s="366"/>
      <c r="P260" s="366"/>
    </row>
    <row r="261" spans="1:16" ht="30" customHeight="1" x14ac:dyDescent="0.2">
      <c r="A261" s="7654">
        <v>105</v>
      </c>
      <c r="B261" s="7710" t="s">
        <v>232</v>
      </c>
      <c r="C261" s="7813"/>
      <c r="D261" s="7677"/>
      <c r="E261" s="7691"/>
      <c r="F261" s="7677">
        <f t="shared" ref="F261:F297" si="22">D261*E261</f>
        <v>0</v>
      </c>
      <c r="G261" s="6394"/>
      <c r="H261" s="6394"/>
      <c r="I261" s="909" t="s">
        <v>6797</v>
      </c>
      <c r="J261" s="7677">
        <f>G261+G262</f>
        <v>0</v>
      </c>
      <c r="K261" s="7677">
        <f>F261-J261</f>
        <v>0</v>
      </c>
      <c r="L261" s="6426"/>
    </row>
    <row r="262" spans="1:16" ht="30" customHeight="1" x14ac:dyDescent="0.2">
      <c r="A262" s="7656"/>
      <c r="B262" s="7711"/>
      <c r="C262" s="7814"/>
      <c r="D262" s="7690"/>
      <c r="E262" s="7692"/>
      <c r="F262" s="7690"/>
      <c r="G262" s="6394"/>
      <c r="H262" s="6394"/>
      <c r="I262" s="909"/>
      <c r="J262" s="7678"/>
      <c r="K262" s="7678"/>
      <c r="L262" s="6426"/>
    </row>
    <row r="263" spans="1:16" ht="30" customHeight="1" x14ac:dyDescent="0.2">
      <c r="A263" s="7655"/>
      <c r="B263" s="7712"/>
      <c r="C263" s="7815"/>
      <c r="D263" s="7678"/>
      <c r="E263" s="7693"/>
      <c r="F263" s="7678"/>
      <c r="G263" s="6394"/>
      <c r="H263" s="6394"/>
      <c r="I263" s="909" t="s">
        <v>7240</v>
      </c>
      <c r="J263" s="6411">
        <f>G263</f>
        <v>0</v>
      </c>
      <c r="K263" s="6411"/>
      <c r="L263" s="6426"/>
    </row>
    <row r="264" spans="1:16" ht="30" customHeight="1" x14ac:dyDescent="0.2">
      <c r="A264" s="6397">
        <v>108</v>
      </c>
      <c r="B264" s="6468" t="s">
        <v>235</v>
      </c>
      <c r="C264" s="6433" t="s">
        <v>1172</v>
      </c>
      <c r="D264" s="6385">
        <v>1410000000</v>
      </c>
      <c r="E264" s="6471">
        <v>5.5E-2</v>
      </c>
      <c r="F264" s="6385">
        <f t="shared" si="22"/>
        <v>77550000</v>
      </c>
      <c r="G264" s="6467"/>
      <c r="H264" s="6467"/>
      <c r="I264" s="6467"/>
      <c r="J264" s="6467"/>
      <c r="K264" s="6385">
        <v>0</v>
      </c>
      <c r="L264" s="6472"/>
    </row>
    <row r="265" spans="1:16" ht="30" customHeight="1" x14ac:dyDescent="0.2">
      <c r="A265" s="6475">
        <v>109</v>
      </c>
      <c r="B265" s="6431" t="s">
        <v>236</v>
      </c>
      <c r="C265" s="6472"/>
      <c r="D265" s="6385">
        <v>1000000000</v>
      </c>
      <c r="E265" s="6471">
        <v>0.05</v>
      </c>
      <c r="F265" s="6385">
        <f t="shared" si="22"/>
        <v>50000000</v>
      </c>
      <c r="G265" s="6393"/>
      <c r="H265" s="6393"/>
      <c r="I265" s="6512" t="s">
        <v>4427</v>
      </c>
      <c r="J265" s="6393">
        <f t="shared" ref="J265:J268" si="23">G265</f>
        <v>0</v>
      </c>
      <c r="K265" s="6393">
        <f t="shared" ref="K265:K267" si="24">F265-J265</f>
        <v>50000000</v>
      </c>
      <c r="L265" s="6426"/>
    </row>
    <row r="266" spans="1:16" ht="30" customHeight="1" x14ac:dyDescent="0.2">
      <c r="A266" s="6398"/>
      <c r="B266" s="19" t="s">
        <v>237</v>
      </c>
      <c r="C266" s="6472" t="s">
        <v>392</v>
      </c>
      <c r="D266" s="6385">
        <v>30000000</v>
      </c>
      <c r="E266" s="6471">
        <v>0.05</v>
      </c>
      <c r="F266" s="6393">
        <f>D266*E266</f>
        <v>1500000</v>
      </c>
      <c r="G266" s="6385"/>
      <c r="H266" s="6385"/>
      <c r="I266" s="6385" t="s">
        <v>550</v>
      </c>
      <c r="J266" s="6385">
        <f t="shared" si="23"/>
        <v>0</v>
      </c>
      <c r="K266" s="6393">
        <f t="shared" si="24"/>
        <v>1500000</v>
      </c>
      <c r="L266" s="6426"/>
    </row>
    <row r="267" spans="1:16" ht="30" customHeight="1" x14ac:dyDescent="0.2">
      <c r="A267" s="6475">
        <v>112</v>
      </c>
      <c r="B267" s="6431" t="s">
        <v>238</v>
      </c>
      <c r="C267" s="6472" t="s">
        <v>889</v>
      </c>
      <c r="D267" s="6393">
        <v>45000000</v>
      </c>
      <c r="E267" s="6471">
        <v>0.05</v>
      </c>
      <c r="F267" s="6393">
        <f t="shared" si="22"/>
        <v>2250000</v>
      </c>
      <c r="G267" s="6393"/>
      <c r="H267" s="6481"/>
      <c r="I267" s="6481" t="s">
        <v>781</v>
      </c>
      <c r="J267" s="6385">
        <f>G267</f>
        <v>0</v>
      </c>
      <c r="K267" s="6393">
        <f t="shared" si="24"/>
        <v>2250000</v>
      </c>
      <c r="L267" s="6536"/>
    </row>
    <row r="268" spans="1:16" ht="30" customHeight="1" x14ac:dyDescent="0.2">
      <c r="A268" s="6398"/>
      <c r="B268" s="6399" t="s">
        <v>6160</v>
      </c>
      <c r="C268" s="7723" t="s">
        <v>1176</v>
      </c>
      <c r="D268" s="6393">
        <v>250000000</v>
      </c>
      <c r="E268" s="6471">
        <v>0.05</v>
      </c>
      <c r="F268" s="6393">
        <f>D268*E268</f>
        <v>12500000</v>
      </c>
      <c r="G268" s="7563"/>
      <c r="H268" s="7563"/>
      <c r="I268" s="7563" t="s">
        <v>6264</v>
      </c>
      <c r="J268" s="7563">
        <f t="shared" si="23"/>
        <v>0</v>
      </c>
      <c r="K268" s="7563"/>
      <c r="L268" s="6426" t="s">
        <v>5469</v>
      </c>
    </row>
    <row r="269" spans="1:16" ht="30" customHeight="1" x14ac:dyDescent="0.2">
      <c r="A269" s="7654"/>
      <c r="B269" s="7652" t="s">
        <v>5469</v>
      </c>
      <c r="C269" s="7747"/>
      <c r="D269" s="6393">
        <v>120000000</v>
      </c>
      <c r="E269" s="6471">
        <v>0.05</v>
      </c>
      <c r="F269" s="6393">
        <f>D269*E269</f>
        <v>6000000</v>
      </c>
      <c r="G269" s="7586"/>
      <c r="H269" s="7586"/>
      <c r="I269" s="7586"/>
      <c r="J269" s="7586"/>
      <c r="K269" s="7586"/>
      <c r="L269" s="6426" t="s">
        <v>5560</v>
      </c>
    </row>
    <row r="270" spans="1:16" ht="30" customHeight="1" x14ac:dyDescent="0.2">
      <c r="A270" s="7656"/>
      <c r="B270" s="7665"/>
      <c r="C270" s="7747"/>
      <c r="D270" s="6393">
        <v>460000000</v>
      </c>
      <c r="E270" s="6471">
        <v>0.05</v>
      </c>
      <c r="F270" s="6393">
        <f>D270*E270</f>
        <v>23000000</v>
      </c>
      <c r="G270" s="7564"/>
      <c r="H270" s="7564"/>
      <c r="I270" s="7564"/>
      <c r="J270" s="7564"/>
      <c r="K270" s="7564"/>
      <c r="L270" s="6426" t="s">
        <v>5802</v>
      </c>
    </row>
    <row r="271" spans="1:16" ht="30" customHeight="1" x14ac:dyDescent="0.2">
      <c r="A271" s="7656"/>
      <c r="B271" s="7665"/>
      <c r="C271" s="7747"/>
      <c r="D271" s="6494">
        <f>SUM(D268:D270)</f>
        <v>830000000</v>
      </c>
      <c r="E271" s="6552">
        <v>0.08</v>
      </c>
      <c r="F271" s="6494">
        <f>D271*E271</f>
        <v>66400000</v>
      </c>
      <c r="G271" s="7732" t="s">
        <v>6159</v>
      </c>
      <c r="H271" s="7733"/>
      <c r="I271" s="7733"/>
      <c r="J271" s="7734"/>
      <c r="K271" s="6393"/>
      <c r="L271" s="6426" t="s">
        <v>6263</v>
      </c>
    </row>
    <row r="272" spans="1:16" ht="30" customHeight="1" x14ac:dyDescent="0.2">
      <c r="A272" s="7655"/>
      <c r="B272" s="7653"/>
      <c r="C272" s="7724"/>
      <c r="D272" s="6411">
        <v>1170000000</v>
      </c>
      <c r="E272" s="2519"/>
      <c r="F272" s="6411"/>
      <c r="G272" s="7850" t="s">
        <v>6165</v>
      </c>
      <c r="H272" s="7851"/>
      <c r="I272" s="7851"/>
      <c r="J272" s="7852"/>
      <c r="K272" s="6411"/>
      <c r="L272" s="6426" t="s">
        <v>6560</v>
      </c>
    </row>
    <row r="273" spans="1:12" ht="30" customHeight="1" x14ac:dyDescent="0.2">
      <c r="A273" s="6475">
        <v>114</v>
      </c>
      <c r="B273" s="6431" t="s">
        <v>240</v>
      </c>
      <c r="C273" s="6434"/>
      <c r="D273" s="6393">
        <v>100000000</v>
      </c>
      <c r="E273" s="6471">
        <v>4.4999999999999998E-2</v>
      </c>
      <c r="F273" s="6393">
        <f t="shared" si="22"/>
        <v>4500000</v>
      </c>
      <c r="G273" s="6393"/>
      <c r="H273" s="6393"/>
      <c r="I273" s="84"/>
      <c r="J273" s="6393">
        <f>G273</f>
        <v>0</v>
      </c>
      <c r="K273" s="6393">
        <f>F273-J273</f>
        <v>4500000</v>
      </c>
      <c r="L273" s="6431"/>
    </row>
    <row r="274" spans="1:12" ht="30" customHeight="1" x14ac:dyDescent="0.2">
      <c r="A274" s="7654"/>
      <c r="B274" s="7652" t="s">
        <v>243</v>
      </c>
      <c r="C274" s="7723" t="s">
        <v>889</v>
      </c>
      <c r="D274" s="6385">
        <v>445000000</v>
      </c>
      <c r="E274" s="6471">
        <v>4.4999999999999998E-2</v>
      </c>
      <c r="F274" s="6385">
        <v>20000000</v>
      </c>
      <c r="G274" s="6393"/>
      <c r="H274" s="6393"/>
      <c r="I274" s="84" t="s">
        <v>2646</v>
      </c>
      <c r="J274" s="6393">
        <f>G274</f>
        <v>0</v>
      </c>
      <c r="K274" s="6393">
        <f>F274-J274</f>
        <v>20000000</v>
      </c>
      <c r="L274" s="6503"/>
    </row>
    <row r="275" spans="1:12" ht="30" customHeight="1" x14ac:dyDescent="0.2">
      <c r="A275" s="7655"/>
      <c r="B275" s="7653"/>
      <c r="C275" s="7724"/>
      <c r="D275" s="6410">
        <v>500000000</v>
      </c>
      <c r="E275" s="6420">
        <v>4.4999999999999998E-2</v>
      </c>
      <c r="F275" s="6410">
        <f>D275*E275</f>
        <v>22500000</v>
      </c>
      <c r="G275" s="6392"/>
      <c r="H275" s="6392"/>
      <c r="I275" s="6507"/>
      <c r="J275" s="6392"/>
      <c r="K275" s="6392"/>
      <c r="L275" s="6536" t="s">
        <v>7216</v>
      </c>
    </row>
    <row r="276" spans="1:12" ht="30" customHeight="1" x14ac:dyDescent="0.2">
      <c r="A276" s="7654">
        <v>118</v>
      </c>
      <c r="B276" s="7652" t="s">
        <v>244</v>
      </c>
      <c r="C276" s="7723" t="s">
        <v>4223</v>
      </c>
      <c r="D276" s="7563">
        <v>33000000</v>
      </c>
      <c r="E276" s="7659">
        <v>0.05</v>
      </c>
      <c r="F276" s="7563">
        <f>D276*E276</f>
        <v>1650000</v>
      </c>
      <c r="G276" s="7563"/>
      <c r="H276" s="7563"/>
      <c r="I276" s="8148" t="s">
        <v>611</v>
      </c>
      <c r="J276" s="7563">
        <f>G276</f>
        <v>0</v>
      </c>
      <c r="K276" s="7563">
        <f>F276-J276</f>
        <v>1650000</v>
      </c>
      <c r="L276" s="6503"/>
    </row>
    <row r="277" spans="1:12" ht="30" customHeight="1" x14ac:dyDescent="0.2">
      <c r="A277" s="7656"/>
      <c r="B277" s="7665"/>
      <c r="C277" s="7724"/>
      <c r="D277" s="7564"/>
      <c r="E277" s="7660"/>
      <c r="F277" s="7564"/>
      <c r="G277" s="7564"/>
      <c r="H277" s="7564"/>
      <c r="I277" s="8149"/>
      <c r="J277" s="7564"/>
      <c r="K277" s="7564"/>
      <c r="L277" s="6503"/>
    </row>
    <row r="278" spans="1:12" ht="30" customHeight="1" x14ac:dyDescent="0.2">
      <c r="A278" s="7654">
        <v>120</v>
      </c>
      <c r="B278" s="7652" t="s">
        <v>246</v>
      </c>
      <c r="C278" s="7723" t="s">
        <v>371</v>
      </c>
      <c r="D278" s="6385">
        <v>617000000</v>
      </c>
      <c r="E278" s="6471">
        <v>7.0000000000000007E-2</v>
      </c>
      <c r="F278" s="6385">
        <v>43200000</v>
      </c>
      <c r="G278" s="6393"/>
      <c r="H278" s="6481"/>
      <c r="I278" s="6481" t="s">
        <v>2866</v>
      </c>
      <c r="J278" s="6385">
        <f>G278</f>
        <v>0</v>
      </c>
      <c r="K278" s="6385"/>
      <c r="L278" s="6536"/>
    </row>
    <row r="279" spans="1:12" ht="30" customHeight="1" x14ac:dyDescent="0.2">
      <c r="A279" s="7655"/>
      <c r="B279" s="7653"/>
      <c r="C279" s="7724"/>
      <c r="D279" s="6393"/>
      <c r="E279" s="6402"/>
      <c r="F279" s="6393"/>
      <c r="G279" s="6467"/>
      <c r="H279" s="6467"/>
      <c r="I279" s="6467"/>
      <c r="J279" s="6467"/>
      <c r="K279" s="6393"/>
      <c r="L279" s="6468"/>
    </row>
    <row r="280" spans="1:12" ht="30" customHeight="1" x14ac:dyDescent="0.2">
      <c r="A280" s="7654">
        <v>123</v>
      </c>
      <c r="B280" s="7652" t="s">
        <v>1650</v>
      </c>
      <c r="C280" s="7723" t="s">
        <v>1176</v>
      </c>
      <c r="D280" s="6385">
        <v>60000000</v>
      </c>
      <c r="E280" s="6471">
        <v>0.05</v>
      </c>
      <c r="F280" s="6385">
        <f t="shared" si="22"/>
        <v>3000000</v>
      </c>
      <c r="G280" s="7563"/>
      <c r="H280" s="7563"/>
      <c r="I280" s="7561" t="s">
        <v>7734</v>
      </c>
      <c r="J280" s="7563">
        <f>G280</f>
        <v>0</v>
      </c>
      <c r="K280" s="7563"/>
      <c r="L280" s="345"/>
    </row>
    <row r="281" spans="1:12" ht="30" customHeight="1" x14ac:dyDescent="0.2">
      <c r="A281" s="7656"/>
      <c r="B281" s="7665"/>
      <c r="C281" s="7747"/>
      <c r="D281" s="6390">
        <v>20000000</v>
      </c>
      <c r="E281" s="6471">
        <v>7.0000000000000007E-2</v>
      </c>
      <c r="F281" s="6385">
        <f t="shared" si="22"/>
        <v>1400000.0000000002</v>
      </c>
      <c r="G281" s="7586"/>
      <c r="H281" s="7586"/>
      <c r="I281" s="7672"/>
      <c r="J281" s="7586"/>
      <c r="K281" s="7586"/>
      <c r="L281" s="6536" t="s">
        <v>7377</v>
      </c>
    </row>
    <row r="282" spans="1:12" ht="30" customHeight="1" x14ac:dyDescent="0.2">
      <c r="A282" s="7656"/>
      <c r="B282" s="7665"/>
      <c r="C282" s="7747"/>
      <c r="D282" s="6390">
        <v>52000000</v>
      </c>
      <c r="E282" s="6471">
        <v>0.05</v>
      </c>
      <c r="F282" s="6385">
        <f>D282*E282</f>
        <v>2600000</v>
      </c>
      <c r="G282" s="7564"/>
      <c r="H282" s="7564"/>
      <c r="I282" s="7562"/>
      <c r="J282" s="7564"/>
      <c r="K282" s="7564"/>
      <c r="L282" s="6536" t="s">
        <v>7378</v>
      </c>
    </row>
    <row r="283" spans="1:12" ht="30" customHeight="1" x14ac:dyDescent="0.2">
      <c r="A283" s="7655"/>
      <c r="B283" s="7653"/>
      <c r="C283" s="7724"/>
      <c r="D283" s="6390">
        <v>120000000</v>
      </c>
      <c r="E283" s="6471"/>
      <c r="F283" s="6385"/>
      <c r="G283" s="7732" t="s">
        <v>7733</v>
      </c>
      <c r="H283" s="7733"/>
      <c r="I283" s="7733"/>
      <c r="J283" s="7734"/>
      <c r="K283" s="6392"/>
      <c r="L283" s="6536" t="s">
        <v>7266</v>
      </c>
    </row>
    <row r="284" spans="1:12" ht="30" customHeight="1" x14ac:dyDescent="0.2">
      <c r="A284" s="6397">
        <v>124</v>
      </c>
      <c r="B284" s="6468" t="s">
        <v>250</v>
      </c>
      <c r="C284" s="6433" t="s">
        <v>392</v>
      </c>
      <c r="D284" s="6392">
        <v>800000000</v>
      </c>
      <c r="E284" s="6409">
        <v>6.2E-2</v>
      </c>
      <c r="F284" s="6392">
        <v>50000000</v>
      </c>
      <c r="G284" s="6391"/>
      <c r="H284" s="6391"/>
      <c r="I284" s="6445" t="s">
        <v>5605</v>
      </c>
      <c r="J284" s="6391">
        <f t="shared" ref="J284:J309" si="25">G284</f>
        <v>0</v>
      </c>
      <c r="K284" s="6391">
        <f>F284-J284</f>
        <v>50000000</v>
      </c>
      <c r="L284" s="6459"/>
    </row>
    <row r="285" spans="1:12" ht="30" customHeight="1" x14ac:dyDescent="0.2">
      <c r="A285" s="7654">
        <v>125</v>
      </c>
      <c r="B285" s="7652" t="s">
        <v>251</v>
      </c>
      <c r="C285" s="6472" t="s">
        <v>392</v>
      </c>
      <c r="D285" s="6385">
        <v>200000000</v>
      </c>
      <c r="E285" s="6471">
        <v>0.06</v>
      </c>
      <c r="F285" s="6385">
        <f>D285*E285</f>
        <v>12000000</v>
      </c>
      <c r="G285" s="6385"/>
      <c r="H285" s="6385"/>
      <c r="I285" s="6467" t="s">
        <v>7430</v>
      </c>
      <c r="J285" s="6385">
        <f t="shared" si="25"/>
        <v>0</v>
      </c>
      <c r="K285" s="6385">
        <f t="shared" ref="K285:K302" si="26">F285-J285</f>
        <v>12000000</v>
      </c>
      <c r="L285" s="6536"/>
    </row>
    <row r="286" spans="1:12" ht="30" customHeight="1" x14ac:dyDescent="0.2">
      <c r="A286" s="7656"/>
      <c r="B286" s="7665"/>
      <c r="C286" s="6472" t="s">
        <v>1287</v>
      </c>
      <c r="D286" s="6385">
        <v>100000000</v>
      </c>
      <c r="E286" s="6471">
        <v>0.06</v>
      </c>
      <c r="F286" s="6385">
        <f>D286*E286</f>
        <v>6000000</v>
      </c>
      <c r="G286" s="6385">
        <v>6000000</v>
      </c>
      <c r="H286" s="6385" t="s">
        <v>7864</v>
      </c>
      <c r="I286" s="6467" t="s">
        <v>1630</v>
      </c>
      <c r="J286" s="6385">
        <f>G286</f>
        <v>6000000</v>
      </c>
      <c r="K286" s="6385">
        <f>F286-J286</f>
        <v>0</v>
      </c>
      <c r="L286" s="378" t="s">
        <v>7501</v>
      </c>
    </row>
    <row r="287" spans="1:12" ht="30" customHeight="1" x14ac:dyDescent="0.2">
      <c r="A287" s="7656"/>
      <c r="B287" s="7665"/>
      <c r="C287" s="7723" t="s">
        <v>1081</v>
      </c>
      <c r="D287" s="7563">
        <v>1500000000</v>
      </c>
      <c r="E287" s="7659">
        <v>0.08</v>
      </c>
      <c r="F287" s="7563">
        <f>D287*E287</f>
        <v>120000000</v>
      </c>
      <c r="G287" s="6385"/>
      <c r="H287" s="6385"/>
      <c r="I287" s="6385" t="s">
        <v>3525</v>
      </c>
      <c r="J287" s="7563">
        <f>G287+G288+G289+G290</f>
        <v>0</v>
      </c>
      <c r="K287" s="7563">
        <f>F287-J287</f>
        <v>120000000</v>
      </c>
      <c r="L287" s="6536"/>
    </row>
    <row r="288" spans="1:12" ht="30" customHeight="1" x14ac:dyDescent="0.2">
      <c r="A288" s="7656"/>
      <c r="B288" s="7665"/>
      <c r="C288" s="7747"/>
      <c r="D288" s="7586"/>
      <c r="E288" s="7676"/>
      <c r="F288" s="7586"/>
      <c r="G288" s="6385"/>
      <c r="H288" s="6385"/>
      <c r="I288" s="6385" t="s">
        <v>2805</v>
      </c>
      <c r="J288" s="7586"/>
      <c r="K288" s="7586"/>
      <c r="L288" s="378"/>
    </row>
    <row r="289" spans="1:12" ht="30" customHeight="1" x14ac:dyDescent="0.2">
      <c r="A289" s="7656"/>
      <c r="B289" s="7665"/>
      <c r="C289" s="7747"/>
      <c r="D289" s="7586"/>
      <c r="E289" s="7676"/>
      <c r="F289" s="7586"/>
      <c r="G289" s="6385"/>
      <c r="H289" s="6385"/>
      <c r="I289" s="6385" t="s">
        <v>7796</v>
      </c>
      <c r="J289" s="7586"/>
      <c r="K289" s="7586"/>
      <c r="L289" s="6536"/>
    </row>
    <row r="290" spans="1:12" ht="30" customHeight="1" x14ac:dyDescent="0.2">
      <c r="A290" s="7656"/>
      <c r="B290" s="7665"/>
      <c r="C290" s="7747"/>
      <c r="D290" s="7586"/>
      <c r="E290" s="7676"/>
      <c r="F290" s="7586"/>
      <c r="G290" s="6385"/>
      <c r="H290" s="6385"/>
      <c r="I290" s="6385" t="s">
        <v>3525</v>
      </c>
      <c r="J290" s="7564"/>
      <c r="K290" s="7564"/>
      <c r="L290" s="6536"/>
    </row>
    <row r="291" spans="1:12" ht="30" customHeight="1" x14ac:dyDescent="0.2">
      <c r="A291" s="7655"/>
      <c r="B291" s="7653"/>
      <c r="C291" s="7724"/>
      <c r="D291" s="7564"/>
      <c r="E291" s="7660"/>
      <c r="F291" s="7564"/>
      <c r="G291" s="6385"/>
      <c r="H291" s="6385"/>
      <c r="I291" s="6385" t="s">
        <v>7221</v>
      </c>
      <c r="J291" s="6385">
        <f>G291</f>
        <v>0</v>
      </c>
      <c r="K291" s="6393">
        <f>F287-J291</f>
        <v>120000000</v>
      </c>
      <c r="L291" s="345" t="s">
        <v>6687</v>
      </c>
    </row>
    <row r="292" spans="1:12" ht="30" customHeight="1" x14ac:dyDescent="0.2">
      <c r="A292" s="6398"/>
      <c r="B292" s="6470" t="s">
        <v>4853</v>
      </c>
      <c r="C292" s="6434"/>
      <c r="D292" s="6411">
        <v>100000000</v>
      </c>
      <c r="E292" s="6421"/>
      <c r="F292" s="6411"/>
      <c r="G292" s="233"/>
      <c r="H292" s="233"/>
      <c r="I292" s="233"/>
      <c r="J292" s="233"/>
      <c r="K292" s="6393"/>
      <c r="L292" s="6460"/>
    </row>
    <row r="293" spans="1:12" ht="30" customHeight="1" x14ac:dyDescent="0.2">
      <c r="A293" s="7654"/>
      <c r="B293" s="7652" t="s">
        <v>5492</v>
      </c>
      <c r="C293" s="7723" t="s">
        <v>1176</v>
      </c>
      <c r="D293" s="7563">
        <v>250000000</v>
      </c>
      <c r="E293" s="7659">
        <v>0.06</v>
      </c>
      <c r="F293" s="7563">
        <f>D293*E293</f>
        <v>15000000</v>
      </c>
      <c r="G293" s="6385"/>
      <c r="H293" s="6385"/>
      <c r="I293" s="6385" t="s">
        <v>7525</v>
      </c>
      <c r="J293" s="7563">
        <f>G293+G294</f>
        <v>0</v>
      </c>
      <c r="K293" s="7563">
        <f>F293-J293</f>
        <v>15000000</v>
      </c>
      <c r="L293" s="6459"/>
    </row>
    <row r="294" spans="1:12" ht="30" customHeight="1" x14ac:dyDescent="0.2">
      <c r="A294" s="7655"/>
      <c r="B294" s="7653"/>
      <c r="C294" s="7724"/>
      <c r="D294" s="7564"/>
      <c r="E294" s="7660"/>
      <c r="F294" s="7564"/>
      <c r="G294" s="6385"/>
      <c r="H294" s="6385"/>
      <c r="I294" s="6385" t="s">
        <v>4926</v>
      </c>
      <c r="J294" s="7564"/>
      <c r="K294" s="7564"/>
      <c r="L294" s="6465"/>
    </row>
    <row r="295" spans="1:12" ht="30" customHeight="1" x14ac:dyDescent="0.2">
      <c r="A295" s="7654">
        <v>127</v>
      </c>
      <c r="B295" s="7652" t="s">
        <v>253</v>
      </c>
      <c r="C295" s="7723" t="s">
        <v>889</v>
      </c>
      <c r="D295" s="7563">
        <v>800000000</v>
      </c>
      <c r="E295" s="7659">
        <v>0.05</v>
      </c>
      <c r="F295" s="7563">
        <f t="shared" si="22"/>
        <v>40000000</v>
      </c>
      <c r="G295" s="6385"/>
      <c r="H295" s="6385"/>
      <c r="I295" s="6467" t="s">
        <v>7565</v>
      </c>
      <c r="J295" s="7563">
        <f>G295+G296</f>
        <v>0</v>
      </c>
      <c r="K295" s="7563">
        <f t="shared" si="26"/>
        <v>40000000</v>
      </c>
      <c r="L295" s="6450" t="s">
        <v>6198</v>
      </c>
    </row>
    <row r="296" spans="1:12" ht="30" customHeight="1" x14ac:dyDescent="0.2">
      <c r="A296" s="7655"/>
      <c r="B296" s="7653"/>
      <c r="C296" s="7724"/>
      <c r="D296" s="7564"/>
      <c r="E296" s="7660"/>
      <c r="F296" s="7564"/>
      <c r="G296" s="6393"/>
      <c r="H296" s="6393"/>
      <c r="I296" s="6512" t="s">
        <v>2540</v>
      </c>
      <c r="J296" s="7564"/>
      <c r="K296" s="7564"/>
      <c r="L296" s="6450"/>
    </row>
    <row r="297" spans="1:12" ht="30" customHeight="1" x14ac:dyDescent="0.2">
      <c r="A297" s="6475">
        <v>128</v>
      </c>
      <c r="B297" s="6431" t="s">
        <v>254</v>
      </c>
      <c r="C297" s="6434"/>
      <c r="D297" s="6411"/>
      <c r="E297" s="6421"/>
      <c r="F297" s="6411">
        <f t="shared" si="22"/>
        <v>0</v>
      </c>
      <c r="G297" s="6393"/>
      <c r="H297" s="6393"/>
      <c r="I297" s="6512"/>
      <c r="J297" s="6393">
        <f t="shared" si="25"/>
        <v>0</v>
      </c>
      <c r="K297" s="6411">
        <f t="shared" si="26"/>
        <v>0</v>
      </c>
      <c r="L297" s="6431"/>
    </row>
    <row r="298" spans="1:12" ht="30" customHeight="1" x14ac:dyDescent="0.2">
      <c r="A298" s="7654"/>
      <c r="B298" s="7652" t="s">
        <v>5214</v>
      </c>
      <c r="C298" s="7723"/>
      <c r="D298" s="7563">
        <v>270000000</v>
      </c>
      <c r="E298" s="7659">
        <v>0.06</v>
      </c>
      <c r="F298" s="7563">
        <v>16000000</v>
      </c>
      <c r="G298" s="6391"/>
      <c r="H298" s="6391"/>
      <c r="I298" s="6403" t="s">
        <v>7320</v>
      </c>
      <c r="J298" s="6391">
        <f>G298</f>
        <v>0</v>
      </c>
      <c r="K298" s="6391">
        <f>F298-J298</f>
        <v>16000000</v>
      </c>
      <c r="L298" s="6425" t="s">
        <v>7321</v>
      </c>
    </row>
    <row r="299" spans="1:12" ht="30" customHeight="1" x14ac:dyDescent="0.2">
      <c r="A299" s="7655"/>
      <c r="B299" s="7653"/>
      <c r="C299" s="7724"/>
      <c r="D299" s="7564"/>
      <c r="E299" s="7660"/>
      <c r="F299" s="7564"/>
      <c r="G299" s="6391"/>
      <c r="H299" s="6391"/>
      <c r="I299" s="6403" t="s">
        <v>5314</v>
      </c>
      <c r="J299" s="6391">
        <f>G299</f>
        <v>0</v>
      </c>
      <c r="K299" s="6391">
        <f>F298-J299</f>
        <v>16000000</v>
      </c>
      <c r="L299" s="6425"/>
    </row>
    <row r="300" spans="1:12" ht="30" customHeight="1" x14ac:dyDescent="0.2">
      <c r="A300" s="7885"/>
      <c r="B300" s="7652" t="s">
        <v>1171</v>
      </c>
      <c r="C300" s="7723" t="s">
        <v>1299</v>
      </c>
      <c r="D300" s="7563">
        <v>90000000</v>
      </c>
      <c r="E300" s="7659">
        <v>0.05</v>
      </c>
      <c r="F300" s="7563">
        <f>D300*E300</f>
        <v>4500000</v>
      </c>
      <c r="G300" s="6566">
        <v>3000000</v>
      </c>
      <c r="H300" s="6566" t="s">
        <v>7831</v>
      </c>
      <c r="I300" s="6566" t="s">
        <v>1693</v>
      </c>
      <c r="J300" s="6566">
        <f t="shared" si="25"/>
        <v>3000000</v>
      </c>
      <c r="K300" s="6385">
        <f t="shared" si="26"/>
        <v>1500000</v>
      </c>
      <c r="L300" s="6503" t="s">
        <v>7844</v>
      </c>
    </row>
    <row r="301" spans="1:12" ht="30" customHeight="1" x14ac:dyDescent="0.2">
      <c r="A301" s="7886"/>
      <c r="B301" s="7653"/>
      <c r="C301" s="7724"/>
      <c r="D301" s="7564"/>
      <c r="E301" s="7660"/>
      <c r="F301" s="7564"/>
      <c r="G301" s="6391"/>
      <c r="H301" s="6391"/>
      <c r="I301" s="6391" t="s">
        <v>6757</v>
      </c>
      <c r="J301" s="6391">
        <f t="shared" si="25"/>
        <v>0</v>
      </c>
      <c r="K301" s="6391"/>
      <c r="L301" s="4026" t="s">
        <v>7670</v>
      </c>
    </row>
    <row r="302" spans="1:12" ht="30" customHeight="1" x14ac:dyDescent="0.2">
      <c r="A302" s="7654">
        <v>131</v>
      </c>
      <c r="B302" s="7652" t="s">
        <v>256</v>
      </c>
      <c r="C302" s="7723"/>
      <c r="D302" s="7563">
        <v>400000000</v>
      </c>
      <c r="E302" s="7659">
        <v>0.05</v>
      </c>
      <c r="F302" s="7563">
        <f>D302*E302</f>
        <v>20000000</v>
      </c>
      <c r="G302" s="6391"/>
      <c r="H302" s="6391"/>
      <c r="I302" s="6391" t="s">
        <v>3436</v>
      </c>
      <c r="J302" s="7563">
        <f>G302+G303</f>
        <v>0</v>
      </c>
      <c r="K302" s="7563">
        <f t="shared" si="26"/>
        <v>20000000</v>
      </c>
      <c r="L302" s="6450"/>
    </row>
    <row r="303" spans="1:12" ht="30" customHeight="1" x14ac:dyDescent="0.2">
      <c r="A303" s="7655"/>
      <c r="B303" s="7653"/>
      <c r="C303" s="7724"/>
      <c r="D303" s="7564"/>
      <c r="E303" s="7660"/>
      <c r="F303" s="7564"/>
      <c r="G303" s="6391"/>
      <c r="H303" s="6391"/>
      <c r="I303" s="6391" t="s">
        <v>3436</v>
      </c>
      <c r="J303" s="7564"/>
      <c r="K303" s="7564"/>
      <c r="L303" s="6450"/>
    </row>
    <row r="304" spans="1:12" ht="30" customHeight="1" x14ac:dyDescent="0.2">
      <c r="A304" s="7654"/>
      <c r="B304" s="7652" t="s">
        <v>1218</v>
      </c>
      <c r="C304" s="7723" t="s">
        <v>1652</v>
      </c>
      <c r="D304" s="7563">
        <v>490000000</v>
      </c>
      <c r="E304" s="7659">
        <v>0.06</v>
      </c>
      <c r="F304" s="7563">
        <f>D304*E304</f>
        <v>29400000</v>
      </c>
      <c r="G304" s="6385"/>
      <c r="H304" s="6385"/>
      <c r="I304" s="6385" t="s">
        <v>4897</v>
      </c>
      <c r="J304" s="7563">
        <f>G304+G305</f>
        <v>0</v>
      </c>
      <c r="K304" s="7563">
        <f t="shared" ref="K304:K311" si="27">F304-J304</f>
        <v>29400000</v>
      </c>
      <c r="L304" s="6425"/>
    </row>
    <row r="305" spans="1:12" ht="30" customHeight="1" x14ac:dyDescent="0.2">
      <c r="A305" s="7655"/>
      <c r="B305" s="7653"/>
      <c r="C305" s="7724"/>
      <c r="D305" s="7564"/>
      <c r="E305" s="7660"/>
      <c r="F305" s="7564"/>
      <c r="G305" s="6393"/>
      <c r="H305" s="6393"/>
      <c r="I305" s="6385" t="s">
        <v>4897</v>
      </c>
      <c r="J305" s="7564"/>
      <c r="K305" s="7564"/>
      <c r="L305" s="6425"/>
    </row>
    <row r="306" spans="1:12" ht="30" customHeight="1" x14ac:dyDescent="0.2">
      <c r="A306" s="6475">
        <v>133</v>
      </c>
      <c r="B306" s="6400" t="s">
        <v>175</v>
      </c>
      <c r="C306" s="6434" t="s">
        <v>1718</v>
      </c>
      <c r="D306" s="6393">
        <v>100000000</v>
      </c>
      <c r="E306" s="6402">
        <v>0.05</v>
      </c>
      <c r="F306" s="6393">
        <f t="shared" ref="F306:F413" si="28">D306*E306</f>
        <v>5000000</v>
      </c>
      <c r="G306" s="6393"/>
      <c r="H306" s="6393"/>
      <c r="I306" s="6512" t="s">
        <v>7524</v>
      </c>
      <c r="J306" s="6393">
        <f t="shared" si="25"/>
        <v>0</v>
      </c>
      <c r="K306" s="6393">
        <f t="shared" si="27"/>
        <v>5000000</v>
      </c>
      <c r="L306" s="6425"/>
    </row>
    <row r="307" spans="1:12" ht="30" customHeight="1" x14ac:dyDescent="0.2">
      <c r="A307" s="6397">
        <v>134</v>
      </c>
      <c r="B307" s="6468" t="s">
        <v>166</v>
      </c>
      <c r="C307" s="6472" t="s">
        <v>1652</v>
      </c>
      <c r="D307" s="6385">
        <v>110000000</v>
      </c>
      <c r="E307" s="6471">
        <v>0.04</v>
      </c>
      <c r="F307" s="6385">
        <f t="shared" si="28"/>
        <v>4400000</v>
      </c>
      <c r="G307" s="6393"/>
      <c r="H307" s="6393"/>
      <c r="I307" s="6512" t="s">
        <v>4099</v>
      </c>
      <c r="J307" s="6385">
        <f t="shared" si="25"/>
        <v>0</v>
      </c>
      <c r="K307" s="6391">
        <f t="shared" si="27"/>
        <v>4400000</v>
      </c>
      <c r="L307" s="6427"/>
    </row>
    <row r="308" spans="1:12" ht="30" customHeight="1" x14ac:dyDescent="0.2">
      <c r="A308" s="7654">
        <v>135</v>
      </c>
      <c r="B308" s="7652" t="s">
        <v>4363</v>
      </c>
      <c r="C308" s="6433" t="s">
        <v>1299</v>
      </c>
      <c r="D308" s="6391">
        <v>124000000</v>
      </c>
      <c r="E308" s="6401">
        <v>4.9000000000000002E-2</v>
      </c>
      <c r="F308" s="6391">
        <v>6000000</v>
      </c>
      <c r="G308" s="6385"/>
      <c r="H308" s="6385"/>
      <c r="I308" s="6413" t="s">
        <v>1549</v>
      </c>
      <c r="J308" s="6385">
        <f t="shared" si="25"/>
        <v>0</v>
      </c>
      <c r="K308" s="6385">
        <f t="shared" si="27"/>
        <v>6000000</v>
      </c>
      <c r="L308" s="6450"/>
    </row>
    <row r="309" spans="1:12" ht="30" customHeight="1" x14ac:dyDescent="0.2">
      <c r="A309" s="7655"/>
      <c r="B309" s="7653"/>
      <c r="C309" s="6472" t="s">
        <v>392</v>
      </c>
      <c r="D309" s="6385">
        <v>250000000</v>
      </c>
      <c r="E309" s="6471">
        <v>0.05</v>
      </c>
      <c r="F309" s="6385">
        <f>D309*E309</f>
        <v>12500000</v>
      </c>
      <c r="G309" s="6385"/>
      <c r="H309" s="6385"/>
      <c r="I309" s="6547" t="s">
        <v>1549</v>
      </c>
      <c r="J309" s="6385">
        <f t="shared" si="25"/>
        <v>0</v>
      </c>
      <c r="K309" s="6385">
        <f t="shared" si="27"/>
        <v>12500000</v>
      </c>
      <c r="L309" s="6450"/>
    </row>
    <row r="310" spans="1:12" ht="30" customHeight="1" x14ac:dyDescent="0.2">
      <c r="A310" s="6397">
        <v>136</v>
      </c>
      <c r="B310" s="6431" t="s">
        <v>4002</v>
      </c>
      <c r="C310" s="6472"/>
      <c r="D310" s="6394"/>
      <c r="E310" s="2519"/>
      <c r="F310" s="6394">
        <f t="shared" si="28"/>
        <v>0</v>
      </c>
      <c r="G310" s="6385"/>
      <c r="H310" s="6385"/>
      <c r="I310" s="6413" t="s">
        <v>3968</v>
      </c>
      <c r="J310" s="6385">
        <f>G310</f>
        <v>0</v>
      </c>
      <c r="K310" s="6394">
        <f t="shared" si="27"/>
        <v>0</v>
      </c>
      <c r="L310" s="6425"/>
    </row>
    <row r="311" spans="1:12" ht="30" customHeight="1" x14ac:dyDescent="0.2">
      <c r="A311" s="6397"/>
      <c r="B311" s="6399" t="s">
        <v>257</v>
      </c>
      <c r="C311" s="6435" t="s">
        <v>1652</v>
      </c>
      <c r="D311" s="6393">
        <v>100000000</v>
      </c>
      <c r="E311" s="6471">
        <v>0.05</v>
      </c>
      <c r="F311" s="6393">
        <f>D311*E311</f>
        <v>5000000</v>
      </c>
      <c r="G311" s="6392"/>
      <c r="H311" s="6392"/>
      <c r="I311" s="1610" t="s">
        <v>4003</v>
      </c>
      <c r="J311" s="6392">
        <f>G311</f>
        <v>0</v>
      </c>
      <c r="K311" s="6392">
        <f t="shared" si="27"/>
        <v>5000000</v>
      </c>
      <c r="L311" s="6450"/>
    </row>
    <row r="312" spans="1:12" ht="30" customHeight="1" x14ac:dyDescent="0.2">
      <c r="A312" s="7654"/>
      <c r="B312" s="7652" t="s">
        <v>179</v>
      </c>
      <c r="C312" s="7723" t="s">
        <v>1176</v>
      </c>
      <c r="D312" s="6385">
        <v>80000000</v>
      </c>
      <c r="E312" s="6471">
        <v>0.05</v>
      </c>
      <c r="F312" s="6385">
        <f>D312*E312</f>
        <v>4000000</v>
      </c>
      <c r="G312" s="7563"/>
      <c r="H312" s="7563"/>
      <c r="I312" s="7563" t="s">
        <v>1711</v>
      </c>
      <c r="J312" s="7563">
        <f>G312</f>
        <v>0</v>
      </c>
      <c r="K312" s="7563">
        <f>(F312+F313)-J312</f>
        <v>6100000</v>
      </c>
      <c r="L312" s="7713"/>
    </row>
    <row r="313" spans="1:12" ht="30" customHeight="1" x14ac:dyDescent="0.2">
      <c r="A313" s="7655"/>
      <c r="B313" s="7653"/>
      <c r="C313" s="7724"/>
      <c r="D313" s="6391">
        <v>30000000</v>
      </c>
      <c r="E313" s="6401">
        <v>7.0000000000000007E-2</v>
      </c>
      <c r="F313" s="6391">
        <f>D313*E313</f>
        <v>2100000</v>
      </c>
      <c r="G313" s="7564"/>
      <c r="H313" s="7564"/>
      <c r="I313" s="7564"/>
      <c r="J313" s="7564"/>
      <c r="K313" s="7564"/>
      <c r="L313" s="7714"/>
    </row>
    <row r="314" spans="1:12" ht="30" customHeight="1" x14ac:dyDescent="0.2">
      <c r="A314" s="7654">
        <v>138</v>
      </c>
      <c r="B314" s="7652" t="s">
        <v>259</v>
      </c>
      <c r="C314" s="7723" t="s">
        <v>1172</v>
      </c>
      <c r="D314" s="7563">
        <v>1500000000</v>
      </c>
      <c r="E314" s="7659">
        <v>7.0000000000000007E-2</v>
      </c>
      <c r="F314" s="7563">
        <f>D314*E314</f>
        <v>105000000.00000001</v>
      </c>
      <c r="G314" s="6385"/>
      <c r="H314" s="6385"/>
      <c r="I314" s="6385" t="s">
        <v>7535</v>
      </c>
      <c r="J314" s="7563">
        <f>G314+G315+G316</f>
        <v>0</v>
      </c>
      <c r="K314" s="7563">
        <f>F314-J314</f>
        <v>105000000.00000001</v>
      </c>
      <c r="L314" s="180"/>
    </row>
    <row r="315" spans="1:12" ht="30" customHeight="1" x14ac:dyDescent="0.2">
      <c r="A315" s="7656"/>
      <c r="B315" s="7665"/>
      <c r="C315" s="7747"/>
      <c r="D315" s="7586"/>
      <c r="E315" s="7676"/>
      <c r="F315" s="7586"/>
      <c r="G315" s="6385"/>
      <c r="H315" s="6385"/>
      <c r="I315" s="6385" t="s">
        <v>7535</v>
      </c>
      <c r="J315" s="7586"/>
      <c r="K315" s="7586"/>
      <c r="L315" s="180"/>
    </row>
    <row r="316" spans="1:12" ht="30" customHeight="1" x14ac:dyDescent="0.2">
      <c r="A316" s="7655"/>
      <c r="B316" s="7653"/>
      <c r="C316" s="7724"/>
      <c r="D316" s="7564"/>
      <c r="E316" s="7660"/>
      <c r="F316" s="7564"/>
      <c r="G316" s="6393"/>
      <c r="H316" s="6393"/>
      <c r="I316" s="6385" t="s">
        <v>7535</v>
      </c>
      <c r="J316" s="7564"/>
      <c r="K316" s="7564"/>
      <c r="L316" s="180"/>
    </row>
    <row r="317" spans="1:12" ht="30" customHeight="1" x14ac:dyDescent="0.2">
      <c r="A317" s="6475">
        <v>139</v>
      </c>
      <c r="B317" s="19" t="s">
        <v>160</v>
      </c>
      <c r="C317" s="6434" t="s">
        <v>1718</v>
      </c>
      <c r="D317" s="6385">
        <v>110000000</v>
      </c>
      <c r="E317" s="6471">
        <v>0.05</v>
      </c>
      <c r="F317" s="6385">
        <f t="shared" si="28"/>
        <v>5500000</v>
      </c>
      <c r="G317" s="6393"/>
      <c r="H317" s="6393"/>
      <c r="I317" s="6547" t="s">
        <v>2757</v>
      </c>
      <c r="J317" s="6385">
        <f>G317</f>
        <v>0</v>
      </c>
      <c r="K317" s="6385">
        <f>F317-J317</f>
        <v>5500000</v>
      </c>
      <c r="L317" s="19"/>
    </row>
    <row r="318" spans="1:12" ht="30" customHeight="1" x14ac:dyDescent="0.2">
      <c r="A318" s="6475"/>
      <c r="B318" s="19" t="s">
        <v>2270</v>
      </c>
      <c r="C318" s="6434" t="s">
        <v>262</v>
      </c>
      <c r="D318" s="6385">
        <v>50000000</v>
      </c>
      <c r="E318" s="6471">
        <v>0.05</v>
      </c>
      <c r="F318" s="6385">
        <f>D318*E318</f>
        <v>2500000</v>
      </c>
      <c r="G318" s="6393"/>
      <c r="H318" s="6393"/>
      <c r="I318" s="6547" t="s">
        <v>2757</v>
      </c>
      <c r="J318" s="6385">
        <f>G318</f>
        <v>0</v>
      </c>
      <c r="K318" s="6385">
        <f>F318-J318</f>
        <v>2500000</v>
      </c>
      <c r="L318" s="19"/>
    </row>
    <row r="319" spans="1:12" ht="30" customHeight="1" x14ac:dyDescent="0.2">
      <c r="A319" s="6475">
        <v>140</v>
      </c>
      <c r="B319" s="19" t="s">
        <v>533</v>
      </c>
      <c r="C319" s="6472" t="s">
        <v>372</v>
      </c>
      <c r="D319" s="6385">
        <v>150000000</v>
      </c>
      <c r="E319" s="6471">
        <v>0.04</v>
      </c>
      <c r="F319" s="6385">
        <f t="shared" si="28"/>
        <v>6000000</v>
      </c>
      <c r="G319" s="6393"/>
      <c r="H319" s="6393"/>
      <c r="I319" s="18" t="s">
        <v>2682</v>
      </c>
      <c r="J319" s="6393">
        <f>G319</f>
        <v>0</v>
      </c>
      <c r="K319" s="6393">
        <f>F319-J319</f>
        <v>6000000</v>
      </c>
      <c r="L319" s="6503"/>
    </row>
    <row r="320" spans="1:12" ht="30" customHeight="1" x14ac:dyDescent="0.2">
      <c r="A320" s="6475">
        <v>141</v>
      </c>
      <c r="B320" s="19" t="s">
        <v>7</v>
      </c>
      <c r="C320" s="6472"/>
      <c r="D320" s="6385">
        <v>30000000</v>
      </c>
      <c r="E320" s="6471">
        <v>0.05</v>
      </c>
      <c r="F320" s="6385">
        <f t="shared" si="28"/>
        <v>1500000</v>
      </c>
      <c r="G320" s="6393"/>
      <c r="H320" s="6393"/>
      <c r="I320" s="6512" t="s">
        <v>535</v>
      </c>
      <c r="J320" s="6393">
        <f>G320</f>
        <v>0</v>
      </c>
      <c r="K320" s="6393">
        <f>F320-J320</f>
        <v>1500000</v>
      </c>
      <c r="L320" s="6425"/>
    </row>
    <row r="321" spans="1:12" ht="30" customHeight="1" x14ac:dyDescent="0.2">
      <c r="A321" s="7654">
        <v>142</v>
      </c>
      <c r="B321" s="7652" t="s">
        <v>8</v>
      </c>
      <c r="C321" s="7723"/>
      <c r="D321" s="7563">
        <v>2000000000</v>
      </c>
      <c r="E321" s="7659">
        <v>0.08</v>
      </c>
      <c r="F321" s="7563">
        <f>D321*E321</f>
        <v>160000000</v>
      </c>
      <c r="G321" s="6385"/>
      <c r="H321" s="6385"/>
      <c r="I321" s="6385" t="s">
        <v>1937</v>
      </c>
      <c r="J321" s="7482">
        <f>G321+G322</f>
        <v>0</v>
      </c>
      <c r="K321" s="7482">
        <f>F321-J321</f>
        <v>160000000</v>
      </c>
      <c r="L321" s="637"/>
    </row>
    <row r="322" spans="1:12" ht="30" customHeight="1" x14ac:dyDescent="0.2">
      <c r="A322" s="7656"/>
      <c r="B322" s="7665"/>
      <c r="C322" s="7747"/>
      <c r="D322" s="7586"/>
      <c r="E322" s="7676"/>
      <c r="F322" s="7586"/>
      <c r="G322" s="6385"/>
      <c r="H322" s="6385"/>
      <c r="I322" s="6385" t="s">
        <v>1937</v>
      </c>
      <c r="J322" s="7482"/>
      <c r="K322" s="7482"/>
      <c r="L322" s="180"/>
    </row>
    <row r="323" spans="1:12" ht="30" customHeight="1" x14ac:dyDescent="0.2">
      <c r="A323" s="7656"/>
      <c r="B323" s="7665"/>
      <c r="C323" s="7747"/>
      <c r="D323" s="7586"/>
      <c r="E323" s="7676"/>
      <c r="F323" s="7586"/>
      <c r="G323" s="6482"/>
      <c r="H323" s="6482"/>
      <c r="I323" s="4841"/>
      <c r="J323" s="7563"/>
      <c r="K323" s="7563"/>
      <c r="L323" s="180"/>
    </row>
    <row r="324" spans="1:12" ht="30" customHeight="1" x14ac:dyDescent="0.2">
      <c r="A324" s="7656"/>
      <c r="B324" s="7665"/>
      <c r="C324" s="7747"/>
      <c r="D324" s="7586"/>
      <c r="E324" s="7676"/>
      <c r="F324" s="7586"/>
      <c r="G324" s="6482"/>
      <c r="H324" s="6482"/>
      <c r="I324" s="4858"/>
      <c r="J324" s="7586"/>
      <c r="K324" s="7586"/>
      <c r="L324" s="180"/>
    </row>
    <row r="325" spans="1:12" ht="30" customHeight="1" x14ac:dyDescent="0.2">
      <c r="A325" s="7656"/>
      <c r="B325" s="7665"/>
      <c r="C325" s="7747"/>
      <c r="D325" s="7586"/>
      <c r="E325" s="7676"/>
      <c r="F325" s="7586"/>
      <c r="G325" s="6482"/>
      <c r="H325" s="6482"/>
      <c r="I325" s="1455"/>
      <c r="J325" s="7586"/>
      <c r="K325" s="7586"/>
      <c r="L325" s="180"/>
    </row>
    <row r="326" spans="1:12" ht="30" customHeight="1" x14ac:dyDescent="0.2">
      <c r="A326" s="7656"/>
      <c r="B326" s="7665"/>
      <c r="C326" s="7747"/>
      <c r="D326" s="7586"/>
      <c r="E326" s="7676"/>
      <c r="F326" s="7586"/>
      <c r="G326" s="6482"/>
      <c r="H326" s="6482"/>
      <c r="I326" s="1455"/>
      <c r="J326" s="7586"/>
      <c r="K326" s="7586"/>
      <c r="L326" s="6450"/>
    </row>
    <row r="327" spans="1:12" ht="30" customHeight="1" x14ac:dyDescent="0.2">
      <c r="A327" s="7655"/>
      <c r="B327" s="7653"/>
      <c r="C327" s="7724"/>
      <c r="D327" s="7564"/>
      <c r="E327" s="7660"/>
      <c r="F327" s="7564"/>
      <c r="G327" s="6482"/>
      <c r="H327" s="6482"/>
      <c r="I327" s="1455"/>
      <c r="J327" s="7564"/>
      <c r="K327" s="7564"/>
      <c r="L327" s="6450"/>
    </row>
    <row r="328" spans="1:12" ht="30" customHeight="1" x14ac:dyDescent="0.2">
      <c r="A328" s="7654">
        <v>143</v>
      </c>
      <c r="B328" s="7652" t="s">
        <v>4146</v>
      </c>
      <c r="C328" s="7723"/>
      <c r="D328" s="6590">
        <v>50000000</v>
      </c>
      <c r="E328" s="6615">
        <v>0.04</v>
      </c>
      <c r="F328" s="6590">
        <f t="shared" si="28"/>
        <v>2000000</v>
      </c>
      <c r="G328" s="6385">
        <v>2500000</v>
      </c>
      <c r="H328" s="6385" t="s">
        <v>7845</v>
      </c>
      <c r="I328" s="6547" t="s">
        <v>6231</v>
      </c>
      <c r="J328" s="6385">
        <f>G328</f>
        <v>2500000</v>
      </c>
      <c r="K328" s="6385">
        <f>F328-J328</f>
        <v>-500000</v>
      </c>
      <c r="L328" s="6503" t="s">
        <v>4925</v>
      </c>
    </row>
    <row r="329" spans="1:12" ht="30" customHeight="1" x14ac:dyDescent="0.2">
      <c r="A329" s="7655"/>
      <c r="B329" s="7653"/>
      <c r="C329" s="7724"/>
      <c r="D329" s="6626">
        <v>50000000</v>
      </c>
      <c r="E329" s="6632">
        <v>0.06</v>
      </c>
      <c r="F329" s="6626">
        <f t="shared" ref="F329" si="29">D329*E329</f>
        <v>3000000</v>
      </c>
      <c r="G329" s="6590"/>
      <c r="H329" s="6590"/>
      <c r="I329" s="6629"/>
      <c r="J329" s="6590"/>
      <c r="K329" s="6593"/>
      <c r="L329" s="6625" t="s">
        <v>7853</v>
      </c>
    </row>
    <row r="330" spans="1:12" ht="30" customHeight="1" x14ac:dyDescent="0.2">
      <c r="A330" s="7654"/>
      <c r="B330" s="7652" t="s">
        <v>7462</v>
      </c>
      <c r="C330" s="7723"/>
      <c r="D330" s="7494" t="s">
        <v>7592</v>
      </c>
      <c r="E330" s="7495"/>
      <c r="F330" s="7768"/>
      <c r="G330" s="6385"/>
      <c r="H330" s="6385"/>
      <c r="I330" s="6547" t="s">
        <v>7450</v>
      </c>
      <c r="J330" s="6385">
        <f>G330</f>
        <v>0</v>
      </c>
      <c r="K330" s="6393"/>
      <c r="L330" s="6503"/>
    </row>
    <row r="331" spans="1:12" ht="30" customHeight="1" x14ac:dyDescent="0.2">
      <c r="A331" s="7655"/>
      <c r="B331" s="7653"/>
      <c r="C331" s="7724"/>
      <c r="D331" s="7769"/>
      <c r="E331" s="7805"/>
      <c r="F331" s="7770"/>
      <c r="G331" s="6393"/>
      <c r="H331" s="6393"/>
      <c r="I331" s="52" t="s">
        <v>4815</v>
      </c>
      <c r="J331" s="6393">
        <f>G331</f>
        <v>0</v>
      </c>
      <c r="K331" s="6393"/>
      <c r="L331" s="6503"/>
    </row>
    <row r="332" spans="1:12" ht="30" customHeight="1" x14ac:dyDescent="0.2">
      <c r="A332" s="6475">
        <v>144</v>
      </c>
      <c r="B332" s="6431" t="s">
        <v>514</v>
      </c>
      <c r="C332" s="6434"/>
      <c r="D332" s="6393">
        <v>5000000</v>
      </c>
      <c r="E332" s="6471">
        <v>0.05</v>
      </c>
      <c r="F332" s="6393">
        <f t="shared" si="28"/>
        <v>250000</v>
      </c>
      <c r="G332" s="6393"/>
      <c r="H332" s="6393"/>
      <c r="I332" s="6512" t="s">
        <v>516</v>
      </c>
      <c r="J332" s="6393">
        <f>G332</f>
        <v>0</v>
      </c>
      <c r="K332" s="6393">
        <f t="shared" ref="K332:K346" si="30">F332-J332</f>
        <v>250000</v>
      </c>
      <c r="L332" s="6503" t="s">
        <v>7501</v>
      </c>
    </row>
    <row r="333" spans="1:12" ht="30" customHeight="1" x14ac:dyDescent="0.2">
      <c r="A333" s="6475">
        <v>145</v>
      </c>
      <c r="B333" s="6431" t="s">
        <v>10</v>
      </c>
      <c r="C333" s="6434" t="s">
        <v>1172</v>
      </c>
      <c r="D333" s="6393">
        <v>100000000</v>
      </c>
      <c r="E333" s="6471">
        <v>0.05</v>
      </c>
      <c r="F333" s="6393">
        <f t="shared" si="28"/>
        <v>5000000</v>
      </c>
      <c r="G333" s="6393"/>
      <c r="H333" s="6393"/>
      <c r="I333" s="18" t="s">
        <v>3525</v>
      </c>
      <c r="J333" s="6393">
        <f>G333</f>
        <v>0</v>
      </c>
      <c r="K333" s="6393">
        <f t="shared" si="30"/>
        <v>5000000</v>
      </c>
      <c r="L333" s="6431"/>
    </row>
    <row r="334" spans="1:12" ht="30" customHeight="1" x14ac:dyDescent="0.2">
      <c r="A334" s="6475">
        <v>146</v>
      </c>
      <c r="B334" s="6431" t="s">
        <v>11</v>
      </c>
      <c r="C334" s="6434"/>
      <c r="D334" s="6393">
        <v>50000000</v>
      </c>
      <c r="E334" s="6471">
        <v>4.4999999999999998E-2</v>
      </c>
      <c r="F334" s="6393">
        <f t="shared" si="28"/>
        <v>2250000</v>
      </c>
      <c r="G334" s="6393"/>
      <c r="H334" s="6393"/>
      <c r="I334" s="6512"/>
      <c r="J334" s="6393"/>
      <c r="K334" s="6393">
        <f t="shared" si="30"/>
        <v>2250000</v>
      </c>
      <c r="L334" s="6431"/>
    </row>
    <row r="335" spans="1:12" ht="30" customHeight="1" x14ac:dyDescent="0.2">
      <c r="A335" s="7654">
        <v>147</v>
      </c>
      <c r="B335" s="7652" t="s">
        <v>12</v>
      </c>
      <c r="C335" s="7723" t="s">
        <v>1295</v>
      </c>
      <c r="D335" s="6393">
        <v>60000000</v>
      </c>
      <c r="E335" s="6471">
        <v>0.05</v>
      </c>
      <c r="F335" s="6393">
        <f t="shared" si="28"/>
        <v>3000000</v>
      </c>
      <c r="G335" s="7563"/>
      <c r="H335" s="7563"/>
      <c r="I335" s="8115" t="s">
        <v>4843</v>
      </c>
      <c r="J335" s="7563">
        <f>G335</f>
        <v>0</v>
      </c>
      <c r="K335" s="7563">
        <f>(F335+F336)-G335</f>
        <v>6500000</v>
      </c>
      <c r="L335" s="6502"/>
    </row>
    <row r="336" spans="1:12" ht="30" customHeight="1" x14ac:dyDescent="0.2">
      <c r="A336" s="7655"/>
      <c r="B336" s="7653"/>
      <c r="C336" s="7724"/>
      <c r="D336" s="6393">
        <v>70000000</v>
      </c>
      <c r="E336" s="6471">
        <v>0.05</v>
      </c>
      <c r="F336" s="6393">
        <f t="shared" si="28"/>
        <v>3500000</v>
      </c>
      <c r="G336" s="7564"/>
      <c r="H336" s="7564"/>
      <c r="I336" s="8116"/>
      <c r="J336" s="7564"/>
      <c r="K336" s="7564"/>
      <c r="L336" s="6536"/>
    </row>
    <row r="337" spans="1:16" ht="30" customHeight="1" x14ac:dyDescent="0.2">
      <c r="A337" s="6397">
        <v>148</v>
      </c>
      <c r="B337" s="6468" t="s">
        <v>13</v>
      </c>
      <c r="C337" s="6472" t="s">
        <v>371</v>
      </c>
      <c r="D337" s="6385">
        <v>50000000</v>
      </c>
      <c r="E337" s="6471">
        <v>0.05</v>
      </c>
      <c r="F337" s="6385">
        <f t="shared" si="28"/>
        <v>2500000</v>
      </c>
      <c r="G337" s="6385"/>
      <c r="H337" s="6385"/>
      <c r="I337" s="6467" t="s">
        <v>1401</v>
      </c>
      <c r="J337" s="6385">
        <f t="shared" ref="J337:J344" si="31">G337</f>
        <v>0</v>
      </c>
      <c r="K337" s="6385">
        <f t="shared" si="30"/>
        <v>2500000</v>
      </c>
      <c r="L337" s="6536"/>
    </row>
    <row r="338" spans="1:16" ht="30" customHeight="1" x14ac:dyDescent="0.2">
      <c r="A338" s="7654">
        <v>149</v>
      </c>
      <c r="B338" s="7652" t="s">
        <v>14</v>
      </c>
      <c r="C338" s="7723" t="s">
        <v>1291</v>
      </c>
      <c r="D338" s="6385">
        <v>80000000</v>
      </c>
      <c r="E338" s="6471">
        <v>0.05</v>
      </c>
      <c r="F338" s="6385">
        <f t="shared" si="28"/>
        <v>4000000</v>
      </c>
      <c r="G338" s="6385"/>
      <c r="H338" s="6385"/>
      <c r="I338" s="6547" t="s">
        <v>2580</v>
      </c>
      <c r="J338" s="6385">
        <f t="shared" si="31"/>
        <v>0</v>
      </c>
      <c r="K338" s="6385">
        <f t="shared" si="30"/>
        <v>4000000</v>
      </c>
      <c r="L338" s="6536" t="s">
        <v>7157</v>
      </c>
    </row>
    <row r="339" spans="1:16" ht="30" customHeight="1" x14ac:dyDescent="0.2">
      <c r="A339" s="7655"/>
      <c r="B339" s="7653"/>
      <c r="C339" s="7724"/>
      <c r="D339" s="6417">
        <v>30000000</v>
      </c>
      <c r="E339" s="6529">
        <v>0.05</v>
      </c>
      <c r="F339" s="6417">
        <f t="shared" si="28"/>
        <v>1500000</v>
      </c>
      <c r="G339" s="7732" t="s">
        <v>7155</v>
      </c>
      <c r="H339" s="7733"/>
      <c r="I339" s="7733"/>
      <c r="J339" s="7734"/>
      <c r="K339" s="6393"/>
      <c r="L339" s="6459" t="s">
        <v>7156</v>
      </c>
    </row>
    <row r="340" spans="1:16" ht="30" customHeight="1" x14ac:dyDescent="0.2">
      <c r="A340" s="6475">
        <v>150</v>
      </c>
      <c r="B340" s="6431" t="s">
        <v>15</v>
      </c>
      <c r="C340" s="6434" t="s">
        <v>1294</v>
      </c>
      <c r="D340" s="6393">
        <v>160000000</v>
      </c>
      <c r="E340" s="6471">
        <v>0.04</v>
      </c>
      <c r="F340" s="6393">
        <f t="shared" si="28"/>
        <v>6400000</v>
      </c>
      <c r="G340" s="6393"/>
      <c r="H340" s="6393"/>
      <c r="I340" s="6512" t="s">
        <v>2986</v>
      </c>
      <c r="J340" s="6393">
        <f t="shared" si="31"/>
        <v>0</v>
      </c>
      <c r="K340" s="6393">
        <f t="shared" si="30"/>
        <v>6400000</v>
      </c>
      <c r="L340" s="6425"/>
    </row>
    <row r="341" spans="1:16" ht="30" customHeight="1" x14ac:dyDescent="0.2">
      <c r="A341" s="7654">
        <v>151</v>
      </c>
      <c r="B341" s="7652" t="s">
        <v>16</v>
      </c>
      <c r="C341" s="7723" t="s">
        <v>3390</v>
      </c>
      <c r="D341" s="7563">
        <v>200000000</v>
      </c>
      <c r="E341" s="7659">
        <v>0.05</v>
      </c>
      <c r="F341" s="7563">
        <f t="shared" si="28"/>
        <v>10000000</v>
      </c>
      <c r="G341" s="6385"/>
      <c r="H341" s="6385"/>
      <c r="I341" s="18" t="s">
        <v>7645</v>
      </c>
      <c r="J341" s="7563">
        <f>G341+G342</f>
        <v>0</v>
      </c>
      <c r="K341" s="7563">
        <f>F341-J341</f>
        <v>10000000</v>
      </c>
      <c r="L341" s="6536"/>
    </row>
    <row r="342" spans="1:16" ht="30" customHeight="1" x14ac:dyDescent="0.2">
      <c r="A342" s="7655"/>
      <c r="B342" s="7653"/>
      <c r="C342" s="7724"/>
      <c r="D342" s="7564"/>
      <c r="E342" s="7660"/>
      <c r="F342" s="7564"/>
      <c r="G342" s="6393"/>
      <c r="H342" s="6393"/>
      <c r="I342" s="96" t="s">
        <v>2149</v>
      </c>
      <c r="J342" s="7564"/>
      <c r="K342" s="7564"/>
      <c r="L342" s="6536"/>
    </row>
    <row r="343" spans="1:16" ht="30" customHeight="1" x14ac:dyDescent="0.2">
      <c r="A343" s="6475">
        <v>153</v>
      </c>
      <c r="B343" s="6431" t="s">
        <v>17</v>
      </c>
      <c r="C343" s="6434" t="s">
        <v>1299</v>
      </c>
      <c r="D343" s="6393">
        <v>30000000</v>
      </c>
      <c r="E343" s="6471">
        <v>0.05</v>
      </c>
      <c r="F343" s="6393">
        <f t="shared" si="28"/>
        <v>1500000</v>
      </c>
      <c r="G343" s="6393"/>
      <c r="H343" s="6393"/>
      <c r="I343" s="6512" t="s">
        <v>1143</v>
      </c>
      <c r="J343" s="6393">
        <f t="shared" si="31"/>
        <v>0</v>
      </c>
      <c r="K343" s="6393">
        <f t="shared" si="30"/>
        <v>1500000</v>
      </c>
      <c r="L343" s="6431"/>
    </row>
    <row r="344" spans="1:16" ht="30" customHeight="1" x14ac:dyDescent="0.2">
      <c r="A344" s="7654">
        <v>154</v>
      </c>
      <c r="B344" s="7652" t="s">
        <v>18</v>
      </c>
      <c r="C344" s="7723" t="s">
        <v>1796</v>
      </c>
      <c r="D344" s="7563">
        <v>15000000</v>
      </c>
      <c r="E344" s="7659">
        <v>7.0000000000000007E-2</v>
      </c>
      <c r="F344" s="7563">
        <f t="shared" si="28"/>
        <v>1050000</v>
      </c>
      <c r="G344" s="6393"/>
      <c r="H344" s="6393"/>
      <c r="I344" s="6512" t="s">
        <v>1278</v>
      </c>
      <c r="J344" s="6393">
        <f t="shared" si="31"/>
        <v>0</v>
      </c>
      <c r="K344" s="6393">
        <f t="shared" si="30"/>
        <v>1050000</v>
      </c>
      <c r="L344" s="6503"/>
    </row>
    <row r="345" spans="1:16" ht="30" customHeight="1" x14ac:dyDescent="0.2">
      <c r="A345" s="7655"/>
      <c r="B345" s="7653"/>
      <c r="C345" s="7724"/>
      <c r="D345" s="7564"/>
      <c r="E345" s="7660"/>
      <c r="F345" s="7564"/>
      <c r="G345" s="6393"/>
      <c r="H345" s="6393"/>
      <c r="I345" s="6512" t="s">
        <v>1278</v>
      </c>
      <c r="J345" s="6393">
        <f>G345</f>
        <v>0</v>
      </c>
      <c r="K345" s="6393">
        <f>F344-J345</f>
        <v>1050000</v>
      </c>
      <c r="L345" s="6503"/>
    </row>
    <row r="346" spans="1:16" ht="30" customHeight="1" x14ac:dyDescent="0.2">
      <c r="A346" s="6475">
        <v>155</v>
      </c>
      <c r="B346" s="6431" t="s">
        <v>19</v>
      </c>
      <c r="C346" s="6434"/>
      <c r="D346" s="6411"/>
      <c r="E346" s="2519"/>
      <c r="F346" s="6411">
        <f t="shared" si="28"/>
        <v>0</v>
      </c>
      <c r="G346" s="6393"/>
      <c r="H346" s="6393"/>
      <c r="I346" s="6512"/>
      <c r="J346" s="6393"/>
      <c r="K346" s="6411">
        <f t="shared" si="30"/>
        <v>0</v>
      </c>
      <c r="L346" s="6431"/>
    </row>
    <row r="347" spans="1:16" ht="30" customHeight="1" x14ac:dyDescent="0.2">
      <c r="A347" s="6397">
        <v>156</v>
      </c>
      <c r="B347" s="6468" t="s">
        <v>20</v>
      </c>
      <c r="C347" s="6434" t="s">
        <v>1287</v>
      </c>
      <c r="D347" s="6385">
        <v>50000000</v>
      </c>
      <c r="E347" s="6471">
        <v>0.04</v>
      </c>
      <c r="F347" s="6385">
        <f t="shared" si="28"/>
        <v>2000000</v>
      </c>
      <c r="G347" s="6393"/>
      <c r="H347" s="6393"/>
      <c r="I347" s="18" t="s">
        <v>5120</v>
      </c>
      <c r="J347" s="6385">
        <f>G347</f>
        <v>0</v>
      </c>
      <c r="K347" s="6385">
        <f>F347-J347</f>
        <v>2000000</v>
      </c>
      <c r="L347" s="6425"/>
      <c r="M347" s="366"/>
      <c r="N347" s="366"/>
      <c r="O347" s="366"/>
      <c r="P347" s="366"/>
    </row>
    <row r="348" spans="1:16" ht="30" customHeight="1" x14ac:dyDescent="0.2">
      <c r="A348" s="7703">
        <v>157</v>
      </c>
      <c r="B348" s="7652" t="s">
        <v>21</v>
      </c>
      <c r="C348" s="7723" t="s">
        <v>1294</v>
      </c>
      <c r="D348" s="6393">
        <v>20000000</v>
      </c>
      <c r="E348" s="6402">
        <v>0.05</v>
      </c>
      <c r="F348" s="6393">
        <f t="shared" si="28"/>
        <v>1000000</v>
      </c>
      <c r="G348" s="7563"/>
      <c r="H348" s="7563"/>
      <c r="I348" s="7563" t="s">
        <v>4523</v>
      </c>
      <c r="J348" s="7563">
        <f>G348</f>
        <v>0</v>
      </c>
      <c r="K348" s="7563">
        <f>(F348+F349+F350)-J348</f>
        <v>3000000</v>
      </c>
      <c r="L348" s="6535"/>
      <c r="M348" s="366"/>
      <c r="N348" s="366"/>
      <c r="O348" s="366"/>
      <c r="P348" s="366"/>
    </row>
    <row r="349" spans="1:16" ht="30" customHeight="1" x14ac:dyDescent="0.2">
      <c r="A349" s="7704"/>
      <c r="B349" s="7665"/>
      <c r="C349" s="7747"/>
      <c r="D349" s="6393">
        <v>30000000</v>
      </c>
      <c r="E349" s="6402">
        <v>0.05</v>
      </c>
      <c r="F349" s="6393">
        <f t="shared" si="28"/>
        <v>1500000</v>
      </c>
      <c r="G349" s="7586"/>
      <c r="H349" s="7586"/>
      <c r="I349" s="7586"/>
      <c r="J349" s="7586"/>
      <c r="K349" s="7586"/>
      <c r="L349" s="6535"/>
      <c r="M349" s="366"/>
      <c r="N349" s="366"/>
      <c r="O349" s="366"/>
      <c r="P349" s="366"/>
    </row>
    <row r="350" spans="1:16" ht="30" customHeight="1" x14ac:dyDescent="0.2">
      <c r="A350" s="7704"/>
      <c r="B350" s="7665"/>
      <c r="C350" s="7747"/>
      <c r="D350" s="6385">
        <v>10000000</v>
      </c>
      <c r="E350" s="6471">
        <v>0.05</v>
      </c>
      <c r="F350" s="6385">
        <f>D350*E350</f>
        <v>500000</v>
      </c>
      <c r="G350" s="7564"/>
      <c r="H350" s="7564"/>
      <c r="I350" s="7564"/>
      <c r="J350" s="7564"/>
      <c r="K350" s="7564"/>
      <c r="L350" s="6535"/>
      <c r="M350" s="366"/>
      <c r="N350" s="366"/>
      <c r="O350" s="366"/>
      <c r="P350" s="366"/>
    </row>
    <row r="351" spans="1:16" ht="30" customHeight="1" x14ac:dyDescent="0.2">
      <c r="A351" s="7654"/>
      <c r="B351" s="7652" t="s">
        <v>822</v>
      </c>
      <c r="C351" s="7723" t="s">
        <v>1306</v>
      </c>
      <c r="D351" s="6393">
        <v>160000000</v>
      </c>
      <c r="E351" s="6402">
        <v>0.05</v>
      </c>
      <c r="F351" s="6393">
        <f>D351*E351</f>
        <v>8000000</v>
      </c>
      <c r="G351" s="6385"/>
      <c r="H351" s="6385"/>
      <c r="I351" s="6385" t="s">
        <v>3129</v>
      </c>
      <c r="J351" s="6385">
        <f>G351</f>
        <v>0</v>
      </c>
      <c r="K351" s="6385">
        <f>(F351+F352)-J351</f>
        <v>10700000</v>
      </c>
      <c r="L351" s="6488"/>
      <c r="M351" s="233"/>
      <c r="N351" s="233"/>
      <c r="O351" s="233"/>
      <c r="P351" s="233"/>
    </row>
    <row r="352" spans="1:16" ht="30" customHeight="1" x14ac:dyDescent="0.2">
      <c r="A352" s="7656"/>
      <c r="B352" s="7653"/>
      <c r="C352" s="7724"/>
      <c r="D352" s="6393">
        <f>22000000+9200000+13800000</f>
        <v>45000000</v>
      </c>
      <c r="E352" s="6471">
        <v>0.06</v>
      </c>
      <c r="F352" s="6393">
        <f>D352*E352</f>
        <v>2700000</v>
      </c>
      <c r="G352" s="6385"/>
      <c r="H352" s="6385"/>
      <c r="I352" s="6385" t="s">
        <v>7805</v>
      </c>
      <c r="J352" s="6385">
        <f>G352</f>
        <v>0</v>
      </c>
      <c r="K352" s="6385">
        <f>(F351+F352)-J352</f>
        <v>10700000</v>
      </c>
      <c r="L352" s="6488"/>
      <c r="M352" s="366"/>
      <c r="N352" s="366"/>
      <c r="O352" s="366"/>
      <c r="P352" s="366"/>
    </row>
    <row r="353" spans="1:16" ht="30" customHeight="1" x14ac:dyDescent="0.2">
      <c r="A353" s="6475">
        <v>160</v>
      </c>
      <c r="B353" s="6431" t="s">
        <v>23</v>
      </c>
      <c r="C353" s="6434"/>
      <c r="D353" s="6393">
        <v>55000000</v>
      </c>
      <c r="E353" s="6471">
        <v>0.05</v>
      </c>
      <c r="F353" s="6393">
        <f t="shared" si="28"/>
        <v>2750000</v>
      </c>
      <c r="G353" s="6393"/>
      <c r="H353" s="6393"/>
      <c r="I353" s="6512"/>
      <c r="J353" s="6393">
        <f t="shared" ref="J353:J354" si="32">G353</f>
        <v>0</v>
      </c>
      <c r="K353" s="6393">
        <f t="shared" ref="K353:K368" si="33">F353-J353</f>
        <v>2750000</v>
      </c>
      <c r="L353" s="6431"/>
      <c r="M353" s="366"/>
      <c r="N353" s="366"/>
      <c r="O353" s="366"/>
      <c r="P353" s="366"/>
    </row>
    <row r="354" spans="1:16" ht="30" customHeight="1" x14ac:dyDescent="0.2">
      <c r="A354" s="7115">
        <v>161</v>
      </c>
      <c r="B354" s="7116" t="s">
        <v>24</v>
      </c>
      <c r="C354" s="7131" t="s">
        <v>1306</v>
      </c>
      <c r="D354" s="7112">
        <v>20000000</v>
      </c>
      <c r="E354" s="7119">
        <v>4.4999999999999998E-2</v>
      </c>
      <c r="F354" s="7112">
        <f t="shared" si="28"/>
        <v>900000</v>
      </c>
      <c r="G354" s="7113"/>
      <c r="H354" s="7113"/>
      <c r="I354" s="7153" t="s">
        <v>721</v>
      </c>
      <c r="J354" s="7113">
        <f t="shared" si="32"/>
        <v>0</v>
      </c>
      <c r="K354" s="6393">
        <f t="shared" si="33"/>
        <v>900000</v>
      </c>
      <c r="L354" s="6431"/>
      <c r="M354" s="366"/>
      <c r="N354" s="366"/>
      <c r="O354" s="366"/>
      <c r="P354" s="366"/>
    </row>
    <row r="355" spans="1:16" ht="30" customHeight="1" x14ac:dyDescent="0.2">
      <c r="A355" s="6475">
        <v>162</v>
      </c>
      <c r="B355" s="7130" t="s">
        <v>25</v>
      </c>
      <c r="C355" s="7147" t="s">
        <v>262</v>
      </c>
      <c r="D355" s="7111">
        <v>270000000</v>
      </c>
      <c r="E355" s="7146">
        <v>0.05</v>
      </c>
      <c r="F355" s="7111">
        <f t="shared" si="28"/>
        <v>13500000</v>
      </c>
      <c r="G355" s="7111"/>
      <c r="H355" s="7111"/>
      <c r="I355" s="7144" t="s">
        <v>4576</v>
      </c>
      <c r="J355" s="7111">
        <f>G355</f>
        <v>0</v>
      </c>
      <c r="K355" s="6391">
        <f>F355-J355</f>
        <v>13500000</v>
      </c>
      <c r="L355" s="6535"/>
      <c r="M355" s="366"/>
      <c r="N355" s="366"/>
      <c r="O355" s="366"/>
      <c r="P355" s="366"/>
    </row>
    <row r="356" spans="1:16" ht="30" customHeight="1" x14ac:dyDescent="0.2">
      <c r="A356" s="7654">
        <v>163</v>
      </c>
      <c r="B356" s="7652" t="s">
        <v>828</v>
      </c>
      <c r="C356" s="7723" t="s">
        <v>1306</v>
      </c>
      <c r="D356" s="6417">
        <v>200000000</v>
      </c>
      <c r="E356" s="6529">
        <v>0.06</v>
      </c>
      <c r="F356" s="6417">
        <f t="shared" si="28"/>
        <v>12000000</v>
      </c>
      <c r="G356" s="7563"/>
      <c r="H356" s="7563"/>
      <c r="I356" s="7561" t="s">
        <v>3732</v>
      </c>
      <c r="J356" s="7563">
        <f>G356</f>
        <v>0</v>
      </c>
      <c r="K356" s="7563">
        <f>(F356+F357+F358)-J356</f>
        <v>22500000</v>
      </c>
      <c r="L356" s="6535"/>
      <c r="M356" s="366"/>
      <c r="N356" s="366"/>
      <c r="O356" s="366"/>
      <c r="P356" s="366"/>
    </row>
    <row r="357" spans="1:16" ht="30" customHeight="1" x14ac:dyDescent="0.2">
      <c r="A357" s="7656"/>
      <c r="B357" s="7665"/>
      <c r="C357" s="7747"/>
      <c r="D357" s="6417">
        <v>50000000</v>
      </c>
      <c r="E357" s="6529">
        <v>7.0000000000000007E-2</v>
      </c>
      <c r="F357" s="6417">
        <f t="shared" si="28"/>
        <v>3500000.0000000005</v>
      </c>
      <c r="G357" s="7586"/>
      <c r="H357" s="7586"/>
      <c r="I357" s="7672"/>
      <c r="J357" s="7586"/>
      <c r="K357" s="7586"/>
      <c r="L357" s="6535"/>
      <c r="M357" s="366"/>
      <c r="N357" s="366"/>
      <c r="O357" s="366"/>
      <c r="P357" s="366"/>
    </row>
    <row r="358" spans="1:16" ht="30" customHeight="1" x14ac:dyDescent="0.2">
      <c r="A358" s="7655"/>
      <c r="B358" s="7653"/>
      <c r="C358" s="7724"/>
      <c r="D358" s="6417">
        <v>100000000</v>
      </c>
      <c r="E358" s="6529">
        <v>7.0000000000000007E-2</v>
      </c>
      <c r="F358" s="6417">
        <f t="shared" si="28"/>
        <v>7000000.0000000009</v>
      </c>
      <c r="G358" s="7564"/>
      <c r="H358" s="7564"/>
      <c r="I358" s="7562"/>
      <c r="J358" s="7564"/>
      <c r="K358" s="7564"/>
      <c r="L358" s="6535"/>
      <c r="M358" s="366"/>
      <c r="N358" s="366"/>
      <c r="O358" s="366"/>
      <c r="P358" s="366"/>
    </row>
    <row r="359" spans="1:16" ht="30" customHeight="1" x14ac:dyDescent="0.2">
      <c r="A359" s="6475">
        <v>164</v>
      </c>
      <c r="B359" s="6431" t="s">
        <v>26</v>
      </c>
      <c r="C359" s="6434" t="s">
        <v>1306</v>
      </c>
      <c r="D359" s="6393">
        <v>50000000</v>
      </c>
      <c r="E359" s="6471">
        <v>0.05</v>
      </c>
      <c r="F359" s="6393">
        <f t="shared" si="28"/>
        <v>2500000</v>
      </c>
      <c r="G359" s="6393"/>
      <c r="H359" s="6393"/>
      <c r="I359" s="6512" t="s">
        <v>7715</v>
      </c>
      <c r="J359" s="6393">
        <f t="shared" ref="J359:J374" si="34">G359</f>
        <v>0</v>
      </c>
      <c r="K359" s="6393">
        <f t="shared" si="33"/>
        <v>2500000</v>
      </c>
      <c r="L359" s="6431"/>
      <c r="M359" s="366"/>
      <c r="N359" s="366"/>
      <c r="O359" s="366"/>
      <c r="P359" s="366"/>
    </row>
    <row r="360" spans="1:16" ht="30" customHeight="1" x14ac:dyDescent="0.2">
      <c r="A360" s="6569"/>
      <c r="B360" s="6567" t="s">
        <v>7829</v>
      </c>
      <c r="C360" s="6578"/>
      <c r="D360" s="6586">
        <v>50000000</v>
      </c>
      <c r="E360" s="6581">
        <v>0.06</v>
      </c>
      <c r="F360" s="6586">
        <f t="shared" si="28"/>
        <v>3000000</v>
      </c>
      <c r="G360" s="6565"/>
      <c r="H360" s="6565"/>
      <c r="I360" s="6583"/>
      <c r="J360" s="6565"/>
      <c r="K360" s="6565"/>
      <c r="L360" s="6585" t="s">
        <v>7830</v>
      </c>
      <c r="M360" s="366"/>
      <c r="N360" s="366"/>
      <c r="O360" s="366"/>
      <c r="P360" s="366"/>
    </row>
    <row r="361" spans="1:16" ht="30" customHeight="1" x14ac:dyDescent="0.2">
      <c r="A361" s="7654">
        <v>166</v>
      </c>
      <c r="B361" s="7652" t="s">
        <v>28</v>
      </c>
      <c r="C361" s="7723" t="s">
        <v>551</v>
      </c>
      <c r="D361" s="7563">
        <v>100000000</v>
      </c>
      <c r="E361" s="7659">
        <v>0.05</v>
      </c>
      <c r="F361" s="7563">
        <f t="shared" si="28"/>
        <v>5000000</v>
      </c>
      <c r="G361" s="6393"/>
      <c r="H361" s="6393"/>
      <c r="I361" s="6547" t="s">
        <v>4123</v>
      </c>
      <c r="J361" s="6393">
        <f t="shared" si="34"/>
        <v>0</v>
      </c>
      <c r="K361" s="6393">
        <f t="shared" si="33"/>
        <v>5000000</v>
      </c>
      <c r="L361" s="6422"/>
      <c r="M361" s="366"/>
      <c r="N361" s="366"/>
      <c r="O361" s="366"/>
      <c r="P361" s="366"/>
    </row>
    <row r="362" spans="1:16" ht="30" customHeight="1" x14ac:dyDescent="0.2">
      <c r="A362" s="7655"/>
      <c r="B362" s="7653"/>
      <c r="C362" s="7724"/>
      <c r="D362" s="7564"/>
      <c r="E362" s="7660"/>
      <c r="F362" s="7564"/>
      <c r="G362" s="6393"/>
      <c r="H362" s="6393"/>
      <c r="I362" s="52" t="s">
        <v>4123</v>
      </c>
      <c r="J362" s="6393">
        <f t="shared" si="34"/>
        <v>0</v>
      </c>
      <c r="K362" s="6393">
        <f>F361-J362</f>
        <v>5000000</v>
      </c>
      <c r="L362" s="6422"/>
      <c r="M362" s="366"/>
      <c r="N362" s="366"/>
      <c r="O362" s="366"/>
      <c r="P362" s="366"/>
    </row>
    <row r="363" spans="1:16" ht="30" customHeight="1" x14ac:dyDescent="0.2">
      <c r="A363" s="7654">
        <v>167</v>
      </c>
      <c r="B363" s="7652" t="s">
        <v>737</v>
      </c>
      <c r="C363" s="7723" t="s">
        <v>1306</v>
      </c>
      <c r="D363" s="6393">
        <v>50000000</v>
      </c>
      <c r="E363" s="6471">
        <v>0.06</v>
      </c>
      <c r="F363" s="6393">
        <f t="shared" si="28"/>
        <v>3000000</v>
      </c>
      <c r="G363" s="6393">
        <v>12000000</v>
      </c>
      <c r="H363" s="6393" t="s">
        <v>7845</v>
      </c>
      <c r="I363" s="6512" t="s">
        <v>7241</v>
      </c>
      <c r="J363" s="6393">
        <f t="shared" si="34"/>
        <v>12000000</v>
      </c>
      <c r="K363" s="6393">
        <f t="shared" si="33"/>
        <v>-9000000</v>
      </c>
      <c r="L363" s="6431"/>
      <c r="M363" s="366"/>
      <c r="N363" s="366"/>
      <c r="O363" s="366"/>
      <c r="P363" s="366"/>
    </row>
    <row r="364" spans="1:16" ht="30" customHeight="1" x14ac:dyDescent="0.2">
      <c r="A364" s="7655"/>
      <c r="B364" s="7653"/>
      <c r="C364" s="7724"/>
      <c r="D364" s="7470" t="s">
        <v>6636</v>
      </c>
      <c r="E364" s="7493"/>
      <c r="F364" s="7510"/>
      <c r="G364" s="6393"/>
      <c r="H364" s="6393"/>
      <c r="I364" s="6512" t="s">
        <v>6637</v>
      </c>
      <c r="J364" s="6393">
        <f>G364</f>
        <v>0</v>
      </c>
      <c r="K364" s="6393"/>
      <c r="L364" s="6546" t="s">
        <v>7395</v>
      </c>
      <c r="M364" s="366"/>
      <c r="N364" s="366"/>
      <c r="O364" s="366"/>
      <c r="P364" s="366"/>
    </row>
    <row r="365" spans="1:16" ht="30" customHeight="1" x14ac:dyDescent="0.2">
      <c r="A365" s="7654">
        <v>168</v>
      </c>
      <c r="B365" s="7710" t="s">
        <v>818</v>
      </c>
      <c r="C365" s="7813" t="s">
        <v>1306</v>
      </c>
      <c r="D365" s="6411">
        <v>50000000</v>
      </c>
      <c r="E365" s="2519">
        <v>7.0000000000000007E-2</v>
      </c>
      <c r="F365" s="6411">
        <f t="shared" si="28"/>
        <v>3500000.0000000005</v>
      </c>
      <c r="G365" s="6411"/>
      <c r="H365" s="6411"/>
      <c r="I365" s="56" t="s">
        <v>4908</v>
      </c>
      <c r="J365" s="6411">
        <f>G365</f>
        <v>0</v>
      </c>
      <c r="K365" s="909">
        <f t="shared" si="33"/>
        <v>3500000.0000000005</v>
      </c>
      <c r="L365" s="4389" t="s">
        <v>5215</v>
      </c>
      <c r="M365" s="366"/>
      <c r="N365" s="366"/>
      <c r="O365" s="366"/>
      <c r="P365" s="366"/>
    </row>
    <row r="366" spans="1:16" ht="30" customHeight="1" x14ac:dyDescent="0.2">
      <c r="A366" s="7656"/>
      <c r="B366" s="7711"/>
      <c r="C366" s="7814"/>
      <c r="D366" s="6411">
        <v>48000000</v>
      </c>
      <c r="E366" s="2519"/>
      <c r="F366" s="6411"/>
      <c r="G366" s="7594" t="s">
        <v>4856</v>
      </c>
      <c r="H366" s="8422"/>
      <c r="I366" s="8422"/>
      <c r="J366" s="8422"/>
      <c r="K366" s="8423"/>
      <c r="L366" s="4390" t="s">
        <v>5988</v>
      </c>
      <c r="M366" s="366"/>
      <c r="N366" s="366"/>
      <c r="O366" s="366"/>
      <c r="P366" s="366"/>
    </row>
    <row r="367" spans="1:16" ht="30" customHeight="1" x14ac:dyDescent="0.2">
      <c r="A367" s="7655"/>
      <c r="B367" s="7712"/>
      <c r="C367" s="7815"/>
      <c r="D367" s="6411">
        <v>70000000</v>
      </c>
      <c r="E367" s="2519"/>
      <c r="F367" s="6411"/>
      <c r="G367" s="909"/>
      <c r="H367" s="909"/>
      <c r="I367" s="909"/>
      <c r="J367" s="909"/>
      <c r="K367" s="4391"/>
      <c r="L367" s="4392" t="s">
        <v>5989</v>
      </c>
      <c r="M367" s="366"/>
      <c r="N367" s="366"/>
      <c r="O367" s="366"/>
      <c r="P367" s="366"/>
    </row>
    <row r="368" spans="1:16" ht="30" customHeight="1" x14ac:dyDescent="0.2">
      <c r="A368" s="7654"/>
      <c r="B368" s="7652" t="s">
        <v>29</v>
      </c>
      <c r="C368" s="7723" t="s">
        <v>1107</v>
      </c>
      <c r="D368" s="7563">
        <v>20000000</v>
      </c>
      <c r="E368" s="7659">
        <v>0.05</v>
      </c>
      <c r="F368" s="7563">
        <f>D368*E368</f>
        <v>1000000</v>
      </c>
      <c r="G368" s="6393"/>
      <c r="H368" s="6393"/>
      <c r="I368" s="6393" t="s">
        <v>848</v>
      </c>
      <c r="J368" s="6393">
        <f t="shared" si="34"/>
        <v>0</v>
      </c>
      <c r="K368" s="6393">
        <f t="shared" si="33"/>
        <v>1000000</v>
      </c>
      <c r="L368" s="7732"/>
      <c r="M368" s="7733"/>
      <c r="N368" s="7733"/>
      <c r="O368" s="7733"/>
      <c r="P368" s="7734"/>
    </row>
    <row r="369" spans="1:16" ht="30" customHeight="1" x14ac:dyDescent="0.2">
      <c r="A369" s="7655"/>
      <c r="B369" s="7653"/>
      <c r="C369" s="7724"/>
      <c r="D369" s="7564"/>
      <c r="E369" s="7660"/>
      <c r="F369" s="7564"/>
      <c r="G369" s="6393"/>
      <c r="H369" s="6393"/>
      <c r="I369" s="6393" t="s">
        <v>848</v>
      </c>
      <c r="J369" s="6393">
        <f>G369</f>
        <v>0</v>
      </c>
      <c r="K369" s="6393">
        <f>F368-J369</f>
        <v>1000000</v>
      </c>
      <c r="L369" s="6422"/>
      <c r="M369" s="6484"/>
      <c r="N369" s="6484"/>
      <c r="O369" s="6484"/>
      <c r="P369" s="6484"/>
    </row>
    <row r="370" spans="1:16" ht="30" customHeight="1" x14ac:dyDescent="0.2">
      <c r="A370" s="7654">
        <v>170</v>
      </c>
      <c r="B370" s="7652" t="s">
        <v>30</v>
      </c>
      <c r="C370" s="7723" t="s">
        <v>1107</v>
      </c>
      <c r="D370" s="7563">
        <v>70000000</v>
      </c>
      <c r="E370" s="7659">
        <v>5.2999999999999999E-2</v>
      </c>
      <c r="F370" s="7563">
        <v>3700000</v>
      </c>
      <c r="G370" s="6393"/>
      <c r="H370" s="6393"/>
      <c r="I370" s="6512" t="s">
        <v>4138</v>
      </c>
      <c r="J370" s="6393">
        <f t="shared" si="34"/>
        <v>0</v>
      </c>
      <c r="K370" s="6393">
        <f>F370-J370</f>
        <v>3700000</v>
      </c>
      <c r="L370" s="6546"/>
      <c r="M370" s="366"/>
      <c r="N370" s="366"/>
      <c r="O370" s="366"/>
      <c r="P370" s="366"/>
    </row>
    <row r="371" spans="1:16" ht="30" customHeight="1" x14ac:dyDescent="0.2">
      <c r="A371" s="7656"/>
      <c r="B371" s="7665"/>
      <c r="C371" s="7747"/>
      <c r="D371" s="7586"/>
      <c r="E371" s="7676"/>
      <c r="F371" s="7586"/>
      <c r="G371" s="6393"/>
      <c r="H371" s="6393"/>
      <c r="I371" s="6512" t="s">
        <v>4138</v>
      </c>
      <c r="J371" s="7563">
        <f>G371+G372</f>
        <v>0</v>
      </c>
      <c r="K371" s="7563">
        <f>F370-J371</f>
        <v>3700000</v>
      </c>
      <c r="L371" s="8304"/>
      <c r="M371" s="366"/>
      <c r="N371" s="366"/>
      <c r="O371" s="366"/>
      <c r="P371" s="366"/>
    </row>
    <row r="372" spans="1:16" ht="30" customHeight="1" x14ac:dyDescent="0.2">
      <c r="A372" s="7655"/>
      <c r="B372" s="7653"/>
      <c r="C372" s="7724"/>
      <c r="D372" s="7564"/>
      <c r="E372" s="7660"/>
      <c r="F372" s="7564"/>
      <c r="G372" s="6393"/>
      <c r="H372" s="6393"/>
      <c r="I372" s="6512" t="s">
        <v>1127</v>
      </c>
      <c r="J372" s="7564"/>
      <c r="K372" s="7564"/>
      <c r="L372" s="8306"/>
      <c r="M372" s="366"/>
      <c r="N372" s="366"/>
      <c r="O372" s="366"/>
      <c r="P372" s="366"/>
    </row>
    <row r="373" spans="1:16" ht="30" customHeight="1" x14ac:dyDescent="0.2">
      <c r="A373" s="6475">
        <v>171</v>
      </c>
      <c r="B373" s="6431" t="s">
        <v>31</v>
      </c>
      <c r="C373" s="6434" t="s">
        <v>1293</v>
      </c>
      <c r="D373" s="6393">
        <v>10000000</v>
      </c>
      <c r="E373" s="6471">
        <v>0.04</v>
      </c>
      <c r="F373" s="6393">
        <f>D373*E373</f>
        <v>400000</v>
      </c>
      <c r="G373" s="6393"/>
      <c r="H373" s="6393"/>
      <c r="I373" s="6512" t="s">
        <v>670</v>
      </c>
      <c r="J373" s="6393">
        <f t="shared" si="34"/>
        <v>0</v>
      </c>
      <c r="K373" s="6393">
        <f>F373-J373</f>
        <v>400000</v>
      </c>
      <c r="L373" s="6503"/>
    </row>
    <row r="374" spans="1:16" ht="30" customHeight="1" x14ac:dyDescent="0.2">
      <c r="A374" s="6397">
        <v>172</v>
      </c>
      <c r="B374" s="6468" t="s">
        <v>32</v>
      </c>
      <c r="C374" s="6472" t="s">
        <v>989</v>
      </c>
      <c r="D374" s="6393">
        <v>5000000</v>
      </c>
      <c r="E374" s="6471">
        <v>0.06</v>
      </c>
      <c r="F374" s="6393">
        <f t="shared" si="28"/>
        <v>300000</v>
      </c>
      <c r="G374" s="6393"/>
      <c r="H374" s="6393"/>
      <c r="I374" s="6512" t="s">
        <v>632</v>
      </c>
      <c r="J374" s="6393">
        <f t="shared" si="34"/>
        <v>0</v>
      </c>
      <c r="K374" s="6393">
        <f>F374-J374</f>
        <v>300000</v>
      </c>
      <c r="L374" s="6535"/>
    </row>
    <row r="375" spans="1:16" ht="30" customHeight="1" x14ac:dyDescent="0.2">
      <c r="A375" s="7654">
        <v>173</v>
      </c>
      <c r="B375" s="7652" t="s">
        <v>33</v>
      </c>
      <c r="C375" s="7723" t="s">
        <v>1306</v>
      </c>
      <c r="D375" s="6385">
        <v>50000000</v>
      </c>
      <c r="E375" s="6471">
        <v>0.05</v>
      </c>
      <c r="F375" s="6385">
        <f t="shared" si="28"/>
        <v>2500000</v>
      </c>
      <c r="G375" s="6385"/>
      <c r="H375" s="6385"/>
      <c r="I375" s="6467" t="s">
        <v>838</v>
      </c>
      <c r="J375" s="6385">
        <f>G375</f>
        <v>0</v>
      </c>
      <c r="K375" s="6385">
        <f>F375-J375</f>
        <v>2500000</v>
      </c>
      <c r="L375" s="4393"/>
    </row>
    <row r="376" spans="1:16" ht="30" customHeight="1" x14ac:dyDescent="0.2">
      <c r="A376" s="7655"/>
      <c r="B376" s="7653"/>
      <c r="C376" s="7724"/>
      <c r="D376" s="7470" t="s">
        <v>7776</v>
      </c>
      <c r="E376" s="7493"/>
      <c r="F376" s="7510"/>
      <c r="G376" s="6385"/>
      <c r="H376" s="6385"/>
      <c r="I376" s="6467" t="s">
        <v>3739</v>
      </c>
      <c r="J376" s="6385">
        <f>G376</f>
        <v>0</v>
      </c>
      <c r="K376" s="6385">
        <f>D375-J376</f>
        <v>50000000</v>
      </c>
      <c r="L376" s="4393"/>
    </row>
    <row r="377" spans="1:16" ht="30" customHeight="1" x14ac:dyDescent="0.2">
      <c r="A377" s="7654"/>
      <c r="B377" s="7652" t="s">
        <v>4266</v>
      </c>
      <c r="C377" s="7723" t="s">
        <v>1287</v>
      </c>
      <c r="D377" s="6394">
        <v>5730000000</v>
      </c>
      <c r="E377" s="2519">
        <v>0.08</v>
      </c>
      <c r="F377" s="6394">
        <f>D377*E377</f>
        <v>458400000</v>
      </c>
      <c r="G377" s="7732"/>
      <c r="H377" s="7733"/>
      <c r="I377" s="7733"/>
      <c r="J377" s="7734"/>
      <c r="K377" s="233"/>
      <c r="L377" s="6546" t="s">
        <v>6696</v>
      </c>
    </row>
    <row r="378" spans="1:16" ht="30" customHeight="1" x14ac:dyDescent="0.2">
      <c r="A378" s="7656"/>
      <c r="B378" s="7665"/>
      <c r="C378" s="7747"/>
      <c r="D378" s="6513">
        <v>10000000000</v>
      </c>
      <c r="E378" s="6552">
        <v>8.5000000000000006E-2</v>
      </c>
      <c r="F378" s="6513">
        <f>D378*E378</f>
        <v>850000000.00000012</v>
      </c>
      <c r="G378" s="7732" t="s">
        <v>6698</v>
      </c>
      <c r="H378" s="7733"/>
      <c r="I378" s="7733"/>
      <c r="J378" s="7734"/>
      <c r="K378" s="178"/>
      <c r="L378" s="6546" t="s">
        <v>6697</v>
      </c>
    </row>
    <row r="379" spans="1:16" ht="30" customHeight="1" x14ac:dyDescent="0.2">
      <c r="A379" s="7656"/>
      <c r="B379" s="7665"/>
      <c r="C379" s="7747"/>
      <c r="D379" s="7470" t="s">
        <v>6699</v>
      </c>
      <c r="E379" s="7493"/>
      <c r="F379" s="7510"/>
      <c r="G379" s="6485"/>
      <c r="H379" s="6486"/>
      <c r="I379" s="6423"/>
      <c r="J379" s="6487"/>
      <c r="K379" s="178"/>
      <c r="L379" s="6546" t="s">
        <v>6700</v>
      </c>
    </row>
    <row r="380" spans="1:16" ht="30" customHeight="1" x14ac:dyDescent="0.2">
      <c r="A380" s="7656"/>
      <c r="B380" s="7665"/>
      <c r="C380" s="7747"/>
      <c r="D380" s="7494"/>
      <c r="E380" s="7495"/>
      <c r="F380" s="7768"/>
      <c r="G380" s="6385"/>
      <c r="H380" s="6385"/>
      <c r="I380" s="6385" t="s">
        <v>7558</v>
      </c>
      <c r="J380" s="6385">
        <f>G380</f>
        <v>0</v>
      </c>
      <c r="K380" s="178"/>
      <c r="L380" s="6546"/>
    </row>
    <row r="381" spans="1:16" ht="30" customHeight="1" x14ac:dyDescent="0.2">
      <c r="A381" s="7656"/>
      <c r="B381" s="7665"/>
      <c r="C381" s="7747"/>
      <c r="D381" s="7877"/>
      <c r="E381" s="7524"/>
      <c r="F381" s="7878"/>
      <c r="G381" s="6393"/>
      <c r="H381" s="6393"/>
      <c r="I381" s="6385" t="s">
        <v>7558</v>
      </c>
      <c r="J381" s="6393">
        <f>G381</f>
        <v>0</v>
      </c>
      <c r="K381" s="178"/>
      <c r="L381" s="6546"/>
    </row>
    <row r="382" spans="1:16" ht="30" customHeight="1" x14ac:dyDescent="0.2">
      <c r="A382" s="7656"/>
      <c r="B382" s="7665"/>
      <c r="C382" s="7747"/>
      <c r="D382" s="7877"/>
      <c r="E382" s="7524"/>
      <c r="F382" s="7878"/>
      <c r="G382" s="6393"/>
      <c r="H382" s="6393"/>
      <c r="I382" s="6385" t="s">
        <v>7558</v>
      </c>
      <c r="J382" s="6393">
        <f>G382</f>
        <v>0</v>
      </c>
      <c r="K382" s="178"/>
      <c r="L382" s="6546"/>
    </row>
    <row r="383" spans="1:16" ht="30" customHeight="1" x14ac:dyDescent="0.2">
      <c r="A383" s="7656"/>
      <c r="B383" s="7665"/>
      <c r="C383" s="7747"/>
      <c r="D383" s="7877"/>
      <c r="E383" s="7524"/>
      <c r="F383" s="7878"/>
      <c r="G383" s="6393"/>
      <c r="H383" s="6393"/>
      <c r="I383" s="6385" t="s">
        <v>7558</v>
      </c>
      <c r="J383" s="6393">
        <f>G383</f>
        <v>0</v>
      </c>
      <c r="K383" s="178"/>
      <c r="L383" s="6546"/>
    </row>
    <row r="384" spans="1:16" ht="30" customHeight="1" x14ac:dyDescent="0.2">
      <c r="A384" s="7655"/>
      <c r="B384" s="7653"/>
      <c r="C384" s="7724"/>
      <c r="D384" s="7769"/>
      <c r="E384" s="7805"/>
      <c r="F384" s="7770"/>
      <c r="G384" s="6393"/>
      <c r="H384" s="6393"/>
      <c r="I384" s="6385"/>
      <c r="J384" s="6393"/>
      <c r="K384" s="178"/>
      <c r="L384" s="6546"/>
    </row>
    <row r="385" spans="1:12" ht="30" customHeight="1" x14ac:dyDescent="0.2">
      <c r="A385" s="7654">
        <v>175</v>
      </c>
      <c r="B385" s="7652" t="s">
        <v>36</v>
      </c>
      <c r="C385" s="7723" t="s">
        <v>1306</v>
      </c>
      <c r="D385" s="7563">
        <v>200000000</v>
      </c>
      <c r="E385" s="7659">
        <v>0.05</v>
      </c>
      <c r="F385" s="7563">
        <f t="shared" si="28"/>
        <v>10000000</v>
      </c>
      <c r="G385" s="6393"/>
      <c r="H385" s="6393"/>
      <c r="I385" s="18" t="s">
        <v>3738</v>
      </c>
      <c r="J385" s="6393">
        <f>G385</f>
        <v>0</v>
      </c>
      <c r="K385" s="6385">
        <f t="shared" ref="K385:K399" si="35">F385-J385</f>
        <v>10000000</v>
      </c>
      <c r="L385" s="378"/>
    </row>
    <row r="386" spans="1:12" ht="30" customHeight="1" x14ac:dyDescent="0.2">
      <c r="A386" s="7655"/>
      <c r="B386" s="7653"/>
      <c r="C386" s="7724"/>
      <c r="D386" s="7564"/>
      <c r="E386" s="7660"/>
      <c r="F386" s="7564"/>
      <c r="G386" s="6393"/>
      <c r="H386" s="6393"/>
      <c r="I386" s="96" t="s">
        <v>3738</v>
      </c>
      <c r="J386" s="6393">
        <f>G386</f>
        <v>0</v>
      </c>
      <c r="K386" s="6393">
        <f>F385-J386</f>
        <v>10000000</v>
      </c>
      <c r="L386" s="378"/>
    </row>
    <row r="387" spans="1:12" ht="30" customHeight="1" x14ac:dyDescent="0.2">
      <c r="A387" s="7654">
        <v>176</v>
      </c>
      <c r="B387" s="7652" t="s">
        <v>37</v>
      </c>
      <c r="C387" s="7723" t="s">
        <v>1107</v>
      </c>
      <c r="D387" s="7563">
        <v>150000000</v>
      </c>
      <c r="E387" s="7659">
        <v>7.0000000000000007E-2</v>
      </c>
      <c r="F387" s="7563">
        <f t="shared" si="28"/>
        <v>10500000.000000002</v>
      </c>
      <c r="G387" s="6393"/>
      <c r="H387" s="6393"/>
      <c r="I387" s="6512" t="s">
        <v>3223</v>
      </c>
      <c r="J387" s="6393">
        <f t="shared" ref="J387:J411" si="36">G387</f>
        <v>0</v>
      </c>
      <c r="K387" s="6393">
        <f t="shared" si="35"/>
        <v>10500000.000000002</v>
      </c>
      <c r="L387" s="378"/>
    </row>
    <row r="388" spans="1:12" ht="30" customHeight="1" x14ac:dyDescent="0.2">
      <c r="A388" s="7655"/>
      <c r="B388" s="7653"/>
      <c r="C388" s="7724"/>
      <c r="D388" s="7564"/>
      <c r="E388" s="7660"/>
      <c r="F388" s="7564"/>
      <c r="G388" s="6392"/>
      <c r="H388" s="6392"/>
      <c r="I388" s="6511" t="s">
        <v>3223</v>
      </c>
      <c r="J388" s="6392">
        <f t="shared" si="36"/>
        <v>0</v>
      </c>
      <c r="K388" s="6392">
        <f>F387-J388</f>
        <v>10500000.000000002</v>
      </c>
      <c r="L388" s="378"/>
    </row>
    <row r="389" spans="1:12" ht="30" customHeight="1" x14ac:dyDescent="0.2">
      <c r="A389" s="7654">
        <v>177</v>
      </c>
      <c r="B389" s="7652" t="s">
        <v>5177</v>
      </c>
      <c r="C389" s="7723" t="s">
        <v>1299</v>
      </c>
      <c r="D389" s="6393">
        <v>25000000</v>
      </c>
      <c r="E389" s="6471">
        <v>0.05</v>
      </c>
      <c r="F389" s="6393">
        <f t="shared" si="28"/>
        <v>1250000</v>
      </c>
      <c r="G389" s="7563"/>
      <c r="H389" s="7563"/>
      <c r="I389" s="7772" t="s">
        <v>746</v>
      </c>
      <c r="J389" s="7563">
        <f t="shared" si="36"/>
        <v>0</v>
      </c>
      <c r="K389" s="7563">
        <f>(F389+F390)-J389</f>
        <v>1750000</v>
      </c>
      <c r="L389" s="6431"/>
    </row>
    <row r="390" spans="1:12" ht="30" customHeight="1" x14ac:dyDescent="0.2">
      <c r="A390" s="7655"/>
      <c r="B390" s="7653"/>
      <c r="C390" s="7724"/>
      <c r="D390" s="6393">
        <v>10000000</v>
      </c>
      <c r="E390" s="6471">
        <v>0.05</v>
      </c>
      <c r="F390" s="6393">
        <f t="shared" si="28"/>
        <v>500000</v>
      </c>
      <c r="G390" s="7564"/>
      <c r="H390" s="7564"/>
      <c r="I390" s="7773"/>
      <c r="J390" s="7564"/>
      <c r="K390" s="7564"/>
      <c r="L390" s="6546"/>
    </row>
    <row r="391" spans="1:12" ht="30" customHeight="1" x14ac:dyDescent="0.2">
      <c r="A391" s="6475">
        <v>178</v>
      </c>
      <c r="B391" s="6431" t="s">
        <v>39</v>
      </c>
      <c r="C391" s="6434" t="s">
        <v>1299</v>
      </c>
      <c r="D391" s="6393">
        <v>90000000</v>
      </c>
      <c r="E391" s="6471">
        <v>0.05</v>
      </c>
      <c r="F391" s="6393">
        <f>D391*E391</f>
        <v>4500000</v>
      </c>
      <c r="G391" s="6393"/>
      <c r="H391" s="6393"/>
      <c r="I391" s="6512" t="s">
        <v>7716</v>
      </c>
      <c r="J391" s="6393">
        <f t="shared" si="36"/>
        <v>0</v>
      </c>
      <c r="K391" s="6393">
        <f t="shared" si="35"/>
        <v>4500000</v>
      </c>
      <c r="L391" s="6431"/>
    </row>
    <row r="392" spans="1:12" ht="30" customHeight="1" x14ac:dyDescent="0.2">
      <c r="A392" s="7654">
        <v>179</v>
      </c>
      <c r="B392" s="7652" t="s">
        <v>40</v>
      </c>
      <c r="C392" s="7723" t="s">
        <v>1306</v>
      </c>
      <c r="D392" s="7563">
        <v>320000000</v>
      </c>
      <c r="E392" s="7659">
        <v>0.06</v>
      </c>
      <c r="F392" s="7563">
        <f t="shared" si="28"/>
        <v>19200000</v>
      </c>
      <c r="G392" s="7954" t="s">
        <v>7453</v>
      </c>
      <c r="H392" s="7955"/>
      <c r="I392" s="7955"/>
      <c r="J392" s="7956"/>
      <c r="K392" s="6385">
        <f t="shared" si="35"/>
        <v>19200000</v>
      </c>
      <c r="L392" s="7798" t="s">
        <v>7695</v>
      </c>
    </row>
    <row r="393" spans="1:12" ht="30" customHeight="1" x14ac:dyDescent="0.2">
      <c r="A393" s="7656"/>
      <c r="B393" s="7665"/>
      <c r="C393" s="7747"/>
      <c r="D393" s="7586"/>
      <c r="E393" s="7676"/>
      <c r="F393" s="7586"/>
      <c r="G393" s="6385"/>
      <c r="H393" s="6385"/>
      <c r="I393" s="6467" t="s">
        <v>7644</v>
      </c>
      <c r="J393" s="7563">
        <f>G393+G394+G395</f>
        <v>0</v>
      </c>
      <c r="K393" s="7563"/>
      <c r="L393" s="7799"/>
    </row>
    <row r="394" spans="1:12" ht="30" customHeight="1" x14ac:dyDescent="0.2">
      <c r="A394" s="7656"/>
      <c r="B394" s="7665"/>
      <c r="C394" s="7747"/>
      <c r="D394" s="7586"/>
      <c r="E394" s="7676"/>
      <c r="F394" s="7586"/>
      <c r="G394" s="6393"/>
      <c r="H394" s="6393"/>
      <c r="I394" s="6467" t="s">
        <v>7644</v>
      </c>
      <c r="J394" s="7586"/>
      <c r="K394" s="7586"/>
      <c r="L394" s="7799"/>
    </row>
    <row r="395" spans="1:12" ht="30" customHeight="1" x14ac:dyDescent="0.2">
      <c r="A395" s="7656"/>
      <c r="B395" s="7665"/>
      <c r="C395" s="7747"/>
      <c r="D395" s="7586"/>
      <c r="E395" s="7676"/>
      <c r="F395" s="7586"/>
      <c r="G395" s="6393"/>
      <c r="H395" s="6393"/>
      <c r="I395" s="6512" t="s">
        <v>1090</v>
      </c>
      <c r="J395" s="7564"/>
      <c r="K395" s="7564"/>
      <c r="L395" s="7799"/>
    </row>
    <row r="396" spans="1:12" ht="30" customHeight="1" x14ac:dyDescent="0.2">
      <c r="A396" s="7656"/>
      <c r="B396" s="7665"/>
      <c r="C396" s="7873" t="s">
        <v>1080</v>
      </c>
      <c r="D396" s="7991" t="s">
        <v>7383</v>
      </c>
      <c r="E396" s="7992"/>
      <c r="F396" s="7993"/>
      <c r="G396" s="6393"/>
      <c r="H396" s="6393"/>
      <c r="I396" s="6512"/>
      <c r="J396" s="6393"/>
      <c r="K396" s="6393"/>
      <c r="L396" s="6452" t="s">
        <v>7384</v>
      </c>
    </row>
    <row r="397" spans="1:12" ht="30" customHeight="1" x14ac:dyDescent="0.2">
      <c r="A397" s="7656"/>
      <c r="B397" s="7665"/>
      <c r="C397" s="7873"/>
      <c r="D397" s="7997"/>
      <c r="E397" s="7998"/>
      <c r="F397" s="7999"/>
      <c r="G397" s="6393"/>
      <c r="H397" s="6393"/>
      <c r="I397" s="6512"/>
      <c r="J397" s="6393"/>
      <c r="K397" s="6393"/>
      <c r="L397" s="6452"/>
    </row>
    <row r="398" spans="1:12" ht="30" customHeight="1" x14ac:dyDescent="0.2">
      <c r="A398" s="7655"/>
      <c r="B398" s="7653"/>
      <c r="C398" s="7873"/>
      <c r="D398" s="6390">
        <v>310000000</v>
      </c>
      <c r="E398" s="6415">
        <v>7.0000000000000007E-2</v>
      </c>
      <c r="F398" s="6390">
        <f>D398*E398</f>
        <v>21700000.000000004</v>
      </c>
      <c r="G398" s="7732" t="s">
        <v>7452</v>
      </c>
      <c r="H398" s="7733"/>
      <c r="I398" s="7733"/>
      <c r="J398" s="7734"/>
      <c r="K398" s="6393"/>
      <c r="L398" s="6452" t="s">
        <v>7385</v>
      </c>
    </row>
    <row r="399" spans="1:12" ht="30" customHeight="1" x14ac:dyDescent="0.2">
      <c r="A399" s="6397">
        <v>180</v>
      </c>
      <c r="B399" s="19" t="s">
        <v>41</v>
      </c>
      <c r="C399" s="6521" t="s">
        <v>2403</v>
      </c>
      <c r="D399" s="6385">
        <v>300000000</v>
      </c>
      <c r="E399" s="6471">
        <v>5.7000000000000002E-2</v>
      </c>
      <c r="F399" s="6385">
        <v>17000000</v>
      </c>
      <c r="G399" s="6385">
        <v>17000000</v>
      </c>
      <c r="H399" s="6385" t="s">
        <v>7826</v>
      </c>
      <c r="I399" s="6467" t="s">
        <v>2260</v>
      </c>
      <c r="J399" s="6385">
        <f t="shared" si="36"/>
        <v>17000000</v>
      </c>
      <c r="K399" s="6385">
        <f t="shared" si="35"/>
        <v>0</v>
      </c>
      <c r="L399" s="6483"/>
    </row>
    <row r="400" spans="1:12" ht="30" customHeight="1" x14ac:dyDescent="0.2">
      <c r="A400" s="7654">
        <v>181</v>
      </c>
      <c r="B400" s="7652" t="s">
        <v>42</v>
      </c>
      <c r="C400" s="7723" t="s">
        <v>989</v>
      </c>
      <c r="D400" s="7563">
        <v>100000000</v>
      </c>
      <c r="E400" s="7659">
        <v>0.05</v>
      </c>
      <c r="F400" s="7563">
        <f t="shared" ref="F400" si="37">D400*E400</f>
        <v>5000000</v>
      </c>
      <c r="G400" s="6385"/>
      <c r="H400" s="6385"/>
      <c r="I400" s="6512" t="s">
        <v>1076</v>
      </c>
      <c r="J400" s="6391">
        <f>G400</f>
        <v>0</v>
      </c>
      <c r="K400" s="6391">
        <f>F400-J400</f>
        <v>5000000</v>
      </c>
      <c r="L400" s="378"/>
    </row>
    <row r="401" spans="1:12" ht="30" customHeight="1" x14ac:dyDescent="0.2">
      <c r="A401" s="7655"/>
      <c r="B401" s="7653"/>
      <c r="C401" s="7724"/>
      <c r="D401" s="7564"/>
      <c r="E401" s="7660"/>
      <c r="F401" s="7564"/>
      <c r="G401" s="6391"/>
      <c r="H401" s="6391"/>
      <c r="I401" s="6512" t="s">
        <v>7747</v>
      </c>
      <c r="J401" s="6391">
        <f>G401</f>
        <v>0</v>
      </c>
      <c r="K401" s="6391">
        <f>F400-J401</f>
        <v>5000000</v>
      </c>
      <c r="L401" s="378"/>
    </row>
    <row r="402" spans="1:12" ht="30" customHeight="1" x14ac:dyDescent="0.2">
      <c r="A402" s="6397"/>
      <c r="B402" s="6399" t="s">
        <v>43</v>
      </c>
      <c r="C402" s="6433" t="s">
        <v>1287</v>
      </c>
      <c r="D402" s="6393">
        <v>126200000</v>
      </c>
      <c r="E402" s="6402">
        <v>0.05</v>
      </c>
      <c r="F402" s="6393">
        <f>D402*E402</f>
        <v>6310000</v>
      </c>
      <c r="G402" s="6391"/>
      <c r="H402" s="6391"/>
      <c r="I402" s="6385" t="s">
        <v>3716</v>
      </c>
      <c r="J402" s="6385">
        <f t="shared" si="36"/>
        <v>0</v>
      </c>
      <c r="K402" s="6385">
        <f>F402-J402</f>
        <v>6310000</v>
      </c>
      <c r="L402" s="6451"/>
    </row>
    <row r="403" spans="1:12" ht="30" customHeight="1" x14ac:dyDescent="0.2">
      <c r="A403" s="7654">
        <v>183</v>
      </c>
      <c r="B403" s="7652" t="s">
        <v>4148</v>
      </c>
      <c r="C403" s="7723" t="s">
        <v>1100</v>
      </c>
      <c r="D403" s="7563">
        <v>50000000</v>
      </c>
      <c r="E403" s="7659">
        <v>0.05</v>
      </c>
      <c r="F403" s="7563">
        <f t="shared" si="28"/>
        <v>2500000</v>
      </c>
      <c r="G403" s="6385"/>
      <c r="H403" s="6385"/>
      <c r="I403" s="6512" t="s">
        <v>5951</v>
      </c>
      <c r="J403" s="6393">
        <f t="shared" si="36"/>
        <v>0</v>
      </c>
      <c r="K403" s="6393">
        <f t="shared" ref="K403:K409" si="38">F403-J403</f>
        <v>2500000</v>
      </c>
      <c r="L403" s="378"/>
    </row>
    <row r="404" spans="1:12" ht="30" customHeight="1" x14ac:dyDescent="0.2">
      <c r="A404" s="7655"/>
      <c r="B404" s="7653"/>
      <c r="C404" s="7724"/>
      <c r="D404" s="7564"/>
      <c r="E404" s="7660"/>
      <c r="F404" s="7564"/>
      <c r="G404" s="6393"/>
      <c r="H404" s="6393"/>
      <c r="I404" s="6512" t="s">
        <v>5422</v>
      </c>
      <c r="J404" s="6393">
        <f t="shared" si="36"/>
        <v>0</v>
      </c>
      <c r="K404" s="6393">
        <f>F403-J404</f>
        <v>2500000</v>
      </c>
      <c r="L404" s="378"/>
    </row>
    <row r="405" spans="1:12" ht="30" customHeight="1" x14ac:dyDescent="0.2">
      <c r="A405" s="7654">
        <v>184</v>
      </c>
      <c r="B405" s="7652" t="s">
        <v>45</v>
      </c>
      <c r="C405" s="7723" t="s">
        <v>989</v>
      </c>
      <c r="D405" s="7563">
        <v>20000000</v>
      </c>
      <c r="E405" s="7659">
        <v>0.05</v>
      </c>
      <c r="F405" s="7563">
        <f t="shared" si="28"/>
        <v>1000000</v>
      </c>
      <c r="G405" s="6393"/>
      <c r="H405" s="6393"/>
      <c r="I405" s="6512" t="s">
        <v>4505</v>
      </c>
      <c r="J405" s="6393">
        <f t="shared" si="36"/>
        <v>0</v>
      </c>
      <c r="K405" s="6393">
        <f t="shared" si="38"/>
        <v>1000000</v>
      </c>
      <c r="L405" s="378"/>
    </row>
    <row r="406" spans="1:12" ht="30" customHeight="1" x14ac:dyDescent="0.2">
      <c r="A406" s="7655"/>
      <c r="B406" s="7653"/>
      <c r="C406" s="7724"/>
      <c r="D406" s="7564"/>
      <c r="E406" s="7660"/>
      <c r="F406" s="7564"/>
      <c r="G406" s="6393"/>
      <c r="H406" s="6393"/>
      <c r="I406" s="6512" t="s">
        <v>2327</v>
      </c>
      <c r="J406" s="6393">
        <f t="shared" si="36"/>
        <v>0</v>
      </c>
      <c r="K406" s="6393">
        <f>F405-J406</f>
        <v>1000000</v>
      </c>
      <c r="L406" s="378"/>
    </row>
    <row r="407" spans="1:12" ht="30" customHeight="1" x14ac:dyDescent="0.2">
      <c r="A407" s="7654">
        <v>186</v>
      </c>
      <c r="B407" s="7652" t="s">
        <v>47</v>
      </c>
      <c r="C407" s="7723" t="s">
        <v>1107</v>
      </c>
      <c r="D407" s="7563">
        <v>8000000</v>
      </c>
      <c r="E407" s="7659">
        <v>0.04</v>
      </c>
      <c r="F407" s="7563">
        <f t="shared" si="28"/>
        <v>320000</v>
      </c>
      <c r="G407" s="6393"/>
      <c r="H407" s="6393"/>
      <c r="I407" s="6512" t="s">
        <v>5275</v>
      </c>
      <c r="J407" s="6393">
        <f t="shared" si="36"/>
        <v>0</v>
      </c>
      <c r="K407" s="6393">
        <f t="shared" si="38"/>
        <v>320000</v>
      </c>
      <c r="L407" s="378"/>
    </row>
    <row r="408" spans="1:12" ht="30" customHeight="1" x14ac:dyDescent="0.2">
      <c r="A408" s="7655"/>
      <c r="B408" s="7653"/>
      <c r="C408" s="7724"/>
      <c r="D408" s="7564"/>
      <c r="E408" s="7660"/>
      <c r="F408" s="7564"/>
      <c r="G408" s="6393"/>
      <c r="H408" s="6393"/>
      <c r="I408" s="6512" t="s">
        <v>2300</v>
      </c>
      <c r="J408" s="6393">
        <f t="shared" si="36"/>
        <v>0</v>
      </c>
      <c r="K408" s="6393">
        <f>F407-J408</f>
        <v>320000</v>
      </c>
      <c r="L408" s="378"/>
    </row>
    <row r="409" spans="1:12" ht="30" customHeight="1" x14ac:dyDescent="0.2">
      <c r="A409" s="6475">
        <v>187</v>
      </c>
      <c r="B409" s="19" t="s">
        <v>2470</v>
      </c>
      <c r="C409" s="6472" t="s">
        <v>1138</v>
      </c>
      <c r="D409" s="6385">
        <v>200000000</v>
      </c>
      <c r="E409" s="6471">
        <v>0.05</v>
      </c>
      <c r="F409" s="6385">
        <f t="shared" si="28"/>
        <v>10000000</v>
      </c>
      <c r="G409" s="6385">
        <v>5000000</v>
      </c>
      <c r="H409" s="6385" t="s">
        <v>7831</v>
      </c>
      <c r="I409" s="6467" t="s">
        <v>7832</v>
      </c>
      <c r="J409" s="6385">
        <f t="shared" si="36"/>
        <v>5000000</v>
      </c>
      <c r="K409" s="6385">
        <f t="shared" si="38"/>
        <v>5000000</v>
      </c>
      <c r="L409" s="6503"/>
    </row>
    <row r="410" spans="1:12" ht="30" customHeight="1" x14ac:dyDescent="0.2">
      <c r="A410" s="6475">
        <v>188</v>
      </c>
      <c r="B410" s="6431" t="s">
        <v>49</v>
      </c>
      <c r="C410" s="6472" t="s">
        <v>1107</v>
      </c>
      <c r="D410" s="6393">
        <v>500000000</v>
      </c>
      <c r="E410" s="6402">
        <v>0.05</v>
      </c>
      <c r="F410" s="6393">
        <f t="shared" si="28"/>
        <v>25000000</v>
      </c>
      <c r="G410" s="6391">
        <v>12000000</v>
      </c>
      <c r="H410" s="6391" t="s">
        <v>7821</v>
      </c>
      <c r="I410" s="6403" t="s">
        <v>5921</v>
      </c>
      <c r="J410" s="6391">
        <f t="shared" si="36"/>
        <v>12000000</v>
      </c>
      <c r="K410" s="6391">
        <f>F410-J410</f>
        <v>13000000</v>
      </c>
      <c r="L410" s="6546"/>
    </row>
    <row r="411" spans="1:12" ht="30" customHeight="1" x14ac:dyDescent="0.2">
      <c r="A411" s="7654">
        <v>190</v>
      </c>
      <c r="B411" s="7652" t="s">
        <v>51</v>
      </c>
      <c r="C411" s="6434" t="s">
        <v>1100</v>
      </c>
      <c r="D411" s="6393">
        <v>80000000</v>
      </c>
      <c r="E411" s="6471">
        <v>0.05</v>
      </c>
      <c r="F411" s="6393">
        <f t="shared" si="28"/>
        <v>4000000</v>
      </c>
      <c r="G411" s="7563"/>
      <c r="H411" s="7563"/>
      <c r="I411" s="7561" t="s">
        <v>2967</v>
      </c>
      <c r="J411" s="7563">
        <f t="shared" si="36"/>
        <v>0</v>
      </c>
      <c r="K411" s="7563">
        <f>(F411+F412)-J411</f>
        <v>14000000</v>
      </c>
      <c r="L411" s="7703"/>
    </row>
    <row r="412" spans="1:12" ht="30" customHeight="1" x14ac:dyDescent="0.2">
      <c r="A412" s="7656"/>
      <c r="B412" s="7665"/>
      <c r="C412" s="6434" t="s">
        <v>1100</v>
      </c>
      <c r="D412" s="6393">
        <v>200000000</v>
      </c>
      <c r="E412" s="6471">
        <v>0.05</v>
      </c>
      <c r="F412" s="6393">
        <f t="shared" si="28"/>
        <v>10000000</v>
      </c>
      <c r="G412" s="7564"/>
      <c r="H412" s="7564"/>
      <c r="I412" s="7562"/>
      <c r="J412" s="7564"/>
      <c r="K412" s="7564"/>
      <c r="L412" s="7705"/>
    </row>
    <row r="413" spans="1:12" ht="30" customHeight="1" x14ac:dyDescent="0.2">
      <c r="A413" s="7655"/>
      <c r="B413" s="7653"/>
      <c r="C413" s="6435" t="s">
        <v>262</v>
      </c>
      <c r="D413" s="6392">
        <v>220000000</v>
      </c>
      <c r="E413" s="6401">
        <v>0.05</v>
      </c>
      <c r="F413" s="6392">
        <f t="shared" si="28"/>
        <v>11000000</v>
      </c>
      <c r="G413" s="6393"/>
      <c r="H413" s="6393"/>
      <c r="I413" s="6512" t="s">
        <v>2967</v>
      </c>
      <c r="J413" s="6392">
        <f>G413</f>
        <v>0</v>
      </c>
      <c r="K413" s="6392">
        <f>F413-J413</f>
        <v>11000000</v>
      </c>
      <c r="L413" s="6428"/>
    </row>
    <row r="414" spans="1:12" ht="30" customHeight="1" x14ac:dyDescent="0.2">
      <c r="A414" s="7654">
        <v>191</v>
      </c>
      <c r="B414" s="7652" t="s">
        <v>52</v>
      </c>
      <c r="C414" s="7723" t="s">
        <v>262</v>
      </c>
      <c r="D414" s="6513">
        <v>700000000</v>
      </c>
      <c r="E414" s="6552">
        <v>7.6999999999999999E-2</v>
      </c>
      <c r="F414" s="6513">
        <v>54000000</v>
      </c>
      <c r="G414" s="7563"/>
      <c r="H414" s="7563"/>
      <c r="I414" s="7561" t="s">
        <v>7600</v>
      </c>
      <c r="J414" s="7563">
        <f>G414+G416</f>
        <v>0</v>
      </c>
      <c r="K414" s="7563">
        <f>(F414+F418)-J414</f>
        <v>75000000</v>
      </c>
      <c r="L414" s="7818" t="s">
        <v>7601</v>
      </c>
    </row>
    <row r="415" spans="1:12" ht="30" customHeight="1" x14ac:dyDescent="0.2">
      <c r="A415" s="7656"/>
      <c r="B415" s="7665"/>
      <c r="C415" s="7747"/>
      <c r="D415" s="6385">
        <v>54000000</v>
      </c>
      <c r="E415" s="6471"/>
      <c r="F415" s="6385"/>
      <c r="G415" s="7564"/>
      <c r="H415" s="7564"/>
      <c r="I415" s="7562"/>
      <c r="J415" s="7586"/>
      <c r="K415" s="7586"/>
      <c r="L415" s="7819"/>
    </row>
    <row r="416" spans="1:12" ht="30" customHeight="1" x14ac:dyDescent="0.2">
      <c r="A416" s="7656"/>
      <c r="B416" s="7665"/>
      <c r="C416" s="7747"/>
      <c r="D416" s="6385">
        <v>46000000</v>
      </c>
      <c r="E416" s="6471"/>
      <c r="F416" s="6385"/>
      <c r="G416" s="7563"/>
      <c r="H416" s="7563"/>
      <c r="I416" s="7563" t="s">
        <v>678</v>
      </c>
      <c r="J416" s="7586"/>
      <c r="K416" s="7586"/>
      <c r="L416" s="378" t="s">
        <v>7017</v>
      </c>
    </row>
    <row r="417" spans="1:12" ht="30" customHeight="1" x14ac:dyDescent="0.2">
      <c r="A417" s="7656"/>
      <c r="B417" s="7665"/>
      <c r="C417" s="7747"/>
      <c r="D417" s="6385">
        <v>200000000</v>
      </c>
      <c r="E417" s="6471"/>
      <c r="F417" s="6385"/>
      <c r="G417" s="7586"/>
      <c r="H417" s="7586"/>
      <c r="I417" s="7586"/>
      <c r="J417" s="7586"/>
      <c r="K417" s="7586"/>
      <c r="L417" s="378" t="s">
        <v>7599</v>
      </c>
    </row>
    <row r="418" spans="1:12" ht="30" customHeight="1" x14ac:dyDescent="0.2">
      <c r="A418" s="7655"/>
      <c r="B418" s="7653"/>
      <c r="C418" s="7724"/>
      <c r="D418" s="6513">
        <v>300000000</v>
      </c>
      <c r="E418" s="6552">
        <v>7.0000000000000007E-2</v>
      </c>
      <c r="F418" s="6513">
        <f>D418*E418</f>
        <v>21000000.000000004</v>
      </c>
      <c r="G418" s="7564"/>
      <c r="H418" s="7564"/>
      <c r="I418" s="7564"/>
      <c r="J418" s="7564"/>
      <c r="K418" s="7564"/>
      <c r="L418" s="378" t="s">
        <v>7416</v>
      </c>
    </row>
    <row r="419" spans="1:12" ht="30" customHeight="1" x14ac:dyDescent="0.2">
      <c r="A419" s="8475">
        <v>192</v>
      </c>
      <c r="B419" s="8468" t="s">
        <v>53</v>
      </c>
      <c r="C419" s="8470" t="s">
        <v>1287</v>
      </c>
      <c r="D419" s="8464">
        <v>1300000000</v>
      </c>
      <c r="E419" s="8541">
        <v>7.0000000000000007E-2</v>
      </c>
      <c r="F419" s="8464">
        <f>D419*E419</f>
        <v>91000000.000000015</v>
      </c>
      <c r="G419" s="6587">
        <v>20000000</v>
      </c>
      <c r="H419" s="6587" t="s">
        <v>7821</v>
      </c>
      <c r="I419" s="6584" t="s">
        <v>861</v>
      </c>
      <c r="J419" s="6587">
        <f>G419</f>
        <v>20000000</v>
      </c>
      <c r="K419" s="6587"/>
      <c r="L419" s="5526" t="s">
        <v>7119</v>
      </c>
    </row>
    <row r="420" spans="1:12" ht="30" customHeight="1" x14ac:dyDescent="0.2">
      <c r="A420" s="8476"/>
      <c r="B420" s="8469"/>
      <c r="C420" s="8471"/>
      <c r="D420" s="8465"/>
      <c r="E420" s="8542"/>
      <c r="F420" s="8465"/>
      <c r="G420" s="6543"/>
      <c r="H420" s="6543"/>
      <c r="I420" s="6543"/>
      <c r="J420" s="6223"/>
      <c r="K420" s="6223"/>
      <c r="L420" s="5526" t="s">
        <v>7117</v>
      </c>
    </row>
    <row r="421" spans="1:12" ht="30" customHeight="1" x14ac:dyDescent="0.2">
      <c r="A421" s="8476"/>
      <c r="B421" s="8469"/>
      <c r="C421" s="8471"/>
      <c r="D421" s="8465"/>
      <c r="E421" s="8542"/>
      <c r="F421" s="8465"/>
      <c r="G421" s="6543"/>
      <c r="H421" s="6537"/>
      <c r="I421" s="6537"/>
      <c r="J421" s="6223"/>
      <c r="K421" s="6223"/>
      <c r="L421" s="5526" t="s">
        <v>7118</v>
      </c>
    </row>
    <row r="422" spans="1:12" ht="30" customHeight="1" x14ac:dyDescent="0.2">
      <c r="A422" s="8476"/>
      <c r="B422" s="6541"/>
      <c r="C422" s="6542"/>
      <c r="D422" s="6538"/>
      <c r="E422" s="6553"/>
      <c r="F422" s="6538"/>
      <c r="G422" s="6543"/>
      <c r="H422" s="6543"/>
      <c r="I422" s="6543"/>
      <c r="J422" s="6223"/>
      <c r="K422" s="6543"/>
      <c r="L422" s="5526"/>
    </row>
    <row r="423" spans="1:12" ht="30" customHeight="1" x14ac:dyDescent="0.2">
      <c r="A423" s="8476"/>
      <c r="B423" s="6541"/>
      <c r="C423" s="6542"/>
      <c r="D423" s="6538"/>
      <c r="E423" s="6553"/>
      <c r="F423" s="6538"/>
      <c r="G423" s="6543"/>
      <c r="H423" s="6543"/>
      <c r="I423" s="6543"/>
      <c r="J423" s="6223"/>
      <c r="K423" s="6543"/>
      <c r="L423" s="5526"/>
    </row>
    <row r="424" spans="1:12" ht="30" customHeight="1" x14ac:dyDescent="0.2">
      <c r="A424" s="8476"/>
      <c r="B424" s="6541"/>
      <c r="C424" s="6542"/>
      <c r="D424" s="6538"/>
      <c r="E424" s="6553"/>
      <c r="F424" s="6538"/>
      <c r="G424" s="6543"/>
      <c r="H424" s="6543"/>
      <c r="I424" s="6543"/>
      <c r="J424" s="6223"/>
      <c r="K424" s="6543"/>
      <c r="L424" s="5526"/>
    </row>
    <row r="425" spans="1:12" ht="30" customHeight="1" x14ac:dyDescent="0.2">
      <c r="A425" s="8476"/>
      <c r="B425" s="6541"/>
      <c r="C425" s="6542"/>
      <c r="D425" s="6538"/>
      <c r="E425" s="6553"/>
      <c r="F425" s="6538"/>
      <c r="G425" s="6543"/>
      <c r="H425" s="6543"/>
      <c r="I425" s="6543"/>
      <c r="J425" s="6223"/>
      <c r="K425" s="6543"/>
      <c r="L425" s="5526"/>
    </row>
    <row r="426" spans="1:12" ht="30" customHeight="1" x14ac:dyDescent="0.2">
      <c r="A426" s="8476"/>
      <c r="B426" s="5528" t="s">
        <v>7113</v>
      </c>
      <c r="C426" s="5529"/>
      <c r="D426" s="8473" t="s">
        <v>7111</v>
      </c>
      <c r="E426" s="8473"/>
      <c r="F426" s="8473"/>
      <c r="G426" s="6223"/>
      <c r="H426" s="6223"/>
      <c r="I426" s="6223"/>
      <c r="J426" s="6223"/>
      <c r="K426" s="6543"/>
      <c r="L426" s="5530" t="s">
        <v>7114</v>
      </c>
    </row>
    <row r="427" spans="1:12" ht="30" customHeight="1" x14ac:dyDescent="0.2">
      <c r="A427" s="8476"/>
      <c r="B427" s="8468" t="s">
        <v>7110</v>
      </c>
      <c r="C427" s="5526"/>
      <c r="D427" s="8473" t="s">
        <v>7109</v>
      </c>
      <c r="E427" s="8473"/>
      <c r="F427" s="8473"/>
      <c r="G427" s="6223"/>
      <c r="H427" s="6223"/>
      <c r="I427" s="6223"/>
      <c r="J427" s="6223"/>
      <c r="K427" s="6543"/>
      <c r="L427" s="5530" t="s">
        <v>7115</v>
      </c>
    </row>
    <row r="428" spans="1:12" ht="30" customHeight="1" x14ac:dyDescent="0.2">
      <c r="A428" s="8476"/>
      <c r="B428" s="8474"/>
      <c r="C428" s="5526"/>
      <c r="D428" s="8473" t="s">
        <v>7112</v>
      </c>
      <c r="E428" s="8473"/>
      <c r="F428" s="8473"/>
      <c r="G428" s="6543"/>
      <c r="H428" s="6537"/>
      <c r="I428" s="6537"/>
      <c r="J428" s="6543"/>
      <c r="K428" s="6543"/>
      <c r="L428" s="5530" t="s">
        <v>7116</v>
      </c>
    </row>
    <row r="429" spans="1:12" ht="30" customHeight="1" x14ac:dyDescent="0.2">
      <c r="A429" s="8476"/>
      <c r="B429" s="5528" t="s">
        <v>7110</v>
      </c>
      <c r="C429" s="5532"/>
      <c r="D429" s="6539">
        <v>50000000</v>
      </c>
      <c r="E429" s="6539"/>
      <c r="F429" s="6539"/>
      <c r="G429" s="6543"/>
      <c r="H429" s="6537"/>
      <c r="I429" s="6537"/>
      <c r="J429" s="6537"/>
      <c r="K429" s="6537"/>
      <c r="L429" s="5534" t="s">
        <v>7174</v>
      </c>
    </row>
    <row r="430" spans="1:12" ht="30" customHeight="1" x14ac:dyDescent="0.2">
      <c r="A430" s="8476"/>
      <c r="B430" s="5528" t="s">
        <v>7175</v>
      </c>
      <c r="C430" s="5532"/>
      <c r="D430" s="6539">
        <v>400000000</v>
      </c>
      <c r="E430" s="6539"/>
      <c r="F430" s="6539"/>
      <c r="G430" s="6543"/>
      <c r="H430" s="6537"/>
      <c r="I430" s="6537"/>
      <c r="J430" s="6537"/>
      <c r="K430" s="6537"/>
      <c r="L430" s="5534" t="s">
        <v>7176</v>
      </c>
    </row>
    <row r="431" spans="1:12" ht="30" customHeight="1" x14ac:dyDescent="0.2">
      <c r="A431" s="8477"/>
      <c r="B431" s="5528" t="s">
        <v>53</v>
      </c>
      <c r="C431" s="5532"/>
      <c r="D431" s="6539">
        <v>500000000</v>
      </c>
      <c r="E431" s="6539"/>
      <c r="F431" s="6539"/>
      <c r="G431" s="6543"/>
      <c r="H431" s="6537"/>
      <c r="I431" s="6537"/>
      <c r="J431" s="6537"/>
      <c r="K431" s="6537"/>
      <c r="L431" s="5534" t="s">
        <v>7177</v>
      </c>
    </row>
    <row r="432" spans="1:12" ht="30" customHeight="1" x14ac:dyDescent="0.2">
      <c r="A432" s="7654">
        <v>193</v>
      </c>
      <c r="B432" s="7652" t="s">
        <v>54</v>
      </c>
      <c r="C432" s="7723" t="s">
        <v>1306</v>
      </c>
      <c r="D432" s="6393">
        <v>75000000</v>
      </c>
      <c r="E432" s="6402">
        <v>0.05</v>
      </c>
      <c r="F432" s="6393">
        <f>D432*E432</f>
        <v>3750000</v>
      </c>
      <c r="G432" s="6385"/>
      <c r="H432" s="6385"/>
      <c r="I432" s="6385" t="s">
        <v>4136</v>
      </c>
      <c r="J432" s="6385">
        <f>G432</f>
        <v>0</v>
      </c>
      <c r="K432" s="6385">
        <f>(F432+F433)-J432</f>
        <v>6250000</v>
      </c>
      <c r="L432" s="29"/>
    </row>
    <row r="433" spans="1:16" ht="30" customHeight="1" x14ac:dyDescent="0.2">
      <c r="A433" s="7655"/>
      <c r="B433" s="7653"/>
      <c r="C433" s="7724"/>
      <c r="D433" s="6393">
        <v>50000000</v>
      </c>
      <c r="E433" s="6402">
        <v>0.05</v>
      </c>
      <c r="F433" s="6393">
        <f>D433*E433</f>
        <v>2500000</v>
      </c>
      <c r="G433" s="6385"/>
      <c r="H433" s="6385"/>
      <c r="I433" s="6385" t="s">
        <v>4136</v>
      </c>
      <c r="J433" s="6385">
        <f>G433</f>
        <v>0</v>
      </c>
      <c r="K433" s="6385">
        <f>(F432+F433)-J433</f>
        <v>6250000</v>
      </c>
      <c r="L433" s="29"/>
    </row>
    <row r="434" spans="1:16" ht="30" customHeight="1" x14ac:dyDescent="0.2">
      <c r="A434" s="6397">
        <v>194</v>
      </c>
      <c r="B434" s="6431" t="s">
        <v>55</v>
      </c>
      <c r="C434" s="6472" t="s">
        <v>1287</v>
      </c>
      <c r="D434" s="6385">
        <v>160000000</v>
      </c>
      <c r="E434" s="1027">
        <v>0.05</v>
      </c>
      <c r="F434" s="6385">
        <f>D434*E434</f>
        <v>8000000</v>
      </c>
      <c r="G434" s="6385"/>
      <c r="H434" s="6467"/>
      <c r="I434" s="6467" t="s">
        <v>3184</v>
      </c>
      <c r="J434" s="6385">
        <f>G434</f>
        <v>0</v>
      </c>
      <c r="K434" s="6385">
        <f>J434-J434</f>
        <v>0</v>
      </c>
      <c r="L434" s="6503"/>
    </row>
    <row r="435" spans="1:16" ht="30" customHeight="1" x14ac:dyDescent="0.2">
      <c r="A435" s="7654">
        <v>195</v>
      </c>
      <c r="B435" s="7652" t="s">
        <v>56</v>
      </c>
      <c r="C435" s="7723" t="s">
        <v>990</v>
      </c>
      <c r="D435" s="7563">
        <v>10000000</v>
      </c>
      <c r="E435" s="7659">
        <v>0.05</v>
      </c>
      <c r="F435" s="7563">
        <f t="shared" ref="F435:F542" si="39">D435*E435</f>
        <v>500000</v>
      </c>
      <c r="G435" s="6393"/>
      <c r="H435" s="6393"/>
      <c r="I435" s="6512" t="s">
        <v>1121</v>
      </c>
      <c r="J435" s="6393">
        <f t="shared" ref="J435:J477" si="40">G435</f>
        <v>0</v>
      </c>
      <c r="K435" s="6393">
        <f t="shared" ref="K435:K458" si="41">F435-J435</f>
        <v>500000</v>
      </c>
      <c r="L435" s="29"/>
    </row>
    <row r="436" spans="1:16" ht="30" customHeight="1" x14ac:dyDescent="0.2">
      <c r="A436" s="7655"/>
      <c r="B436" s="7653"/>
      <c r="C436" s="7724"/>
      <c r="D436" s="7564"/>
      <c r="E436" s="7660"/>
      <c r="F436" s="7564"/>
      <c r="G436" s="6392"/>
      <c r="H436" s="6392"/>
      <c r="I436" s="6512" t="s">
        <v>1121</v>
      </c>
      <c r="J436" s="6392">
        <f t="shared" si="40"/>
        <v>0</v>
      </c>
      <c r="K436" s="6392">
        <f>G436-J436</f>
        <v>0</v>
      </c>
      <c r="L436" s="29"/>
    </row>
    <row r="437" spans="1:16" ht="30" customHeight="1" x14ac:dyDescent="0.2">
      <c r="A437" s="7654">
        <v>196</v>
      </c>
      <c r="B437" s="7652" t="s">
        <v>57</v>
      </c>
      <c r="C437" s="7723" t="s">
        <v>1107</v>
      </c>
      <c r="D437" s="7563">
        <v>60000000</v>
      </c>
      <c r="E437" s="7659">
        <v>0.05</v>
      </c>
      <c r="F437" s="7563">
        <f t="shared" ref="F437" si="42">D437*E437</f>
        <v>3000000</v>
      </c>
      <c r="G437" s="6391"/>
      <c r="H437" s="6391"/>
      <c r="I437" s="6403" t="s">
        <v>3761</v>
      </c>
      <c r="J437" s="6391">
        <f t="shared" si="40"/>
        <v>0</v>
      </c>
      <c r="K437" s="6391">
        <f>F437-J437</f>
        <v>3000000</v>
      </c>
      <c r="L437" s="29"/>
    </row>
    <row r="438" spans="1:16" ht="30" customHeight="1" x14ac:dyDescent="0.2">
      <c r="A438" s="7655"/>
      <c r="B438" s="7653"/>
      <c r="C438" s="7724"/>
      <c r="D438" s="7564"/>
      <c r="E438" s="7660"/>
      <c r="F438" s="7564"/>
      <c r="G438" s="6391"/>
      <c r="H438" s="6391"/>
      <c r="I438" s="6403" t="s">
        <v>3761</v>
      </c>
      <c r="J438" s="6391">
        <f t="shared" si="40"/>
        <v>0</v>
      </c>
      <c r="K438" s="6391">
        <f>F437-J438</f>
        <v>3000000</v>
      </c>
      <c r="L438" s="29"/>
    </row>
    <row r="439" spans="1:16" ht="30" customHeight="1" x14ac:dyDescent="0.2">
      <c r="A439" s="7879">
        <v>197</v>
      </c>
      <c r="B439" s="7717" t="s">
        <v>4151</v>
      </c>
      <c r="C439" s="7873" t="s">
        <v>1134</v>
      </c>
      <c r="D439" s="6385">
        <v>100000000</v>
      </c>
      <c r="E439" s="6471">
        <v>0.05</v>
      </c>
      <c r="F439" s="6385">
        <f t="shared" si="39"/>
        <v>5000000</v>
      </c>
      <c r="G439" s="7482"/>
      <c r="H439" s="7482"/>
      <c r="I439" s="7482" t="s">
        <v>4152</v>
      </c>
      <c r="J439" s="7482">
        <f t="shared" si="40"/>
        <v>0</v>
      </c>
      <c r="K439" s="7482">
        <f>(F439+F440)-J439</f>
        <v>12000000</v>
      </c>
      <c r="L439" s="7713"/>
      <c r="M439" s="366"/>
      <c r="N439" s="366"/>
      <c r="O439" s="366"/>
      <c r="P439" s="366"/>
    </row>
    <row r="440" spans="1:16" ht="30" customHeight="1" x14ac:dyDescent="0.2">
      <c r="A440" s="7879"/>
      <c r="B440" s="7717"/>
      <c r="C440" s="7873"/>
      <c r="D440" s="6385">
        <v>100000000</v>
      </c>
      <c r="E440" s="6471">
        <v>7.0000000000000007E-2</v>
      </c>
      <c r="F440" s="6385">
        <f t="shared" si="39"/>
        <v>7000000.0000000009</v>
      </c>
      <c r="G440" s="7482"/>
      <c r="H440" s="7482"/>
      <c r="I440" s="7482"/>
      <c r="J440" s="7482"/>
      <c r="K440" s="7482"/>
      <c r="L440" s="7714"/>
      <c r="M440" s="366"/>
      <c r="N440" s="366"/>
      <c r="O440" s="366"/>
      <c r="P440" s="366"/>
    </row>
    <row r="441" spans="1:16" ht="30" customHeight="1" x14ac:dyDescent="0.2">
      <c r="A441" s="7879"/>
      <c r="B441" s="7717"/>
      <c r="C441" s="7873"/>
      <c r="D441" s="6385">
        <v>100000000</v>
      </c>
      <c r="E441" s="6471">
        <v>0.05</v>
      </c>
      <c r="F441" s="6385">
        <f t="shared" si="39"/>
        <v>5000000</v>
      </c>
      <c r="G441" s="7563"/>
      <c r="H441" s="7563"/>
      <c r="I441" s="7482" t="s">
        <v>4152</v>
      </c>
      <c r="J441" s="7563">
        <f>G441</f>
        <v>0</v>
      </c>
      <c r="K441" s="7563">
        <f>(F441+F442)-J441</f>
        <v>12000000</v>
      </c>
      <c r="L441" s="7713"/>
      <c r="M441" s="366"/>
      <c r="N441" s="366"/>
      <c r="O441" s="366"/>
      <c r="P441" s="366"/>
    </row>
    <row r="442" spans="1:16" ht="30" customHeight="1" x14ac:dyDescent="0.2">
      <c r="A442" s="7879"/>
      <c r="B442" s="7717"/>
      <c r="C442" s="7873"/>
      <c r="D442" s="6385">
        <v>100000000</v>
      </c>
      <c r="E442" s="6471">
        <v>7.0000000000000007E-2</v>
      </c>
      <c r="F442" s="6385">
        <f t="shared" si="39"/>
        <v>7000000.0000000009</v>
      </c>
      <c r="G442" s="7564"/>
      <c r="H442" s="7564"/>
      <c r="I442" s="7482"/>
      <c r="J442" s="7564"/>
      <c r="K442" s="7564"/>
      <c r="L442" s="7714"/>
      <c r="M442" s="366"/>
      <c r="N442" s="366"/>
      <c r="O442" s="366"/>
      <c r="P442" s="366"/>
    </row>
    <row r="443" spans="1:16" ht="30" customHeight="1" x14ac:dyDescent="0.2">
      <c r="A443" s="7656">
        <v>198</v>
      </c>
      <c r="B443" s="7665" t="s">
        <v>59</v>
      </c>
      <c r="C443" s="7723" t="s">
        <v>1796</v>
      </c>
      <c r="D443" s="7563">
        <v>30000000</v>
      </c>
      <c r="E443" s="7659">
        <v>8.5000000000000006E-2</v>
      </c>
      <c r="F443" s="7563">
        <v>2500000</v>
      </c>
      <c r="G443" s="6393"/>
      <c r="H443" s="6393"/>
      <c r="I443" s="6393" t="s">
        <v>2503</v>
      </c>
      <c r="J443" s="6393">
        <f t="shared" si="40"/>
        <v>0</v>
      </c>
      <c r="K443" s="6393">
        <f t="shared" si="41"/>
        <v>2500000</v>
      </c>
      <c r="L443" s="29"/>
      <c r="M443" s="366"/>
      <c r="N443" s="366"/>
      <c r="O443" s="366"/>
      <c r="P443" s="366"/>
    </row>
    <row r="444" spans="1:16" ht="30" customHeight="1" x14ac:dyDescent="0.2">
      <c r="A444" s="7656"/>
      <c r="B444" s="7665"/>
      <c r="C444" s="7724"/>
      <c r="D444" s="7564"/>
      <c r="E444" s="7660"/>
      <c r="F444" s="7564"/>
      <c r="G444" s="6393"/>
      <c r="H444" s="6393"/>
      <c r="I444" s="6393" t="s">
        <v>2503</v>
      </c>
      <c r="J444" s="6393">
        <f>G444</f>
        <v>0</v>
      </c>
      <c r="K444" s="6393">
        <f>F443-J444</f>
        <v>2500000</v>
      </c>
      <c r="L444" s="29"/>
      <c r="M444" s="366"/>
      <c r="N444" s="366"/>
      <c r="O444" s="366"/>
      <c r="P444" s="366"/>
    </row>
    <row r="445" spans="1:16" ht="30" customHeight="1" x14ac:dyDescent="0.2">
      <c r="A445" s="7655"/>
      <c r="B445" s="7653"/>
      <c r="C445" s="6472" t="s">
        <v>1718</v>
      </c>
      <c r="D445" s="6393">
        <v>100000000</v>
      </c>
      <c r="E445" s="6471">
        <v>7.0000000000000007E-2</v>
      </c>
      <c r="F445" s="6393">
        <f>D445*E445</f>
        <v>7000000.0000000009</v>
      </c>
      <c r="G445" s="6385"/>
      <c r="H445" s="6393"/>
      <c r="I445" s="6393" t="s">
        <v>2503</v>
      </c>
      <c r="J445" s="6393">
        <f>G445</f>
        <v>0</v>
      </c>
      <c r="K445" s="6393">
        <f>F445-J445</f>
        <v>7000000.0000000009</v>
      </c>
      <c r="L445" s="29"/>
      <c r="M445" s="366"/>
      <c r="N445" s="366"/>
      <c r="O445" s="366"/>
      <c r="P445" s="366"/>
    </row>
    <row r="446" spans="1:16" ht="30" customHeight="1" x14ac:dyDescent="0.2">
      <c r="A446" s="7654">
        <v>199</v>
      </c>
      <c r="B446" s="7652" t="s">
        <v>60</v>
      </c>
      <c r="C446" s="7723" t="s">
        <v>1100</v>
      </c>
      <c r="D446" s="7563">
        <v>50000000</v>
      </c>
      <c r="E446" s="7659">
        <v>0.05</v>
      </c>
      <c r="F446" s="7563">
        <f t="shared" si="39"/>
        <v>2500000</v>
      </c>
      <c r="G446" s="6393"/>
      <c r="H446" s="6393"/>
      <c r="I446" s="6385" t="s">
        <v>4776</v>
      </c>
      <c r="J446" s="6393">
        <f t="shared" si="40"/>
        <v>0</v>
      </c>
      <c r="K446" s="6393">
        <f t="shared" si="41"/>
        <v>2500000</v>
      </c>
      <c r="L446" s="29"/>
      <c r="M446" s="366"/>
      <c r="N446" s="366"/>
      <c r="O446" s="366"/>
      <c r="P446" s="366"/>
    </row>
    <row r="447" spans="1:16" ht="30" customHeight="1" x14ac:dyDescent="0.2">
      <c r="A447" s="7655"/>
      <c r="B447" s="7653"/>
      <c r="C447" s="7724"/>
      <c r="D447" s="7564"/>
      <c r="E447" s="7660"/>
      <c r="F447" s="7564"/>
      <c r="G447" s="6385"/>
      <c r="H447" s="6385"/>
      <c r="I447" s="6385" t="s">
        <v>7526</v>
      </c>
      <c r="J447" s="6385">
        <f>G447</f>
        <v>0</v>
      </c>
      <c r="K447" s="6393">
        <f>F446-J447</f>
        <v>2500000</v>
      </c>
      <c r="L447" s="29"/>
      <c r="M447" s="366"/>
      <c r="N447" s="366"/>
      <c r="O447" s="366"/>
      <c r="P447" s="366"/>
    </row>
    <row r="448" spans="1:16" ht="30" customHeight="1" x14ac:dyDescent="0.2">
      <c r="A448" s="7654">
        <v>200</v>
      </c>
      <c r="B448" s="7652" t="s">
        <v>61</v>
      </c>
      <c r="C448" s="7723" t="s">
        <v>1081</v>
      </c>
      <c r="D448" s="7563">
        <v>550000000</v>
      </c>
      <c r="E448" s="7659">
        <v>7.0000000000000007E-2</v>
      </c>
      <c r="F448" s="7563">
        <f t="shared" si="39"/>
        <v>38500000</v>
      </c>
      <c r="G448" s="7954" t="s">
        <v>7491</v>
      </c>
      <c r="H448" s="7955"/>
      <c r="I448" s="7955"/>
      <c r="J448" s="7956"/>
      <c r="K448" s="6385">
        <f>F448-J448</f>
        <v>38500000</v>
      </c>
      <c r="L448" s="6536"/>
      <c r="M448" s="366"/>
      <c r="N448" s="366"/>
      <c r="O448" s="366"/>
      <c r="P448" s="366"/>
    </row>
    <row r="449" spans="1:16" ht="30" customHeight="1" x14ac:dyDescent="0.2">
      <c r="A449" s="7656"/>
      <c r="B449" s="7665"/>
      <c r="C449" s="7747"/>
      <c r="D449" s="7586"/>
      <c r="E449" s="7676"/>
      <c r="F449" s="7586"/>
      <c r="G449" s="6393"/>
      <c r="H449" s="6393"/>
      <c r="I449" s="6448" t="s">
        <v>1574</v>
      </c>
      <c r="J449" s="6393">
        <f>G449</f>
        <v>0</v>
      </c>
      <c r="K449" s="6393">
        <f>38500000-J449-15000000</f>
        <v>23500000</v>
      </c>
      <c r="L449" s="6536"/>
      <c r="M449" s="366"/>
      <c r="N449" s="366"/>
      <c r="O449" s="366"/>
      <c r="P449" s="366"/>
    </row>
    <row r="450" spans="1:16" ht="30" customHeight="1" x14ac:dyDescent="0.2">
      <c r="A450" s="7656"/>
      <c r="B450" s="7665"/>
      <c r="C450" s="7747"/>
      <c r="D450" s="7586"/>
      <c r="E450" s="7676"/>
      <c r="F450" s="7586"/>
      <c r="G450" s="6393"/>
      <c r="H450" s="6393"/>
      <c r="I450" s="6448" t="s">
        <v>1574</v>
      </c>
      <c r="J450" s="7563">
        <f>G450+G451</f>
        <v>0</v>
      </c>
      <c r="K450" s="7563">
        <f>F448-J450</f>
        <v>38500000</v>
      </c>
      <c r="L450" s="7818"/>
      <c r="M450" s="366"/>
      <c r="N450" s="366"/>
      <c r="O450" s="366"/>
      <c r="P450" s="366"/>
    </row>
    <row r="451" spans="1:16" ht="30" customHeight="1" x14ac:dyDescent="0.2">
      <c r="A451" s="7655"/>
      <c r="B451" s="7653"/>
      <c r="C451" s="7724"/>
      <c r="D451" s="7564"/>
      <c r="E451" s="7660"/>
      <c r="F451" s="7564"/>
      <c r="G451" s="6393"/>
      <c r="H451" s="6393"/>
      <c r="I451" s="6448" t="s">
        <v>1574</v>
      </c>
      <c r="J451" s="7564"/>
      <c r="K451" s="7564"/>
      <c r="L451" s="7819"/>
      <c r="M451" s="366"/>
      <c r="N451" s="366"/>
      <c r="O451" s="366"/>
      <c r="P451" s="366"/>
    </row>
    <row r="452" spans="1:16" ht="30" customHeight="1" x14ac:dyDescent="0.2">
      <c r="A452" s="7654">
        <v>201</v>
      </c>
      <c r="B452" s="7652" t="s">
        <v>62</v>
      </c>
      <c r="C452" s="7723"/>
      <c r="D452" s="7563">
        <v>60000000</v>
      </c>
      <c r="E452" s="7659">
        <v>7.0000000000000007E-2</v>
      </c>
      <c r="F452" s="7563">
        <v>4500000</v>
      </c>
      <c r="G452" s="6393"/>
      <c r="H452" s="6393"/>
      <c r="I452" s="6448" t="s">
        <v>7289</v>
      </c>
      <c r="J452" s="6393">
        <f t="shared" si="40"/>
        <v>0</v>
      </c>
      <c r="K452" s="6393">
        <f t="shared" si="41"/>
        <v>4500000</v>
      </c>
      <c r="L452" s="29"/>
      <c r="M452" s="366"/>
      <c r="N452" s="366"/>
      <c r="O452" s="366"/>
      <c r="P452" s="366"/>
    </row>
    <row r="453" spans="1:16" ht="30" customHeight="1" x14ac:dyDescent="0.2">
      <c r="A453" s="7655"/>
      <c r="B453" s="7653"/>
      <c r="C453" s="7724"/>
      <c r="D453" s="7564"/>
      <c r="E453" s="7660"/>
      <c r="F453" s="7564"/>
      <c r="G453" s="6393"/>
      <c r="H453" s="6393"/>
      <c r="I453" s="115" t="s">
        <v>1211</v>
      </c>
      <c r="J453" s="6393">
        <f>G453</f>
        <v>0</v>
      </c>
      <c r="K453" s="6393">
        <f>F452-J453</f>
        <v>4500000</v>
      </c>
      <c r="L453" s="29"/>
      <c r="M453" s="366"/>
      <c r="N453" s="366"/>
      <c r="O453" s="366"/>
      <c r="P453" s="366"/>
    </row>
    <row r="454" spans="1:16" ht="30" customHeight="1" x14ac:dyDescent="0.2">
      <c r="A454" s="7885">
        <v>202</v>
      </c>
      <c r="B454" s="7652" t="s">
        <v>63</v>
      </c>
      <c r="C454" s="7723" t="s">
        <v>1081</v>
      </c>
      <c r="D454" s="7563">
        <v>100000000</v>
      </c>
      <c r="E454" s="7659">
        <v>0.05</v>
      </c>
      <c r="F454" s="7563">
        <f t="shared" si="39"/>
        <v>5000000</v>
      </c>
      <c r="G454" s="6385"/>
      <c r="H454" s="6393"/>
      <c r="I454" s="6512" t="s">
        <v>3889</v>
      </c>
      <c r="J454" s="6393">
        <f t="shared" si="40"/>
        <v>0</v>
      </c>
      <c r="K454" s="6393">
        <f t="shared" si="41"/>
        <v>5000000</v>
      </c>
      <c r="L454" s="6503" t="s">
        <v>5478</v>
      </c>
      <c r="M454" s="366"/>
      <c r="N454" s="366"/>
      <c r="O454" s="366"/>
      <c r="P454" s="366"/>
    </row>
    <row r="455" spans="1:16" ht="30" customHeight="1" x14ac:dyDescent="0.2">
      <c r="A455" s="7886"/>
      <c r="B455" s="7653"/>
      <c r="C455" s="7724"/>
      <c r="D455" s="7564"/>
      <c r="E455" s="7660"/>
      <c r="F455" s="7564"/>
      <c r="G455" s="6393"/>
      <c r="H455" s="6393"/>
      <c r="I455" s="6512" t="s">
        <v>1261</v>
      </c>
      <c r="J455" s="6393">
        <f>G455</f>
        <v>0</v>
      </c>
      <c r="K455" s="6393">
        <f>F454-J455</f>
        <v>5000000</v>
      </c>
      <c r="L455" s="6503"/>
      <c r="M455" s="366"/>
      <c r="N455" s="366"/>
      <c r="O455" s="366"/>
      <c r="P455" s="366"/>
    </row>
    <row r="456" spans="1:16" ht="30" customHeight="1" x14ac:dyDescent="0.2">
      <c r="A456" s="7654">
        <v>203</v>
      </c>
      <c r="B456" s="7652" t="s">
        <v>1244</v>
      </c>
      <c r="C456" s="7723" t="s">
        <v>1081</v>
      </c>
      <c r="D456" s="7563">
        <v>60000000</v>
      </c>
      <c r="E456" s="7659">
        <v>0.05</v>
      </c>
      <c r="F456" s="7563">
        <f t="shared" si="39"/>
        <v>3000000</v>
      </c>
      <c r="G456" s="6393"/>
      <c r="H456" s="6393"/>
      <c r="I456" s="6512" t="s">
        <v>1154</v>
      </c>
      <c r="J456" s="6393">
        <f t="shared" si="40"/>
        <v>0</v>
      </c>
      <c r="K456" s="6393">
        <f t="shared" si="41"/>
        <v>3000000</v>
      </c>
      <c r="L456" s="29"/>
    </row>
    <row r="457" spans="1:16" ht="30" customHeight="1" x14ac:dyDescent="0.2">
      <c r="A457" s="7655"/>
      <c r="B457" s="7653"/>
      <c r="C457" s="7724"/>
      <c r="D457" s="7564"/>
      <c r="E457" s="7660"/>
      <c r="F457" s="7564"/>
      <c r="G457" s="6393"/>
      <c r="H457" s="6393"/>
      <c r="I457" s="6512" t="s">
        <v>1551</v>
      </c>
      <c r="J457" s="6393">
        <f t="shared" si="40"/>
        <v>0</v>
      </c>
      <c r="K457" s="6393">
        <f>F456-J457</f>
        <v>3000000</v>
      </c>
      <c r="L457" s="29"/>
    </row>
    <row r="458" spans="1:16" ht="30" customHeight="1" x14ac:dyDescent="0.2">
      <c r="A458" s="7654">
        <v>205</v>
      </c>
      <c r="B458" s="7652" t="s">
        <v>65</v>
      </c>
      <c r="C458" s="7723" t="s">
        <v>3245</v>
      </c>
      <c r="D458" s="7563">
        <v>15000000</v>
      </c>
      <c r="E458" s="7659">
        <v>0.04</v>
      </c>
      <c r="F458" s="7563">
        <f t="shared" si="39"/>
        <v>600000</v>
      </c>
      <c r="G458" s="6393"/>
      <c r="H458" s="6393"/>
      <c r="I458" s="6512" t="s">
        <v>3244</v>
      </c>
      <c r="J458" s="6393">
        <f t="shared" si="40"/>
        <v>0</v>
      </c>
      <c r="K458" s="6393">
        <f t="shared" si="41"/>
        <v>600000</v>
      </c>
      <c r="L458" s="29"/>
    </row>
    <row r="459" spans="1:16" ht="30" customHeight="1" x14ac:dyDescent="0.2">
      <c r="A459" s="7656"/>
      <c r="B459" s="7665"/>
      <c r="C459" s="7747"/>
      <c r="D459" s="7586"/>
      <c r="E459" s="7676"/>
      <c r="F459" s="7586"/>
      <c r="G459" s="6392"/>
      <c r="H459" s="6392"/>
      <c r="I459" s="6511" t="s">
        <v>3244</v>
      </c>
      <c r="J459" s="6392">
        <f t="shared" si="40"/>
        <v>0</v>
      </c>
      <c r="K459" s="6392">
        <f>F458-J459</f>
        <v>600000</v>
      </c>
      <c r="L459" s="29"/>
    </row>
    <row r="460" spans="1:16" ht="30" customHeight="1" x14ac:dyDescent="0.2">
      <c r="A460" s="7655"/>
      <c r="B460" s="7653"/>
      <c r="C460" s="7724"/>
      <c r="D460" s="7564"/>
      <c r="E460" s="7660"/>
      <c r="F460" s="7564"/>
      <c r="G460" s="6385"/>
      <c r="H460" s="6385"/>
      <c r="I460" s="6467" t="s">
        <v>7526</v>
      </c>
      <c r="J460" s="6385">
        <f t="shared" si="40"/>
        <v>0</v>
      </c>
      <c r="K460" s="6385">
        <f>F458-J460</f>
        <v>600000</v>
      </c>
      <c r="L460" s="6562" t="s">
        <v>6571</v>
      </c>
    </row>
    <row r="461" spans="1:16" ht="30" customHeight="1" x14ac:dyDescent="0.2">
      <c r="A461" s="7654">
        <v>207</v>
      </c>
      <c r="B461" s="7652" t="s">
        <v>2676</v>
      </c>
      <c r="C461" s="7723" t="s">
        <v>681</v>
      </c>
      <c r="D461" s="6385">
        <v>150000000</v>
      </c>
      <c r="E461" s="6471">
        <v>0.04</v>
      </c>
      <c r="F461" s="6385">
        <f t="shared" si="39"/>
        <v>6000000</v>
      </c>
      <c r="G461" s="6391"/>
      <c r="H461" s="6391"/>
      <c r="I461" s="6403" t="s">
        <v>3739</v>
      </c>
      <c r="J461" s="6391">
        <f t="shared" si="40"/>
        <v>0</v>
      </c>
      <c r="K461" s="6391">
        <f>F461-J461</f>
        <v>6000000</v>
      </c>
      <c r="L461" s="29"/>
    </row>
    <row r="462" spans="1:16" ht="30" customHeight="1" x14ac:dyDescent="0.2">
      <c r="A462" s="7655"/>
      <c r="B462" s="7653"/>
      <c r="C462" s="7724"/>
      <c r="D462" s="6385">
        <v>160000000</v>
      </c>
      <c r="E462" s="6471">
        <v>0.04</v>
      </c>
      <c r="F462" s="6385">
        <f t="shared" si="39"/>
        <v>6400000</v>
      </c>
      <c r="G462" s="6391"/>
      <c r="H462" s="6391"/>
      <c r="I462" s="6403" t="s">
        <v>7744</v>
      </c>
      <c r="J462" s="6391">
        <f t="shared" si="40"/>
        <v>0</v>
      </c>
      <c r="K462" s="6391">
        <f>F462-J462</f>
        <v>6400000</v>
      </c>
      <c r="L462" s="29"/>
    </row>
    <row r="463" spans="1:16" ht="30" customHeight="1" x14ac:dyDescent="0.2">
      <c r="A463" s="7654">
        <v>208</v>
      </c>
      <c r="B463" s="7652" t="s">
        <v>69</v>
      </c>
      <c r="C463" s="7723" t="s">
        <v>1100</v>
      </c>
      <c r="D463" s="7563">
        <v>15000000</v>
      </c>
      <c r="E463" s="7659">
        <v>0.04</v>
      </c>
      <c r="F463" s="7563">
        <f t="shared" si="39"/>
        <v>600000</v>
      </c>
      <c r="G463" s="6385"/>
      <c r="H463" s="6385"/>
      <c r="I463" s="6467" t="s">
        <v>1099</v>
      </c>
      <c r="J463" s="6385">
        <f t="shared" si="40"/>
        <v>0</v>
      </c>
      <c r="K463" s="6385">
        <f t="shared" ref="K463:K478" si="43">F463-J463</f>
        <v>600000</v>
      </c>
      <c r="L463" s="6536"/>
    </row>
    <row r="464" spans="1:16" ht="30" customHeight="1" x14ac:dyDescent="0.2">
      <c r="A464" s="7655"/>
      <c r="B464" s="7653"/>
      <c r="C464" s="7724"/>
      <c r="D464" s="7564"/>
      <c r="E464" s="7660"/>
      <c r="F464" s="7564"/>
      <c r="G464" s="6391"/>
      <c r="H464" s="6391"/>
      <c r="I464" s="6467" t="s">
        <v>1099</v>
      </c>
      <c r="J464" s="6391">
        <f t="shared" si="40"/>
        <v>0</v>
      </c>
      <c r="K464" s="6391">
        <f>F463-J464</f>
        <v>600000</v>
      </c>
      <c r="L464" s="6536"/>
    </row>
    <row r="465" spans="1:12" ht="30" customHeight="1" x14ac:dyDescent="0.2">
      <c r="A465" s="6475">
        <v>210</v>
      </c>
      <c r="B465" s="6431" t="s">
        <v>72</v>
      </c>
      <c r="C465" s="7723" t="s">
        <v>392</v>
      </c>
      <c r="D465" s="6393">
        <v>50000000</v>
      </c>
      <c r="E465" s="6471">
        <v>7.0000000000000007E-2</v>
      </c>
      <c r="F465" s="6393">
        <f t="shared" si="39"/>
        <v>3500000.0000000005</v>
      </c>
      <c r="G465" s="7563"/>
      <c r="H465" s="7563"/>
      <c r="I465" s="7561" t="s">
        <v>4892</v>
      </c>
      <c r="J465" s="7563">
        <f t="shared" si="40"/>
        <v>0</v>
      </c>
      <c r="K465" s="7563">
        <f>(F465+F466)-J465</f>
        <v>7000000.0000000009</v>
      </c>
      <c r="L465" s="6431"/>
    </row>
    <row r="466" spans="1:12" ht="30" customHeight="1" x14ac:dyDescent="0.2">
      <c r="A466" s="6475"/>
      <c r="B466" s="6431" t="s">
        <v>4821</v>
      </c>
      <c r="C466" s="7724"/>
      <c r="D466" s="6393">
        <v>50000000</v>
      </c>
      <c r="E466" s="6471">
        <v>7.0000000000000007E-2</v>
      </c>
      <c r="F466" s="6393">
        <f t="shared" si="39"/>
        <v>3500000.0000000005</v>
      </c>
      <c r="G466" s="7564"/>
      <c r="H466" s="7564"/>
      <c r="I466" s="7562"/>
      <c r="J466" s="7564"/>
      <c r="K466" s="7564"/>
      <c r="L466" s="6431"/>
    </row>
    <row r="467" spans="1:12" ht="30" customHeight="1" x14ac:dyDescent="0.2">
      <c r="A467" s="7654">
        <v>211</v>
      </c>
      <c r="B467" s="7652" t="s">
        <v>73</v>
      </c>
      <c r="C467" s="7723" t="s">
        <v>1295</v>
      </c>
      <c r="D467" s="6393">
        <v>100000000</v>
      </c>
      <c r="E467" s="6471">
        <v>5.5E-2</v>
      </c>
      <c r="F467" s="6393">
        <f t="shared" si="39"/>
        <v>5500000</v>
      </c>
      <c r="G467" s="7563"/>
      <c r="H467" s="7563"/>
      <c r="I467" s="7561" t="s">
        <v>4001</v>
      </c>
      <c r="J467" s="7563">
        <f t="shared" si="40"/>
        <v>0</v>
      </c>
      <c r="K467" s="7563">
        <f>(F468+F467)-J467</f>
        <v>11000000</v>
      </c>
      <c r="L467" s="6395"/>
    </row>
    <row r="468" spans="1:12" ht="30" customHeight="1" x14ac:dyDescent="0.2">
      <c r="A468" s="7655"/>
      <c r="B468" s="7653"/>
      <c r="C468" s="7724"/>
      <c r="D468" s="6393">
        <v>100000000</v>
      </c>
      <c r="E468" s="6471">
        <v>5.5E-2</v>
      </c>
      <c r="F468" s="6393">
        <f t="shared" si="39"/>
        <v>5500000</v>
      </c>
      <c r="G468" s="7564"/>
      <c r="H468" s="7564"/>
      <c r="I468" s="7562"/>
      <c r="J468" s="7564"/>
      <c r="K468" s="7564"/>
      <c r="L468" s="6395"/>
    </row>
    <row r="469" spans="1:12" ht="30" customHeight="1" x14ac:dyDescent="0.2">
      <c r="A469" s="7654">
        <v>212</v>
      </c>
      <c r="B469" s="7652" t="s">
        <v>74</v>
      </c>
      <c r="C469" s="7723" t="s">
        <v>889</v>
      </c>
      <c r="D469" s="6393">
        <v>30000000</v>
      </c>
      <c r="E469" s="6471">
        <v>0.05</v>
      </c>
      <c r="F469" s="6393">
        <f t="shared" si="39"/>
        <v>1500000</v>
      </c>
      <c r="G469" s="7563">
        <v>2200000</v>
      </c>
      <c r="H469" s="7563" t="s">
        <v>7864</v>
      </c>
      <c r="I469" s="7561" t="s">
        <v>1275</v>
      </c>
      <c r="J469" s="7563">
        <f t="shared" si="40"/>
        <v>2200000</v>
      </c>
      <c r="K469" s="7563">
        <f>(F469+F470+F471)-J469</f>
        <v>1000000</v>
      </c>
      <c r="L469" s="6431"/>
    </row>
    <row r="470" spans="1:12" ht="30" customHeight="1" x14ac:dyDescent="0.2">
      <c r="A470" s="7656"/>
      <c r="B470" s="7665"/>
      <c r="C470" s="7747"/>
      <c r="D470" s="6393">
        <v>10000000</v>
      </c>
      <c r="E470" s="6471">
        <v>0.05</v>
      </c>
      <c r="F470" s="6393">
        <f t="shared" si="39"/>
        <v>500000</v>
      </c>
      <c r="G470" s="7564"/>
      <c r="H470" s="7564"/>
      <c r="I470" s="7562"/>
      <c r="J470" s="7564"/>
      <c r="K470" s="7564"/>
      <c r="L470" s="6431"/>
    </row>
    <row r="471" spans="1:12" ht="30" customHeight="1" x14ac:dyDescent="0.2">
      <c r="A471" s="7656"/>
      <c r="B471" s="7665"/>
      <c r="C471" s="7747"/>
      <c r="D471" s="7563">
        <v>20000000</v>
      </c>
      <c r="E471" s="7659">
        <v>0.06</v>
      </c>
      <c r="F471" s="7563">
        <f t="shared" si="39"/>
        <v>1200000</v>
      </c>
      <c r="G471" s="7732" t="s">
        <v>6534</v>
      </c>
      <c r="H471" s="7733"/>
      <c r="I471" s="7733"/>
      <c r="J471" s="7734"/>
      <c r="K471" s="6393"/>
      <c r="L471" s="6395" t="s">
        <v>6533</v>
      </c>
    </row>
    <row r="472" spans="1:12" ht="30" customHeight="1" x14ac:dyDescent="0.2">
      <c r="A472" s="7655"/>
      <c r="B472" s="7653"/>
      <c r="C472" s="7724"/>
      <c r="D472" s="7564"/>
      <c r="E472" s="7660"/>
      <c r="F472" s="7564"/>
      <c r="G472" s="7732" t="s">
        <v>7386</v>
      </c>
      <c r="H472" s="7733"/>
      <c r="I472" s="7733"/>
      <c r="J472" s="7734"/>
      <c r="K472" s="6393"/>
      <c r="L472" s="6395" t="s">
        <v>6535</v>
      </c>
    </row>
    <row r="473" spans="1:12" ht="30" customHeight="1" x14ac:dyDescent="0.2">
      <c r="A473" s="6475">
        <v>213</v>
      </c>
      <c r="B473" s="6431" t="s">
        <v>5115</v>
      </c>
      <c r="C473" s="6434" t="s">
        <v>889</v>
      </c>
      <c r="D473" s="6393">
        <v>15000000</v>
      </c>
      <c r="E473" s="6471">
        <v>4.7E-2</v>
      </c>
      <c r="F473" s="6393">
        <v>700000</v>
      </c>
      <c r="G473" s="6393"/>
      <c r="H473" s="6393"/>
      <c r="I473" s="6512" t="s">
        <v>325</v>
      </c>
      <c r="J473" s="6393">
        <f t="shared" si="40"/>
        <v>0</v>
      </c>
      <c r="K473" s="6393">
        <f t="shared" si="43"/>
        <v>700000</v>
      </c>
      <c r="L473" s="6431"/>
    </row>
    <row r="474" spans="1:12" ht="30" customHeight="1" x14ac:dyDescent="0.2">
      <c r="A474" s="6475">
        <v>214</v>
      </c>
      <c r="B474" s="6431" t="s">
        <v>937</v>
      </c>
      <c r="C474" s="6434"/>
      <c r="D474" s="6393">
        <v>200000000</v>
      </c>
      <c r="E474" s="6471">
        <v>5.5E-2</v>
      </c>
      <c r="F474" s="6393">
        <f t="shared" si="39"/>
        <v>11000000</v>
      </c>
      <c r="G474" s="6393">
        <v>11000000</v>
      </c>
      <c r="H474" s="6393" t="s">
        <v>7845</v>
      </c>
      <c r="I474" s="6512" t="s">
        <v>3974</v>
      </c>
      <c r="J474" s="6393">
        <f t="shared" si="40"/>
        <v>11000000</v>
      </c>
      <c r="K474" s="6393">
        <f t="shared" si="43"/>
        <v>0</v>
      </c>
      <c r="L474" s="6431"/>
    </row>
    <row r="475" spans="1:12" ht="30" customHeight="1" x14ac:dyDescent="0.2">
      <c r="A475" s="6397">
        <v>216</v>
      </c>
      <c r="B475" s="6468" t="s">
        <v>77</v>
      </c>
      <c r="C475" s="6433" t="s">
        <v>889</v>
      </c>
      <c r="D475" s="6393">
        <v>460000000</v>
      </c>
      <c r="E475" s="6471">
        <v>0.05</v>
      </c>
      <c r="F475" s="6393">
        <f t="shared" si="39"/>
        <v>23000000</v>
      </c>
      <c r="G475" s="6393"/>
      <c r="H475" s="6393"/>
      <c r="I475" s="6512" t="s">
        <v>3401</v>
      </c>
      <c r="J475" s="6391">
        <f>G475</f>
        <v>0</v>
      </c>
      <c r="K475" s="6393">
        <f t="shared" si="43"/>
        <v>23000000</v>
      </c>
      <c r="L475" s="6431"/>
    </row>
    <row r="476" spans="1:12" ht="30" customHeight="1" x14ac:dyDescent="0.2">
      <c r="A476" s="6397">
        <v>217</v>
      </c>
      <c r="B476" s="6399" t="s">
        <v>79</v>
      </c>
      <c r="C476" s="6433"/>
      <c r="D476" s="6391">
        <v>160000000</v>
      </c>
      <c r="E476" s="6401">
        <v>0.05</v>
      </c>
      <c r="F476" s="6391">
        <f t="shared" si="39"/>
        <v>8000000</v>
      </c>
      <c r="G476" s="6392"/>
      <c r="H476" s="6392"/>
      <c r="I476" s="6511"/>
      <c r="J476" s="6391">
        <f t="shared" si="40"/>
        <v>0</v>
      </c>
      <c r="K476" s="6391">
        <f t="shared" si="43"/>
        <v>8000000</v>
      </c>
      <c r="L476" s="6425"/>
    </row>
    <row r="477" spans="1:12" ht="30" customHeight="1" x14ac:dyDescent="0.2">
      <c r="A477" s="6475">
        <v>218</v>
      </c>
      <c r="B477" s="6530" t="s">
        <v>80</v>
      </c>
      <c r="C477" s="5773"/>
      <c r="D477" s="6394">
        <v>45000000</v>
      </c>
      <c r="E477" s="2519">
        <v>0.04</v>
      </c>
      <c r="F477" s="6394">
        <f t="shared" si="39"/>
        <v>1800000</v>
      </c>
      <c r="G477" s="6394"/>
      <c r="H477" s="6394"/>
      <c r="I477" s="5817" t="s">
        <v>1695</v>
      </c>
      <c r="J477" s="6394">
        <f t="shared" si="40"/>
        <v>0</v>
      </c>
      <c r="K477" s="6394">
        <f t="shared" si="43"/>
        <v>1800000</v>
      </c>
      <c r="L477" s="6431"/>
    </row>
    <row r="478" spans="1:12" ht="30" customHeight="1" x14ac:dyDescent="0.2">
      <c r="A478" s="6475">
        <v>221</v>
      </c>
      <c r="B478" s="6468" t="s">
        <v>326</v>
      </c>
      <c r="C478" s="6433" t="s">
        <v>1652</v>
      </c>
      <c r="D478" s="6391">
        <v>275000000</v>
      </c>
      <c r="E478" s="6401">
        <v>4.2000000000000003E-2</v>
      </c>
      <c r="F478" s="6391">
        <f>D478*E478</f>
        <v>11550000</v>
      </c>
      <c r="G478" s="6392"/>
      <c r="H478" s="6392"/>
      <c r="I478" s="6511" t="s">
        <v>1654</v>
      </c>
      <c r="J478" s="6391">
        <f>G478</f>
        <v>0</v>
      </c>
      <c r="K478" s="6391">
        <f t="shared" si="43"/>
        <v>11550000</v>
      </c>
      <c r="L478" s="6427"/>
    </row>
    <row r="479" spans="1:12" ht="30" customHeight="1" x14ac:dyDescent="0.2">
      <c r="A479" s="7654">
        <v>222</v>
      </c>
      <c r="B479" s="7652" t="s">
        <v>1818</v>
      </c>
      <c r="C479" s="7723" t="s">
        <v>1287</v>
      </c>
      <c r="D479" s="7563">
        <v>700000000</v>
      </c>
      <c r="E479" s="7659">
        <v>0.06</v>
      </c>
      <c r="F479" s="7563">
        <f>D479*E479</f>
        <v>42000000</v>
      </c>
      <c r="G479" s="6385"/>
      <c r="H479" s="6385"/>
      <c r="I479" s="6467" t="s">
        <v>3724</v>
      </c>
      <c r="J479" s="7563">
        <f>G479+G480</f>
        <v>0</v>
      </c>
      <c r="K479" s="7563">
        <f>F479-J479</f>
        <v>42000000</v>
      </c>
      <c r="L479" s="6472"/>
    </row>
    <row r="480" spans="1:12" ht="30" customHeight="1" x14ac:dyDescent="0.2">
      <c r="A480" s="7655"/>
      <c r="B480" s="7653"/>
      <c r="C480" s="7724"/>
      <c r="D480" s="7564"/>
      <c r="E480" s="7660"/>
      <c r="F480" s="7564"/>
      <c r="G480" s="6393"/>
      <c r="H480" s="6393"/>
      <c r="I480" s="6512" t="s">
        <v>3724</v>
      </c>
      <c r="J480" s="7564"/>
      <c r="K480" s="7564"/>
      <c r="L480" s="6472"/>
    </row>
    <row r="481" spans="1:12" ht="30" customHeight="1" x14ac:dyDescent="0.2">
      <c r="A481" s="6475">
        <v>224</v>
      </c>
      <c r="B481" s="19" t="s">
        <v>2623</v>
      </c>
      <c r="C481" s="6472"/>
      <c r="D481" s="6385">
        <v>10000000</v>
      </c>
      <c r="E481" s="6471">
        <v>0.05</v>
      </c>
      <c r="F481" s="6385">
        <f t="shared" si="39"/>
        <v>500000</v>
      </c>
      <c r="G481" s="6393"/>
      <c r="H481" s="6393"/>
      <c r="I481" s="6512" t="s">
        <v>3934</v>
      </c>
      <c r="J481" s="6393">
        <f t="shared" ref="J481:J484" si="44">G481</f>
        <v>0</v>
      </c>
      <c r="K481" s="6393">
        <f t="shared" ref="K481:K484" si="45">F481-J481</f>
        <v>500000</v>
      </c>
      <c r="L481" s="6431"/>
    </row>
    <row r="482" spans="1:12" ht="30" customHeight="1" x14ac:dyDescent="0.2">
      <c r="A482" s="7654">
        <v>226</v>
      </c>
      <c r="B482" s="7652" t="s">
        <v>86</v>
      </c>
      <c r="C482" s="7723" t="s">
        <v>889</v>
      </c>
      <c r="D482" s="7563">
        <v>500000000</v>
      </c>
      <c r="E482" s="7659">
        <v>0.06</v>
      </c>
      <c r="F482" s="7563">
        <f>D482*E482</f>
        <v>30000000</v>
      </c>
      <c r="G482" s="6391"/>
      <c r="H482" s="6391"/>
      <c r="I482" s="6391" t="s">
        <v>2391</v>
      </c>
      <c r="J482" s="7563">
        <f>G482+G483</f>
        <v>0</v>
      </c>
      <c r="K482" s="7563">
        <f>F482-J482</f>
        <v>30000000</v>
      </c>
      <c r="L482" s="6426"/>
    </row>
    <row r="483" spans="1:12" ht="30" customHeight="1" x14ac:dyDescent="0.2">
      <c r="A483" s="7655"/>
      <c r="B483" s="7653"/>
      <c r="C483" s="7724"/>
      <c r="D483" s="7564"/>
      <c r="E483" s="7660"/>
      <c r="F483" s="7564"/>
      <c r="G483" s="6391"/>
      <c r="H483" s="6391"/>
      <c r="I483" s="6391" t="s">
        <v>2391</v>
      </c>
      <c r="J483" s="7564"/>
      <c r="K483" s="7564"/>
      <c r="L483" s="6426"/>
    </row>
    <row r="484" spans="1:12" ht="30" customHeight="1" x14ac:dyDescent="0.2">
      <c r="A484" s="6475">
        <v>228</v>
      </c>
      <c r="B484" s="6431" t="s">
        <v>88</v>
      </c>
      <c r="C484" s="6434" t="s">
        <v>1176</v>
      </c>
      <c r="D484" s="6393">
        <v>10000000</v>
      </c>
      <c r="E484" s="6471">
        <v>0.04</v>
      </c>
      <c r="F484" s="6393">
        <f t="shared" si="39"/>
        <v>400000</v>
      </c>
      <c r="G484" s="6385"/>
      <c r="H484" s="6385"/>
      <c r="I484" s="6547" t="s">
        <v>417</v>
      </c>
      <c r="J484" s="6385">
        <f t="shared" si="44"/>
        <v>0</v>
      </c>
      <c r="K484" s="6385">
        <f t="shared" si="45"/>
        <v>400000</v>
      </c>
      <c r="L484" s="6431"/>
    </row>
    <row r="485" spans="1:12" ht="30" customHeight="1" x14ac:dyDescent="0.2">
      <c r="A485" s="7654"/>
      <c r="B485" s="7652" t="s">
        <v>89</v>
      </c>
      <c r="C485" s="7723" t="s">
        <v>942</v>
      </c>
      <c r="D485" s="6393">
        <v>180000000</v>
      </c>
      <c r="E485" s="6471">
        <v>0.05</v>
      </c>
      <c r="F485" s="6393">
        <f>D485*E485</f>
        <v>9000000</v>
      </c>
      <c r="G485" s="7563"/>
      <c r="H485" s="7563"/>
      <c r="I485" s="7563" t="s">
        <v>3969</v>
      </c>
      <c r="J485" s="7563">
        <f>G485</f>
        <v>0</v>
      </c>
      <c r="K485" s="7563"/>
      <c r="L485" s="6395"/>
    </row>
    <row r="486" spans="1:12" ht="30" customHeight="1" x14ac:dyDescent="0.2">
      <c r="A486" s="7656"/>
      <c r="B486" s="7665"/>
      <c r="C486" s="7747"/>
      <c r="D486" s="6393">
        <v>150000000</v>
      </c>
      <c r="E486" s="6471">
        <v>0.05</v>
      </c>
      <c r="F486" s="6393">
        <f>D486*E486</f>
        <v>7500000</v>
      </c>
      <c r="G486" s="7564"/>
      <c r="H486" s="7564"/>
      <c r="I486" s="7564"/>
      <c r="J486" s="7564"/>
      <c r="K486" s="7564"/>
      <c r="L486" s="6395" t="s">
        <v>6332</v>
      </c>
    </row>
    <row r="487" spans="1:12" ht="30" customHeight="1" x14ac:dyDescent="0.2">
      <c r="A487" s="7656"/>
      <c r="B487" s="7665"/>
      <c r="C487" s="7747"/>
      <c r="D487" s="6393">
        <v>10000000</v>
      </c>
      <c r="E487" s="6471">
        <v>0.05</v>
      </c>
      <c r="F487" s="6393">
        <f>D487*E487</f>
        <v>500000</v>
      </c>
      <c r="G487" s="7732" t="s">
        <v>7139</v>
      </c>
      <c r="H487" s="7733"/>
      <c r="I487" s="7733"/>
      <c r="J487" s="7734"/>
      <c r="K487" s="6393"/>
      <c r="L487" s="7674" t="s">
        <v>7232</v>
      </c>
    </row>
    <row r="488" spans="1:12" ht="30" customHeight="1" x14ac:dyDescent="0.2">
      <c r="A488" s="7656"/>
      <c r="B488" s="7665"/>
      <c r="C488" s="7747"/>
      <c r="D488" s="6393">
        <v>10000000</v>
      </c>
      <c r="E488" s="6471">
        <v>0.05</v>
      </c>
      <c r="F488" s="6393">
        <f>D488*E488</f>
        <v>500000</v>
      </c>
      <c r="G488" s="7732" t="s">
        <v>7140</v>
      </c>
      <c r="H488" s="7733"/>
      <c r="I488" s="7733"/>
      <c r="J488" s="7734"/>
      <c r="K488" s="6393"/>
      <c r="L488" s="7675"/>
    </row>
    <row r="489" spans="1:12" ht="30" customHeight="1" x14ac:dyDescent="0.2">
      <c r="A489" s="7655"/>
      <c r="B489" s="7653"/>
      <c r="C489" s="7724"/>
      <c r="D489" s="6494">
        <f>SUM(D485:D488)</f>
        <v>350000000</v>
      </c>
      <c r="E489" s="6552">
        <v>0.05</v>
      </c>
      <c r="F489" s="6494">
        <f>D489*E489</f>
        <v>17500000</v>
      </c>
      <c r="G489" s="6385">
        <v>17500000</v>
      </c>
      <c r="H489" s="6385" t="s">
        <v>7864</v>
      </c>
      <c r="I489" s="6385" t="s">
        <v>3969</v>
      </c>
      <c r="J489" s="6385">
        <f>G489</f>
        <v>17500000</v>
      </c>
      <c r="K489" s="6393">
        <f>F489-J489</f>
        <v>0</v>
      </c>
      <c r="L489" s="6488" t="s">
        <v>7899</v>
      </c>
    </row>
    <row r="490" spans="1:12" ht="30" customHeight="1" x14ac:dyDescent="0.2">
      <c r="A490" s="6475"/>
      <c r="B490" s="19" t="s">
        <v>5008</v>
      </c>
      <c r="C490" s="6472" t="s">
        <v>1718</v>
      </c>
      <c r="D490" s="6385">
        <v>50000000</v>
      </c>
      <c r="E490" s="6471">
        <v>0.05</v>
      </c>
      <c r="F490" s="6385">
        <f t="shared" si="39"/>
        <v>2500000</v>
      </c>
      <c r="G490" s="6385"/>
      <c r="H490" s="6385"/>
      <c r="I490" s="6385" t="s">
        <v>6904</v>
      </c>
      <c r="J490" s="6385">
        <f>G490</f>
        <v>0</v>
      </c>
      <c r="K490" s="6385">
        <v>0</v>
      </c>
      <c r="L490" s="6546"/>
    </row>
    <row r="491" spans="1:12" ht="30" customHeight="1" x14ac:dyDescent="0.2">
      <c r="A491" s="6397">
        <v>231</v>
      </c>
      <c r="B491" s="6468" t="s">
        <v>91</v>
      </c>
      <c r="C491" s="6472" t="s">
        <v>1080</v>
      </c>
      <c r="D491" s="6393">
        <v>20000000</v>
      </c>
      <c r="E491" s="6402">
        <v>0.05</v>
      </c>
      <c r="F491" s="6393">
        <f t="shared" si="39"/>
        <v>1000000</v>
      </c>
      <c r="G491" s="6385"/>
      <c r="H491" s="6385"/>
      <c r="I491" s="6547" t="s">
        <v>298</v>
      </c>
      <c r="J491" s="6385">
        <f>G491</f>
        <v>0</v>
      </c>
      <c r="K491" s="6385">
        <f>F491-G491</f>
        <v>1000000</v>
      </c>
      <c r="L491" s="6536"/>
    </row>
    <row r="492" spans="1:12" ht="30" customHeight="1" x14ac:dyDescent="0.2">
      <c r="A492" s="6475">
        <v>233</v>
      </c>
      <c r="B492" s="6431" t="s">
        <v>275</v>
      </c>
      <c r="C492" s="6434" t="s">
        <v>372</v>
      </c>
      <c r="D492" s="6393">
        <v>50000000</v>
      </c>
      <c r="E492" s="6471">
        <v>0.05</v>
      </c>
      <c r="F492" s="6393">
        <f t="shared" si="39"/>
        <v>2500000</v>
      </c>
      <c r="G492" s="6393"/>
      <c r="H492" s="6393"/>
      <c r="I492" s="6512" t="s">
        <v>5699</v>
      </c>
      <c r="J492" s="6393">
        <f t="shared" ref="J492:J503" si="46">G492</f>
        <v>0</v>
      </c>
      <c r="K492" s="6393">
        <f t="shared" ref="K492:K501" si="47">F492-J492</f>
        <v>2500000</v>
      </c>
      <c r="L492" s="6536"/>
    </row>
    <row r="493" spans="1:12" ht="30" customHeight="1" x14ac:dyDescent="0.2">
      <c r="A493" s="6475">
        <v>234</v>
      </c>
      <c r="B493" s="6468" t="s">
        <v>93</v>
      </c>
      <c r="C493" s="6472" t="s">
        <v>1293</v>
      </c>
      <c r="D493" s="6385">
        <v>400000000</v>
      </c>
      <c r="E493" s="6471">
        <f>F493/D493</f>
        <v>5.2499999999999998E-2</v>
      </c>
      <c r="F493" s="6385">
        <v>21000000</v>
      </c>
      <c r="G493" s="6385"/>
      <c r="H493" s="6385"/>
      <c r="I493" s="6467" t="s">
        <v>506</v>
      </c>
      <c r="J493" s="6385">
        <f t="shared" si="46"/>
        <v>0</v>
      </c>
      <c r="K493" s="6393">
        <f t="shared" si="47"/>
        <v>21000000</v>
      </c>
      <c r="L493" s="6459"/>
    </row>
    <row r="494" spans="1:12" ht="30" customHeight="1" x14ac:dyDescent="0.2">
      <c r="A494" s="6397">
        <v>235</v>
      </c>
      <c r="B494" s="6431" t="s">
        <v>94</v>
      </c>
      <c r="C494" s="6472" t="s">
        <v>1172</v>
      </c>
      <c r="D494" s="6385">
        <v>60000000</v>
      </c>
      <c r="E494" s="6471">
        <v>0.05</v>
      </c>
      <c r="F494" s="6385">
        <f t="shared" si="39"/>
        <v>3000000</v>
      </c>
      <c r="G494" s="6385"/>
      <c r="H494" s="6385"/>
      <c r="I494" s="4394" t="s">
        <v>4384</v>
      </c>
      <c r="J494" s="6385">
        <f t="shared" si="46"/>
        <v>0</v>
      </c>
      <c r="K494" s="6385">
        <f t="shared" si="47"/>
        <v>3000000</v>
      </c>
      <c r="L494" s="6521"/>
    </row>
    <row r="495" spans="1:12" ht="30" customHeight="1" x14ac:dyDescent="0.2">
      <c r="A495" s="6475">
        <v>236</v>
      </c>
      <c r="B495" s="6431" t="s">
        <v>95</v>
      </c>
      <c r="C495" s="6434"/>
      <c r="D495" s="6393">
        <v>20000000</v>
      </c>
      <c r="E495" s="6471">
        <v>0.05</v>
      </c>
      <c r="F495" s="6393">
        <f>D495*E495</f>
        <v>1000000</v>
      </c>
      <c r="G495" s="6393"/>
      <c r="H495" s="6393"/>
      <c r="I495" s="6446" t="s">
        <v>334</v>
      </c>
      <c r="J495" s="6393">
        <f t="shared" si="46"/>
        <v>0</v>
      </c>
      <c r="K495" s="6393">
        <f t="shared" si="47"/>
        <v>1000000</v>
      </c>
      <c r="L495" s="6536"/>
    </row>
    <row r="496" spans="1:12" ht="30" customHeight="1" x14ac:dyDescent="0.2">
      <c r="A496" s="7654"/>
      <c r="B496" s="6400" t="s">
        <v>96</v>
      </c>
      <c r="C496" s="7723" t="s">
        <v>1718</v>
      </c>
      <c r="D496" s="6393">
        <v>55000000</v>
      </c>
      <c r="E496" s="6471">
        <v>0.05</v>
      </c>
      <c r="F496" s="6393">
        <f>D496*E496</f>
        <v>2750000</v>
      </c>
      <c r="G496" s="7563"/>
      <c r="H496" s="7563"/>
      <c r="I496" s="7563" t="s">
        <v>4415</v>
      </c>
      <c r="J496" s="7563">
        <f>G496</f>
        <v>0</v>
      </c>
      <c r="K496" s="7563">
        <f>(F496+F497)-J496</f>
        <v>5250000</v>
      </c>
      <c r="L496" s="7679"/>
    </row>
    <row r="497" spans="1:14" ht="30" customHeight="1" x14ac:dyDescent="0.2">
      <c r="A497" s="7655"/>
      <c r="B497" s="6400" t="s">
        <v>2011</v>
      </c>
      <c r="C497" s="7724"/>
      <c r="D497" s="6393">
        <v>50000000</v>
      </c>
      <c r="E497" s="6471">
        <v>0.05</v>
      </c>
      <c r="F497" s="6393">
        <f>D497*E497</f>
        <v>2500000</v>
      </c>
      <c r="G497" s="7564"/>
      <c r="H497" s="7564"/>
      <c r="I497" s="7564"/>
      <c r="J497" s="7564"/>
      <c r="K497" s="7564"/>
      <c r="L497" s="7680"/>
    </row>
    <row r="498" spans="1:14" ht="30" customHeight="1" x14ac:dyDescent="0.2">
      <c r="A498" s="6398"/>
      <c r="B498" s="6400" t="s">
        <v>4008</v>
      </c>
      <c r="C498" s="6434" t="s">
        <v>262</v>
      </c>
      <c r="D498" s="6393">
        <v>10000000</v>
      </c>
      <c r="E498" s="6471">
        <v>0.05</v>
      </c>
      <c r="F498" s="6393">
        <f>D498*E498</f>
        <v>500000</v>
      </c>
      <c r="G498" s="6385"/>
      <c r="H498" s="6385"/>
      <c r="I498" s="6385" t="s">
        <v>5086</v>
      </c>
      <c r="J498" s="6385">
        <f>G498</f>
        <v>0</v>
      </c>
      <c r="K498" s="6393">
        <f>F498-J498</f>
        <v>500000</v>
      </c>
      <c r="L498" s="6426"/>
    </row>
    <row r="499" spans="1:14" ht="30" customHeight="1" x14ac:dyDescent="0.2">
      <c r="A499" s="7654">
        <v>238</v>
      </c>
      <c r="B499" s="7652" t="s">
        <v>97</v>
      </c>
      <c r="C499" s="7723" t="s">
        <v>1176</v>
      </c>
      <c r="D499" s="6393">
        <v>100000000</v>
      </c>
      <c r="E499" s="6471">
        <v>0.05</v>
      </c>
      <c r="F499" s="6393">
        <f t="shared" si="39"/>
        <v>5000000</v>
      </c>
      <c r="G499" s="8099" t="s">
        <v>6812</v>
      </c>
      <c r="H499" s="8100"/>
      <c r="I499" s="8100"/>
      <c r="J499" s="8101"/>
      <c r="K499" s="6393">
        <f t="shared" si="47"/>
        <v>5000000</v>
      </c>
      <c r="L499" s="6431"/>
    </row>
    <row r="500" spans="1:14" ht="30" customHeight="1" x14ac:dyDescent="0.2">
      <c r="A500" s="7655"/>
      <c r="B500" s="7653"/>
      <c r="C500" s="7724"/>
      <c r="D500" s="6417">
        <v>150000000</v>
      </c>
      <c r="E500" s="6529">
        <v>0.05</v>
      </c>
      <c r="F500" s="6417">
        <f t="shared" si="39"/>
        <v>7500000</v>
      </c>
      <c r="G500" s="6393"/>
      <c r="H500" s="6393"/>
      <c r="I500" s="96" t="s">
        <v>3492</v>
      </c>
      <c r="J500" s="6393">
        <f>G500</f>
        <v>0</v>
      </c>
      <c r="K500" s="6393">
        <f>F500-J500</f>
        <v>7500000</v>
      </c>
      <c r="L500" s="6488" t="s">
        <v>6878</v>
      </c>
    </row>
    <row r="501" spans="1:14" ht="30" customHeight="1" x14ac:dyDescent="0.2">
      <c r="A501" s="6475">
        <v>239</v>
      </c>
      <c r="B501" s="6431" t="s">
        <v>98</v>
      </c>
      <c r="C501" s="6434" t="s">
        <v>372</v>
      </c>
      <c r="D501" s="6393">
        <v>50000000</v>
      </c>
      <c r="E501" s="6471">
        <v>0.05</v>
      </c>
      <c r="F501" s="6393">
        <f t="shared" si="39"/>
        <v>2500000</v>
      </c>
      <c r="G501" s="6393"/>
      <c r="H501" s="6393"/>
      <c r="I501" s="6512" t="s">
        <v>348</v>
      </c>
      <c r="J501" s="6393">
        <f t="shared" si="46"/>
        <v>0</v>
      </c>
      <c r="K501" s="6393">
        <f t="shared" si="47"/>
        <v>2500000</v>
      </c>
      <c r="L501" s="6426"/>
    </row>
    <row r="502" spans="1:14" ht="30" customHeight="1" x14ac:dyDescent="0.2">
      <c r="A502" s="7654">
        <v>241</v>
      </c>
      <c r="B502" s="7652" t="s">
        <v>559</v>
      </c>
      <c r="C502" s="7873" t="s">
        <v>1796</v>
      </c>
      <c r="D502" s="6385">
        <v>20000000</v>
      </c>
      <c r="E502" s="6471">
        <v>7.0000000000000007E-2</v>
      </c>
      <c r="F502" s="6385">
        <f>D502*E502</f>
        <v>1400000.0000000002</v>
      </c>
      <c r="G502" s="6385"/>
      <c r="H502" s="6385"/>
      <c r="I502" s="18" t="s">
        <v>557</v>
      </c>
      <c r="J502" s="6385">
        <f t="shared" si="46"/>
        <v>0</v>
      </c>
      <c r="K502" s="6385">
        <f>(F502+F503)-J502</f>
        <v>2300000</v>
      </c>
      <c r="L502" s="6524"/>
    </row>
    <row r="503" spans="1:14" ht="30" customHeight="1" x14ac:dyDescent="0.2">
      <c r="A503" s="7656"/>
      <c r="B503" s="7653"/>
      <c r="C503" s="7873"/>
      <c r="D503" s="6385">
        <v>10000000</v>
      </c>
      <c r="E503" s="6471">
        <v>0.09</v>
      </c>
      <c r="F503" s="6385">
        <f>D503*E503</f>
        <v>900000</v>
      </c>
      <c r="G503" s="6385"/>
      <c r="H503" s="6385"/>
      <c r="I503" s="18" t="s">
        <v>7714</v>
      </c>
      <c r="J503" s="6385">
        <f t="shared" si="46"/>
        <v>0</v>
      </c>
      <c r="K503" s="6385">
        <f>(F503+F502)-J503</f>
        <v>2300000</v>
      </c>
      <c r="L503" s="6525"/>
    </row>
    <row r="504" spans="1:14" ht="30" customHeight="1" x14ac:dyDescent="0.2">
      <c r="A504" s="6475">
        <v>242</v>
      </c>
      <c r="B504" s="6431" t="s">
        <v>100</v>
      </c>
      <c r="C504" s="6434" t="s">
        <v>1652</v>
      </c>
      <c r="D504" s="6393">
        <v>140000000</v>
      </c>
      <c r="E504" s="6402">
        <v>4.4999999999999998E-2</v>
      </c>
      <c r="F504" s="6393">
        <f t="shared" si="39"/>
        <v>6300000</v>
      </c>
      <c r="G504" s="6393"/>
      <c r="H504" s="6393"/>
      <c r="I504" s="6512" t="s">
        <v>3493</v>
      </c>
      <c r="J504" s="6393">
        <f>G504</f>
        <v>0</v>
      </c>
      <c r="K504" s="6393">
        <f t="shared" ref="K504:K509" si="48">F504-J504</f>
        <v>6300000</v>
      </c>
      <c r="L504" s="6503"/>
    </row>
    <row r="505" spans="1:14" ht="30" customHeight="1" x14ac:dyDescent="0.2">
      <c r="A505" s="6475">
        <v>243</v>
      </c>
      <c r="B505" s="19" t="s">
        <v>507</v>
      </c>
      <c r="C505" s="6472" t="s">
        <v>262</v>
      </c>
      <c r="D505" s="6385">
        <v>20000000</v>
      </c>
      <c r="E505" s="6471">
        <v>0.05</v>
      </c>
      <c r="F505" s="6385">
        <f>D505*E505</f>
        <v>1000000</v>
      </c>
      <c r="G505" s="6385"/>
      <c r="H505" s="6385"/>
      <c r="I505" s="6385" t="s">
        <v>296</v>
      </c>
      <c r="J505" s="6385">
        <f>G505</f>
        <v>0</v>
      </c>
      <c r="K505" s="6385">
        <f t="shared" si="48"/>
        <v>1000000</v>
      </c>
      <c r="L505" s="6503"/>
      <c r="M505" s="248"/>
      <c r="N505" s="248"/>
    </row>
    <row r="506" spans="1:14" ht="30" customHeight="1" x14ac:dyDescent="0.2">
      <c r="A506" s="6475">
        <v>244</v>
      </c>
      <c r="B506" s="19" t="s">
        <v>101</v>
      </c>
      <c r="C506" s="6472" t="s">
        <v>372</v>
      </c>
      <c r="D506" s="6385">
        <v>60000000</v>
      </c>
      <c r="E506" s="6471">
        <v>0.06</v>
      </c>
      <c r="F506" s="6393">
        <f t="shared" ref="F506" si="49">D506*E506</f>
        <v>3600000</v>
      </c>
      <c r="G506" s="6385"/>
      <c r="H506" s="6385"/>
      <c r="I506" s="6467" t="s">
        <v>3530</v>
      </c>
      <c r="J506" s="6385">
        <f>G506</f>
        <v>0</v>
      </c>
      <c r="K506" s="6385">
        <f>F506-J506</f>
        <v>3600000</v>
      </c>
      <c r="L506" s="6546"/>
    </row>
    <row r="507" spans="1:14" ht="30" customHeight="1" x14ac:dyDescent="0.2">
      <c r="A507" s="6475">
        <v>245</v>
      </c>
      <c r="B507" s="6431" t="s">
        <v>4058</v>
      </c>
      <c r="C507" s="6434" t="s">
        <v>262</v>
      </c>
      <c r="D507" s="6393">
        <v>70000000</v>
      </c>
      <c r="E507" s="6471">
        <v>0.05</v>
      </c>
      <c r="F507" s="6393">
        <f t="shared" si="39"/>
        <v>3500000</v>
      </c>
      <c r="G507" s="6385"/>
      <c r="H507" s="6385"/>
      <c r="I507" s="6385" t="s">
        <v>7606</v>
      </c>
      <c r="J507" s="6385">
        <f>G507</f>
        <v>0</v>
      </c>
      <c r="K507" s="6393">
        <f t="shared" si="48"/>
        <v>3500000</v>
      </c>
      <c r="L507" s="6477" t="s">
        <v>7613</v>
      </c>
    </row>
    <row r="508" spans="1:14" ht="30" customHeight="1" x14ac:dyDescent="0.2">
      <c r="A508" s="6432">
        <v>246</v>
      </c>
      <c r="B508" s="6468" t="s">
        <v>103</v>
      </c>
      <c r="C508" s="6472" t="s">
        <v>1718</v>
      </c>
      <c r="D508" s="6417">
        <v>125000000</v>
      </c>
      <c r="E508" s="6529">
        <v>0.05</v>
      </c>
      <c r="F508" s="6417">
        <v>6300000</v>
      </c>
      <c r="G508" s="6385"/>
      <c r="H508" s="6385"/>
      <c r="I508" s="6540" t="s">
        <v>2864</v>
      </c>
      <c r="J508" s="6385">
        <f>G508</f>
        <v>0</v>
      </c>
      <c r="K508" s="6385">
        <f>F508-J508</f>
        <v>6300000</v>
      </c>
      <c r="L508" s="6431"/>
    </row>
    <row r="509" spans="1:14" ht="30" customHeight="1" x14ac:dyDescent="0.2">
      <c r="A509" s="7654">
        <v>247</v>
      </c>
      <c r="B509" s="7652" t="s">
        <v>104</v>
      </c>
      <c r="C509" s="7723" t="s">
        <v>262</v>
      </c>
      <c r="D509" s="7846">
        <v>220000000</v>
      </c>
      <c r="E509" s="7659">
        <v>7.0000000000000007E-2</v>
      </c>
      <c r="F509" s="7563">
        <f t="shared" si="39"/>
        <v>15400000.000000002</v>
      </c>
      <c r="G509" s="6393"/>
      <c r="H509" s="6393"/>
      <c r="I509" s="6512" t="s">
        <v>4090</v>
      </c>
      <c r="J509" s="7563">
        <f>G509+G510</f>
        <v>0</v>
      </c>
      <c r="K509" s="7563">
        <f t="shared" si="48"/>
        <v>15400000.000000002</v>
      </c>
      <c r="L509" s="6503"/>
      <c r="M509" s="6534"/>
      <c r="N509" s="859"/>
    </row>
    <row r="510" spans="1:14" ht="30" customHeight="1" x14ac:dyDescent="0.2">
      <c r="A510" s="7655"/>
      <c r="B510" s="7653"/>
      <c r="C510" s="7724"/>
      <c r="D510" s="7848"/>
      <c r="E510" s="7660"/>
      <c r="F510" s="7564"/>
      <c r="G510" s="6392"/>
      <c r="H510" s="6392"/>
      <c r="I510" s="6511" t="s">
        <v>7625</v>
      </c>
      <c r="J510" s="7564"/>
      <c r="K510" s="7564"/>
      <c r="L510" s="6425"/>
      <c r="M510" s="859"/>
      <c r="N510" s="859"/>
    </row>
    <row r="511" spans="1:14" ht="30" customHeight="1" x14ac:dyDescent="0.2">
      <c r="A511" s="7654">
        <v>250</v>
      </c>
      <c r="B511" s="7652" t="s">
        <v>107</v>
      </c>
      <c r="C511" s="7723" t="s">
        <v>1718</v>
      </c>
      <c r="D511" s="6393">
        <v>200000000</v>
      </c>
      <c r="E511" s="6471">
        <v>0.05</v>
      </c>
      <c r="F511" s="6393">
        <f t="shared" si="39"/>
        <v>10000000</v>
      </c>
      <c r="G511" s="7563"/>
      <c r="H511" s="7563"/>
      <c r="I511" s="7871" t="s">
        <v>6833</v>
      </c>
      <c r="J511" s="7563">
        <f t="shared" ref="J511:J536" si="50">G511</f>
        <v>0</v>
      </c>
      <c r="K511" s="7563">
        <f>(F511+F512)-J511</f>
        <v>22500000</v>
      </c>
      <c r="L511" s="7674"/>
    </row>
    <row r="512" spans="1:14" ht="30" customHeight="1" x14ac:dyDescent="0.2">
      <c r="A512" s="7655"/>
      <c r="B512" s="7653"/>
      <c r="C512" s="7724"/>
      <c r="D512" s="6393">
        <v>250000000</v>
      </c>
      <c r="E512" s="6471">
        <v>0.05</v>
      </c>
      <c r="F512" s="6393">
        <f t="shared" si="39"/>
        <v>12500000</v>
      </c>
      <c r="G512" s="7564"/>
      <c r="H512" s="7564"/>
      <c r="I512" s="7872"/>
      <c r="J512" s="7564"/>
      <c r="K512" s="7564"/>
      <c r="L512" s="7675"/>
    </row>
    <row r="513" spans="1:12" ht="30" customHeight="1" x14ac:dyDescent="0.2">
      <c r="A513" s="7654">
        <v>251</v>
      </c>
      <c r="B513" s="7652" t="s">
        <v>1830</v>
      </c>
      <c r="C513" s="7723" t="s">
        <v>371</v>
      </c>
      <c r="D513" s="6385">
        <v>90000000</v>
      </c>
      <c r="E513" s="6471">
        <v>0.06</v>
      </c>
      <c r="F513" s="6385">
        <f t="shared" si="39"/>
        <v>5400000</v>
      </c>
      <c r="G513" s="7563"/>
      <c r="H513" s="7563"/>
      <c r="I513" s="7561" t="s">
        <v>5060</v>
      </c>
      <c r="J513" s="7482">
        <f t="shared" si="50"/>
        <v>0</v>
      </c>
      <c r="K513" s="7563">
        <f>(F513+F514+F515)-J513</f>
        <v>15200000</v>
      </c>
      <c r="L513" s="6488"/>
    </row>
    <row r="514" spans="1:12" ht="30" customHeight="1" x14ac:dyDescent="0.2">
      <c r="A514" s="7656"/>
      <c r="B514" s="7665"/>
      <c r="C514" s="7747"/>
      <c r="D514" s="6385">
        <v>100000000</v>
      </c>
      <c r="E514" s="6471">
        <v>7.0000000000000007E-2</v>
      </c>
      <c r="F514" s="6385">
        <f t="shared" si="39"/>
        <v>7000000.0000000009</v>
      </c>
      <c r="G514" s="7586"/>
      <c r="H514" s="7586"/>
      <c r="I514" s="7672"/>
      <c r="J514" s="7482"/>
      <c r="K514" s="7586"/>
      <c r="L514" s="6395"/>
    </row>
    <row r="515" spans="1:12" ht="30" customHeight="1" x14ac:dyDescent="0.2">
      <c r="A515" s="7656"/>
      <c r="B515" s="7665"/>
      <c r="C515" s="7747"/>
      <c r="D515" s="6393">
        <v>40000000</v>
      </c>
      <c r="E515" s="6402">
        <v>7.0000000000000007E-2</v>
      </c>
      <c r="F515" s="6393">
        <f t="shared" si="39"/>
        <v>2800000.0000000005</v>
      </c>
      <c r="G515" s="7564"/>
      <c r="H515" s="7586"/>
      <c r="I515" s="7672"/>
      <c r="J515" s="7482"/>
      <c r="K515" s="7564"/>
      <c r="L515" s="6395"/>
    </row>
    <row r="516" spans="1:12" ht="30" customHeight="1" x14ac:dyDescent="0.2">
      <c r="A516" s="7655"/>
      <c r="B516" s="7653"/>
      <c r="C516" s="7724"/>
      <c r="D516" s="6394">
        <v>32000000</v>
      </c>
      <c r="E516" s="6394"/>
      <c r="F516" s="6394"/>
      <c r="G516" s="6391"/>
      <c r="H516" s="6391"/>
      <c r="I516" s="6403"/>
      <c r="J516" s="6392"/>
      <c r="K516" s="6392"/>
      <c r="L516" s="6395" t="s">
        <v>7257</v>
      </c>
    </row>
    <row r="517" spans="1:12" ht="30" customHeight="1" x14ac:dyDescent="0.2">
      <c r="A517" s="7654"/>
      <c r="B517" s="7652" t="s">
        <v>4605</v>
      </c>
      <c r="C517" s="7723" t="s">
        <v>1293</v>
      </c>
      <c r="D517" s="6393">
        <v>150000000</v>
      </c>
      <c r="E517" s="6402">
        <v>0.06</v>
      </c>
      <c r="F517" s="6393">
        <f t="shared" si="39"/>
        <v>9000000</v>
      </c>
      <c r="G517" s="7563">
        <v>18300000</v>
      </c>
      <c r="H517" s="7563" t="s">
        <v>7845</v>
      </c>
      <c r="I517" s="7561" t="s">
        <v>7315</v>
      </c>
      <c r="J517" s="7563">
        <f>G517</f>
        <v>18300000</v>
      </c>
      <c r="K517" s="7563">
        <f>F521-J517</f>
        <v>1200000</v>
      </c>
      <c r="L517" s="6395"/>
    </row>
    <row r="518" spans="1:12" ht="30" customHeight="1" x14ac:dyDescent="0.2">
      <c r="A518" s="7656"/>
      <c r="B518" s="7665"/>
      <c r="C518" s="7747"/>
      <c r="D518" s="6393">
        <v>90000000</v>
      </c>
      <c r="E518" s="6402">
        <v>0.06</v>
      </c>
      <c r="F518" s="6393">
        <f t="shared" si="39"/>
        <v>5400000</v>
      </c>
      <c r="G518" s="7586"/>
      <c r="H518" s="7586"/>
      <c r="I518" s="7672"/>
      <c r="J518" s="7586"/>
      <c r="K518" s="7586"/>
      <c r="L518" s="6509"/>
    </row>
    <row r="519" spans="1:12" ht="30" customHeight="1" x14ac:dyDescent="0.2">
      <c r="A519" s="7656"/>
      <c r="B519" s="7665"/>
      <c r="C519" s="7747"/>
      <c r="D519" s="6393">
        <v>70000000</v>
      </c>
      <c r="E519" s="6402">
        <v>0.06</v>
      </c>
      <c r="F519" s="6393">
        <f t="shared" si="39"/>
        <v>4200000</v>
      </c>
      <c r="G519" s="7586"/>
      <c r="H519" s="7586"/>
      <c r="I519" s="7672"/>
      <c r="J519" s="7586"/>
      <c r="K519" s="7586"/>
      <c r="L519" s="6509"/>
    </row>
    <row r="520" spans="1:12" ht="30" customHeight="1" x14ac:dyDescent="0.2">
      <c r="A520" s="7656"/>
      <c r="B520" s="7665"/>
      <c r="C520" s="7747"/>
      <c r="D520" s="6385">
        <v>15000000</v>
      </c>
      <c r="E520" s="6402">
        <v>0.06</v>
      </c>
      <c r="F520" s="6393">
        <f t="shared" si="39"/>
        <v>900000</v>
      </c>
      <c r="G520" s="7586"/>
      <c r="H520" s="7586"/>
      <c r="I520" s="7672"/>
      <c r="J520" s="7586"/>
      <c r="K520" s="7586"/>
      <c r="L520" s="6509"/>
    </row>
    <row r="521" spans="1:12" ht="30" customHeight="1" x14ac:dyDescent="0.2">
      <c r="A521" s="7656"/>
      <c r="B521" s="7665"/>
      <c r="C521" s="7747"/>
      <c r="D521" s="6513">
        <f>SUM(D517:D520)</f>
        <v>325000000</v>
      </c>
      <c r="E521" s="6496">
        <v>0.06</v>
      </c>
      <c r="F521" s="6513">
        <f t="shared" si="39"/>
        <v>19500000</v>
      </c>
      <c r="G521" s="7586"/>
      <c r="H521" s="7586"/>
      <c r="I521" s="7672"/>
      <c r="J521" s="7586"/>
      <c r="K521" s="7586"/>
      <c r="L521" s="6509"/>
    </row>
    <row r="522" spans="1:12" ht="30" customHeight="1" x14ac:dyDescent="0.2">
      <c r="A522" s="7656"/>
      <c r="B522" s="7665"/>
      <c r="C522" s="7747"/>
      <c r="D522" s="7494" t="s">
        <v>7278</v>
      </c>
      <c r="E522" s="7495"/>
      <c r="F522" s="7768"/>
      <c r="G522" s="7586"/>
      <c r="H522" s="7586"/>
      <c r="I522" s="7672"/>
      <c r="J522" s="7586"/>
      <c r="K522" s="7586"/>
      <c r="L522" s="6509"/>
    </row>
    <row r="523" spans="1:12" ht="30" customHeight="1" x14ac:dyDescent="0.2">
      <c r="A523" s="7656"/>
      <c r="B523" s="7665"/>
      <c r="C523" s="7747"/>
      <c r="D523" s="7769"/>
      <c r="E523" s="7805"/>
      <c r="F523" s="7770"/>
      <c r="G523" s="7586"/>
      <c r="H523" s="7586"/>
      <c r="I523" s="7672"/>
      <c r="J523" s="7586"/>
      <c r="K523" s="7586"/>
      <c r="L523" s="6509"/>
    </row>
    <row r="524" spans="1:12" ht="30" customHeight="1" x14ac:dyDescent="0.2">
      <c r="A524" s="7655"/>
      <c r="B524" s="7653"/>
      <c r="C524" s="7724"/>
      <c r="D524" s="6513">
        <v>305000000</v>
      </c>
      <c r="E524" s="6496">
        <v>0.06</v>
      </c>
      <c r="F524" s="6513">
        <f>D524*E524</f>
        <v>18300000</v>
      </c>
      <c r="G524" s="7564"/>
      <c r="H524" s="7564"/>
      <c r="I524" s="7562"/>
      <c r="J524" s="7564"/>
      <c r="K524" s="7564"/>
      <c r="L524" s="6396" t="s">
        <v>7316</v>
      </c>
    </row>
    <row r="525" spans="1:12" ht="30" customHeight="1" x14ac:dyDescent="0.2">
      <c r="A525" s="7654"/>
      <c r="B525" s="7717" t="s">
        <v>4609</v>
      </c>
      <c r="C525" s="7723" t="s">
        <v>1176</v>
      </c>
      <c r="D525" s="6393">
        <v>165000000</v>
      </c>
      <c r="E525" s="6402">
        <v>0.06</v>
      </c>
      <c r="F525" s="6393">
        <f t="shared" si="39"/>
        <v>9900000</v>
      </c>
      <c r="G525" s="7563"/>
      <c r="H525" s="7563"/>
      <c r="I525" s="7561" t="s">
        <v>1810</v>
      </c>
      <c r="J525" s="7563">
        <f>G525</f>
        <v>0</v>
      </c>
      <c r="K525" s="7563">
        <f>(F525+F526+F527)-J525</f>
        <v>18000000</v>
      </c>
      <c r="L525" s="7563"/>
    </row>
    <row r="526" spans="1:12" ht="30" customHeight="1" x14ac:dyDescent="0.2">
      <c r="A526" s="7656"/>
      <c r="B526" s="7717"/>
      <c r="C526" s="7747"/>
      <c r="D526" s="6393">
        <v>105000000</v>
      </c>
      <c r="E526" s="6402">
        <v>0.06</v>
      </c>
      <c r="F526" s="6393">
        <f t="shared" si="39"/>
        <v>6300000</v>
      </c>
      <c r="G526" s="7586"/>
      <c r="H526" s="7586"/>
      <c r="I526" s="7672"/>
      <c r="J526" s="7586"/>
      <c r="K526" s="7586"/>
      <c r="L526" s="7586"/>
    </row>
    <row r="527" spans="1:12" ht="30" customHeight="1" x14ac:dyDescent="0.2">
      <c r="A527" s="7656"/>
      <c r="B527" s="7717"/>
      <c r="C527" s="7724"/>
      <c r="D527" s="6393">
        <v>30000000</v>
      </c>
      <c r="E527" s="6402">
        <v>0.06</v>
      </c>
      <c r="F527" s="6393">
        <f t="shared" si="39"/>
        <v>1800000</v>
      </c>
      <c r="G527" s="7564"/>
      <c r="H527" s="7564"/>
      <c r="I527" s="7562"/>
      <c r="J527" s="7564"/>
      <c r="K527" s="7564"/>
      <c r="L527" s="7564"/>
    </row>
    <row r="528" spans="1:12" ht="30" customHeight="1" x14ac:dyDescent="0.2">
      <c r="A528" s="7654"/>
      <c r="B528" s="7652" t="s">
        <v>6274</v>
      </c>
      <c r="C528" s="7723"/>
      <c r="D528" s="7563"/>
      <c r="E528" s="7563"/>
      <c r="F528" s="7563"/>
      <c r="G528" s="7563"/>
      <c r="H528" s="7563"/>
      <c r="I528" s="7561"/>
      <c r="J528" s="7563"/>
      <c r="K528" s="7563"/>
      <c r="L528" s="7674"/>
    </row>
    <row r="529" spans="1:15" ht="30" customHeight="1" x14ac:dyDescent="0.2">
      <c r="A529" s="7655"/>
      <c r="B529" s="7653"/>
      <c r="C529" s="7724"/>
      <c r="D529" s="7564"/>
      <c r="E529" s="7564"/>
      <c r="F529" s="7564"/>
      <c r="G529" s="7564"/>
      <c r="H529" s="7564"/>
      <c r="I529" s="7562"/>
      <c r="J529" s="7564"/>
      <c r="K529" s="7564"/>
      <c r="L529" s="7675"/>
    </row>
    <row r="530" spans="1:15" ht="30" customHeight="1" x14ac:dyDescent="0.2">
      <c r="A530" s="6398"/>
      <c r="B530" s="6431" t="s">
        <v>7258</v>
      </c>
      <c r="C530" s="6472"/>
      <c r="D530" s="6385">
        <v>40000000</v>
      </c>
      <c r="E530" s="6385"/>
      <c r="F530" s="6385"/>
      <c r="G530" s="6488"/>
      <c r="H530" s="6488"/>
      <c r="I530" s="6488"/>
      <c r="J530" s="6488"/>
      <c r="K530" s="6385"/>
      <c r="L530" s="6488" t="s">
        <v>7259</v>
      </c>
    </row>
    <row r="531" spans="1:15" ht="30" customHeight="1" x14ac:dyDescent="0.2">
      <c r="A531" s="6398"/>
      <c r="B531" s="6412" t="s">
        <v>2396</v>
      </c>
      <c r="C531" s="6435"/>
      <c r="D531" s="6385"/>
      <c r="E531" s="6385"/>
      <c r="F531" s="6385"/>
      <c r="G531" s="6385"/>
      <c r="H531" s="6385"/>
      <c r="I531" s="6385"/>
      <c r="J531" s="6385"/>
      <c r="K531" s="6392"/>
      <c r="L531" s="6509" t="s">
        <v>7262</v>
      </c>
    </row>
    <row r="532" spans="1:15" ht="30" customHeight="1" x14ac:dyDescent="0.2">
      <c r="A532" s="6475"/>
      <c r="B532" s="6468" t="s">
        <v>4893</v>
      </c>
      <c r="C532" s="6433" t="s">
        <v>1293</v>
      </c>
      <c r="D532" s="6393">
        <v>350000000</v>
      </c>
      <c r="E532" s="6402">
        <v>0.06</v>
      </c>
      <c r="F532" s="6393">
        <f>D532*E532</f>
        <v>21000000</v>
      </c>
      <c r="G532" s="6391"/>
      <c r="H532" s="6391"/>
      <c r="I532" s="6403" t="s">
        <v>7461</v>
      </c>
      <c r="J532" s="6391">
        <f>G532</f>
        <v>0</v>
      </c>
      <c r="K532" s="6391">
        <f>F532-J532</f>
        <v>21000000</v>
      </c>
      <c r="L532" s="6395"/>
    </row>
    <row r="533" spans="1:15" ht="30" customHeight="1" x14ac:dyDescent="0.2">
      <c r="A533" s="7654">
        <v>252</v>
      </c>
      <c r="B533" s="7652" t="s">
        <v>109</v>
      </c>
      <c r="C533" s="7723" t="s">
        <v>262</v>
      </c>
      <c r="D533" s="6393">
        <v>270000000</v>
      </c>
      <c r="E533" s="6402">
        <v>0.05</v>
      </c>
      <c r="F533" s="6393">
        <f>D533*E533</f>
        <v>13500000</v>
      </c>
      <c r="G533" s="7563"/>
      <c r="H533" s="7563"/>
      <c r="I533" s="7561" t="s">
        <v>1810</v>
      </c>
      <c r="J533" s="7563">
        <f>G533+G534</f>
        <v>0</v>
      </c>
      <c r="K533" s="7563">
        <f>(F533+F534)-J533</f>
        <v>17000000</v>
      </c>
      <c r="L533" s="6488"/>
    </row>
    <row r="534" spans="1:15" ht="30" customHeight="1" x14ac:dyDescent="0.2">
      <c r="A534" s="7656"/>
      <c r="B534" s="7665"/>
      <c r="C534" s="7747"/>
      <c r="D534" s="7563">
        <v>70000000</v>
      </c>
      <c r="E534" s="7659">
        <v>0.05</v>
      </c>
      <c r="F534" s="7563">
        <f>D534*E534</f>
        <v>3500000</v>
      </c>
      <c r="G534" s="7586"/>
      <c r="H534" s="7586"/>
      <c r="I534" s="7672"/>
      <c r="J534" s="7586"/>
      <c r="K534" s="7586"/>
      <c r="L534" s="6488"/>
    </row>
    <row r="535" spans="1:15" ht="30" customHeight="1" x14ac:dyDescent="0.2">
      <c r="A535" s="7656"/>
      <c r="B535" s="7665"/>
      <c r="C535" s="7724"/>
      <c r="D535" s="7564"/>
      <c r="E535" s="7660"/>
      <c r="F535" s="7564"/>
      <c r="G535" s="7564"/>
      <c r="H535" s="7564"/>
      <c r="I535" s="7562"/>
      <c r="J535" s="7564"/>
      <c r="K535" s="7564"/>
      <c r="L535" s="6395" t="s">
        <v>7756</v>
      </c>
    </row>
    <row r="536" spans="1:15" ht="30" customHeight="1" x14ac:dyDescent="0.2">
      <c r="A536" s="7879">
        <v>253</v>
      </c>
      <c r="B536" s="7652" t="s">
        <v>110</v>
      </c>
      <c r="C536" s="7723" t="s">
        <v>262</v>
      </c>
      <c r="D536" s="6393">
        <v>20000000</v>
      </c>
      <c r="E536" s="6471">
        <v>0.05</v>
      </c>
      <c r="F536" s="6393">
        <f t="shared" si="39"/>
        <v>1000000</v>
      </c>
      <c r="G536" s="7482"/>
      <c r="H536" s="7482"/>
      <c r="I536" s="7923" t="s">
        <v>810</v>
      </c>
      <c r="J536" s="7482">
        <f t="shared" si="50"/>
        <v>0</v>
      </c>
      <c r="K536" s="7482">
        <f>(F536+F537+F538)-J536</f>
        <v>3000000</v>
      </c>
      <c r="L536" s="6395"/>
      <c r="M536" s="1175"/>
      <c r="N536" s="1175"/>
      <c r="O536" s="1175"/>
    </row>
    <row r="537" spans="1:15" ht="30" customHeight="1" x14ac:dyDescent="0.2">
      <c r="A537" s="7879"/>
      <c r="B537" s="7665"/>
      <c r="C537" s="7747"/>
      <c r="D537" s="6393">
        <v>20000000</v>
      </c>
      <c r="E537" s="6471">
        <v>0.05</v>
      </c>
      <c r="F537" s="6393">
        <f t="shared" si="39"/>
        <v>1000000</v>
      </c>
      <c r="G537" s="7482"/>
      <c r="H537" s="7482"/>
      <c r="I537" s="7923"/>
      <c r="J537" s="7482"/>
      <c r="K537" s="7482"/>
      <c r="L537" s="6509"/>
      <c r="M537" s="248"/>
      <c r="N537" s="248"/>
      <c r="O537" s="248"/>
    </row>
    <row r="538" spans="1:15" ht="30" customHeight="1" x14ac:dyDescent="0.2">
      <c r="A538" s="7879"/>
      <c r="B538" s="7653"/>
      <c r="C538" s="7724"/>
      <c r="D538" s="6393">
        <v>20000000</v>
      </c>
      <c r="E538" s="6471">
        <v>0.05</v>
      </c>
      <c r="F538" s="6393">
        <f t="shared" si="39"/>
        <v>1000000</v>
      </c>
      <c r="G538" s="7482"/>
      <c r="H538" s="7482"/>
      <c r="I538" s="7923"/>
      <c r="J538" s="7482"/>
      <c r="K538" s="7482"/>
      <c r="L538" s="6396"/>
      <c r="M538" s="248"/>
      <c r="N538" s="248"/>
      <c r="O538" s="248"/>
    </row>
    <row r="539" spans="1:15" ht="30" customHeight="1" x14ac:dyDescent="0.2">
      <c r="A539" s="7654">
        <v>256</v>
      </c>
      <c r="B539" s="7652" t="s">
        <v>113</v>
      </c>
      <c r="C539" s="7723" t="s">
        <v>371</v>
      </c>
      <c r="D539" s="6393">
        <v>100000000</v>
      </c>
      <c r="E539" s="6471">
        <v>0.05</v>
      </c>
      <c r="F539" s="6393">
        <f t="shared" si="39"/>
        <v>5000000</v>
      </c>
      <c r="G539" s="7563"/>
      <c r="H539" s="7563"/>
      <c r="I539" s="7772" t="s">
        <v>4453</v>
      </c>
      <c r="J539" s="7563">
        <f>G539</f>
        <v>0</v>
      </c>
      <c r="K539" s="7563">
        <f>(F539+F540)-J539</f>
        <v>14000000</v>
      </c>
      <c r="L539" s="6431"/>
    </row>
    <row r="540" spans="1:15" ht="30" customHeight="1" x14ac:dyDescent="0.2">
      <c r="A540" s="7655"/>
      <c r="B540" s="7653"/>
      <c r="C540" s="7724"/>
      <c r="D540" s="6393">
        <v>150000000</v>
      </c>
      <c r="E540" s="6471">
        <v>0.06</v>
      </c>
      <c r="F540" s="6393">
        <f t="shared" si="39"/>
        <v>9000000</v>
      </c>
      <c r="G540" s="7564"/>
      <c r="H540" s="7564"/>
      <c r="I540" s="7773"/>
      <c r="J540" s="7564"/>
      <c r="K540" s="7564"/>
      <c r="L540" s="6509"/>
    </row>
    <row r="541" spans="1:15" ht="30" customHeight="1" x14ac:dyDescent="0.2">
      <c r="A541" s="6475">
        <v>257</v>
      </c>
      <c r="B541" s="6431" t="s">
        <v>114</v>
      </c>
      <c r="C541" s="6434" t="s">
        <v>1292</v>
      </c>
      <c r="D541" s="6393">
        <v>30000000</v>
      </c>
      <c r="E541" s="6471">
        <v>0.05</v>
      </c>
      <c r="F541" s="6393">
        <f t="shared" si="39"/>
        <v>1500000</v>
      </c>
      <c r="G541" s="6393"/>
      <c r="H541" s="6393"/>
      <c r="I541" s="6512" t="s">
        <v>482</v>
      </c>
      <c r="J541" s="6393">
        <f>G541</f>
        <v>0</v>
      </c>
      <c r="K541" s="6393">
        <f>F541-J541</f>
        <v>1500000</v>
      </c>
      <c r="L541" s="6431"/>
    </row>
    <row r="542" spans="1:15" ht="30" customHeight="1" x14ac:dyDescent="0.2">
      <c r="A542" s="6475">
        <v>258</v>
      </c>
      <c r="B542" s="6431" t="s">
        <v>849</v>
      </c>
      <c r="C542" s="6434" t="s">
        <v>262</v>
      </c>
      <c r="D542" s="6393">
        <v>12000000</v>
      </c>
      <c r="E542" s="6471">
        <v>0.05</v>
      </c>
      <c r="F542" s="6393">
        <f t="shared" si="39"/>
        <v>600000</v>
      </c>
      <c r="G542" s="7563"/>
      <c r="H542" s="7563"/>
      <c r="I542" s="7772" t="s">
        <v>475</v>
      </c>
      <c r="J542" s="7563">
        <f>G542</f>
        <v>0</v>
      </c>
      <c r="K542" s="7563">
        <f>(F542+F543)-J542</f>
        <v>1600000</v>
      </c>
      <c r="L542" s="7703"/>
    </row>
    <row r="543" spans="1:15" ht="30" customHeight="1" x14ac:dyDescent="0.2">
      <c r="A543" s="6475">
        <v>259</v>
      </c>
      <c r="B543" s="6431" t="s">
        <v>156</v>
      </c>
      <c r="C543" s="6434" t="s">
        <v>262</v>
      </c>
      <c r="D543" s="6393">
        <v>20000000</v>
      </c>
      <c r="E543" s="6471">
        <v>0.05</v>
      </c>
      <c r="F543" s="6393">
        <f>D543*E543</f>
        <v>1000000</v>
      </c>
      <c r="G543" s="7564"/>
      <c r="H543" s="7564"/>
      <c r="I543" s="7773"/>
      <c r="J543" s="7564"/>
      <c r="K543" s="7564"/>
      <c r="L543" s="7705"/>
    </row>
    <row r="544" spans="1:15" ht="30" customHeight="1" x14ac:dyDescent="0.2">
      <c r="A544" s="7654">
        <v>261</v>
      </c>
      <c r="B544" s="19" t="s">
        <v>117</v>
      </c>
      <c r="C544" s="7723" t="s">
        <v>3323</v>
      </c>
      <c r="D544" s="6385">
        <v>25500000</v>
      </c>
      <c r="E544" s="6471">
        <f>F544/D544</f>
        <v>6.1764705882352944E-2</v>
      </c>
      <c r="F544" s="6385">
        <v>1575000</v>
      </c>
      <c r="G544" s="6385"/>
      <c r="H544" s="6385"/>
      <c r="I544" s="18" t="s">
        <v>414</v>
      </c>
      <c r="J544" s="6385">
        <f t="shared" ref="J544:J546" si="51">G544</f>
        <v>0</v>
      </c>
      <c r="K544" s="6385"/>
      <c r="L544" s="6395" t="s">
        <v>6815</v>
      </c>
    </row>
    <row r="545" spans="1:12" ht="30" customHeight="1" x14ac:dyDescent="0.2">
      <c r="A545" s="7655"/>
      <c r="B545" s="19" t="s">
        <v>6817</v>
      </c>
      <c r="C545" s="7724"/>
      <c r="D545" s="6385">
        <v>10000000</v>
      </c>
      <c r="E545" s="6471">
        <v>0.05</v>
      </c>
      <c r="F545" s="6385">
        <f>D545*E545</f>
        <v>500000</v>
      </c>
      <c r="G545" s="6385"/>
      <c r="H545" s="6385"/>
      <c r="I545" s="18" t="s">
        <v>414</v>
      </c>
      <c r="J545" s="6385">
        <f>G545</f>
        <v>0</v>
      </c>
      <c r="K545" s="6385">
        <f>(F544+F545)-J545</f>
        <v>2075000</v>
      </c>
      <c r="L545" s="6509" t="s">
        <v>6816</v>
      </c>
    </row>
    <row r="546" spans="1:12" ht="30" customHeight="1" x14ac:dyDescent="0.2">
      <c r="A546" s="6475">
        <v>263</v>
      </c>
      <c r="B546" s="19" t="s">
        <v>572</v>
      </c>
      <c r="C546" s="6472" t="s">
        <v>1300</v>
      </c>
      <c r="D546" s="6385">
        <v>105000000</v>
      </c>
      <c r="E546" s="6471">
        <v>5.8000000000000003E-2</v>
      </c>
      <c r="F546" s="6385">
        <v>6000000</v>
      </c>
      <c r="G546" s="6385"/>
      <c r="H546" s="6385"/>
      <c r="I546" s="6385" t="s">
        <v>451</v>
      </c>
      <c r="J546" s="6385">
        <f t="shared" si="51"/>
        <v>0</v>
      </c>
      <c r="K546" s="6385">
        <f>F546-J546</f>
        <v>6000000</v>
      </c>
      <c r="L546" s="6452"/>
    </row>
    <row r="547" spans="1:12" ht="30" customHeight="1" x14ac:dyDescent="0.2">
      <c r="A547" s="7654">
        <v>264</v>
      </c>
      <c r="B547" s="7652" t="s">
        <v>119</v>
      </c>
      <c r="C547" s="7723" t="s">
        <v>262</v>
      </c>
      <c r="D547" s="7563">
        <v>50000000</v>
      </c>
      <c r="E547" s="7659">
        <f>F547/D547</f>
        <v>0.06</v>
      </c>
      <c r="F547" s="7563">
        <v>3000000</v>
      </c>
      <c r="G547" s="6393"/>
      <c r="H547" s="6385"/>
      <c r="I547" s="6385" t="s">
        <v>3563</v>
      </c>
      <c r="J547" s="7563">
        <f>G547+G548</f>
        <v>0</v>
      </c>
      <c r="K547" s="7563">
        <f>F547-J547</f>
        <v>3000000</v>
      </c>
      <c r="L547" s="6488"/>
    </row>
    <row r="548" spans="1:12" ht="30" customHeight="1" x14ac:dyDescent="0.2">
      <c r="A548" s="7655"/>
      <c r="B548" s="7653"/>
      <c r="C548" s="7724"/>
      <c r="D548" s="7564"/>
      <c r="E548" s="7660"/>
      <c r="F548" s="7564"/>
      <c r="G548" s="6393"/>
      <c r="H548" s="6385"/>
      <c r="I548" s="6385" t="s">
        <v>3563</v>
      </c>
      <c r="J548" s="7564"/>
      <c r="K548" s="7564"/>
      <c r="L548" s="6396"/>
    </row>
    <row r="549" spans="1:12" ht="30" customHeight="1" x14ac:dyDescent="0.2">
      <c r="A549" s="6475">
        <v>265</v>
      </c>
      <c r="B549" s="19" t="s">
        <v>121</v>
      </c>
      <c r="C549" s="6472" t="s">
        <v>262</v>
      </c>
      <c r="D549" s="6385">
        <v>1000000000</v>
      </c>
      <c r="E549" s="6471">
        <v>7.0000000000000007E-2</v>
      </c>
      <c r="F549" s="6385">
        <f>D549*E549</f>
        <v>70000000</v>
      </c>
      <c r="G549" s="6385"/>
      <c r="H549" s="6385"/>
      <c r="I549" s="6385" t="s">
        <v>3290</v>
      </c>
      <c r="J549" s="6385">
        <f>G549</f>
        <v>0</v>
      </c>
      <c r="K549" s="6385">
        <f>F549-J549</f>
        <v>70000000</v>
      </c>
      <c r="L549" s="6452"/>
    </row>
    <row r="550" spans="1:12" ht="30" customHeight="1" x14ac:dyDescent="0.2">
      <c r="A550" s="6432">
        <v>266</v>
      </c>
      <c r="B550" s="6468" t="s">
        <v>1918</v>
      </c>
      <c r="C550" s="6433" t="s">
        <v>371</v>
      </c>
      <c r="D550" s="6393">
        <v>160000000</v>
      </c>
      <c r="E550" s="6402">
        <v>0.05</v>
      </c>
      <c r="F550" s="6393">
        <f>D550*E550</f>
        <v>8000000</v>
      </c>
      <c r="G550" s="6391"/>
      <c r="H550" s="6391"/>
      <c r="I550" s="6445" t="s">
        <v>4065</v>
      </c>
      <c r="J550" s="6391">
        <f>G550</f>
        <v>0</v>
      </c>
      <c r="K550" s="6391">
        <f>F550-J550</f>
        <v>8000000</v>
      </c>
      <c r="L550" s="6452"/>
    </row>
    <row r="551" spans="1:12" ht="30" customHeight="1" x14ac:dyDescent="0.2">
      <c r="A551" s="7654">
        <v>267</v>
      </c>
      <c r="B551" s="7652" t="s">
        <v>497</v>
      </c>
      <c r="C551" s="7723" t="s">
        <v>371</v>
      </c>
      <c r="D551" s="7563">
        <v>300000000</v>
      </c>
      <c r="E551" s="7659">
        <v>0.04</v>
      </c>
      <c r="F551" s="7563">
        <f>D551*E551</f>
        <v>12000000</v>
      </c>
      <c r="G551" s="7563"/>
      <c r="H551" s="7563"/>
      <c r="I551" s="7563" t="s">
        <v>3579</v>
      </c>
      <c r="J551" s="7563">
        <f>G551</f>
        <v>0</v>
      </c>
      <c r="K551" s="7563">
        <f>F551-J551</f>
        <v>12000000</v>
      </c>
      <c r="L551" s="6452" t="s">
        <v>2891</v>
      </c>
    </row>
    <row r="552" spans="1:12" ht="30" customHeight="1" x14ac:dyDescent="0.2">
      <c r="A552" s="7655"/>
      <c r="B552" s="7653"/>
      <c r="C552" s="7724"/>
      <c r="D552" s="7564"/>
      <c r="E552" s="7660"/>
      <c r="F552" s="7564"/>
      <c r="G552" s="7564"/>
      <c r="H552" s="7564"/>
      <c r="I552" s="7564"/>
      <c r="J552" s="7564"/>
      <c r="K552" s="7564"/>
      <c r="L552" s="6452"/>
    </row>
    <row r="553" spans="1:12" ht="30" customHeight="1" x14ac:dyDescent="0.2">
      <c r="A553" s="6475">
        <v>268</v>
      </c>
      <c r="B553" s="6431" t="s">
        <v>391</v>
      </c>
      <c r="C553" s="6434" t="s">
        <v>392</v>
      </c>
      <c r="D553" s="6393">
        <v>130000000</v>
      </c>
      <c r="E553" s="6471">
        <v>4.4999999999999998E-2</v>
      </c>
      <c r="F553" s="6393">
        <f t="shared" ref="F553:F646" si="52">D553*E553</f>
        <v>5850000</v>
      </c>
      <c r="G553" s="6393"/>
      <c r="H553" s="6393"/>
      <c r="I553" s="18" t="s">
        <v>3518</v>
      </c>
      <c r="J553" s="6393">
        <f>G553</f>
        <v>0</v>
      </c>
      <c r="K553" s="6393">
        <f>F553-J553</f>
        <v>5850000</v>
      </c>
      <c r="L553" s="6431"/>
    </row>
    <row r="554" spans="1:12" ht="30" customHeight="1" x14ac:dyDescent="0.2">
      <c r="A554" s="6397">
        <v>269</v>
      </c>
      <c r="B554" s="6468" t="s">
        <v>123</v>
      </c>
      <c r="C554" s="6472" t="s">
        <v>262</v>
      </c>
      <c r="D554" s="6393">
        <v>500000000</v>
      </c>
      <c r="E554" s="6471">
        <v>0.06</v>
      </c>
      <c r="F554" s="6393">
        <f t="shared" si="52"/>
        <v>30000000</v>
      </c>
      <c r="G554" s="6393"/>
      <c r="H554" s="6393"/>
      <c r="I554" s="18" t="s">
        <v>3546</v>
      </c>
      <c r="J554" s="6393">
        <f>G554</f>
        <v>0</v>
      </c>
      <c r="K554" s="6393">
        <f>F554-J554</f>
        <v>30000000</v>
      </c>
      <c r="L554" s="6431"/>
    </row>
    <row r="555" spans="1:12" ht="30" customHeight="1" x14ac:dyDescent="0.2">
      <c r="A555" s="6475">
        <v>270</v>
      </c>
      <c r="B555" s="6431" t="s">
        <v>124</v>
      </c>
      <c r="C555" s="6434"/>
      <c r="D555" s="6393">
        <v>20000000</v>
      </c>
      <c r="E555" s="6471">
        <v>5.5E-2</v>
      </c>
      <c r="F555" s="6393">
        <f t="shared" si="52"/>
        <v>1100000</v>
      </c>
      <c r="G555" s="6393"/>
      <c r="H555" s="6393"/>
      <c r="I555" s="6512" t="s">
        <v>492</v>
      </c>
      <c r="J555" s="6393">
        <f>G555</f>
        <v>0</v>
      </c>
      <c r="K555" s="6393">
        <f>F555-J555</f>
        <v>1100000</v>
      </c>
      <c r="L555" s="6503"/>
    </row>
    <row r="556" spans="1:12" ht="30" customHeight="1" x14ac:dyDescent="0.2">
      <c r="A556" s="6432">
        <v>271</v>
      </c>
      <c r="B556" s="6468" t="s">
        <v>125</v>
      </c>
      <c r="C556" s="6433" t="s">
        <v>402</v>
      </c>
      <c r="D556" s="6393">
        <v>40000000</v>
      </c>
      <c r="E556" s="6402">
        <v>5.5E-2</v>
      </c>
      <c r="F556" s="6393">
        <f>D556*E556</f>
        <v>2200000</v>
      </c>
      <c r="G556" s="6391">
        <v>2200000</v>
      </c>
      <c r="H556" s="6391" t="s">
        <v>7864</v>
      </c>
      <c r="I556" s="6445" t="s">
        <v>7874</v>
      </c>
      <c r="J556" s="6391">
        <f>G556</f>
        <v>2200000</v>
      </c>
      <c r="K556" s="6391">
        <f>F556-J556</f>
        <v>0</v>
      </c>
      <c r="L556" s="6395"/>
    </row>
    <row r="557" spans="1:12" ht="30" customHeight="1" x14ac:dyDescent="0.2">
      <c r="A557" s="7654"/>
      <c r="B557" s="7717" t="s">
        <v>2524</v>
      </c>
      <c r="C557" s="7873" t="s">
        <v>1287</v>
      </c>
      <c r="D557" s="6489">
        <v>495000000</v>
      </c>
      <c r="E557" s="6505">
        <v>5.5E-2</v>
      </c>
      <c r="F557" s="6489">
        <f>D557*E557</f>
        <v>27225000</v>
      </c>
      <c r="G557" s="8040"/>
      <c r="H557" s="8040"/>
      <c r="I557" s="8040"/>
      <c r="J557" s="8040"/>
      <c r="K557" s="7482"/>
      <c r="L557" s="5320"/>
    </row>
    <row r="558" spans="1:12" ht="30" customHeight="1" x14ac:dyDescent="0.2">
      <c r="A558" s="7656"/>
      <c r="B558" s="7717"/>
      <c r="C558" s="7873"/>
      <c r="D558" s="6489">
        <v>65000000</v>
      </c>
      <c r="E558" s="6505">
        <v>0.06</v>
      </c>
      <c r="F558" s="6489">
        <f>D558*E558</f>
        <v>3900000</v>
      </c>
      <c r="G558" s="8040"/>
      <c r="H558" s="8040"/>
      <c r="I558" s="8040"/>
      <c r="J558" s="8040"/>
      <c r="K558" s="7482"/>
      <c r="L558" s="735" t="s">
        <v>6060</v>
      </c>
    </row>
    <row r="559" spans="1:12" ht="30" customHeight="1" x14ac:dyDescent="0.2">
      <c r="A559" s="7656"/>
      <c r="B559" s="7717"/>
      <c r="C559" s="7873"/>
      <c r="D559" s="6489">
        <v>246000000</v>
      </c>
      <c r="E559" s="6505">
        <v>0.06</v>
      </c>
      <c r="F559" s="6489">
        <f>D559*E559</f>
        <v>14760000</v>
      </c>
      <c r="G559" s="8040"/>
      <c r="H559" s="8040"/>
      <c r="I559" s="8040"/>
      <c r="J559" s="8040"/>
      <c r="K559" s="7482"/>
      <c r="L559" s="735" t="s">
        <v>6064</v>
      </c>
    </row>
    <row r="560" spans="1:12" ht="30" customHeight="1" x14ac:dyDescent="0.2">
      <c r="A560" s="7656"/>
      <c r="B560" s="7717"/>
      <c r="C560" s="7873"/>
      <c r="D560" s="8004" t="s">
        <v>1787</v>
      </c>
      <c r="E560" s="8005"/>
      <c r="F560" s="6489">
        <v>1300000</v>
      </c>
      <c r="G560" s="8040"/>
      <c r="H560" s="8040"/>
      <c r="I560" s="8040"/>
      <c r="J560" s="8040"/>
      <c r="K560" s="7482"/>
      <c r="L560" s="5321"/>
    </row>
    <row r="561" spans="1:12" ht="30" customHeight="1" x14ac:dyDescent="0.2">
      <c r="A561" s="7656"/>
      <c r="B561" s="7717"/>
      <c r="C561" s="7873"/>
      <c r="D561" s="6390">
        <f>D557+D558+D559</f>
        <v>806000000</v>
      </c>
      <c r="E561" s="6390"/>
      <c r="F561" s="6390">
        <f>F557+F558+F559+F560</f>
        <v>47185000</v>
      </c>
      <c r="G561" s="8365" t="s">
        <v>6892</v>
      </c>
      <c r="H561" s="8366"/>
      <c r="I561" s="8366"/>
      <c r="J561" s="8367"/>
      <c r="K561" s="7563">
        <f>F563-J561</f>
        <v>48400000</v>
      </c>
      <c r="L561" s="8374" t="s">
        <v>6057</v>
      </c>
    </row>
    <row r="562" spans="1:12" ht="30" customHeight="1" x14ac:dyDescent="0.2">
      <c r="A562" s="7656"/>
      <c r="B562" s="7717"/>
      <c r="C562" s="7873"/>
      <c r="D562" s="7545" t="s">
        <v>5704</v>
      </c>
      <c r="E562" s="7957"/>
      <c r="F562" s="6390">
        <v>1200000</v>
      </c>
      <c r="G562" s="8368"/>
      <c r="H562" s="8369"/>
      <c r="I562" s="8369"/>
      <c r="J562" s="8370"/>
      <c r="K562" s="7586"/>
      <c r="L562" s="8374"/>
    </row>
    <row r="563" spans="1:12" ht="30" customHeight="1" x14ac:dyDescent="0.2">
      <c r="A563" s="7656"/>
      <c r="B563" s="7717"/>
      <c r="C563" s="7873"/>
      <c r="D563" s="7545">
        <f>D561</f>
        <v>806000000</v>
      </c>
      <c r="E563" s="7957"/>
      <c r="F563" s="6390">
        <v>48400000</v>
      </c>
      <c r="G563" s="8371"/>
      <c r="H563" s="8372"/>
      <c r="I563" s="8372"/>
      <c r="J563" s="8373"/>
      <c r="K563" s="7564"/>
      <c r="L563" s="8374"/>
    </row>
    <row r="564" spans="1:12" ht="30" customHeight="1" x14ac:dyDescent="0.2">
      <c r="A564" s="7654"/>
      <c r="B564" s="7652" t="s">
        <v>2524</v>
      </c>
      <c r="C564" s="7723" t="s">
        <v>1287</v>
      </c>
      <c r="D564" s="516">
        <v>806000000</v>
      </c>
      <c r="E564" s="3032">
        <v>0.06</v>
      </c>
      <c r="F564" s="516">
        <f>D564*E564</f>
        <v>48360000</v>
      </c>
      <c r="G564" s="7934" t="s">
        <v>6893</v>
      </c>
      <c r="H564" s="7935"/>
      <c r="I564" s="7935"/>
      <c r="J564" s="7936"/>
      <c r="K564" s="7563">
        <f>F564+F565+F566+40000</f>
        <v>51500000</v>
      </c>
      <c r="L564" s="8463" t="s">
        <v>7003</v>
      </c>
    </row>
    <row r="565" spans="1:12" ht="30" customHeight="1" x14ac:dyDescent="0.2">
      <c r="A565" s="7656"/>
      <c r="B565" s="7665"/>
      <c r="C565" s="7747"/>
      <c r="D565" s="516">
        <v>10000000</v>
      </c>
      <c r="E565" s="2696">
        <v>0.06</v>
      </c>
      <c r="F565" s="516">
        <f>D565*E565</f>
        <v>600000</v>
      </c>
      <c r="G565" s="8507"/>
      <c r="H565" s="8508"/>
      <c r="I565" s="8508"/>
      <c r="J565" s="8509"/>
      <c r="K565" s="7586"/>
      <c r="L565" s="8463"/>
    </row>
    <row r="566" spans="1:12" ht="30" customHeight="1" x14ac:dyDescent="0.2">
      <c r="A566" s="7656"/>
      <c r="B566" s="7665"/>
      <c r="C566" s="7747"/>
      <c r="D566" s="7861" t="s">
        <v>5704</v>
      </c>
      <c r="E566" s="7863"/>
      <c r="F566" s="438">
        <v>2500000</v>
      </c>
      <c r="G566" s="7937"/>
      <c r="H566" s="7938"/>
      <c r="I566" s="7938"/>
      <c r="J566" s="7939"/>
      <c r="K566" s="7564"/>
      <c r="L566" s="8463"/>
    </row>
    <row r="567" spans="1:12" ht="30" customHeight="1" x14ac:dyDescent="0.2">
      <c r="A567" s="7656"/>
      <c r="B567" s="7665"/>
      <c r="C567" s="7747"/>
      <c r="D567" s="3239">
        <f>D564+D565+51500000</f>
        <v>867500000</v>
      </c>
      <c r="E567" s="868">
        <v>0.06</v>
      </c>
      <c r="F567" s="6528">
        <f>D567*E567</f>
        <v>52050000</v>
      </c>
      <c r="G567" s="8510" t="s">
        <v>6061</v>
      </c>
      <c r="H567" s="8511"/>
      <c r="I567" s="8511"/>
      <c r="J567" s="8512"/>
      <c r="K567" s="7563"/>
      <c r="L567" s="7818" t="s">
        <v>6063</v>
      </c>
    </row>
    <row r="568" spans="1:12" ht="30" customHeight="1" x14ac:dyDescent="0.2">
      <c r="A568" s="7656"/>
      <c r="B568" s="7665"/>
      <c r="C568" s="7747"/>
      <c r="D568" s="8250" t="s">
        <v>6894</v>
      </c>
      <c r="E568" s="8519"/>
      <c r="F568" s="8251"/>
      <c r="G568" s="8513"/>
      <c r="H568" s="8514"/>
      <c r="I568" s="8514"/>
      <c r="J568" s="8515"/>
      <c r="K568" s="7586"/>
      <c r="L568" s="7855"/>
    </row>
    <row r="569" spans="1:12" ht="30" customHeight="1" x14ac:dyDescent="0.2">
      <c r="A569" s="7656"/>
      <c r="B569" s="7665"/>
      <c r="C569" s="7747"/>
      <c r="D569" s="3239">
        <f>D567-100000000</f>
        <v>767500000</v>
      </c>
      <c r="E569" s="868">
        <v>0.06</v>
      </c>
      <c r="F569" s="6528">
        <f>D569*E569</f>
        <v>46050000</v>
      </c>
      <c r="G569" s="8516"/>
      <c r="H569" s="8517"/>
      <c r="I569" s="8517"/>
      <c r="J569" s="8518"/>
      <c r="K569" s="7564"/>
      <c r="L569" s="7819"/>
    </row>
    <row r="570" spans="1:12" ht="30" customHeight="1" x14ac:dyDescent="0.2">
      <c r="A570" s="7656"/>
      <c r="B570" s="7665"/>
      <c r="C570" s="7747"/>
      <c r="D570" s="6393">
        <v>132500000</v>
      </c>
      <c r="E570" s="6402"/>
      <c r="F570" s="6393"/>
      <c r="G570" s="7991" t="s">
        <v>7582</v>
      </c>
      <c r="H570" s="7992"/>
      <c r="I570" s="7992"/>
      <c r="J570" s="7993"/>
      <c r="K570" s="7563"/>
      <c r="L570" s="6465"/>
    </row>
    <row r="571" spans="1:12" ht="30" customHeight="1" x14ac:dyDescent="0.2">
      <c r="A571" s="7655"/>
      <c r="B571" s="7653"/>
      <c r="C571" s="7724"/>
      <c r="D571" s="6494">
        <f>D569+D570</f>
        <v>900000000</v>
      </c>
      <c r="E571" s="6496"/>
      <c r="F571" s="6494"/>
      <c r="G571" s="7997"/>
      <c r="H571" s="7998"/>
      <c r="I571" s="7998"/>
      <c r="J571" s="7999"/>
      <c r="K571" s="7564"/>
      <c r="L571" s="6465"/>
    </row>
    <row r="572" spans="1:12" ht="30" customHeight="1" x14ac:dyDescent="0.2">
      <c r="A572" s="6475">
        <v>273</v>
      </c>
      <c r="B572" s="6431" t="s">
        <v>127</v>
      </c>
      <c r="C572" s="6472" t="s">
        <v>1291</v>
      </c>
      <c r="D572" s="6393">
        <v>20000000</v>
      </c>
      <c r="E572" s="6471">
        <v>0.05</v>
      </c>
      <c r="F572" s="6393">
        <f t="shared" si="52"/>
        <v>1000000</v>
      </c>
      <c r="G572" s="6393"/>
      <c r="H572" s="6393"/>
      <c r="I572" s="6512" t="s">
        <v>480</v>
      </c>
      <c r="J572" s="6393">
        <f>G572</f>
        <v>0</v>
      </c>
      <c r="K572" s="6393">
        <f>F572-J572</f>
        <v>1000000</v>
      </c>
      <c r="L572" s="6459"/>
    </row>
    <row r="573" spans="1:12" ht="30" customHeight="1" x14ac:dyDescent="0.2">
      <c r="A573" s="7654">
        <v>274</v>
      </c>
      <c r="B573" s="7652" t="s">
        <v>128</v>
      </c>
      <c r="C573" s="7723" t="s">
        <v>1306</v>
      </c>
      <c r="D573" s="6385">
        <v>50000000</v>
      </c>
      <c r="E573" s="6471">
        <v>0.05</v>
      </c>
      <c r="F573" s="6393">
        <f>D573*E573</f>
        <v>2500000</v>
      </c>
      <c r="G573" s="6393"/>
      <c r="H573" s="6393"/>
      <c r="I573" s="6512" t="s">
        <v>7794</v>
      </c>
      <c r="J573" s="6393">
        <f>G573</f>
        <v>0</v>
      </c>
      <c r="K573" s="6393"/>
      <c r="L573" s="6459" t="s">
        <v>7101</v>
      </c>
    </row>
    <row r="574" spans="1:12" ht="30" customHeight="1" x14ac:dyDescent="0.2">
      <c r="A574" s="7655"/>
      <c r="B574" s="7653"/>
      <c r="C574" s="7724"/>
      <c r="D574" s="6494">
        <v>200000000</v>
      </c>
      <c r="E574" s="6552">
        <v>5.5E-2</v>
      </c>
      <c r="F574" s="6494">
        <f>D574*E574</f>
        <v>11000000</v>
      </c>
      <c r="G574" s="7954" t="s">
        <v>7102</v>
      </c>
      <c r="H574" s="7955"/>
      <c r="I574" s="7955"/>
      <c r="J574" s="7956"/>
      <c r="K574" s="6393"/>
      <c r="L574" s="6459" t="s">
        <v>7100</v>
      </c>
    </row>
    <row r="575" spans="1:12" ht="30" customHeight="1" x14ac:dyDescent="0.2">
      <c r="A575" s="6475">
        <v>275</v>
      </c>
      <c r="B575" s="6431" t="s">
        <v>129</v>
      </c>
      <c r="C575" s="6434" t="s">
        <v>1291</v>
      </c>
      <c r="D575" s="6393">
        <v>130000000</v>
      </c>
      <c r="E575" s="6471">
        <v>0.05</v>
      </c>
      <c r="F575" s="6393">
        <f t="shared" si="52"/>
        <v>6500000</v>
      </c>
      <c r="G575" s="6599">
        <v>50000000</v>
      </c>
      <c r="H575" s="6393" t="s">
        <v>7845</v>
      </c>
      <c r="I575" s="6512" t="s">
        <v>3175</v>
      </c>
      <c r="J575" s="6393">
        <f>G575</f>
        <v>50000000</v>
      </c>
      <c r="K575" s="6393">
        <f>F575-J575</f>
        <v>-43500000</v>
      </c>
      <c r="L575" s="6806" t="s">
        <v>7862</v>
      </c>
    </row>
    <row r="576" spans="1:12" ht="30" customHeight="1" x14ac:dyDescent="0.2">
      <c r="A576" s="6397">
        <v>277</v>
      </c>
      <c r="B576" s="6399" t="s">
        <v>131</v>
      </c>
      <c r="C576" s="6435" t="s">
        <v>2849</v>
      </c>
      <c r="D576" s="6392">
        <v>200000000</v>
      </c>
      <c r="E576" s="6401">
        <v>0.05</v>
      </c>
      <c r="F576" s="6392">
        <f t="shared" si="52"/>
        <v>10000000</v>
      </c>
      <c r="G576" s="6392"/>
      <c r="H576" s="6392"/>
      <c r="I576" s="6511" t="s">
        <v>3726</v>
      </c>
      <c r="J576" s="6392">
        <f>G576</f>
        <v>0</v>
      </c>
      <c r="K576" s="6392">
        <f>F576-J576</f>
        <v>10000000</v>
      </c>
      <c r="L576" s="6399"/>
    </row>
    <row r="577" spans="1:13" s="1539" customFormat="1" ht="30" customHeight="1" x14ac:dyDescent="0.2">
      <c r="A577" s="6397">
        <v>278</v>
      </c>
      <c r="B577" s="19" t="s">
        <v>620</v>
      </c>
      <c r="C577" s="6472" t="s">
        <v>3007</v>
      </c>
      <c r="D577" s="6385">
        <v>30000000</v>
      </c>
      <c r="E577" s="6471">
        <v>4.4999999999999998E-2</v>
      </c>
      <c r="F577" s="6385">
        <f t="shared" si="52"/>
        <v>1350000</v>
      </c>
      <c r="G577" s="6385"/>
      <c r="H577" s="6385"/>
      <c r="I577" s="6467" t="s">
        <v>2066</v>
      </c>
      <c r="J577" s="6385">
        <f>G577</f>
        <v>0</v>
      </c>
      <c r="K577" s="6385">
        <f>F577-J577</f>
        <v>1350000</v>
      </c>
      <c r="L577" s="6459"/>
    </row>
    <row r="578" spans="1:13" ht="30" customHeight="1" x14ac:dyDescent="0.2">
      <c r="A578" s="6475">
        <v>279</v>
      </c>
      <c r="B578" s="6431" t="s">
        <v>132</v>
      </c>
      <c r="C578" s="6434" t="s">
        <v>402</v>
      </c>
      <c r="D578" s="6393">
        <v>11000000</v>
      </c>
      <c r="E578" s="6471">
        <v>4.4999999999999998E-2</v>
      </c>
      <c r="F578" s="6393">
        <v>500000</v>
      </c>
      <c r="G578" s="6393"/>
      <c r="H578" s="6393"/>
      <c r="I578" s="6512" t="s">
        <v>5587</v>
      </c>
      <c r="J578" s="6393">
        <f t="shared" ref="J578:J585" si="53">G578</f>
        <v>0</v>
      </c>
      <c r="K578" s="6393">
        <f t="shared" ref="K578:K585" si="54">F578-J578</f>
        <v>500000</v>
      </c>
      <c r="L578" s="6523" t="s">
        <v>6246</v>
      </c>
    </row>
    <row r="579" spans="1:13" ht="30" customHeight="1" x14ac:dyDescent="0.2">
      <c r="A579" s="6475">
        <v>280</v>
      </c>
      <c r="B579" s="6468" t="s">
        <v>458</v>
      </c>
      <c r="C579" s="6434" t="s">
        <v>1107</v>
      </c>
      <c r="D579" s="6385">
        <v>20000000</v>
      </c>
      <c r="E579" s="6471">
        <v>0.05</v>
      </c>
      <c r="F579" s="6385">
        <f t="shared" si="52"/>
        <v>1000000</v>
      </c>
      <c r="G579" s="6385"/>
      <c r="H579" s="6385"/>
      <c r="I579" s="6385" t="s">
        <v>3756</v>
      </c>
      <c r="J579" s="6385">
        <f t="shared" si="53"/>
        <v>0</v>
      </c>
      <c r="K579" s="6385">
        <f t="shared" si="54"/>
        <v>1000000</v>
      </c>
      <c r="L579" s="6503"/>
    </row>
    <row r="580" spans="1:13" ht="30" customHeight="1" x14ac:dyDescent="0.2">
      <c r="A580" s="6398">
        <v>281</v>
      </c>
      <c r="B580" s="6468" t="s">
        <v>133</v>
      </c>
      <c r="C580" s="6434" t="s">
        <v>1290</v>
      </c>
      <c r="D580" s="6393">
        <v>40000000</v>
      </c>
      <c r="E580" s="6402">
        <v>0.05</v>
      </c>
      <c r="F580" s="6393">
        <f t="shared" si="52"/>
        <v>2000000</v>
      </c>
      <c r="G580" s="6393"/>
      <c r="H580" s="6393"/>
      <c r="I580" s="6393" t="s">
        <v>635</v>
      </c>
      <c r="J580" s="6393">
        <f t="shared" si="53"/>
        <v>0</v>
      </c>
      <c r="K580" s="6393">
        <f t="shared" si="54"/>
        <v>2000000</v>
      </c>
      <c r="L580" s="6431"/>
    </row>
    <row r="581" spans="1:13" ht="30" customHeight="1" x14ac:dyDescent="0.2">
      <c r="A581" s="6475">
        <v>282</v>
      </c>
      <c r="B581" s="6431" t="s">
        <v>1024</v>
      </c>
      <c r="C581" s="6434" t="s">
        <v>371</v>
      </c>
      <c r="D581" s="6393">
        <v>20000000</v>
      </c>
      <c r="E581" s="6471">
        <v>0.04</v>
      </c>
      <c r="F581" s="6393">
        <f t="shared" si="52"/>
        <v>800000</v>
      </c>
      <c r="G581" s="6393"/>
      <c r="H581" s="6393"/>
      <c r="I581" s="6393" t="s">
        <v>2453</v>
      </c>
      <c r="J581" s="6393">
        <f t="shared" si="53"/>
        <v>0</v>
      </c>
      <c r="K581" s="6393">
        <f t="shared" si="54"/>
        <v>800000</v>
      </c>
      <c r="L581" s="6431"/>
    </row>
    <row r="582" spans="1:13" ht="30" customHeight="1" x14ac:dyDescent="0.2">
      <c r="A582" s="7654"/>
      <c r="B582" s="7652" t="s">
        <v>134</v>
      </c>
      <c r="C582" s="7723" t="s">
        <v>1294</v>
      </c>
      <c r="D582" s="6417">
        <v>85885000</v>
      </c>
      <c r="E582" s="6415">
        <v>0.05</v>
      </c>
      <c r="F582" s="6417">
        <v>4294250</v>
      </c>
      <c r="G582" s="6385"/>
      <c r="H582" s="6391"/>
      <c r="I582" s="6391" t="s">
        <v>5758</v>
      </c>
      <c r="J582" s="6385">
        <f>G582</f>
        <v>0</v>
      </c>
      <c r="K582" s="6385">
        <v>0</v>
      </c>
      <c r="L582" s="6523" t="s">
        <v>7785</v>
      </c>
    </row>
    <row r="583" spans="1:13" ht="30" customHeight="1" x14ac:dyDescent="0.2">
      <c r="A583" s="7656"/>
      <c r="B583" s="7665"/>
      <c r="C583" s="7747"/>
      <c r="D583" s="6599">
        <v>12000000</v>
      </c>
      <c r="E583" s="6603">
        <v>7.0000000000000007E-2</v>
      </c>
      <c r="F583" s="6599">
        <f>D583*E583</f>
        <v>840000.00000000012</v>
      </c>
      <c r="G583" s="7470" t="s">
        <v>7769</v>
      </c>
      <c r="H583" s="7493"/>
      <c r="I583" s="7493"/>
      <c r="J583" s="7510"/>
      <c r="K583" s="6391"/>
      <c r="L583" s="6808" t="s">
        <v>7910</v>
      </c>
    </row>
    <row r="584" spans="1:13" ht="30" customHeight="1" x14ac:dyDescent="0.2">
      <c r="A584" s="7656"/>
      <c r="B584" s="7653"/>
      <c r="C584" s="7724"/>
      <c r="D584" s="6601">
        <v>16000000</v>
      </c>
      <c r="E584" s="6600">
        <v>7.0000000000000007E-2</v>
      </c>
      <c r="F584" s="6601">
        <f>D584*E584</f>
        <v>1120000</v>
      </c>
      <c r="G584" s="6385"/>
      <c r="H584" s="6391"/>
      <c r="I584" s="6391"/>
      <c r="J584" s="6385"/>
      <c r="K584" s="6391"/>
      <c r="L584" s="6809" t="s">
        <v>7911</v>
      </c>
    </row>
    <row r="585" spans="1:13" ht="30" customHeight="1" x14ac:dyDescent="0.2">
      <c r="A585" s="6408"/>
      <c r="B585" s="6431" t="s">
        <v>4246</v>
      </c>
      <c r="C585" s="6433" t="s">
        <v>889</v>
      </c>
      <c r="D585" s="6393">
        <v>67000000</v>
      </c>
      <c r="E585" s="6402">
        <v>0.05</v>
      </c>
      <c r="F585" s="6393">
        <f>D585*E585</f>
        <v>3350000</v>
      </c>
      <c r="G585" s="6385"/>
      <c r="H585" s="6385"/>
      <c r="I585" s="6385" t="s">
        <v>7438</v>
      </c>
      <c r="J585" s="6385">
        <f t="shared" si="53"/>
        <v>0</v>
      </c>
      <c r="K585" s="6391">
        <f t="shared" si="54"/>
        <v>3350000</v>
      </c>
      <c r="L585" s="6523"/>
    </row>
    <row r="586" spans="1:13" ht="30" customHeight="1" x14ac:dyDescent="0.2">
      <c r="A586" s="7654"/>
      <c r="B586" s="7652" t="s">
        <v>1158</v>
      </c>
      <c r="C586" s="7723" t="s">
        <v>371</v>
      </c>
      <c r="D586" s="7924">
        <v>195000000</v>
      </c>
      <c r="E586" s="8553">
        <v>0.05</v>
      </c>
      <c r="F586" s="7924">
        <f>D586*E586</f>
        <v>9750000</v>
      </c>
      <c r="G586" s="6385"/>
      <c r="H586" s="6385"/>
      <c r="I586" s="6385" t="s">
        <v>2219</v>
      </c>
      <c r="J586" s="7563">
        <f>G586+G587</f>
        <v>0</v>
      </c>
      <c r="K586" s="7563">
        <f>F586-J586</f>
        <v>9750000</v>
      </c>
      <c r="L586" s="6525" t="s">
        <v>6942</v>
      </c>
      <c r="M586" t="s">
        <v>5056</v>
      </c>
    </row>
    <row r="587" spans="1:13" ht="30" customHeight="1" x14ac:dyDescent="0.2">
      <c r="A587" s="7655"/>
      <c r="B587" s="7653"/>
      <c r="C587" s="7724"/>
      <c r="D587" s="7925"/>
      <c r="E587" s="8554"/>
      <c r="F587" s="7925"/>
      <c r="G587" s="6385"/>
      <c r="H587" s="6385"/>
      <c r="I587" s="6385" t="s">
        <v>2219</v>
      </c>
      <c r="J587" s="7564"/>
      <c r="K587" s="7564"/>
      <c r="L587" s="6525"/>
    </row>
    <row r="588" spans="1:13" ht="30" customHeight="1" x14ac:dyDescent="0.2">
      <c r="A588" s="6397">
        <v>286</v>
      </c>
      <c r="B588" s="6468" t="s">
        <v>1622</v>
      </c>
      <c r="C588" s="6472"/>
      <c r="D588" s="6385">
        <v>35000000</v>
      </c>
      <c r="E588" s="1027">
        <v>0.05</v>
      </c>
      <c r="F588" s="6385">
        <v>1700000</v>
      </c>
      <c r="G588" s="6385"/>
      <c r="H588" s="6385"/>
      <c r="I588" s="18" t="s">
        <v>307</v>
      </c>
      <c r="J588" s="6385">
        <f>G588</f>
        <v>0</v>
      </c>
      <c r="K588" s="6385">
        <f>F588-J588</f>
        <v>1700000</v>
      </c>
      <c r="L588" s="6438"/>
    </row>
    <row r="589" spans="1:13" ht="30" customHeight="1" x14ac:dyDescent="0.2">
      <c r="A589" s="7654">
        <v>287</v>
      </c>
      <c r="B589" s="7652" t="s">
        <v>137</v>
      </c>
      <c r="C589" s="7723" t="s">
        <v>1294</v>
      </c>
      <c r="D589" s="6393">
        <v>15000000</v>
      </c>
      <c r="E589" s="6402">
        <v>0.05</v>
      </c>
      <c r="F589" s="6393">
        <f t="shared" si="52"/>
        <v>750000</v>
      </c>
      <c r="G589" s="6385"/>
      <c r="H589" s="6385"/>
      <c r="I589" s="6467" t="s">
        <v>5121</v>
      </c>
      <c r="J589" s="6385">
        <f>G589</f>
        <v>0</v>
      </c>
      <c r="K589" s="6385">
        <f>(F589+F590)-J589</f>
        <v>3000000</v>
      </c>
      <c r="L589" s="6455"/>
    </row>
    <row r="590" spans="1:13" ht="30" customHeight="1" x14ac:dyDescent="0.2">
      <c r="A590" s="7655"/>
      <c r="B590" s="7653"/>
      <c r="C590" s="7724"/>
      <c r="D590" s="6393">
        <v>45000000</v>
      </c>
      <c r="E590" s="6402">
        <v>0.05</v>
      </c>
      <c r="F590" s="6393">
        <f t="shared" si="52"/>
        <v>2250000</v>
      </c>
      <c r="G590" s="6385"/>
      <c r="H590" s="6385"/>
      <c r="I590" s="6467" t="s">
        <v>2979</v>
      </c>
      <c r="J590" s="6385">
        <f>G590</f>
        <v>0</v>
      </c>
      <c r="K590" s="6385">
        <f>(F589+F590)-J590</f>
        <v>3000000</v>
      </c>
      <c r="L590" s="6455"/>
    </row>
    <row r="591" spans="1:13" ht="30" customHeight="1" x14ac:dyDescent="0.2">
      <c r="A591" s="6475">
        <v>289</v>
      </c>
      <c r="B591" s="6431" t="s">
        <v>637</v>
      </c>
      <c r="C591" s="6434" t="s">
        <v>1299</v>
      </c>
      <c r="D591" s="6393">
        <v>25000000</v>
      </c>
      <c r="E591" s="6471">
        <v>0.06</v>
      </c>
      <c r="F591" s="6393">
        <f t="shared" si="52"/>
        <v>1500000</v>
      </c>
      <c r="G591" s="6393"/>
      <c r="H591" s="6393"/>
      <c r="I591" s="18"/>
      <c r="J591" s="6393"/>
      <c r="K591" s="6393">
        <f t="shared" ref="K591:K595" si="55">F591-J591</f>
        <v>1500000</v>
      </c>
      <c r="L591" s="6431"/>
    </row>
    <row r="592" spans="1:13" ht="30" customHeight="1" x14ac:dyDescent="0.2">
      <c r="A592" s="6427">
        <v>290</v>
      </c>
      <c r="B592" s="6468" t="s">
        <v>3848</v>
      </c>
      <c r="C592" s="6434" t="s">
        <v>1288</v>
      </c>
      <c r="D592" s="6393">
        <v>1150000000</v>
      </c>
      <c r="E592" s="6471">
        <v>7.0000000000000007E-2</v>
      </c>
      <c r="F592" s="6393">
        <f>D592*E592</f>
        <v>80500000.000000015</v>
      </c>
      <c r="G592" s="6385"/>
      <c r="H592" s="6385"/>
      <c r="I592" s="6385" t="s">
        <v>4095</v>
      </c>
      <c r="J592" s="6385">
        <f>G592</f>
        <v>0</v>
      </c>
      <c r="K592" s="6393">
        <f t="shared" si="55"/>
        <v>80500000.000000015</v>
      </c>
      <c r="L592" s="6459" t="s">
        <v>3859</v>
      </c>
    </row>
    <row r="593" spans="1:12" ht="30" customHeight="1" x14ac:dyDescent="0.2">
      <c r="A593" s="6432">
        <v>292</v>
      </c>
      <c r="B593" s="6468" t="s">
        <v>140</v>
      </c>
      <c r="C593" s="6433" t="s">
        <v>371</v>
      </c>
      <c r="D593" s="6393">
        <v>400000000</v>
      </c>
      <c r="E593" s="6471">
        <v>7.0000000000000007E-2</v>
      </c>
      <c r="F593" s="6393">
        <f t="shared" si="52"/>
        <v>28000000.000000004</v>
      </c>
      <c r="G593" s="6391"/>
      <c r="H593" s="6391"/>
      <c r="I593" s="6445" t="s">
        <v>4552</v>
      </c>
      <c r="J593" s="6391">
        <f>G593</f>
        <v>0</v>
      </c>
      <c r="K593" s="6391">
        <f>F593-J593</f>
        <v>28000000.000000004</v>
      </c>
      <c r="L593" s="6431"/>
    </row>
    <row r="594" spans="1:12" ht="30" customHeight="1" x14ac:dyDescent="0.2">
      <c r="A594" s="6432">
        <v>293</v>
      </c>
      <c r="B594" s="6468" t="s">
        <v>141</v>
      </c>
      <c r="C594" s="6433" t="s">
        <v>1299</v>
      </c>
      <c r="D594" s="6393">
        <v>100000000</v>
      </c>
      <c r="E594" s="6471">
        <v>0.05</v>
      </c>
      <c r="F594" s="6393">
        <f>D594*E594</f>
        <v>5000000</v>
      </c>
      <c r="G594" s="6391"/>
      <c r="H594" s="6391"/>
      <c r="I594" s="6445" t="s">
        <v>2181</v>
      </c>
      <c r="J594" s="6391">
        <f t="shared" ref="J594:J607" si="56">G594</f>
        <v>0</v>
      </c>
      <c r="K594" s="6391">
        <f>F594-J594</f>
        <v>5000000</v>
      </c>
      <c r="L594" s="6459"/>
    </row>
    <row r="595" spans="1:12" ht="30" customHeight="1" x14ac:dyDescent="0.2">
      <c r="A595" s="7654">
        <v>295</v>
      </c>
      <c r="B595" s="7652" t="s">
        <v>142</v>
      </c>
      <c r="C595" s="7723" t="s">
        <v>1299</v>
      </c>
      <c r="D595" s="7563">
        <v>100000000</v>
      </c>
      <c r="E595" s="7659">
        <v>0.05</v>
      </c>
      <c r="F595" s="7563">
        <f t="shared" si="52"/>
        <v>5000000</v>
      </c>
      <c r="G595" s="6385"/>
      <c r="H595" s="6385"/>
      <c r="I595" s="6385" t="s">
        <v>5203</v>
      </c>
      <c r="J595" s="6385">
        <f t="shared" si="56"/>
        <v>0</v>
      </c>
      <c r="K595" s="6385">
        <f t="shared" si="55"/>
        <v>5000000</v>
      </c>
      <c r="L595" s="6459"/>
    </row>
    <row r="596" spans="1:12" ht="30" customHeight="1" x14ac:dyDescent="0.2">
      <c r="A596" s="7655"/>
      <c r="B596" s="7653"/>
      <c r="C596" s="7724"/>
      <c r="D596" s="7564"/>
      <c r="E596" s="7660"/>
      <c r="F596" s="7564"/>
      <c r="G596" s="6391"/>
      <c r="H596" s="6391"/>
      <c r="I596" s="6391" t="s">
        <v>5203</v>
      </c>
      <c r="J596" s="6391">
        <f t="shared" si="56"/>
        <v>0</v>
      </c>
      <c r="K596" s="6391">
        <f>F595-J596</f>
        <v>5000000</v>
      </c>
      <c r="L596" s="6459"/>
    </row>
    <row r="597" spans="1:12" ht="30" customHeight="1" x14ac:dyDescent="0.2">
      <c r="A597" s="6432"/>
      <c r="B597" s="6468" t="s">
        <v>4556</v>
      </c>
      <c r="C597" s="6433" t="s">
        <v>1299</v>
      </c>
      <c r="D597" s="6393">
        <v>45000000</v>
      </c>
      <c r="E597" s="6471">
        <v>0.06</v>
      </c>
      <c r="F597" s="6393">
        <f t="shared" si="52"/>
        <v>2700000</v>
      </c>
      <c r="G597" s="6391"/>
      <c r="H597" s="6391"/>
      <c r="I597" s="6391" t="s">
        <v>4558</v>
      </c>
      <c r="J597" s="6391">
        <f t="shared" si="56"/>
        <v>0</v>
      </c>
      <c r="K597" s="6391">
        <f t="shared" ref="K597:K606" si="57">F597-J597</f>
        <v>2700000</v>
      </c>
      <c r="L597" s="6459"/>
    </row>
    <row r="598" spans="1:12" ht="30" customHeight="1" x14ac:dyDescent="0.2">
      <c r="A598" s="6475">
        <v>296</v>
      </c>
      <c r="B598" s="6431" t="s">
        <v>143</v>
      </c>
      <c r="C598" s="6472" t="s">
        <v>1306</v>
      </c>
      <c r="D598" s="6393">
        <v>60000000</v>
      </c>
      <c r="E598" s="6471">
        <v>0.05</v>
      </c>
      <c r="F598" s="6393">
        <f t="shared" si="52"/>
        <v>3000000</v>
      </c>
      <c r="G598" s="6391"/>
      <c r="H598" s="6391"/>
      <c r="I598" s="6403" t="s">
        <v>1720</v>
      </c>
      <c r="J598" s="6391">
        <f t="shared" si="56"/>
        <v>0</v>
      </c>
      <c r="K598" s="6391">
        <f t="shared" si="57"/>
        <v>3000000</v>
      </c>
      <c r="L598" s="6431"/>
    </row>
    <row r="599" spans="1:12" ht="30" customHeight="1" x14ac:dyDescent="0.2">
      <c r="A599" s="7654">
        <v>298</v>
      </c>
      <c r="B599" s="7652" t="s">
        <v>145</v>
      </c>
      <c r="C599" s="7723" t="s">
        <v>1134</v>
      </c>
      <c r="D599" s="7563">
        <v>40000000</v>
      </c>
      <c r="E599" s="7659">
        <v>0.05</v>
      </c>
      <c r="F599" s="7563">
        <f t="shared" si="52"/>
        <v>2000000</v>
      </c>
      <c r="G599" s="6385"/>
      <c r="H599" s="6385"/>
      <c r="I599" s="6467" t="s">
        <v>4150</v>
      </c>
      <c r="J599" s="6385">
        <f t="shared" si="56"/>
        <v>0</v>
      </c>
      <c r="K599" s="6385">
        <f t="shared" si="57"/>
        <v>2000000</v>
      </c>
      <c r="L599" s="6455"/>
    </row>
    <row r="600" spans="1:12" ht="30" customHeight="1" x14ac:dyDescent="0.2">
      <c r="A600" s="7655"/>
      <c r="B600" s="7653"/>
      <c r="C600" s="7724"/>
      <c r="D600" s="7564"/>
      <c r="E600" s="7660"/>
      <c r="F600" s="7564"/>
      <c r="G600" s="6385"/>
      <c r="H600" s="6385"/>
      <c r="I600" s="6467" t="s">
        <v>4150</v>
      </c>
      <c r="J600" s="6385">
        <f t="shared" si="56"/>
        <v>0</v>
      </c>
      <c r="K600" s="6385">
        <f>F599-J600</f>
        <v>2000000</v>
      </c>
      <c r="L600" s="6455"/>
    </row>
    <row r="601" spans="1:12" ht="30" customHeight="1" x14ac:dyDescent="0.2">
      <c r="A601" s="7654">
        <v>300</v>
      </c>
      <c r="B601" s="7652" t="s">
        <v>147</v>
      </c>
      <c r="C601" s="7723" t="s">
        <v>890</v>
      </c>
      <c r="D601" s="7563">
        <v>178000000</v>
      </c>
      <c r="E601" s="7659">
        <v>5.8999999999999997E-2</v>
      </c>
      <c r="F601" s="7563">
        <v>10500000</v>
      </c>
      <c r="G601" s="6385"/>
      <c r="H601" s="6385"/>
      <c r="I601" s="6467" t="s">
        <v>3469</v>
      </c>
      <c r="J601" s="6385">
        <f t="shared" si="56"/>
        <v>0</v>
      </c>
      <c r="K601" s="6385">
        <f t="shared" si="57"/>
        <v>10500000</v>
      </c>
      <c r="L601" s="6455"/>
    </row>
    <row r="602" spans="1:12" ht="30" customHeight="1" x14ac:dyDescent="0.2">
      <c r="A602" s="7656"/>
      <c r="B602" s="7665"/>
      <c r="C602" s="7747"/>
      <c r="D602" s="7586"/>
      <c r="E602" s="7676"/>
      <c r="F602" s="7586"/>
      <c r="G602" s="6393"/>
      <c r="H602" s="6393"/>
      <c r="I602" s="6404" t="s">
        <v>7761</v>
      </c>
      <c r="J602" s="7563">
        <f>G602+G603</f>
        <v>0</v>
      </c>
      <c r="K602" s="7563">
        <f>F601-J602</f>
        <v>10500000</v>
      </c>
      <c r="L602" s="7811"/>
    </row>
    <row r="603" spans="1:12" ht="30" customHeight="1" x14ac:dyDescent="0.2">
      <c r="A603" s="7655"/>
      <c r="B603" s="7653"/>
      <c r="C603" s="7724"/>
      <c r="D603" s="7564"/>
      <c r="E603" s="7660"/>
      <c r="F603" s="7564"/>
      <c r="G603" s="6393"/>
      <c r="H603" s="6393"/>
      <c r="I603" s="6404" t="s">
        <v>3469</v>
      </c>
      <c r="J603" s="7564"/>
      <c r="K603" s="7564"/>
      <c r="L603" s="7812"/>
    </row>
    <row r="604" spans="1:12" ht="30" customHeight="1" x14ac:dyDescent="0.2">
      <c r="A604" s="7654">
        <v>301</v>
      </c>
      <c r="B604" s="7652" t="s">
        <v>2347</v>
      </c>
      <c r="C604" s="7723"/>
      <c r="D604" s="7563">
        <v>10000000</v>
      </c>
      <c r="E604" s="7659">
        <v>0.04</v>
      </c>
      <c r="F604" s="7563">
        <f>D604*E604</f>
        <v>400000</v>
      </c>
      <c r="G604" s="6393"/>
      <c r="H604" s="6393"/>
      <c r="I604" s="6436" t="s">
        <v>723</v>
      </c>
      <c r="J604" s="6393">
        <f t="shared" si="56"/>
        <v>0</v>
      </c>
      <c r="K604" s="6393">
        <f t="shared" si="57"/>
        <v>400000</v>
      </c>
      <c r="L604" s="6455"/>
    </row>
    <row r="605" spans="1:12" ht="30" customHeight="1" x14ac:dyDescent="0.2">
      <c r="A605" s="7655"/>
      <c r="B605" s="7653"/>
      <c r="C605" s="7724"/>
      <c r="D605" s="7564"/>
      <c r="E605" s="7660"/>
      <c r="F605" s="7564"/>
      <c r="G605" s="6393"/>
      <c r="H605" s="6393"/>
      <c r="I605" s="6436" t="s">
        <v>2348</v>
      </c>
      <c r="J605" s="6393">
        <f t="shared" si="56"/>
        <v>0</v>
      </c>
      <c r="K605" s="6393">
        <f>F604-J605</f>
        <v>400000</v>
      </c>
      <c r="L605" s="6455"/>
    </row>
    <row r="606" spans="1:12" ht="30" customHeight="1" x14ac:dyDescent="0.2">
      <c r="A606" s="7654">
        <v>302</v>
      </c>
      <c r="B606" s="7652" t="s">
        <v>149</v>
      </c>
      <c r="C606" s="7723" t="s">
        <v>1296</v>
      </c>
      <c r="D606" s="7563">
        <v>100000000</v>
      </c>
      <c r="E606" s="7659">
        <v>0.05</v>
      </c>
      <c r="F606" s="7563">
        <f>D606*E606</f>
        <v>5000000</v>
      </c>
      <c r="G606" s="6393"/>
      <c r="H606" s="6393"/>
      <c r="I606" s="6436" t="s">
        <v>3179</v>
      </c>
      <c r="J606" s="6393">
        <f t="shared" si="56"/>
        <v>0</v>
      </c>
      <c r="K606" s="6385">
        <f t="shared" si="57"/>
        <v>5000000</v>
      </c>
      <c r="L606" s="6455"/>
    </row>
    <row r="607" spans="1:12" ht="30" customHeight="1" x14ac:dyDescent="0.2">
      <c r="A607" s="7655"/>
      <c r="B607" s="7653"/>
      <c r="C607" s="7724"/>
      <c r="D607" s="7564"/>
      <c r="E607" s="7660"/>
      <c r="F607" s="7564"/>
      <c r="G607" s="6393"/>
      <c r="H607" s="6393"/>
      <c r="I607" s="6436" t="s">
        <v>3179</v>
      </c>
      <c r="J607" s="6393">
        <f t="shared" si="56"/>
        <v>0</v>
      </c>
      <c r="K607" s="6385">
        <f>F606-J607</f>
        <v>5000000</v>
      </c>
      <c r="L607" s="6455"/>
    </row>
    <row r="608" spans="1:12" ht="30" customHeight="1" x14ac:dyDescent="0.2">
      <c r="A608" s="7654"/>
      <c r="B608" s="7652" t="s">
        <v>6119</v>
      </c>
      <c r="C608" s="7723" t="s">
        <v>1796</v>
      </c>
      <c r="D608" s="6385">
        <v>2162000000</v>
      </c>
      <c r="E608" s="6471">
        <v>8.4000000000000005E-2</v>
      </c>
      <c r="F608" s="6385">
        <v>181608000</v>
      </c>
      <c r="G608" s="6387"/>
      <c r="H608" s="6388"/>
      <c r="I608" s="6388"/>
      <c r="J608" s="6442"/>
      <c r="K608" s="178"/>
      <c r="L608" s="6465"/>
    </row>
    <row r="609" spans="1:12" ht="30" customHeight="1" x14ac:dyDescent="0.2">
      <c r="A609" s="7656"/>
      <c r="B609" s="7665"/>
      <c r="C609" s="7747"/>
      <c r="D609" s="6392">
        <v>10000000</v>
      </c>
      <c r="E609" s="6409"/>
      <c r="F609" s="6392"/>
      <c r="G609" s="7991" t="s">
        <v>6120</v>
      </c>
      <c r="H609" s="7992"/>
      <c r="I609" s="7992"/>
      <c r="J609" s="7993"/>
      <c r="K609" s="178"/>
      <c r="L609" s="6455" t="s">
        <v>6047</v>
      </c>
    </row>
    <row r="610" spans="1:12" ht="30" customHeight="1" x14ac:dyDescent="0.2">
      <c r="A610" s="7656"/>
      <c r="B610" s="7665"/>
      <c r="C610" s="7747"/>
      <c r="D610" s="7563">
        <v>40000000</v>
      </c>
      <c r="E610" s="7659"/>
      <c r="F610" s="7563"/>
      <c r="G610" s="7732" t="s">
        <v>6286</v>
      </c>
      <c r="H610" s="7733"/>
      <c r="I610" s="7733"/>
      <c r="J610" s="7734"/>
      <c r="K610" s="233"/>
      <c r="L610" s="6455" t="s">
        <v>6285</v>
      </c>
    </row>
    <row r="611" spans="1:12" ht="30" customHeight="1" x14ac:dyDescent="0.2">
      <c r="A611" s="7656"/>
      <c r="B611" s="7665"/>
      <c r="C611" s="7747"/>
      <c r="D611" s="7586"/>
      <c r="E611" s="7676"/>
      <c r="F611" s="7586"/>
      <c r="G611" s="7732" t="s">
        <v>6287</v>
      </c>
      <c r="H611" s="7733"/>
      <c r="I611" s="7733"/>
      <c r="J611" s="7734"/>
      <c r="K611" s="233"/>
      <c r="L611" s="6478"/>
    </row>
    <row r="612" spans="1:12" ht="30" customHeight="1" x14ac:dyDescent="0.2">
      <c r="A612" s="7656"/>
      <c r="B612" s="7665"/>
      <c r="C612" s="7747"/>
      <c r="D612" s="7586"/>
      <c r="E612" s="7676"/>
      <c r="F612" s="7586"/>
      <c r="G612" s="7732" t="s">
        <v>6288</v>
      </c>
      <c r="H612" s="7733"/>
      <c r="I612" s="7733"/>
      <c r="J612" s="7734"/>
      <c r="K612" s="233"/>
      <c r="L612" s="6478"/>
    </row>
    <row r="613" spans="1:12" ht="30" customHeight="1" x14ac:dyDescent="0.2">
      <c r="A613" s="7656"/>
      <c r="B613" s="7665"/>
      <c r="C613" s="7747"/>
      <c r="D613" s="7586"/>
      <c r="E613" s="7676"/>
      <c r="F613" s="7586"/>
      <c r="G613" s="7732" t="s">
        <v>6289</v>
      </c>
      <c r="H613" s="7733"/>
      <c r="I613" s="7733"/>
      <c r="J613" s="7734"/>
      <c r="K613" s="233"/>
      <c r="L613" s="6478"/>
    </row>
    <row r="614" spans="1:12" ht="30" customHeight="1" x14ac:dyDescent="0.2">
      <c r="A614" s="7656"/>
      <c r="B614" s="7665"/>
      <c r="C614" s="7747"/>
      <c r="D614" s="7564"/>
      <c r="E614" s="7660"/>
      <c r="F614" s="7564"/>
      <c r="G614" s="7732" t="s">
        <v>6290</v>
      </c>
      <c r="H614" s="7733"/>
      <c r="I614" s="7733"/>
      <c r="J614" s="7734"/>
      <c r="K614" s="233"/>
      <c r="L614" s="6478"/>
    </row>
    <row r="615" spans="1:12" ht="30" customHeight="1" x14ac:dyDescent="0.2">
      <c r="A615" s="7656"/>
      <c r="B615" s="7665"/>
      <c r="C615" s="7747"/>
      <c r="D615" s="6416">
        <f>SUM(D608:D614)</f>
        <v>2212000000</v>
      </c>
      <c r="E615" s="6401"/>
      <c r="F615" s="6416">
        <v>186290000</v>
      </c>
      <c r="G615" s="7732" t="s">
        <v>6051</v>
      </c>
      <c r="H615" s="7733"/>
      <c r="I615" s="7733"/>
      <c r="J615" s="7734"/>
      <c r="K615" s="233"/>
      <c r="L615" s="6478"/>
    </row>
    <row r="616" spans="1:12" ht="30" customHeight="1" x14ac:dyDescent="0.2">
      <c r="A616" s="7656"/>
      <c r="B616" s="7665"/>
      <c r="C616" s="7747"/>
      <c r="D616" s="6385">
        <v>100000000</v>
      </c>
      <c r="E616" s="6471"/>
      <c r="F616" s="6385"/>
      <c r="G616" s="7732" t="s">
        <v>6291</v>
      </c>
      <c r="H616" s="7733"/>
      <c r="I616" s="7733"/>
      <c r="J616" s="7734"/>
      <c r="K616" s="233"/>
      <c r="L616" s="6478" t="s">
        <v>6338</v>
      </c>
    </row>
    <row r="617" spans="1:12" ht="30" customHeight="1" x14ac:dyDescent="0.2">
      <c r="A617" s="7656"/>
      <c r="B617" s="7665"/>
      <c r="C617" s="7747"/>
      <c r="D617" s="6385">
        <v>80000000</v>
      </c>
      <c r="E617" s="6471"/>
      <c r="F617" s="6385"/>
      <c r="G617" s="7732" t="s">
        <v>6292</v>
      </c>
      <c r="H617" s="7733"/>
      <c r="I617" s="7733"/>
      <c r="J617" s="7734"/>
      <c r="K617" s="233"/>
      <c r="L617" s="6478" t="s">
        <v>6337</v>
      </c>
    </row>
    <row r="618" spans="1:12" ht="30" customHeight="1" x14ac:dyDescent="0.2">
      <c r="A618" s="7656"/>
      <c r="B618" s="7665"/>
      <c r="C618" s="7747"/>
      <c r="D618" s="6391">
        <v>40000000</v>
      </c>
      <c r="E618" s="6401"/>
      <c r="F618" s="6391"/>
      <c r="G618" s="7732" t="s">
        <v>6382</v>
      </c>
      <c r="H618" s="7733"/>
      <c r="I618" s="7733"/>
      <c r="J618" s="7734"/>
      <c r="K618" s="233"/>
      <c r="L618" s="6478" t="s">
        <v>6339</v>
      </c>
    </row>
    <row r="619" spans="1:12" ht="30" customHeight="1" x14ac:dyDescent="0.2">
      <c r="A619" s="7656"/>
      <c r="B619" s="7665"/>
      <c r="C619" s="7747"/>
      <c r="D619" s="6416">
        <f>SUM(D615:D618)</f>
        <v>2432000000</v>
      </c>
      <c r="E619" s="6401"/>
      <c r="F619" s="6416">
        <v>198830000</v>
      </c>
      <c r="G619" s="7732" t="s">
        <v>6051</v>
      </c>
      <c r="H619" s="7733"/>
      <c r="I619" s="7733"/>
      <c r="J619" s="7734"/>
      <c r="K619" s="233"/>
      <c r="L619" s="6478" t="s">
        <v>6293</v>
      </c>
    </row>
    <row r="620" spans="1:12" ht="30" customHeight="1" x14ac:dyDescent="0.2">
      <c r="A620" s="7656"/>
      <c r="B620" s="7665"/>
      <c r="C620" s="7747"/>
      <c r="D620" s="6416">
        <f>2432000000-245000000</f>
        <v>2187000000</v>
      </c>
      <c r="E620" s="6401"/>
      <c r="F620" s="6416">
        <v>188940000</v>
      </c>
      <c r="G620" s="7732" t="s">
        <v>6294</v>
      </c>
      <c r="H620" s="7733"/>
      <c r="I620" s="7733"/>
      <c r="J620" s="7734"/>
      <c r="K620" s="233"/>
      <c r="L620" s="6478"/>
    </row>
    <row r="621" spans="1:12" ht="30" customHeight="1" x14ac:dyDescent="0.2">
      <c r="A621" s="7656"/>
      <c r="B621" s="7665"/>
      <c r="C621" s="7747"/>
      <c r="D621" s="7470" t="s">
        <v>6459</v>
      </c>
      <c r="E621" s="7493"/>
      <c r="F621" s="7510"/>
      <c r="G621" s="7732" t="s">
        <v>6755</v>
      </c>
      <c r="H621" s="7733"/>
      <c r="I621" s="7733"/>
      <c r="J621" s="7734"/>
      <c r="K621" s="233"/>
      <c r="L621" s="6478"/>
    </row>
    <row r="622" spans="1:12" ht="30" customHeight="1" x14ac:dyDescent="0.2">
      <c r="A622" s="7656"/>
      <c r="B622" s="7665"/>
      <c r="C622" s="7747"/>
      <c r="D622" s="6390">
        <v>2432000000</v>
      </c>
      <c r="E622" s="6390"/>
      <c r="F622" s="6390">
        <v>198830000</v>
      </c>
      <c r="G622" s="7732" t="s">
        <v>6740</v>
      </c>
      <c r="H622" s="7733"/>
      <c r="I622" s="7733"/>
      <c r="J622" s="7734"/>
      <c r="K622" s="233"/>
      <c r="L622" s="6478"/>
    </row>
    <row r="623" spans="1:12" ht="30" customHeight="1" x14ac:dyDescent="0.2">
      <c r="A623" s="7656"/>
      <c r="B623" s="7665"/>
      <c r="C623" s="7747"/>
      <c r="D623" s="6390">
        <f>2432000000-245000000</f>
        <v>2187000000</v>
      </c>
      <c r="E623" s="6390"/>
      <c r="F623" s="6390">
        <v>188940000</v>
      </c>
      <c r="G623" s="8520" t="s">
        <v>6294</v>
      </c>
      <c r="H623" s="8521"/>
      <c r="I623" s="8521"/>
      <c r="J623" s="8522"/>
      <c r="K623" s="233"/>
      <c r="L623" s="6478"/>
    </row>
    <row r="624" spans="1:12" ht="30" customHeight="1" x14ac:dyDescent="0.2">
      <c r="A624" s="7656"/>
      <c r="B624" s="7665"/>
      <c r="C624" s="7747"/>
      <c r="D624" s="6385">
        <v>120000000</v>
      </c>
      <c r="E624" s="6385"/>
      <c r="F624" s="6385"/>
      <c r="G624" s="7732" t="s">
        <v>7133</v>
      </c>
      <c r="H624" s="7733"/>
      <c r="I624" s="7733"/>
      <c r="J624" s="7734"/>
      <c r="K624" s="233"/>
      <c r="L624" s="6478" t="s">
        <v>6925</v>
      </c>
    </row>
    <row r="625" spans="1:12" ht="30" customHeight="1" x14ac:dyDescent="0.2">
      <c r="A625" s="7656"/>
      <c r="B625" s="7665"/>
      <c r="C625" s="7747"/>
      <c r="D625" s="6385">
        <v>50000000</v>
      </c>
      <c r="E625" s="6385"/>
      <c r="F625" s="6385"/>
      <c r="G625" s="7732" t="s">
        <v>7132</v>
      </c>
      <c r="H625" s="7733"/>
      <c r="I625" s="7733"/>
      <c r="J625" s="7734"/>
      <c r="K625" s="233"/>
      <c r="L625" s="6478" t="s">
        <v>6926</v>
      </c>
    </row>
    <row r="626" spans="1:12" ht="30" customHeight="1" x14ac:dyDescent="0.2">
      <c r="A626" s="7656"/>
      <c r="B626" s="7665"/>
      <c r="C626" s="7747"/>
      <c r="D626" s="6390">
        <f>D623+D624+D625</f>
        <v>2357000000</v>
      </c>
      <c r="E626" s="6390"/>
      <c r="F626" s="6390">
        <v>202540000</v>
      </c>
      <c r="G626" s="7732" t="s">
        <v>6294</v>
      </c>
      <c r="H626" s="7733"/>
      <c r="I626" s="7733"/>
      <c r="J626" s="7734"/>
      <c r="K626" s="233"/>
      <c r="L626" s="6478"/>
    </row>
    <row r="627" spans="1:12" ht="30" customHeight="1" x14ac:dyDescent="0.2">
      <c r="A627" s="7656"/>
      <c r="B627" s="7665"/>
      <c r="C627" s="7747"/>
      <c r="D627" s="8063" t="s">
        <v>7469</v>
      </c>
      <c r="E627" s="8064"/>
      <c r="F627" s="8065"/>
      <c r="G627" s="7732" t="s">
        <v>7468</v>
      </c>
      <c r="H627" s="7733"/>
      <c r="I627" s="7733"/>
      <c r="J627" s="7734"/>
      <c r="K627" s="227"/>
      <c r="L627" s="6478"/>
    </row>
    <row r="628" spans="1:12" ht="30" customHeight="1" x14ac:dyDescent="0.2">
      <c r="A628" s="7656"/>
      <c r="B628" s="7665"/>
      <c r="C628" s="7747"/>
      <c r="D628" s="8572"/>
      <c r="E628" s="8573"/>
      <c r="F628" s="8574"/>
      <c r="G628" s="6385"/>
      <c r="H628" s="6385"/>
      <c r="I628" s="6385" t="s">
        <v>785</v>
      </c>
      <c r="J628" s="6385">
        <f>G628</f>
        <v>0</v>
      </c>
      <c r="K628" s="227"/>
      <c r="L628" s="6478" t="s">
        <v>7492</v>
      </c>
    </row>
    <row r="629" spans="1:12" ht="30" customHeight="1" x14ac:dyDescent="0.2">
      <c r="A629" s="7656"/>
      <c r="B629" s="7665"/>
      <c r="C629" s="7747"/>
      <c r="D629" s="8572"/>
      <c r="E629" s="8573"/>
      <c r="F629" s="8574"/>
      <c r="G629" s="6385"/>
      <c r="H629" s="6385"/>
      <c r="I629" s="6385" t="s">
        <v>7758</v>
      </c>
      <c r="J629" s="6385">
        <f>G629</f>
        <v>0</v>
      </c>
      <c r="K629" s="227"/>
      <c r="L629" s="6478" t="s">
        <v>7759</v>
      </c>
    </row>
    <row r="630" spans="1:12" ht="30" customHeight="1" x14ac:dyDescent="0.2">
      <c r="A630" s="7656"/>
      <c r="B630" s="7665"/>
      <c r="C630" s="7747"/>
      <c r="D630" s="8572"/>
      <c r="E630" s="8573"/>
      <c r="F630" s="8574"/>
      <c r="G630" s="6385"/>
      <c r="H630" s="6385"/>
      <c r="I630" s="6385" t="s">
        <v>7758</v>
      </c>
      <c r="J630" s="6385">
        <f>G630</f>
        <v>0</v>
      </c>
      <c r="K630" s="233"/>
      <c r="L630" s="6478" t="s">
        <v>7759</v>
      </c>
    </row>
    <row r="631" spans="1:12" ht="30" customHeight="1" x14ac:dyDescent="0.2">
      <c r="A631" s="7656"/>
      <c r="B631" s="7665"/>
      <c r="C631" s="7747"/>
      <c r="D631" s="8066"/>
      <c r="E631" s="8067"/>
      <c r="F631" s="8068"/>
      <c r="G631" s="6385"/>
      <c r="H631" s="6385"/>
      <c r="I631" s="6385" t="s">
        <v>7758</v>
      </c>
      <c r="J631" s="6385">
        <f>G631</f>
        <v>0</v>
      </c>
      <c r="K631" s="227"/>
      <c r="L631" s="6478" t="s">
        <v>7759</v>
      </c>
    </row>
    <row r="632" spans="1:12" ht="30" customHeight="1" x14ac:dyDescent="0.2">
      <c r="A632" s="7656"/>
      <c r="B632" s="7665"/>
      <c r="C632" s="7747"/>
      <c r="D632" s="6393">
        <v>500000000</v>
      </c>
      <c r="E632" s="6402"/>
      <c r="F632" s="6393"/>
      <c r="G632" s="7732" t="s">
        <v>7656</v>
      </c>
      <c r="H632" s="7733"/>
      <c r="I632" s="7733"/>
      <c r="J632" s="7734"/>
      <c r="K632" s="227"/>
      <c r="L632" s="6478" t="s">
        <v>7654</v>
      </c>
    </row>
    <row r="633" spans="1:12" ht="30" customHeight="1" x14ac:dyDescent="0.2">
      <c r="A633" s="7656"/>
      <c r="B633" s="7665"/>
      <c r="C633" s="7747"/>
      <c r="D633" s="6393">
        <v>60000000</v>
      </c>
      <c r="E633" s="6402"/>
      <c r="F633" s="6393"/>
      <c r="G633" s="6385"/>
      <c r="H633" s="6385"/>
      <c r="I633" s="6385"/>
      <c r="J633" s="6385"/>
      <c r="K633" s="227"/>
      <c r="L633" s="6478" t="s">
        <v>7655</v>
      </c>
    </row>
    <row r="634" spans="1:12" ht="30" customHeight="1" x14ac:dyDescent="0.2">
      <c r="A634" s="7656"/>
      <c r="B634" s="7665"/>
      <c r="C634" s="7747"/>
      <c r="D634" s="6417">
        <v>560000000</v>
      </c>
      <c r="E634" s="6415">
        <v>0.09</v>
      </c>
      <c r="F634" s="6417">
        <f>D634*E634</f>
        <v>50400000</v>
      </c>
      <c r="G634" s="7732" t="s">
        <v>7657</v>
      </c>
      <c r="H634" s="7733"/>
      <c r="I634" s="7733"/>
      <c r="J634" s="7734"/>
      <c r="K634" s="227"/>
      <c r="L634" s="6478"/>
    </row>
    <row r="635" spans="1:12" ht="30" customHeight="1" x14ac:dyDescent="0.2">
      <c r="A635" s="7655"/>
      <c r="B635" s="7653"/>
      <c r="C635" s="7724"/>
      <c r="D635" s="6494">
        <f>D626+D634</f>
        <v>2917000000</v>
      </c>
      <c r="E635" s="6496"/>
      <c r="F635" s="6494"/>
      <c r="G635" s="7732" t="s">
        <v>7658</v>
      </c>
      <c r="H635" s="7733"/>
      <c r="I635" s="7733"/>
      <c r="J635" s="7734"/>
      <c r="K635" s="227"/>
      <c r="L635" s="6478"/>
    </row>
    <row r="636" spans="1:12" ht="30" customHeight="1" x14ac:dyDescent="0.2">
      <c r="A636" s="7661">
        <v>305</v>
      </c>
      <c r="B636" s="7652" t="s">
        <v>152</v>
      </c>
      <c r="C636" s="7723" t="s">
        <v>1796</v>
      </c>
      <c r="D636" s="7563">
        <v>1200000000</v>
      </c>
      <c r="E636" s="7659">
        <v>7.0000000000000007E-2</v>
      </c>
      <c r="F636" s="7563">
        <f>D636*E636</f>
        <v>84000000.000000015</v>
      </c>
      <c r="G636" s="7732" t="s">
        <v>7875</v>
      </c>
      <c r="H636" s="7733"/>
      <c r="I636" s="7733"/>
      <c r="J636" s="7733"/>
      <c r="K636" s="7734"/>
      <c r="L636" s="345"/>
    </row>
    <row r="637" spans="1:12" ht="30" customHeight="1" x14ac:dyDescent="0.2">
      <c r="A637" s="7662"/>
      <c r="B637" s="7665"/>
      <c r="C637" s="7747"/>
      <c r="D637" s="7586"/>
      <c r="E637" s="7676"/>
      <c r="F637" s="7586"/>
      <c r="G637" s="6391">
        <v>15000000</v>
      </c>
      <c r="H637" s="6391" t="s">
        <v>7864</v>
      </c>
      <c r="I637" s="6391" t="s">
        <v>4135</v>
      </c>
      <c r="J637" s="7563">
        <f>G637+G638+G639+G640</f>
        <v>15000000</v>
      </c>
      <c r="K637" s="7563">
        <f>67500000-G637</f>
        <v>52500000</v>
      </c>
      <c r="L637" s="8463" t="s">
        <v>6787</v>
      </c>
    </row>
    <row r="638" spans="1:12" ht="30" customHeight="1" x14ac:dyDescent="0.2">
      <c r="A638" s="7662"/>
      <c r="B638" s="7665"/>
      <c r="C638" s="7747"/>
      <c r="D638" s="7586"/>
      <c r="E638" s="7676"/>
      <c r="F638" s="7586"/>
      <c r="G638" s="6391"/>
      <c r="H638" s="6391"/>
      <c r="I638" s="6391" t="s">
        <v>3772</v>
      </c>
      <c r="J638" s="7586"/>
      <c r="K638" s="7586"/>
      <c r="L638" s="8463"/>
    </row>
    <row r="639" spans="1:12" ht="30" customHeight="1" x14ac:dyDescent="0.2">
      <c r="A639" s="7662"/>
      <c r="B639" s="7665"/>
      <c r="C639" s="7747"/>
      <c r="D639" s="7586"/>
      <c r="E639" s="7676"/>
      <c r="F639" s="7586"/>
      <c r="G639" s="6391"/>
      <c r="H639" s="6391"/>
      <c r="I639" s="6391" t="s">
        <v>7519</v>
      </c>
      <c r="J639" s="7586"/>
      <c r="K639" s="7586"/>
      <c r="L639" s="8463"/>
    </row>
    <row r="640" spans="1:12" ht="30" customHeight="1" x14ac:dyDescent="0.2">
      <c r="A640" s="7662"/>
      <c r="B640" s="7665"/>
      <c r="C640" s="7747"/>
      <c r="D640" s="7564"/>
      <c r="E640" s="7660"/>
      <c r="F640" s="7564"/>
      <c r="G640" s="6391"/>
      <c r="H640" s="6391"/>
      <c r="I640" s="6391" t="s">
        <v>7519</v>
      </c>
      <c r="J640" s="7564"/>
      <c r="K640" s="7564"/>
      <c r="L640" s="8463"/>
    </row>
    <row r="641" spans="1:12" ht="30" customHeight="1" x14ac:dyDescent="0.2">
      <c r="A641" s="7662"/>
      <c r="B641" s="7665"/>
      <c r="C641" s="7747"/>
      <c r="D641" s="6393">
        <v>50000000</v>
      </c>
      <c r="E641" s="6402">
        <v>7.0000000000000007E-2</v>
      </c>
      <c r="F641" s="6393">
        <f>D641*E641</f>
        <v>3500000.0000000005</v>
      </c>
      <c r="G641" s="6590"/>
      <c r="H641" s="6590"/>
      <c r="I641" s="6590"/>
      <c r="J641" s="6590"/>
      <c r="K641" s="6385"/>
      <c r="L641" s="6478" t="s">
        <v>7640</v>
      </c>
    </row>
    <row r="642" spans="1:12" ht="30" customHeight="1" x14ac:dyDescent="0.2">
      <c r="A642" s="7662"/>
      <c r="B642" s="7665"/>
      <c r="C642" s="7724"/>
      <c r="D642" s="6494">
        <f>D636+D641</f>
        <v>1250000000</v>
      </c>
      <c r="E642" s="6496">
        <v>7.0000000000000007E-2</v>
      </c>
      <c r="F642" s="6494">
        <f>D642*E642</f>
        <v>87500000.000000015</v>
      </c>
      <c r="G642" s="8000" t="s">
        <v>7876</v>
      </c>
      <c r="H642" s="8000"/>
      <c r="I642" s="8000"/>
      <c r="J642" s="8000"/>
      <c r="K642" s="6385"/>
      <c r="L642" s="345"/>
    </row>
    <row r="643" spans="1:12" ht="30" customHeight="1" x14ac:dyDescent="0.2">
      <c r="A643" s="7662"/>
      <c r="B643" s="7665"/>
      <c r="C643" s="7723" t="s">
        <v>1796</v>
      </c>
      <c r="D643" s="7563">
        <f>D637+D642</f>
        <v>1250000000</v>
      </c>
      <c r="E643" s="7659">
        <v>7.0000000000000007E-2</v>
      </c>
      <c r="F643" s="7563">
        <f>D643*E643</f>
        <v>87500000.000000015</v>
      </c>
      <c r="G643" s="6391"/>
      <c r="H643" s="6391"/>
      <c r="I643" s="6391" t="s">
        <v>2394</v>
      </c>
      <c r="J643" s="7563">
        <f>G643+G644</f>
        <v>0</v>
      </c>
      <c r="K643" s="7563">
        <f>F643-J643</f>
        <v>87500000.000000015</v>
      </c>
      <c r="L643" s="345"/>
    </row>
    <row r="644" spans="1:12" ht="30" customHeight="1" x14ac:dyDescent="0.2">
      <c r="A644" s="7663"/>
      <c r="B644" s="7653"/>
      <c r="C644" s="7724"/>
      <c r="D644" s="7564"/>
      <c r="E644" s="7660"/>
      <c r="F644" s="7564"/>
      <c r="G644" s="6391"/>
      <c r="H644" s="6391"/>
      <c r="I644" s="6391" t="s">
        <v>4135</v>
      </c>
      <c r="J644" s="7564"/>
      <c r="K644" s="7564"/>
      <c r="L644" s="345"/>
    </row>
    <row r="645" spans="1:12" ht="30" customHeight="1" x14ac:dyDescent="0.2">
      <c r="A645" s="6475">
        <v>307</v>
      </c>
      <c r="B645" s="6431" t="s">
        <v>154</v>
      </c>
      <c r="C645" s="6472" t="s">
        <v>1306</v>
      </c>
      <c r="D645" s="6393">
        <v>300000000</v>
      </c>
      <c r="E645" s="6471">
        <v>0.05</v>
      </c>
      <c r="F645" s="6393">
        <f t="shared" si="52"/>
        <v>15000000</v>
      </c>
      <c r="G645" s="6391"/>
      <c r="H645" s="6391"/>
      <c r="I645" s="6403" t="s">
        <v>2409</v>
      </c>
      <c r="J645" s="6391">
        <f>G645</f>
        <v>0</v>
      </c>
      <c r="K645" s="6391">
        <f>F645-J645</f>
        <v>15000000</v>
      </c>
      <c r="L645" s="6503"/>
    </row>
    <row r="646" spans="1:12" ht="30" customHeight="1" x14ac:dyDescent="0.2">
      <c r="A646" s="7654">
        <v>308</v>
      </c>
      <c r="B646" s="7864" t="s">
        <v>155</v>
      </c>
      <c r="C646" s="7723" t="s">
        <v>1294</v>
      </c>
      <c r="D646" s="7563">
        <v>702000000</v>
      </c>
      <c r="E646" s="7659">
        <v>0.06</v>
      </c>
      <c r="F646" s="7563">
        <f t="shared" si="52"/>
        <v>42120000</v>
      </c>
      <c r="G646" s="6385"/>
      <c r="H646" s="6385"/>
      <c r="I646" s="18" t="s">
        <v>1873</v>
      </c>
      <c r="J646" s="7563">
        <f>G646+G647</f>
        <v>0</v>
      </c>
      <c r="K646" s="7563">
        <f>F646-J646</f>
        <v>42120000</v>
      </c>
      <c r="L646" s="345"/>
    </row>
    <row r="647" spans="1:12" ht="30" customHeight="1" x14ac:dyDescent="0.2">
      <c r="A647" s="7655"/>
      <c r="B647" s="7866"/>
      <c r="C647" s="7724"/>
      <c r="D647" s="7564"/>
      <c r="E647" s="7660"/>
      <c r="F647" s="7564"/>
      <c r="G647" s="6385"/>
      <c r="H647" s="6385"/>
      <c r="I647" s="18" t="s">
        <v>1873</v>
      </c>
      <c r="J647" s="7564"/>
      <c r="K647" s="7564"/>
      <c r="L647" s="735"/>
    </row>
    <row r="648" spans="1:12" ht="30" customHeight="1" x14ac:dyDescent="0.2">
      <c r="A648" s="6397">
        <v>309</v>
      </c>
      <c r="B648" s="6399" t="s">
        <v>1874</v>
      </c>
      <c r="C648" s="6472" t="s">
        <v>372</v>
      </c>
      <c r="D648" s="6393">
        <v>200000000</v>
      </c>
      <c r="E648" s="6402">
        <v>0.06</v>
      </c>
      <c r="F648" s="6393">
        <f>D648*E648</f>
        <v>12000000</v>
      </c>
      <c r="G648" s="6385"/>
      <c r="H648" s="6385"/>
      <c r="I648" s="18" t="s">
        <v>1873</v>
      </c>
      <c r="J648" s="6385">
        <f>G648</f>
        <v>0</v>
      </c>
      <c r="K648" s="6385">
        <f>F648-J648</f>
        <v>12000000</v>
      </c>
      <c r="L648" s="710"/>
    </row>
    <row r="649" spans="1:12" ht="30" customHeight="1" x14ac:dyDescent="0.2">
      <c r="A649" s="6397">
        <v>310</v>
      </c>
      <c r="B649" s="6431" t="s">
        <v>157</v>
      </c>
      <c r="C649" s="6434" t="s">
        <v>392</v>
      </c>
      <c r="D649" s="6393">
        <v>100000000</v>
      </c>
      <c r="E649" s="6402">
        <v>0.05</v>
      </c>
      <c r="F649" s="6393">
        <f t="shared" ref="F649:F675" si="58">D649*E649</f>
        <v>5000000</v>
      </c>
      <c r="G649" s="6393">
        <v>5000000</v>
      </c>
      <c r="H649" s="6393" t="s">
        <v>7864</v>
      </c>
      <c r="I649" s="6512" t="s">
        <v>4884</v>
      </c>
      <c r="J649" s="6393">
        <f>G649</f>
        <v>5000000</v>
      </c>
      <c r="K649" s="6393">
        <f t="shared" ref="K649:K657" si="59">F649-J649</f>
        <v>0</v>
      </c>
      <c r="L649" s="6503"/>
    </row>
    <row r="650" spans="1:12" ht="30" customHeight="1" x14ac:dyDescent="0.2">
      <c r="A650" s="7654">
        <v>311</v>
      </c>
      <c r="B650" s="7652" t="s">
        <v>158</v>
      </c>
      <c r="C650" s="7723" t="s">
        <v>889</v>
      </c>
      <c r="D650" s="6393">
        <v>85000000</v>
      </c>
      <c r="E650" s="6471">
        <v>0.05</v>
      </c>
      <c r="F650" s="6393">
        <f t="shared" si="58"/>
        <v>4250000</v>
      </c>
      <c r="G650" s="7563"/>
      <c r="H650" s="7563"/>
      <c r="I650" s="7762" t="s">
        <v>3970</v>
      </c>
      <c r="J650" s="7563">
        <f>G650</f>
        <v>0</v>
      </c>
      <c r="K650" s="7563">
        <f>(F650+F651)-J650</f>
        <v>9250000</v>
      </c>
      <c r="L650" s="6425"/>
    </row>
    <row r="651" spans="1:12" ht="30" customHeight="1" x14ac:dyDescent="0.2">
      <c r="A651" s="7655"/>
      <c r="B651" s="7653"/>
      <c r="C651" s="7724"/>
      <c r="D651" s="6393">
        <v>100000000</v>
      </c>
      <c r="E651" s="6471">
        <v>0.05</v>
      </c>
      <c r="F651" s="6393">
        <f t="shared" si="58"/>
        <v>5000000</v>
      </c>
      <c r="G651" s="7564"/>
      <c r="H651" s="7564"/>
      <c r="I651" s="7763"/>
      <c r="J651" s="7564"/>
      <c r="K651" s="7564"/>
      <c r="L651" s="6426"/>
    </row>
    <row r="652" spans="1:12" ht="30" customHeight="1" x14ac:dyDescent="0.2">
      <c r="A652" s="6397">
        <v>312</v>
      </c>
      <c r="B652" s="6431" t="s">
        <v>159</v>
      </c>
      <c r="C652" s="6434"/>
      <c r="D652" s="6411"/>
      <c r="E652" s="2519"/>
      <c r="F652" s="6411">
        <f t="shared" si="58"/>
        <v>0</v>
      </c>
      <c r="G652" s="6393"/>
      <c r="H652" s="6393"/>
      <c r="I652" s="6512" t="s">
        <v>5916</v>
      </c>
      <c r="J652" s="6393">
        <f>G652</f>
        <v>0</v>
      </c>
      <c r="K652" s="6411">
        <f t="shared" si="59"/>
        <v>0</v>
      </c>
      <c r="L652" s="6431"/>
    </row>
    <row r="653" spans="1:12" ht="30" customHeight="1" x14ac:dyDescent="0.2">
      <c r="A653" s="3316">
        <v>313</v>
      </c>
      <c r="B653" s="6431" t="s">
        <v>161</v>
      </c>
      <c r="C653" s="6472" t="s">
        <v>1652</v>
      </c>
      <c r="D653" s="6385">
        <v>152000000</v>
      </c>
      <c r="E653" s="6471">
        <v>0.05</v>
      </c>
      <c r="F653" s="6385">
        <f>D653*E653</f>
        <v>7600000</v>
      </c>
      <c r="G653" s="6385"/>
      <c r="H653" s="6385"/>
      <c r="I653" s="6467" t="s">
        <v>3468</v>
      </c>
      <c r="J653" s="6385">
        <f>G653</f>
        <v>0</v>
      </c>
      <c r="K653" s="6385">
        <f t="shared" si="59"/>
        <v>7600000</v>
      </c>
      <c r="L653" s="6483"/>
    </row>
    <row r="654" spans="1:12" ht="30" customHeight="1" x14ac:dyDescent="0.2">
      <c r="A654" s="7654">
        <v>315</v>
      </c>
      <c r="B654" s="7652" t="s">
        <v>163</v>
      </c>
      <c r="C654" s="7723" t="s">
        <v>1176</v>
      </c>
      <c r="D654" s="6385">
        <v>400000000</v>
      </c>
      <c r="E654" s="6471">
        <v>6.3E-2</v>
      </c>
      <c r="F654" s="6385">
        <v>25000000</v>
      </c>
      <c r="G654" s="7563"/>
      <c r="H654" s="7563"/>
      <c r="I654" s="7563" t="s">
        <v>1806</v>
      </c>
      <c r="J654" s="7563">
        <f>G654</f>
        <v>0</v>
      </c>
      <c r="K654" s="7563">
        <f>(F654+F655)-J654</f>
        <v>30000000</v>
      </c>
      <c r="L654" s="6478" t="s">
        <v>7532</v>
      </c>
    </row>
    <row r="655" spans="1:12" ht="30" customHeight="1" x14ac:dyDescent="0.2">
      <c r="A655" s="7655"/>
      <c r="B655" s="7653"/>
      <c r="C655" s="7724"/>
      <c r="D655" s="6393">
        <v>100000000</v>
      </c>
      <c r="E655" s="6402">
        <v>0.05</v>
      </c>
      <c r="F655" s="6393">
        <f>D655*E655</f>
        <v>5000000</v>
      </c>
      <c r="G655" s="7564"/>
      <c r="H655" s="7564"/>
      <c r="I655" s="7564"/>
      <c r="J655" s="7564"/>
      <c r="K655" s="7564"/>
      <c r="L655" s="6478"/>
    </row>
    <row r="656" spans="1:12" ht="30" customHeight="1" x14ac:dyDescent="0.2">
      <c r="A656" s="6475">
        <v>316</v>
      </c>
      <c r="B656" s="6400" t="s">
        <v>164</v>
      </c>
      <c r="C656" s="6434"/>
      <c r="D656" s="6393">
        <v>35000000</v>
      </c>
      <c r="E656" s="6402">
        <v>0.04</v>
      </c>
      <c r="F656" s="6393">
        <f>D656*E656</f>
        <v>1400000</v>
      </c>
      <c r="G656" s="6393"/>
      <c r="H656" s="6393"/>
      <c r="I656" s="6446" t="s">
        <v>1724</v>
      </c>
      <c r="J656" s="6393">
        <f t="shared" ref="J656:J681" si="60">G656</f>
        <v>0</v>
      </c>
      <c r="K656" s="6393">
        <f t="shared" si="59"/>
        <v>1400000</v>
      </c>
      <c r="L656" s="6431"/>
    </row>
    <row r="657" spans="1:12" ht="30" customHeight="1" x14ac:dyDescent="0.2">
      <c r="A657" s="6475">
        <v>317</v>
      </c>
      <c r="B657" s="6431" t="s">
        <v>4529</v>
      </c>
      <c r="C657" s="6472" t="s">
        <v>359</v>
      </c>
      <c r="D657" s="6393">
        <v>300000000</v>
      </c>
      <c r="E657" s="6471">
        <v>0.05</v>
      </c>
      <c r="F657" s="6393">
        <f>D657*E657</f>
        <v>15000000</v>
      </c>
      <c r="G657" s="6385"/>
      <c r="H657" s="6385"/>
      <c r="I657" s="6466" t="s">
        <v>2026</v>
      </c>
      <c r="J657" s="6385">
        <f>G657</f>
        <v>0</v>
      </c>
      <c r="K657" s="6393">
        <f t="shared" si="59"/>
        <v>15000000</v>
      </c>
      <c r="L657" s="6503"/>
    </row>
    <row r="658" spans="1:12" ht="30" customHeight="1" x14ac:dyDescent="0.2">
      <c r="A658" s="7654"/>
      <c r="B658" s="7652" t="s">
        <v>165</v>
      </c>
      <c r="C658" s="7723" t="s">
        <v>1287</v>
      </c>
      <c r="D658" s="6393">
        <v>210000000</v>
      </c>
      <c r="E658" s="6471">
        <v>0.06</v>
      </c>
      <c r="F658" s="6393">
        <f>D658*E658</f>
        <v>12600000</v>
      </c>
      <c r="G658" s="6385"/>
      <c r="H658" s="6385"/>
      <c r="I658" s="6466" t="s">
        <v>2996</v>
      </c>
      <c r="J658" s="7563">
        <f>G658+G659+G660</f>
        <v>0</v>
      </c>
      <c r="K658" s="7563">
        <f>(F658+F659+F660)-J658-100000</f>
        <v>43000000</v>
      </c>
      <c r="L658" s="6503" t="s">
        <v>2709</v>
      </c>
    </row>
    <row r="659" spans="1:12" ht="30" customHeight="1" x14ac:dyDescent="0.2">
      <c r="A659" s="7656"/>
      <c r="B659" s="7665"/>
      <c r="C659" s="7747"/>
      <c r="D659" s="6393">
        <v>200000000</v>
      </c>
      <c r="E659" s="6471">
        <v>0.06</v>
      </c>
      <c r="F659" s="6393">
        <f>D659*E659</f>
        <v>12000000</v>
      </c>
      <c r="G659" s="6385"/>
      <c r="H659" s="6385"/>
      <c r="I659" s="6466" t="s">
        <v>2996</v>
      </c>
      <c r="J659" s="7586"/>
      <c r="K659" s="7586"/>
      <c r="L659" s="6503" t="s">
        <v>5090</v>
      </c>
    </row>
    <row r="660" spans="1:12" ht="30" customHeight="1" x14ac:dyDescent="0.2">
      <c r="A660" s="7655"/>
      <c r="B660" s="7653"/>
      <c r="C660" s="7724"/>
      <c r="D660" s="7470" t="s">
        <v>5163</v>
      </c>
      <c r="E660" s="7510"/>
      <c r="F660" s="6393">
        <v>18500000</v>
      </c>
      <c r="G660" s="6385"/>
      <c r="H660" s="6467"/>
      <c r="I660" s="6466" t="s">
        <v>2996</v>
      </c>
      <c r="J660" s="7564"/>
      <c r="K660" s="7564"/>
      <c r="L660" s="6546" t="s">
        <v>6394</v>
      </c>
    </row>
    <row r="661" spans="1:12" ht="30" customHeight="1" x14ac:dyDescent="0.2">
      <c r="A661" s="7654">
        <v>318</v>
      </c>
      <c r="B661" s="7652" t="s">
        <v>167</v>
      </c>
      <c r="C661" s="7723"/>
      <c r="D661" s="6393">
        <v>80000000</v>
      </c>
      <c r="E661" s="6471">
        <v>0.05</v>
      </c>
      <c r="F661" s="6393">
        <f t="shared" si="58"/>
        <v>4000000</v>
      </c>
      <c r="G661" s="7563"/>
      <c r="H661" s="7563"/>
      <c r="I661" s="7772" t="s">
        <v>4452</v>
      </c>
      <c r="J661" s="7563">
        <f t="shared" si="60"/>
        <v>0</v>
      </c>
      <c r="K661" s="7563">
        <f>(F661+F662)-J661</f>
        <v>12500000</v>
      </c>
      <c r="L661" s="6503" t="s">
        <v>7002</v>
      </c>
    </row>
    <row r="662" spans="1:12" ht="30" customHeight="1" x14ac:dyDescent="0.2">
      <c r="A662" s="7656"/>
      <c r="B662" s="7665"/>
      <c r="C662" s="7747"/>
      <c r="D662" s="6393">
        <v>170000000</v>
      </c>
      <c r="E662" s="6471">
        <v>0.05</v>
      </c>
      <c r="F662" s="6393">
        <f t="shared" si="58"/>
        <v>8500000</v>
      </c>
      <c r="G662" s="7564"/>
      <c r="H662" s="7564"/>
      <c r="I662" s="7773"/>
      <c r="J662" s="7564"/>
      <c r="K662" s="7564"/>
      <c r="L662" s="6503" t="s">
        <v>5207</v>
      </c>
    </row>
    <row r="663" spans="1:12" ht="30" customHeight="1" x14ac:dyDescent="0.2">
      <c r="A663" s="7656"/>
      <c r="B663" s="7665"/>
      <c r="C663" s="7747"/>
      <c r="D663" s="6393">
        <v>30000000</v>
      </c>
      <c r="E663" s="6471">
        <v>0.06</v>
      </c>
      <c r="F663" s="6393">
        <f t="shared" si="58"/>
        <v>1800000</v>
      </c>
      <c r="G663" s="7732" t="s">
        <v>6953</v>
      </c>
      <c r="H663" s="7733"/>
      <c r="I663" s="7733"/>
      <c r="J663" s="7734"/>
      <c r="K663" s="7563">
        <f>F665-J665</f>
        <v>22800000</v>
      </c>
      <c r="L663" s="6503" t="s">
        <v>6954</v>
      </c>
    </row>
    <row r="664" spans="1:12" ht="30" customHeight="1" x14ac:dyDescent="0.2">
      <c r="A664" s="7656"/>
      <c r="B664" s="7665"/>
      <c r="C664" s="7747"/>
      <c r="D664" s="6393">
        <v>100000000</v>
      </c>
      <c r="E664" s="6471">
        <v>0.06</v>
      </c>
      <c r="F664" s="6393">
        <f t="shared" si="58"/>
        <v>6000000</v>
      </c>
      <c r="G664" s="7732" t="s">
        <v>7279</v>
      </c>
      <c r="H664" s="7733"/>
      <c r="I664" s="7733"/>
      <c r="J664" s="7734"/>
      <c r="K664" s="7586"/>
      <c r="L664" s="6503"/>
    </row>
    <row r="665" spans="1:12" ht="30" customHeight="1" x14ac:dyDescent="0.2">
      <c r="A665" s="7655"/>
      <c r="B665" s="7653"/>
      <c r="C665" s="7724"/>
      <c r="D665" s="6494">
        <v>380000000</v>
      </c>
      <c r="E665" s="6552">
        <v>0.06</v>
      </c>
      <c r="F665" s="6494">
        <f>D665*E665</f>
        <v>22800000</v>
      </c>
      <c r="G665" s="6385"/>
      <c r="H665" s="6385"/>
      <c r="I665" s="6385" t="s">
        <v>7520</v>
      </c>
      <c r="J665" s="6385">
        <f>G665</f>
        <v>0</v>
      </c>
      <c r="K665" s="7564"/>
      <c r="L665" s="6503"/>
    </row>
    <row r="666" spans="1:12" ht="30" customHeight="1" x14ac:dyDescent="0.2">
      <c r="A666" s="7654">
        <v>320</v>
      </c>
      <c r="B666" s="7652" t="s">
        <v>169</v>
      </c>
      <c r="C666" s="7723" t="s">
        <v>1300</v>
      </c>
      <c r="D666" s="6494">
        <v>135000000</v>
      </c>
      <c r="E666" s="6552">
        <v>0.06</v>
      </c>
      <c r="F666" s="6494">
        <v>8000000</v>
      </c>
      <c r="G666" s="7563"/>
      <c r="H666" s="7563"/>
      <c r="I666" s="7561" t="s">
        <v>2078</v>
      </c>
      <c r="J666" s="7563">
        <f t="shared" si="60"/>
        <v>0</v>
      </c>
      <c r="K666" s="7563"/>
      <c r="L666" s="6503"/>
    </row>
    <row r="667" spans="1:12" ht="30" customHeight="1" x14ac:dyDescent="0.2">
      <c r="A667" s="7656"/>
      <c r="B667" s="7665"/>
      <c r="C667" s="7747"/>
      <c r="D667" s="6494">
        <v>35000000</v>
      </c>
      <c r="E667" s="6552">
        <v>0.05</v>
      </c>
      <c r="F667" s="6494">
        <f>D667*E667</f>
        <v>1750000</v>
      </c>
      <c r="G667" s="7564"/>
      <c r="H667" s="7564"/>
      <c r="I667" s="7562"/>
      <c r="J667" s="7564"/>
      <c r="K667" s="7564"/>
      <c r="L667" s="6503" t="s">
        <v>3458</v>
      </c>
    </row>
    <row r="668" spans="1:12" ht="30" customHeight="1" x14ac:dyDescent="0.2">
      <c r="A668" s="7656"/>
      <c r="B668" s="7665"/>
      <c r="C668" s="7747"/>
      <c r="D668" s="6393">
        <v>50000000</v>
      </c>
      <c r="E668" s="6471">
        <v>0.05</v>
      </c>
      <c r="F668" s="6393">
        <f>D668*E668</f>
        <v>2500000</v>
      </c>
      <c r="G668" s="7732" t="s">
        <v>7402</v>
      </c>
      <c r="H668" s="7733"/>
      <c r="I668" s="7733"/>
      <c r="J668" s="7734"/>
      <c r="K668" s="6393"/>
      <c r="L668" s="6503" t="s">
        <v>7403</v>
      </c>
    </row>
    <row r="669" spans="1:12" ht="30" customHeight="1" x14ac:dyDescent="0.2">
      <c r="A669" s="7656"/>
      <c r="B669" s="7665"/>
      <c r="C669" s="7747"/>
      <c r="D669" s="6393">
        <v>35000000</v>
      </c>
      <c r="E669" s="6471">
        <v>0.05</v>
      </c>
      <c r="F669" s="6393">
        <f>D669*E669</f>
        <v>1750000</v>
      </c>
      <c r="G669" s="7732" t="s">
        <v>7404</v>
      </c>
      <c r="H669" s="7733"/>
      <c r="I669" s="7733"/>
      <c r="J669" s="7734"/>
      <c r="K669" s="6393"/>
      <c r="L669" s="6503" t="s">
        <v>7405</v>
      </c>
    </row>
    <row r="670" spans="1:12" ht="30" customHeight="1" x14ac:dyDescent="0.2">
      <c r="A670" s="7655"/>
      <c r="B670" s="7653"/>
      <c r="C670" s="7724"/>
      <c r="D670" s="6494">
        <v>85000000</v>
      </c>
      <c r="E670" s="6552">
        <v>0.05</v>
      </c>
      <c r="F670" s="6494">
        <f>D670*E670</f>
        <v>4250000</v>
      </c>
      <c r="G670" s="6393"/>
      <c r="H670" s="6393"/>
      <c r="I670" s="6404"/>
      <c r="J670" s="6393"/>
      <c r="K670" s="6393"/>
      <c r="L670" s="6503" t="s">
        <v>7024</v>
      </c>
    </row>
    <row r="671" spans="1:12" ht="30" customHeight="1" x14ac:dyDescent="0.2">
      <c r="A671" s="6397">
        <v>321</v>
      </c>
      <c r="B671" s="19" t="s">
        <v>171</v>
      </c>
      <c r="C671" s="6472" t="s">
        <v>3007</v>
      </c>
      <c r="D671" s="6385">
        <v>5000000</v>
      </c>
      <c r="E671" s="6471">
        <v>0.04</v>
      </c>
      <c r="F671" s="6385">
        <f t="shared" si="58"/>
        <v>200000</v>
      </c>
      <c r="G671" s="6385"/>
      <c r="H671" s="6385"/>
      <c r="I671" s="6467" t="s">
        <v>1097</v>
      </c>
      <c r="J671" s="6385">
        <f t="shared" si="60"/>
        <v>0</v>
      </c>
      <c r="K671" s="6385">
        <f t="shared" ref="K671:K687" si="61">F671-J671</f>
        <v>200000</v>
      </c>
      <c r="L671" s="6503"/>
    </row>
    <row r="672" spans="1:12" ht="30" customHeight="1" x14ac:dyDescent="0.2">
      <c r="A672" s="7654">
        <v>322</v>
      </c>
      <c r="B672" s="7652" t="s">
        <v>1378</v>
      </c>
      <c r="C672" s="7723" t="s">
        <v>1081</v>
      </c>
      <c r="D672" s="6385">
        <v>10000000</v>
      </c>
      <c r="E672" s="6471">
        <v>0.05</v>
      </c>
      <c r="F672" s="6385">
        <f t="shared" si="58"/>
        <v>500000</v>
      </c>
      <c r="G672" s="7563"/>
      <c r="H672" s="7563"/>
      <c r="I672" s="7871" t="s">
        <v>1376</v>
      </c>
      <c r="J672" s="7563">
        <f t="shared" si="60"/>
        <v>0</v>
      </c>
      <c r="K672" s="7563">
        <f>F674-J672</f>
        <v>1500000</v>
      </c>
      <c r="L672" s="6503"/>
    </row>
    <row r="673" spans="1:12" ht="30" customHeight="1" x14ac:dyDescent="0.2">
      <c r="A673" s="7656"/>
      <c r="B673" s="7665"/>
      <c r="C673" s="7747"/>
      <c r="D673" s="6393">
        <v>18000000</v>
      </c>
      <c r="E673" s="6402"/>
      <c r="F673" s="6393"/>
      <c r="G673" s="7586"/>
      <c r="H673" s="7586"/>
      <c r="I673" s="8575"/>
      <c r="J673" s="7586"/>
      <c r="K673" s="7586"/>
      <c r="L673" s="6503" t="s">
        <v>7728</v>
      </c>
    </row>
    <row r="674" spans="1:12" ht="30" customHeight="1" x14ac:dyDescent="0.2">
      <c r="A674" s="7655"/>
      <c r="B674" s="7653"/>
      <c r="C674" s="7724"/>
      <c r="D674" s="6494">
        <v>28000000</v>
      </c>
      <c r="E674" s="6496">
        <v>5.2999999999999999E-2</v>
      </c>
      <c r="F674" s="6494">
        <v>1500000</v>
      </c>
      <c r="G674" s="7564"/>
      <c r="H674" s="7564"/>
      <c r="I674" s="7872"/>
      <c r="J674" s="7564"/>
      <c r="K674" s="7564"/>
      <c r="L674" s="6503" t="s">
        <v>7178</v>
      </c>
    </row>
    <row r="675" spans="1:12" ht="30" customHeight="1" x14ac:dyDescent="0.2">
      <c r="A675" s="6475">
        <v>323</v>
      </c>
      <c r="B675" s="6400" t="s">
        <v>172</v>
      </c>
      <c r="C675" s="6434"/>
      <c r="D675" s="6393">
        <v>60000000</v>
      </c>
      <c r="E675" s="6402">
        <v>4.4999999999999998E-2</v>
      </c>
      <c r="F675" s="6393">
        <f t="shared" si="58"/>
        <v>2700000</v>
      </c>
      <c r="G675" s="6393"/>
      <c r="H675" s="6393"/>
      <c r="I675" s="6436"/>
      <c r="J675" s="6393">
        <f t="shared" si="60"/>
        <v>0</v>
      </c>
      <c r="K675" s="6393">
        <f t="shared" si="61"/>
        <v>2700000</v>
      </c>
      <c r="L675" s="6431"/>
    </row>
    <row r="676" spans="1:12" ht="30" customHeight="1" x14ac:dyDescent="0.2">
      <c r="A676" s="6475">
        <v>324</v>
      </c>
      <c r="B676" s="6431" t="s">
        <v>173</v>
      </c>
      <c r="C676" s="6434" t="s">
        <v>889</v>
      </c>
      <c r="D676" s="6393">
        <v>20000000</v>
      </c>
      <c r="E676" s="6471">
        <v>0.05</v>
      </c>
      <c r="F676" s="6393">
        <f>D676*E676</f>
        <v>1000000</v>
      </c>
      <c r="G676" s="6385"/>
      <c r="H676" s="6385"/>
      <c r="I676" s="6467" t="s">
        <v>264</v>
      </c>
      <c r="J676" s="6385">
        <f t="shared" si="60"/>
        <v>0</v>
      </c>
      <c r="K676" s="6385">
        <f t="shared" si="61"/>
        <v>1000000</v>
      </c>
      <c r="L676" s="6465"/>
    </row>
    <row r="677" spans="1:12" ht="30" customHeight="1" x14ac:dyDescent="0.2">
      <c r="A677" s="7654">
        <v>325</v>
      </c>
      <c r="B677" s="7652" t="s">
        <v>270</v>
      </c>
      <c r="C677" s="7723" t="s">
        <v>262</v>
      </c>
      <c r="D677" s="7563">
        <v>1000000000</v>
      </c>
      <c r="E677" s="7659">
        <v>6.0999999999999999E-2</v>
      </c>
      <c r="F677" s="7563">
        <v>61400000</v>
      </c>
      <c r="G677" s="6385"/>
      <c r="H677" s="6385"/>
      <c r="I677" s="6467" t="s">
        <v>2927</v>
      </c>
      <c r="J677" s="7563">
        <f>G677+G678</f>
        <v>0</v>
      </c>
      <c r="K677" s="7563">
        <f t="shared" si="61"/>
        <v>61400000</v>
      </c>
      <c r="L677" s="6433"/>
    </row>
    <row r="678" spans="1:12" ht="30" customHeight="1" x14ac:dyDescent="0.2">
      <c r="A678" s="7655"/>
      <c r="B678" s="7653"/>
      <c r="C678" s="7724"/>
      <c r="D678" s="7564"/>
      <c r="E678" s="7660"/>
      <c r="F678" s="7564"/>
      <c r="G678" s="6385"/>
      <c r="H678" s="6385"/>
      <c r="I678" s="6467" t="s">
        <v>2927</v>
      </c>
      <c r="J678" s="7564"/>
      <c r="K678" s="7564"/>
      <c r="L678" s="6433"/>
    </row>
    <row r="679" spans="1:12" ht="30" customHeight="1" x14ac:dyDescent="0.2">
      <c r="A679" s="7654">
        <v>326</v>
      </c>
      <c r="B679" s="7652" t="s">
        <v>176</v>
      </c>
      <c r="C679" s="7723" t="s">
        <v>1300</v>
      </c>
      <c r="D679" s="7563">
        <v>500000000</v>
      </c>
      <c r="E679" s="7659">
        <v>0.05</v>
      </c>
      <c r="F679" s="7563">
        <f>D679*E679</f>
        <v>25000000</v>
      </c>
      <c r="G679" s="6385"/>
      <c r="H679" s="6385"/>
      <c r="I679" s="6467" t="s">
        <v>5099</v>
      </c>
      <c r="J679" s="7563">
        <f>G679+G680</f>
        <v>0</v>
      </c>
      <c r="K679" s="7563">
        <f t="shared" si="61"/>
        <v>25000000</v>
      </c>
      <c r="L679" s="7561"/>
    </row>
    <row r="680" spans="1:12" ht="30" customHeight="1" x14ac:dyDescent="0.2">
      <c r="A680" s="7655"/>
      <c r="B680" s="7653"/>
      <c r="C680" s="7724"/>
      <c r="D680" s="7564"/>
      <c r="E680" s="7660"/>
      <c r="F680" s="7564"/>
      <c r="G680" s="6393"/>
      <c r="H680" s="6393"/>
      <c r="I680" s="6512" t="s">
        <v>2950</v>
      </c>
      <c r="J680" s="7564"/>
      <c r="K680" s="7564"/>
      <c r="L680" s="7562"/>
    </row>
    <row r="681" spans="1:12" ht="30" customHeight="1" x14ac:dyDescent="0.2">
      <c r="A681" s="6398">
        <v>327</v>
      </c>
      <c r="B681" s="6400" t="s">
        <v>1232</v>
      </c>
      <c r="C681" s="6434"/>
      <c r="D681" s="6393">
        <v>60000000</v>
      </c>
      <c r="E681" s="6402">
        <v>0.05</v>
      </c>
      <c r="F681" s="6393">
        <f t="shared" ref="F681:F690" si="62">D681*E681</f>
        <v>3000000</v>
      </c>
      <c r="G681" s="6393"/>
      <c r="H681" s="6393"/>
      <c r="I681" s="6512" t="s">
        <v>1231</v>
      </c>
      <c r="J681" s="6393">
        <f t="shared" si="60"/>
        <v>0</v>
      </c>
      <c r="K681" s="6393">
        <f t="shared" si="61"/>
        <v>3000000</v>
      </c>
      <c r="L681" s="6503"/>
    </row>
    <row r="682" spans="1:12" ht="30" customHeight="1" x14ac:dyDescent="0.2">
      <c r="A682" s="7654">
        <v>328</v>
      </c>
      <c r="B682" s="7864" t="s">
        <v>2675</v>
      </c>
      <c r="C682" s="7723" t="s">
        <v>942</v>
      </c>
      <c r="D682" s="6385">
        <v>900000000</v>
      </c>
      <c r="E682" s="6471">
        <v>7.0000000000000007E-2</v>
      </c>
      <c r="F682" s="6385">
        <f>D682*E682</f>
        <v>63000000.000000007</v>
      </c>
      <c r="G682" s="6385"/>
      <c r="H682" s="6385"/>
      <c r="I682" s="6467" t="s">
        <v>4147</v>
      </c>
      <c r="J682" s="6385">
        <f>G682</f>
        <v>0</v>
      </c>
      <c r="K682" s="6385">
        <f>54000000-14000000-J682</f>
        <v>40000000</v>
      </c>
      <c r="L682" s="6503"/>
    </row>
    <row r="683" spans="1:12" ht="30" customHeight="1" x14ac:dyDescent="0.2">
      <c r="A683" s="7656"/>
      <c r="B683" s="7865"/>
      <c r="C683" s="7747"/>
      <c r="D683" s="6385">
        <v>54000000</v>
      </c>
      <c r="E683" s="6471">
        <v>7.0000000000000007E-2</v>
      </c>
      <c r="F683" s="6385">
        <f>D683*E683</f>
        <v>3780000.0000000005</v>
      </c>
      <c r="G683" s="7732" t="s">
        <v>6812</v>
      </c>
      <c r="H683" s="7733"/>
      <c r="I683" s="7733"/>
      <c r="J683" s="7734"/>
      <c r="K683" s="6385"/>
      <c r="L683" s="7713" t="s">
        <v>7389</v>
      </c>
    </row>
    <row r="684" spans="1:12" ht="30" customHeight="1" x14ac:dyDescent="0.2">
      <c r="A684" s="7656"/>
      <c r="B684" s="7865"/>
      <c r="C684" s="7747"/>
      <c r="D684" s="6385">
        <v>50000000</v>
      </c>
      <c r="E684" s="6471">
        <v>0.06</v>
      </c>
      <c r="F684" s="6385">
        <f>D684*E684</f>
        <v>3000000</v>
      </c>
      <c r="G684" s="7732" t="s">
        <v>7388</v>
      </c>
      <c r="H684" s="7733"/>
      <c r="I684" s="7733"/>
      <c r="J684" s="7734"/>
      <c r="K684" s="6385"/>
      <c r="L684" s="7797"/>
    </row>
    <row r="685" spans="1:12" ht="30" customHeight="1" x14ac:dyDescent="0.2">
      <c r="A685" s="7656"/>
      <c r="B685" s="7865"/>
      <c r="C685" s="7747"/>
      <c r="D685" s="6385">
        <v>26000000</v>
      </c>
      <c r="E685" s="6471">
        <v>0.06</v>
      </c>
      <c r="F685" s="6385">
        <f>D685*E685</f>
        <v>1560000</v>
      </c>
      <c r="G685" s="7732" t="s">
        <v>7442</v>
      </c>
      <c r="H685" s="7733"/>
      <c r="I685" s="7733"/>
      <c r="J685" s="7734"/>
      <c r="K685" s="6385"/>
      <c r="L685" s="7714"/>
    </row>
    <row r="686" spans="1:12" ht="30" customHeight="1" x14ac:dyDescent="0.2">
      <c r="A686" s="7655"/>
      <c r="B686" s="7866"/>
      <c r="C686" s="7724"/>
      <c r="D686" s="6390">
        <f>SUM(D682:D685)</f>
        <v>1030000000</v>
      </c>
      <c r="E686" s="6529">
        <v>7.0000000000000007E-2</v>
      </c>
      <c r="F686" s="6390">
        <f>D686*E686</f>
        <v>72100000</v>
      </c>
      <c r="G686" s="6385"/>
      <c r="H686" s="6385"/>
      <c r="I686" s="6385"/>
      <c r="J686" s="6385"/>
      <c r="K686" s="6385"/>
      <c r="L686" s="6503" t="s">
        <v>7390</v>
      </c>
    </row>
    <row r="687" spans="1:12" ht="30" customHeight="1" x14ac:dyDescent="0.2">
      <c r="A687" s="6397">
        <v>331</v>
      </c>
      <c r="B687" s="6431" t="s">
        <v>339</v>
      </c>
      <c r="C687" s="6472" t="s">
        <v>371</v>
      </c>
      <c r="D687" s="6385">
        <v>290000000</v>
      </c>
      <c r="E687" s="6471">
        <v>0.06</v>
      </c>
      <c r="F687" s="6385">
        <f t="shared" si="62"/>
        <v>17400000</v>
      </c>
      <c r="G687" s="6385"/>
      <c r="H687" s="6385"/>
      <c r="I687" s="6385" t="s">
        <v>1840</v>
      </c>
      <c r="J687" s="6385">
        <f>G687</f>
        <v>0</v>
      </c>
      <c r="K687" s="6385">
        <f t="shared" si="61"/>
        <v>17400000</v>
      </c>
      <c r="L687" s="6503"/>
    </row>
    <row r="688" spans="1:12" ht="30" customHeight="1" x14ac:dyDescent="0.2">
      <c r="A688" s="7654">
        <v>333</v>
      </c>
      <c r="B688" s="7652" t="s">
        <v>888</v>
      </c>
      <c r="C688" s="7723" t="s">
        <v>889</v>
      </c>
      <c r="D688" s="6393">
        <v>320000000</v>
      </c>
      <c r="E688" s="6471">
        <v>0.05</v>
      </c>
      <c r="F688" s="6393">
        <f t="shared" si="62"/>
        <v>16000000</v>
      </c>
      <c r="G688" s="7563">
        <v>21000000</v>
      </c>
      <c r="H688" s="7563" t="s">
        <v>7845</v>
      </c>
      <c r="I688" s="7561" t="s">
        <v>2864</v>
      </c>
      <c r="J688" s="7482">
        <f>G688</f>
        <v>21000000</v>
      </c>
      <c r="K688" s="7482">
        <f>(F688+F689)-J688</f>
        <v>0</v>
      </c>
      <c r="L688" s="7818"/>
    </row>
    <row r="689" spans="1:12" ht="30" customHeight="1" x14ac:dyDescent="0.2">
      <c r="A689" s="7655"/>
      <c r="B689" s="7653"/>
      <c r="C689" s="7724"/>
      <c r="D689" s="6393">
        <v>100000000</v>
      </c>
      <c r="E689" s="6471">
        <v>0.05</v>
      </c>
      <c r="F689" s="6393">
        <f t="shared" si="62"/>
        <v>5000000</v>
      </c>
      <c r="G689" s="7564"/>
      <c r="H689" s="7564"/>
      <c r="I689" s="7562"/>
      <c r="J689" s="7482"/>
      <c r="K689" s="7482"/>
      <c r="L689" s="7819"/>
    </row>
    <row r="690" spans="1:12" ht="30" customHeight="1" x14ac:dyDescent="0.2">
      <c r="A690" s="6397">
        <v>335</v>
      </c>
      <c r="B690" s="19" t="s">
        <v>1276</v>
      </c>
      <c r="C690" s="6472" t="s">
        <v>889</v>
      </c>
      <c r="D690" s="6393">
        <v>15000000</v>
      </c>
      <c r="E690" s="6471">
        <v>0.05</v>
      </c>
      <c r="F690" s="6393">
        <f t="shared" si="62"/>
        <v>750000</v>
      </c>
      <c r="G690" s="6393"/>
      <c r="H690" s="6393"/>
      <c r="I690" s="6512" t="s">
        <v>2747</v>
      </c>
      <c r="J690" s="6393">
        <f>G690</f>
        <v>0</v>
      </c>
      <c r="K690" s="6393">
        <f>F690-J690</f>
        <v>750000</v>
      </c>
      <c r="L690" s="6503"/>
    </row>
    <row r="691" spans="1:12" ht="30" customHeight="1" x14ac:dyDescent="0.2">
      <c r="A691" s="7654">
        <v>336</v>
      </c>
      <c r="B691" s="7652" t="s">
        <v>2576</v>
      </c>
      <c r="C691" s="7723" t="s">
        <v>889</v>
      </c>
      <c r="D691" s="6494">
        <v>210000000</v>
      </c>
      <c r="E691" s="6552">
        <v>0.05</v>
      </c>
      <c r="F691" s="6494">
        <f>D691*E691</f>
        <v>10500000</v>
      </c>
      <c r="G691" s="7563"/>
      <c r="H691" s="7563"/>
      <c r="I691" s="7561" t="s">
        <v>3408</v>
      </c>
      <c r="J691" s="7563">
        <f>G691</f>
        <v>0</v>
      </c>
      <c r="K691" s="7563"/>
      <c r="L691" s="6503" t="s">
        <v>7015</v>
      </c>
    </row>
    <row r="692" spans="1:12" ht="30" customHeight="1" x14ac:dyDescent="0.2">
      <c r="A692" s="7656"/>
      <c r="B692" s="7665"/>
      <c r="C692" s="7747"/>
      <c r="D692" s="6393">
        <v>10000000</v>
      </c>
      <c r="E692" s="6471"/>
      <c r="F692" s="6393"/>
      <c r="G692" s="7586"/>
      <c r="H692" s="7586"/>
      <c r="I692" s="7672"/>
      <c r="J692" s="7586"/>
      <c r="K692" s="7586"/>
      <c r="L692" s="6400"/>
    </row>
    <row r="693" spans="1:12" ht="30" customHeight="1" x14ac:dyDescent="0.2">
      <c r="A693" s="7656"/>
      <c r="B693" s="7665"/>
      <c r="C693" s="7747"/>
      <c r="D693" s="6393">
        <v>10000000</v>
      </c>
      <c r="E693" s="6471"/>
      <c r="F693" s="6393"/>
      <c r="G693" s="7586"/>
      <c r="H693" s="7586"/>
      <c r="I693" s="7672"/>
      <c r="J693" s="7586"/>
      <c r="K693" s="7586"/>
      <c r="L693" s="6452" t="s">
        <v>6380</v>
      </c>
    </row>
    <row r="694" spans="1:12" ht="30" customHeight="1" x14ac:dyDescent="0.2">
      <c r="A694" s="7656"/>
      <c r="B694" s="7665"/>
      <c r="C694" s="7747"/>
      <c r="D694" s="6393">
        <v>10000000</v>
      </c>
      <c r="E694" s="6471"/>
      <c r="F694" s="6393"/>
      <c r="G694" s="7586"/>
      <c r="H694" s="7586"/>
      <c r="I694" s="7672"/>
      <c r="J694" s="7586"/>
      <c r="K694" s="7586"/>
      <c r="L694" s="6452" t="s">
        <v>6381</v>
      </c>
    </row>
    <row r="695" spans="1:12" ht="30" customHeight="1" x14ac:dyDescent="0.2">
      <c r="A695" s="7656"/>
      <c r="B695" s="7665"/>
      <c r="C695" s="7747"/>
      <c r="D695" s="6393">
        <v>10000000</v>
      </c>
      <c r="E695" s="6471"/>
      <c r="F695" s="6393"/>
      <c r="G695" s="7586"/>
      <c r="H695" s="7586"/>
      <c r="I695" s="7672"/>
      <c r="J695" s="7586"/>
      <c r="K695" s="7586"/>
      <c r="L695" s="6452" t="s">
        <v>7126</v>
      </c>
    </row>
    <row r="696" spans="1:12" ht="30" customHeight="1" x14ac:dyDescent="0.2">
      <c r="A696" s="7656"/>
      <c r="B696" s="7665"/>
      <c r="C696" s="7747"/>
      <c r="D696" s="6393">
        <v>10000000</v>
      </c>
      <c r="E696" s="6471"/>
      <c r="F696" s="6393"/>
      <c r="G696" s="7586"/>
      <c r="H696" s="7586"/>
      <c r="I696" s="7672"/>
      <c r="J696" s="7586"/>
      <c r="K696" s="7586"/>
      <c r="L696" s="6452" t="s">
        <v>7127</v>
      </c>
    </row>
    <row r="697" spans="1:12" ht="30" customHeight="1" x14ac:dyDescent="0.2">
      <c r="A697" s="7656"/>
      <c r="B697" s="7665"/>
      <c r="C697" s="7747"/>
      <c r="D697" s="6393">
        <v>10000000</v>
      </c>
      <c r="E697" s="6471"/>
      <c r="F697" s="6393"/>
      <c r="G697" s="7564"/>
      <c r="H697" s="7564"/>
      <c r="I697" s="7562"/>
      <c r="J697" s="7564"/>
      <c r="K697" s="7564"/>
      <c r="L697" s="6452" t="s">
        <v>7128</v>
      </c>
    </row>
    <row r="698" spans="1:12" ht="30" customHeight="1" x14ac:dyDescent="0.2">
      <c r="A698" s="7655"/>
      <c r="B698" s="7653"/>
      <c r="C698" s="7724"/>
      <c r="D698" s="6494">
        <f>SUM(D692:D697)</f>
        <v>60000000</v>
      </c>
      <c r="E698" s="6552"/>
      <c r="F698" s="6494"/>
      <c r="G698" s="7732" t="s">
        <v>7437</v>
      </c>
      <c r="H698" s="7733"/>
      <c r="I698" s="7733"/>
      <c r="J698" s="7734"/>
      <c r="K698" s="6393"/>
      <c r="L698" s="6452" t="s">
        <v>7016</v>
      </c>
    </row>
    <row r="699" spans="1:12" ht="30" customHeight="1" x14ac:dyDescent="0.2">
      <c r="A699" s="6432">
        <v>337</v>
      </c>
      <c r="B699" s="6468" t="s">
        <v>1304</v>
      </c>
      <c r="C699" s="6433" t="s">
        <v>889</v>
      </c>
      <c r="D699" s="6393">
        <v>355000000</v>
      </c>
      <c r="E699" s="6471">
        <v>7.0000000000000007E-2</v>
      </c>
      <c r="F699" s="6393">
        <v>25000000</v>
      </c>
      <c r="G699" s="6391">
        <v>25000000</v>
      </c>
      <c r="H699" s="6391" t="s">
        <v>7864</v>
      </c>
      <c r="I699" s="6403" t="s">
        <v>4382</v>
      </c>
      <c r="J699" s="6391">
        <f>G699</f>
        <v>25000000</v>
      </c>
      <c r="K699" s="6391">
        <f>F699-J699</f>
        <v>0</v>
      </c>
      <c r="L699" s="6452" t="s">
        <v>5337</v>
      </c>
    </row>
    <row r="700" spans="1:12" ht="30" customHeight="1" x14ac:dyDescent="0.2">
      <c r="A700" s="7654"/>
      <c r="B700" s="7703" t="s">
        <v>1677</v>
      </c>
      <c r="C700" s="7723" t="s">
        <v>889</v>
      </c>
      <c r="D700" s="3251">
        <v>235500000</v>
      </c>
      <c r="E700" s="6471">
        <v>7.0000000000000007E-2</v>
      </c>
      <c r="F700" s="6393">
        <f t="shared" ref="F700:F740" si="63">D700*E700</f>
        <v>16485000.000000002</v>
      </c>
      <c r="G700" s="6384"/>
      <c r="H700" s="6386"/>
      <c r="I700" s="6386"/>
      <c r="J700" s="6386"/>
      <c r="K700" s="1604"/>
      <c r="L700" s="6452" t="s">
        <v>5300</v>
      </c>
    </row>
    <row r="701" spans="1:12" ht="30" customHeight="1" x14ac:dyDescent="0.2">
      <c r="A701" s="7656"/>
      <c r="B701" s="7704"/>
      <c r="C701" s="7747"/>
      <c r="D701" s="3247">
        <v>300000000</v>
      </c>
      <c r="E701" s="3249">
        <v>7.0000000000000007E-2</v>
      </c>
      <c r="F701" s="3247">
        <f t="shared" si="63"/>
        <v>21000000.000000004</v>
      </c>
      <c r="G701" s="7732" t="s">
        <v>5290</v>
      </c>
      <c r="H701" s="7733"/>
      <c r="I701" s="7733"/>
      <c r="J701" s="7733"/>
      <c r="K701" s="7734"/>
      <c r="L701" s="6452"/>
    </row>
    <row r="702" spans="1:12" ht="30" customHeight="1" x14ac:dyDescent="0.2">
      <c r="A702" s="7656"/>
      <c r="B702" s="7704"/>
      <c r="C702" s="7747"/>
      <c r="D702" s="3247">
        <v>30000000</v>
      </c>
      <c r="E702" s="3249">
        <v>7.0000000000000007E-2</v>
      </c>
      <c r="F702" s="3247">
        <f t="shared" si="63"/>
        <v>2100000</v>
      </c>
      <c r="G702" s="7732" t="s">
        <v>5299</v>
      </c>
      <c r="H702" s="7733"/>
      <c r="I702" s="7733"/>
      <c r="J702" s="7733"/>
      <c r="K702" s="7734"/>
      <c r="L702" s="6452"/>
    </row>
    <row r="703" spans="1:12" ht="30" customHeight="1" x14ac:dyDescent="0.2">
      <c r="A703" s="7656"/>
      <c r="B703" s="7704"/>
      <c r="C703" s="7747"/>
      <c r="D703" s="3248">
        <v>20000000</v>
      </c>
      <c r="E703" s="3250">
        <v>7.0000000000000007E-2</v>
      </c>
      <c r="F703" s="3248">
        <f>D703*E703</f>
        <v>1400000.0000000002</v>
      </c>
      <c r="G703" s="7732" t="s">
        <v>5296</v>
      </c>
      <c r="H703" s="7733"/>
      <c r="I703" s="7733"/>
      <c r="J703" s="7733"/>
      <c r="K703" s="7734"/>
      <c r="L703" s="6452"/>
    </row>
    <row r="704" spans="1:12" ht="30" customHeight="1" x14ac:dyDescent="0.2">
      <c r="A704" s="7656"/>
      <c r="B704" s="7704"/>
      <c r="C704" s="7747"/>
      <c r="D704" s="3248">
        <v>12000000</v>
      </c>
      <c r="E704" s="3250">
        <v>7.0000000000000007E-2</v>
      </c>
      <c r="F704" s="3248">
        <f>D704*E704</f>
        <v>840000.00000000012</v>
      </c>
      <c r="G704" s="7732" t="s">
        <v>5291</v>
      </c>
      <c r="H704" s="7733"/>
      <c r="I704" s="7733"/>
      <c r="J704" s="7733"/>
      <c r="K704" s="7734"/>
      <c r="L704" s="6452"/>
    </row>
    <row r="705" spans="1:12" ht="30" customHeight="1" x14ac:dyDescent="0.2">
      <c r="A705" s="7656"/>
      <c r="B705" s="7704"/>
      <c r="C705" s="7747"/>
      <c r="D705" s="6390">
        <f>SUM(D701:D704)</f>
        <v>362000000</v>
      </c>
      <c r="E705" s="6414">
        <v>7.0000000000000007E-2</v>
      </c>
      <c r="F705" s="6390">
        <f>D705*E705</f>
        <v>25340000.000000004</v>
      </c>
      <c r="G705" s="7732" t="s">
        <v>5544</v>
      </c>
      <c r="H705" s="7733"/>
      <c r="I705" s="7733"/>
      <c r="J705" s="7733"/>
      <c r="K705" s="7734"/>
      <c r="L705" s="6452"/>
    </row>
    <row r="706" spans="1:12" ht="30" customHeight="1" x14ac:dyDescent="0.2">
      <c r="A706" s="7656"/>
      <c r="B706" s="7704"/>
      <c r="C706" s="7747"/>
      <c r="D706" s="8015">
        <f>D700+D705</f>
        <v>597500000</v>
      </c>
      <c r="E706" s="8016"/>
      <c r="F706" s="3248">
        <f>F700+F705</f>
        <v>41825000.000000007</v>
      </c>
      <c r="G706" s="6384"/>
      <c r="H706" s="6386"/>
      <c r="I706" s="6386"/>
      <c r="J706" s="6386"/>
      <c r="K706" s="1604"/>
      <c r="L706" s="6452"/>
    </row>
    <row r="707" spans="1:12" ht="30" customHeight="1" x14ac:dyDescent="0.2">
      <c r="A707" s="7656"/>
      <c r="B707" s="7704"/>
      <c r="C707" s="7747"/>
      <c r="D707" s="6510">
        <v>45000000</v>
      </c>
      <c r="E707" s="6462">
        <v>7.0000000000000007E-2</v>
      </c>
      <c r="F707" s="6510">
        <f>D707*E707</f>
        <v>3150000.0000000005</v>
      </c>
      <c r="G707" s="7732" t="s">
        <v>5292</v>
      </c>
      <c r="H707" s="7733"/>
      <c r="I707" s="7733"/>
      <c r="J707" s="7733"/>
      <c r="K707" s="7734"/>
      <c r="L707" s="6452"/>
    </row>
    <row r="708" spans="1:12" ht="30" customHeight="1" x14ac:dyDescent="0.2">
      <c r="A708" s="7656"/>
      <c r="B708" s="7704"/>
      <c r="C708" s="7747"/>
      <c r="D708" s="6510">
        <v>100000000</v>
      </c>
      <c r="E708" s="6462">
        <v>7.0000000000000007E-2</v>
      </c>
      <c r="F708" s="6510">
        <f>D708*E708</f>
        <v>7000000.0000000009</v>
      </c>
      <c r="G708" s="7732" t="s">
        <v>5293</v>
      </c>
      <c r="H708" s="7733"/>
      <c r="I708" s="7733"/>
      <c r="J708" s="7733"/>
      <c r="K708" s="7734"/>
      <c r="L708" s="6452"/>
    </row>
    <row r="709" spans="1:12" ht="30" customHeight="1" x14ac:dyDescent="0.2">
      <c r="A709" s="7656"/>
      <c r="B709" s="7704"/>
      <c r="C709" s="7747"/>
      <c r="D709" s="6510">
        <v>80000000</v>
      </c>
      <c r="E709" s="6462">
        <v>7.0000000000000007E-2</v>
      </c>
      <c r="F709" s="6510">
        <f t="shared" ref="F709:F710" si="64">D709*E709</f>
        <v>5600000.0000000009</v>
      </c>
      <c r="G709" s="7732" t="s">
        <v>5294</v>
      </c>
      <c r="H709" s="7733"/>
      <c r="I709" s="7733"/>
      <c r="J709" s="7733"/>
      <c r="K709" s="7734"/>
      <c r="L709" s="6452"/>
    </row>
    <row r="710" spans="1:12" ht="30" customHeight="1" x14ac:dyDescent="0.2">
      <c r="A710" s="7656"/>
      <c r="B710" s="7704"/>
      <c r="C710" s="7747"/>
      <c r="D710" s="6510">
        <v>55000000</v>
      </c>
      <c r="E710" s="6462">
        <v>7.0000000000000007E-2</v>
      </c>
      <c r="F710" s="6510">
        <f t="shared" si="64"/>
        <v>3850000.0000000005</v>
      </c>
      <c r="G710" s="7732" t="s">
        <v>5295</v>
      </c>
      <c r="H710" s="7733"/>
      <c r="I710" s="7733"/>
      <c r="J710" s="7733"/>
      <c r="K710" s="7734"/>
      <c r="L710" s="6452"/>
    </row>
    <row r="711" spans="1:12" ht="30" customHeight="1" x14ac:dyDescent="0.2">
      <c r="A711" s="7656"/>
      <c r="B711" s="7704"/>
      <c r="C711" s="7747"/>
      <c r="D711" s="7858">
        <f>D706+D707+D708+D709+D710</f>
        <v>877500000</v>
      </c>
      <c r="E711" s="7860"/>
      <c r="F711" s="6510">
        <f>F706+F707+F708+F709+F710</f>
        <v>61425000.000000007</v>
      </c>
      <c r="G711" s="7806" t="s">
        <v>3673</v>
      </c>
      <c r="H711" s="7807"/>
      <c r="I711" s="7807"/>
      <c r="J711" s="7807"/>
      <c r="K711" s="7808"/>
      <c r="L711" s="6452"/>
    </row>
    <row r="712" spans="1:12" ht="30" customHeight="1" x14ac:dyDescent="0.2">
      <c r="A712" s="7656"/>
      <c r="B712" s="7704"/>
      <c r="C712" s="7747"/>
      <c r="D712" s="6520">
        <v>150000000</v>
      </c>
      <c r="E712" s="6504">
        <v>7.0000000000000007E-2</v>
      </c>
      <c r="F712" s="6520">
        <f>D712*E712</f>
        <v>10500000.000000002</v>
      </c>
      <c r="G712" s="7732" t="s">
        <v>5298</v>
      </c>
      <c r="H712" s="7733"/>
      <c r="I712" s="7733"/>
      <c r="J712" s="7733"/>
      <c r="K712" s="7734"/>
      <c r="L712" s="6452"/>
    </row>
    <row r="713" spans="1:12" ht="30" customHeight="1" x14ac:dyDescent="0.2">
      <c r="A713" s="7656"/>
      <c r="B713" s="7704"/>
      <c r="C713" s="7747"/>
      <c r="D713" s="6520">
        <v>100000000</v>
      </c>
      <c r="E713" s="6504">
        <v>7.0000000000000007E-2</v>
      </c>
      <c r="F713" s="6520">
        <f>D713*E713</f>
        <v>7000000.0000000009</v>
      </c>
      <c r="G713" s="7732" t="s">
        <v>5297</v>
      </c>
      <c r="H713" s="7733"/>
      <c r="I713" s="7733"/>
      <c r="J713" s="7733"/>
      <c r="K713" s="7734"/>
      <c r="L713" s="6452"/>
    </row>
    <row r="714" spans="1:12" ht="30" customHeight="1" x14ac:dyDescent="0.2">
      <c r="A714" s="7656"/>
      <c r="B714" s="7704"/>
      <c r="C714" s="7747"/>
      <c r="D714" s="8004">
        <f>D711+D712+D713</f>
        <v>1127500000</v>
      </c>
      <c r="E714" s="8005"/>
      <c r="F714" s="6520">
        <f>F711+F712+F713</f>
        <v>78925000.000000015</v>
      </c>
      <c r="G714" s="8085" t="s">
        <v>3882</v>
      </c>
      <c r="H714" s="8086"/>
      <c r="I714" s="8086"/>
      <c r="J714" s="8086"/>
      <c r="K714" s="8087"/>
      <c r="L714" s="6452"/>
    </row>
    <row r="715" spans="1:12" ht="30" customHeight="1" x14ac:dyDescent="0.2">
      <c r="A715" s="7656"/>
      <c r="B715" s="7704"/>
      <c r="C715" s="7747"/>
      <c r="D715" s="6479">
        <v>70000000</v>
      </c>
      <c r="E715" s="3245">
        <v>7.0000000000000007E-2</v>
      </c>
      <c r="F715" s="6479">
        <f>D715*E715</f>
        <v>4900000.0000000009</v>
      </c>
      <c r="G715" s="7732" t="s">
        <v>5543</v>
      </c>
      <c r="H715" s="7733"/>
      <c r="I715" s="7733"/>
      <c r="J715" s="7733"/>
      <c r="K715" s="7734"/>
      <c r="L715" s="6452"/>
    </row>
    <row r="716" spans="1:12" ht="30" customHeight="1" x14ac:dyDescent="0.2">
      <c r="A716" s="7656"/>
      <c r="B716" s="7704"/>
      <c r="C716" s="7747"/>
      <c r="D716" s="7883">
        <f>D714+D715</f>
        <v>1197500000</v>
      </c>
      <c r="E716" s="7884"/>
      <c r="F716" s="6479">
        <f>F714+F715</f>
        <v>83825000.000000015</v>
      </c>
      <c r="G716" s="8255" t="s">
        <v>4366</v>
      </c>
      <c r="H716" s="8256"/>
      <c r="I716" s="8256"/>
      <c r="J716" s="8256"/>
      <c r="K716" s="8257"/>
      <c r="L716" s="6452"/>
    </row>
    <row r="717" spans="1:12" ht="30" customHeight="1" x14ac:dyDescent="0.2">
      <c r="A717" s="7656"/>
      <c r="B717" s="7704"/>
      <c r="C717" s="7747"/>
      <c r="D717" s="3239">
        <v>79115000</v>
      </c>
      <c r="E717" s="3246">
        <v>7.0000000000000007E-2</v>
      </c>
      <c r="F717" s="3239">
        <f>D717*E717</f>
        <v>5538050.0000000009</v>
      </c>
      <c r="G717" s="7732" t="s">
        <v>4974</v>
      </c>
      <c r="H717" s="7733"/>
      <c r="I717" s="7733"/>
      <c r="J717" s="7733"/>
      <c r="K717" s="7734"/>
      <c r="L717" s="6452"/>
    </row>
    <row r="718" spans="1:12" ht="30" customHeight="1" x14ac:dyDescent="0.2">
      <c r="A718" s="7656"/>
      <c r="B718" s="7704"/>
      <c r="C718" s="7747"/>
      <c r="D718" s="3239">
        <v>100000000</v>
      </c>
      <c r="E718" s="3246">
        <v>7.0000000000000007E-2</v>
      </c>
      <c r="F718" s="3239">
        <f>D718*E718</f>
        <v>7000000.0000000009</v>
      </c>
      <c r="G718" s="7732" t="s">
        <v>4973</v>
      </c>
      <c r="H718" s="7733"/>
      <c r="I718" s="7733"/>
      <c r="J718" s="7733"/>
      <c r="K718" s="7734"/>
      <c r="L718" s="6452"/>
    </row>
    <row r="719" spans="1:12" ht="30" customHeight="1" x14ac:dyDescent="0.2">
      <c r="A719" s="7656"/>
      <c r="B719" s="7704"/>
      <c r="C719" s="7747"/>
      <c r="D719" s="3239">
        <f>71051000-166000</f>
        <v>70885000</v>
      </c>
      <c r="E719" s="3246">
        <v>7.0000000000000007E-2</v>
      </c>
      <c r="F719" s="3239">
        <f>D719*E719</f>
        <v>4961950.0000000009</v>
      </c>
      <c r="G719" s="8099" t="s">
        <v>5165</v>
      </c>
      <c r="H719" s="8100"/>
      <c r="I719" s="8100"/>
      <c r="J719" s="8100"/>
      <c r="K719" s="8101"/>
      <c r="L719" s="6452"/>
    </row>
    <row r="720" spans="1:12" ht="30" customHeight="1" x14ac:dyDescent="0.2">
      <c r="A720" s="7656"/>
      <c r="B720" s="7704"/>
      <c r="C720" s="7747"/>
      <c r="D720" s="3239">
        <v>100000000</v>
      </c>
      <c r="E720" s="3240">
        <v>7.0000000000000007E-2</v>
      </c>
      <c r="F720" s="3239">
        <f>D720*E720</f>
        <v>7000000.0000000009</v>
      </c>
      <c r="G720" s="7732" t="s">
        <v>5018</v>
      </c>
      <c r="H720" s="7733"/>
      <c r="I720" s="7733"/>
      <c r="J720" s="7733"/>
      <c r="K720" s="7734"/>
      <c r="L720" s="6452"/>
    </row>
    <row r="721" spans="1:12" ht="30" customHeight="1" x14ac:dyDescent="0.2">
      <c r="A721" s="7656"/>
      <c r="B721" s="7704"/>
      <c r="C721" s="7747"/>
      <c r="D721" s="8350">
        <f>D716+D717+D718+D719+D720</f>
        <v>1547500000</v>
      </c>
      <c r="E721" s="8351"/>
      <c r="F721" s="8326">
        <f>F716+F717+F718+F719+F720</f>
        <v>108325000.00000001</v>
      </c>
      <c r="G721" s="8258" t="s">
        <v>4975</v>
      </c>
      <c r="H721" s="8259"/>
      <c r="I721" s="8259"/>
      <c r="J721" s="8259"/>
      <c r="K721" s="8260"/>
      <c r="L721" s="1540" t="s">
        <v>4976</v>
      </c>
    </row>
    <row r="722" spans="1:12" ht="30" customHeight="1" x14ac:dyDescent="0.2">
      <c r="A722" s="7656"/>
      <c r="B722" s="7704"/>
      <c r="C722" s="7747"/>
      <c r="D722" s="8352"/>
      <c r="E722" s="8353"/>
      <c r="F722" s="8327"/>
      <c r="G722" s="6384"/>
      <c r="H722" s="7482"/>
      <c r="I722" s="7494" t="s">
        <v>1720</v>
      </c>
      <c r="J722" s="7482">
        <f>G722+G723</f>
        <v>0</v>
      </c>
      <c r="K722" s="7563">
        <f>F721-G722</f>
        <v>108325000.00000001</v>
      </c>
      <c r="L722" s="3824" t="s">
        <v>4906</v>
      </c>
    </row>
    <row r="723" spans="1:12" ht="30" customHeight="1" x14ac:dyDescent="0.2">
      <c r="A723" s="7656"/>
      <c r="B723" s="7704"/>
      <c r="C723" s="7747"/>
      <c r="D723" s="8354"/>
      <c r="E723" s="8355"/>
      <c r="F723" s="8328"/>
      <c r="G723" s="6384"/>
      <c r="H723" s="7482"/>
      <c r="I723" s="7769"/>
      <c r="J723" s="7482"/>
      <c r="K723" s="7564"/>
      <c r="L723" s="3824"/>
    </row>
    <row r="724" spans="1:12" ht="30" customHeight="1" x14ac:dyDescent="0.2">
      <c r="A724" s="7656"/>
      <c r="B724" s="7704"/>
      <c r="C724" s="7747"/>
      <c r="D724" s="3826">
        <v>70000000</v>
      </c>
      <c r="E724" s="6514">
        <v>7.0000000000000007E-2</v>
      </c>
      <c r="F724" s="3826">
        <f t="shared" ref="F724:F731" si="65">D724*E724</f>
        <v>4900000.0000000009</v>
      </c>
      <c r="G724" s="7732" t="s">
        <v>5542</v>
      </c>
      <c r="H724" s="7733"/>
      <c r="I724" s="7733"/>
      <c r="J724" s="7733"/>
      <c r="K724" s="7734"/>
      <c r="L724" s="3824"/>
    </row>
    <row r="725" spans="1:12" ht="30" customHeight="1" x14ac:dyDescent="0.2">
      <c r="A725" s="7656"/>
      <c r="B725" s="7704"/>
      <c r="C725" s="7747"/>
      <c r="D725" s="3826">
        <v>34000000</v>
      </c>
      <c r="E725" s="3948">
        <v>7.0000000000000007E-2</v>
      </c>
      <c r="F725" s="3826">
        <f t="shared" si="65"/>
        <v>2380000</v>
      </c>
      <c r="G725" s="7732" t="s">
        <v>5669</v>
      </c>
      <c r="H725" s="7733"/>
      <c r="I725" s="7733"/>
      <c r="J725" s="7733"/>
      <c r="K725" s="7734"/>
      <c r="L725" s="3824"/>
    </row>
    <row r="726" spans="1:12" ht="30" customHeight="1" x14ac:dyDescent="0.2">
      <c r="A726" s="7656"/>
      <c r="B726" s="7704"/>
      <c r="C726" s="7747"/>
      <c r="D726" s="3826">
        <v>100000000</v>
      </c>
      <c r="E726" s="295">
        <v>7.0000000000000007E-2</v>
      </c>
      <c r="F726" s="3826">
        <f t="shared" si="65"/>
        <v>7000000.0000000009</v>
      </c>
      <c r="G726" s="7732" t="s">
        <v>5670</v>
      </c>
      <c r="H726" s="7733"/>
      <c r="I726" s="7733"/>
      <c r="J726" s="7733"/>
      <c r="K726" s="7734"/>
      <c r="L726" s="3824"/>
    </row>
    <row r="727" spans="1:12" ht="30" customHeight="1" x14ac:dyDescent="0.2">
      <c r="A727" s="7656"/>
      <c r="B727" s="7704"/>
      <c r="C727" s="7747"/>
      <c r="D727" s="3826">
        <v>66000000</v>
      </c>
      <c r="E727" s="295">
        <v>7.0000000000000007E-2</v>
      </c>
      <c r="F727" s="3826">
        <f t="shared" si="65"/>
        <v>4620000</v>
      </c>
      <c r="G727" s="7732" t="s">
        <v>5672</v>
      </c>
      <c r="H727" s="7733"/>
      <c r="I727" s="7733"/>
      <c r="J727" s="7733"/>
      <c r="K727" s="7734"/>
      <c r="L727" s="3824"/>
    </row>
    <row r="728" spans="1:12" ht="30" customHeight="1" x14ac:dyDescent="0.2">
      <c r="A728" s="7656"/>
      <c r="B728" s="7704"/>
      <c r="C728" s="7747"/>
      <c r="D728" s="3826">
        <v>100000000</v>
      </c>
      <c r="E728" s="295">
        <v>7.0000000000000007E-2</v>
      </c>
      <c r="F728" s="3826">
        <f t="shared" si="65"/>
        <v>7000000.0000000009</v>
      </c>
      <c r="G728" s="7732" t="s">
        <v>5671</v>
      </c>
      <c r="H728" s="7733"/>
      <c r="I728" s="7733"/>
      <c r="J728" s="7733"/>
      <c r="K728" s="7734"/>
      <c r="L728" s="3824"/>
    </row>
    <row r="729" spans="1:12" ht="30" customHeight="1" x14ac:dyDescent="0.2">
      <c r="A729" s="7656"/>
      <c r="B729" s="7704"/>
      <c r="C729" s="7747"/>
      <c r="D729" s="3826">
        <v>100000000</v>
      </c>
      <c r="E729" s="295">
        <v>7.0000000000000007E-2</v>
      </c>
      <c r="F729" s="3826">
        <f t="shared" si="65"/>
        <v>7000000.0000000009</v>
      </c>
      <c r="G729" s="7732" t="s">
        <v>5673</v>
      </c>
      <c r="H729" s="7733"/>
      <c r="I729" s="7733"/>
      <c r="J729" s="7733"/>
      <c r="K729" s="7734"/>
      <c r="L729" s="3824"/>
    </row>
    <row r="730" spans="1:12" ht="30" customHeight="1" x14ac:dyDescent="0.2">
      <c r="A730" s="7656"/>
      <c r="B730" s="7704"/>
      <c r="C730" s="7747"/>
      <c r="D730" s="3826">
        <v>100000000</v>
      </c>
      <c r="E730" s="295">
        <v>7.0000000000000007E-2</v>
      </c>
      <c r="F730" s="3826">
        <f t="shared" si="65"/>
        <v>7000000.0000000009</v>
      </c>
      <c r="G730" s="7732" t="s">
        <v>5673</v>
      </c>
      <c r="H730" s="7733"/>
      <c r="I730" s="7733"/>
      <c r="J730" s="7733"/>
      <c r="K730" s="7734"/>
      <c r="L730" s="3824"/>
    </row>
    <row r="731" spans="1:12" ht="30" customHeight="1" x14ac:dyDescent="0.2">
      <c r="A731" s="7656"/>
      <c r="B731" s="7704"/>
      <c r="C731" s="7747"/>
      <c r="D731" s="3826">
        <v>100000000</v>
      </c>
      <c r="E731" s="3949">
        <v>7.0000000000000007E-2</v>
      </c>
      <c r="F731" s="3826">
        <f t="shared" si="65"/>
        <v>7000000.0000000009</v>
      </c>
      <c r="G731" s="7732" t="s">
        <v>5674</v>
      </c>
      <c r="H731" s="7733"/>
      <c r="I731" s="7733"/>
      <c r="J731" s="7733"/>
      <c r="K731" s="7734"/>
      <c r="L731" s="3824"/>
    </row>
    <row r="732" spans="1:12" ht="30" customHeight="1" x14ac:dyDescent="0.2">
      <c r="A732" s="7656"/>
      <c r="B732" s="7704"/>
      <c r="C732" s="7747"/>
      <c r="D732" s="8248">
        <f>D721+D724+D725+D726+D727+D728+D729+D730+D731</f>
        <v>2217500000</v>
      </c>
      <c r="E732" s="8249"/>
      <c r="F732" s="3826">
        <f>F721+F724+F725+F726+F727+F728+F729+F730+F731</f>
        <v>155225000.00000003</v>
      </c>
      <c r="G732" s="6385"/>
      <c r="H732" s="6385"/>
      <c r="I732" s="6385" t="s">
        <v>1720</v>
      </c>
      <c r="J732" s="6385">
        <f>G732</f>
        <v>0</v>
      </c>
      <c r="K732" s="6385">
        <f>F732-J732</f>
        <v>155225000.00000003</v>
      </c>
      <c r="L732" s="3825"/>
    </row>
    <row r="733" spans="1:12" ht="30" customHeight="1" x14ac:dyDescent="0.2">
      <c r="A733" s="7656"/>
      <c r="B733" s="7704"/>
      <c r="C733" s="7747"/>
      <c r="D733" s="6385">
        <v>105500000</v>
      </c>
      <c r="E733" s="6471">
        <v>7.0000000000000007E-2</v>
      </c>
      <c r="F733" s="6385">
        <f>D733*E733</f>
        <v>7385000.0000000009</v>
      </c>
      <c r="G733" s="7732" t="s">
        <v>6309</v>
      </c>
      <c r="H733" s="7733"/>
      <c r="I733" s="7733"/>
      <c r="J733" s="7734"/>
      <c r="K733" s="6385"/>
      <c r="L733" s="3825"/>
    </row>
    <row r="734" spans="1:12" ht="30" customHeight="1" x14ac:dyDescent="0.2">
      <c r="A734" s="7656"/>
      <c r="B734" s="7704"/>
      <c r="C734" s="7747"/>
      <c r="D734" s="6385">
        <v>130000000</v>
      </c>
      <c r="E734" s="6471">
        <v>7.0000000000000007E-2</v>
      </c>
      <c r="F734" s="6385">
        <f>D734*E734</f>
        <v>9100000</v>
      </c>
      <c r="G734" s="7732" t="s">
        <v>6310</v>
      </c>
      <c r="H734" s="7733"/>
      <c r="I734" s="7733"/>
      <c r="J734" s="7733"/>
      <c r="K734" s="7734"/>
      <c r="L734" s="3825"/>
    </row>
    <row r="735" spans="1:12" ht="30" customHeight="1" x14ac:dyDescent="0.2">
      <c r="A735" s="7656"/>
      <c r="B735" s="7704"/>
      <c r="C735" s="7747"/>
      <c r="D735" s="8545">
        <f>D732+D733+D734</f>
        <v>2453000000</v>
      </c>
      <c r="E735" s="8546"/>
      <c r="F735" s="8026">
        <f>D735*0.07</f>
        <v>171710000.00000003</v>
      </c>
      <c r="G735" s="6385"/>
      <c r="H735" s="6385"/>
      <c r="I735" s="6385" t="s">
        <v>1720</v>
      </c>
      <c r="J735" s="7563">
        <f>G735+G739+G736+G737+G738</f>
        <v>0</v>
      </c>
      <c r="K735" s="7563">
        <f>F735-J735</f>
        <v>171710000.00000003</v>
      </c>
      <c r="L735" s="3825"/>
    </row>
    <row r="736" spans="1:12" ht="30" customHeight="1" x14ac:dyDescent="0.2">
      <c r="A736" s="7656"/>
      <c r="B736" s="7704"/>
      <c r="C736" s="7747"/>
      <c r="D736" s="8561"/>
      <c r="E736" s="8562"/>
      <c r="F736" s="8497"/>
      <c r="G736" s="6385"/>
      <c r="H736" s="6385"/>
      <c r="I736" s="6385" t="s">
        <v>3524</v>
      </c>
      <c r="J736" s="7586"/>
      <c r="K736" s="7586"/>
      <c r="L736" s="3825"/>
    </row>
    <row r="737" spans="1:17" ht="30" customHeight="1" x14ac:dyDescent="0.2">
      <c r="A737" s="7656"/>
      <c r="B737" s="7704"/>
      <c r="C737" s="7747"/>
      <c r="D737" s="8561"/>
      <c r="E737" s="8562"/>
      <c r="F737" s="8497"/>
      <c r="G737" s="6385"/>
      <c r="H737" s="6385"/>
      <c r="I737" s="6385" t="s">
        <v>3524</v>
      </c>
      <c r="J737" s="7586"/>
      <c r="K737" s="7586"/>
      <c r="L737" s="3825"/>
    </row>
    <row r="738" spans="1:17" ht="30" customHeight="1" x14ac:dyDescent="0.2">
      <c r="A738" s="7656"/>
      <c r="B738" s="7704"/>
      <c r="C738" s="7747"/>
      <c r="D738" s="8561"/>
      <c r="E738" s="8562"/>
      <c r="F738" s="8497"/>
      <c r="G738" s="6385"/>
      <c r="H738" s="6385"/>
      <c r="I738" s="6385" t="s">
        <v>3524</v>
      </c>
      <c r="J738" s="7586"/>
      <c r="K738" s="7586"/>
      <c r="L738" s="3825"/>
    </row>
    <row r="739" spans="1:17" ht="30" customHeight="1" x14ac:dyDescent="0.2">
      <c r="A739" s="7655"/>
      <c r="B739" s="7705"/>
      <c r="C739" s="7724"/>
      <c r="D739" s="8547"/>
      <c r="E739" s="8548"/>
      <c r="F739" s="8027"/>
      <c r="G739" s="6385"/>
      <c r="H739" s="6385"/>
      <c r="I739" s="6385"/>
      <c r="J739" s="7564"/>
      <c r="K739" s="7564"/>
      <c r="L739" s="3825"/>
    </row>
    <row r="740" spans="1:17" ht="30" customHeight="1" x14ac:dyDescent="0.2">
      <c r="A740" s="6398">
        <v>339</v>
      </c>
      <c r="B740" s="6470" t="s">
        <v>170</v>
      </c>
      <c r="C740" s="6434" t="s">
        <v>1306</v>
      </c>
      <c r="D740" s="6385">
        <v>200000000</v>
      </c>
      <c r="E740" s="6471">
        <v>7.0000000000000007E-2</v>
      </c>
      <c r="F740" s="6385">
        <f t="shared" si="63"/>
        <v>14000000.000000002</v>
      </c>
      <c r="G740" s="233"/>
      <c r="H740" s="233"/>
      <c r="I740" s="1388"/>
      <c r="J740" s="233"/>
      <c r="K740" s="387"/>
      <c r="L740" s="6477"/>
      <c r="M740" s="386"/>
      <c r="N740" s="386"/>
      <c r="O740" s="386"/>
      <c r="P740" s="386"/>
      <c r="Q740" s="386"/>
    </row>
    <row r="741" spans="1:17" ht="30" customHeight="1" x14ac:dyDescent="0.2">
      <c r="A741" s="7654"/>
      <c r="B741" s="7652" t="s">
        <v>67</v>
      </c>
      <c r="C741" s="7723" t="s">
        <v>1138</v>
      </c>
      <c r="D741" s="7563">
        <v>111000000</v>
      </c>
      <c r="E741" s="7659">
        <v>0.05</v>
      </c>
      <c r="F741" s="7563">
        <v>6000000</v>
      </c>
      <c r="G741" s="6385"/>
      <c r="H741" s="6385"/>
      <c r="I741" s="6385" t="s">
        <v>7290</v>
      </c>
      <c r="J741" s="6385">
        <f>G741</f>
        <v>0</v>
      </c>
      <c r="K741" s="6458">
        <f t="shared" ref="K741:K748" si="66">F741-J741</f>
        <v>6000000</v>
      </c>
      <c r="L741" s="6477" t="s">
        <v>7291</v>
      </c>
      <c r="M741" s="6477"/>
      <c r="N741" s="6477"/>
      <c r="O741" s="6477"/>
      <c r="P741" s="386"/>
      <c r="Q741" s="386"/>
    </row>
    <row r="742" spans="1:17" ht="30" customHeight="1" x14ac:dyDescent="0.2">
      <c r="A742" s="7655"/>
      <c r="B742" s="7653"/>
      <c r="C742" s="7724"/>
      <c r="D742" s="7564"/>
      <c r="E742" s="7660"/>
      <c r="F742" s="7564"/>
      <c r="G742" s="6393"/>
      <c r="H742" s="6393"/>
      <c r="I742" s="6443" t="s">
        <v>1720</v>
      </c>
      <c r="J742" s="6385">
        <f>G742</f>
        <v>0</v>
      </c>
      <c r="K742" s="6458">
        <f>F741-J742</f>
        <v>6000000</v>
      </c>
      <c r="L742" s="6455"/>
      <c r="M742" s="6363"/>
      <c r="N742" s="6363"/>
      <c r="O742" s="6363"/>
      <c r="P742" s="386"/>
      <c r="Q742" s="386"/>
    </row>
    <row r="743" spans="1:17" ht="30" customHeight="1" x14ac:dyDescent="0.2">
      <c r="A743" s="6475"/>
      <c r="B743" s="19" t="s">
        <v>7780</v>
      </c>
      <c r="C743" s="6472"/>
      <c r="D743" s="6393">
        <v>700000000</v>
      </c>
      <c r="E743" s="6471">
        <v>0.08</v>
      </c>
      <c r="F743" s="6393">
        <f>D743*E743</f>
        <v>56000000</v>
      </c>
      <c r="G743" s="6393"/>
      <c r="H743" s="6393"/>
      <c r="I743" s="6443"/>
      <c r="J743" s="6385"/>
      <c r="K743" s="6458"/>
      <c r="L743" s="6455" t="s">
        <v>7781</v>
      </c>
      <c r="M743" s="6363"/>
      <c r="N743" s="6363"/>
      <c r="O743" s="6363"/>
      <c r="P743" s="386"/>
      <c r="Q743" s="386"/>
    </row>
    <row r="744" spans="1:17" ht="30" customHeight="1" x14ac:dyDescent="0.2">
      <c r="A744" s="6475">
        <v>341</v>
      </c>
      <c r="B744" s="6431" t="s">
        <v>1357</v>
      </c>
      <c r="C744" s="6472" t="s">
        <v>889</v>
      </c>
      <c r="D744" s="6385">
        <v>150000000</v>
      </c>
      <c r="E744" s="6471">
        <f>F744/D744</f>
        <v>4.6666666666666669E-2</v>
      </c>
      <c r="F744" s="6385">
        <v>7000000</v>
      </c>
      <c r="G744" s="6393">
        <v>7000000</v>
      </c>
      <c r="H744" s="6393" t="s">
        <v>7864</v>
      </c>
      <c r="I744" s="6443" t="s">
        <v>4842</v>
      </c>
      <c r="J744" s="6385">
        <f>G744</f>
        <v>7000000</v>
      </c>
      <c r="K744" s="6389">
        <f t="shared" si="66"/>
        <v>0</v>
      </c>
      <c r="L744" s="6477"/>
      <c r="M744" s="386"/>
      <c r="N744" s="386"/>
      <c r="O744" s="386"/>
      <c r="P744" s="386"/>
      <c r="Q744" s="386"/>
    </row>
    <row r="745" spans="1:17" ht="30" customHeight="1" x14ac:dyDescent="0.2">
      <c r="A745" s="6397">
        <v>342</v>
      </c>
      <c r="B745" s="6468" t="s">
        <v>71</v>
      </c>
      <c r="C745" s="6433" t="s">
        <v>2363</v>
      </c>
      <c r="D745" s="6393">
        <v>70000000</v>
      </c>
      <c r="E745" s="6471">
        <v>0.05</v>
      </c>
      <c r="F745" s="6393">
        <f>D745*E745</f>
        <v>3500000</v>
      </c>
      <c r="G745" s="6393"/>
      <c r="H745" s="6393"/>
      <c r="I745" s="6443" t="s">
        <v>7445</v>
      </c>
      <c r="J745" s="6393">
        <f t="shared" ref="J745:J765" si="67">G745</f>
        <v>0</v>
      </c>
      <c r="K745" s="6458">
        <f t="shared" si="66"/>
        <v>3500000</v>
      </c>
      <c r="L745" s="6477"/>
      <c r="M745" s="386"/>
      <c r="N745" s="386"/>
      <c r="O745" s="386"/>
      <c r="P745" s="386"/>
      <c r="Q745" s="386"/>
    </row>
    <row r="746" spans="1:17" ht="30" customHeight="1" x14ac:dyDescent="0.2">
      <c r="A746" s="6475">
        <v>343</v>
      </c>
      <c r="B746" s="19" t="s">
        <v>1365</v>
      </c>
      <c r="C746" s="6472" t="s">
        <v>1796</v>
      </c>
      <c r="D746" s="6385">
        <v>8000000</v>
      </c>
      <c r="E746" s="6471">
        <v>0.04</v>
      </c>
      <c r="F746" s="6385">
        <f>D746*E746</f>
        <v>320000</v>
      </c>
      <c r="G746" s="6385"/>
      <c r="H746" s="6385"/>
      <c r="I746" s="6385" t="s">
        <v>1366</v>
      </c>
      <c r="J746" s="6385">
        <f t="shared" si="67"/>
        <v>0</v>
      </c>
      <c r="K746" s="6389">
        <f t="shared" si="66"/>
        <v>320000</v>
      </c>
      <c r="L746" s="6454"/>
      <c r="M746" s="386"/>
      <c r="N746" s="386"/>
      <c r="O746" s="386"/>
      <c r="P746" s="386"/>
      <c r="Q746" s="386"/>
    </row>
    <row r="747" spans="1:17" ht="30" customHeight="1" x14ac:dyDescent="0.2">
      <c r="A747" s="6475"/>
      <c r="B747" s="6431" t="s">
        <v>6727</v>
      </c>
      <c r="C747" s="6472"/>
      <c r="D747" s="6385">
        <v>20000000</v>
      </c>
      <c r="E747" s="6471">
        <v>0.05</v>
      </c>
      <c r="F747" s="6385">
        <f>D747*E747</f>
        <v>1000000</v>
      </c>
      <c r="G747" s="6385"/>
      <c r="H747" s="6385"/>
      <c r="I747" s="6385" t="s">
        <v>7722</v>
      </c>
      <c r="J747" s="6385">
        <f t="shared" si="67"/>
        <v>0</v>
      </c>
      <c r="K747" s="6389">
        <f t="shared" si="66"/>
        <v>1000000</v>
      </c>
      <c r="L747" s="6389"/>
      <c r="M747" s="386"/>
      <c r="N747" s="386"/>
      <c r="O747" s="386"/>
      <c r="P747" s="386"/>
      <c r="Q747" s="386"/>
    </row>
    <row r="748" spans="1:17" ht="30" customHeight="1" x14ac:dyDescent="0.2">
      <c r="A748" s="6398">
        <v>344</v>
      </c>
      <c r="B748" s="6400" t="s">
        <v>1373</v>
      </c>
      <c r="C748" s="6434"/>
      <c r="D748" s="6393">
        <v>50000000</v>
      </c>
      <c r="E748" s="6402"/>
      <c r="F748" s="6393"/>
      <c r="G748" s="6393"/>
      <c r="H748" s="6393"/>
      <c r="I748" s="6443" t="s">
        <v>5436</v>
      </c>
      <c r="J748" s="6393">
        <f t="shared" si="67"/>
        <v>0</v>
      </c>
      <c r="K748" s="6463">
        <f t="shared" si="66"/>
        <v>0</v>
      </c>
      <c r="L748" s="6477"/>
      <c r="M748" s="386"/>
      <c r="N748" s="386"/>
      <c r="O748" s="386"/>
      <c r="P748" s="386"/>
      <c r="Q748" s="386"/>
    </row>
    <row r="749" spans="1:17" ht="30" customHeight="1" x14ac:dyDescent="0.2">
      <c r="A749" s="7654">
        <v>345</v>
      </c>
      <c r="B749" s="7652" t="s">
        <v>2080</v>
      </c>
      <c r="C749" s="7723" t="s">
        <v>1299</v>
      </c>
      <c r="D749" s="7563">
        <v>60000000</v>
      </c>
      <c r="E749" s="7659">
        <v>7.0000000000000007E-2</v>
      </c>
      <c r="F749" s="7563">
        <f>D749*E749</f>
        <v>4200000</v>
      </c>
      <c r="G749" s="6393"/>
      <c r="H749" s="6393"/>
      <c r="I749" s="6443" t="s">
        <v>4126</v>
      </c>
      <c r="J749" s="6393">
        <f t="shared" si="67"/>
        <v>0</v>
      </c>
      <c r="K749" s="6458">
        <f>G749-J749</f>
        <v>0</v>
      </c>
      <c r="L749" s="6477"/>
      <c r="M749" s="386"/>
      <c r="N749" s="386"/>
      <c r="O749" s="386"/>
      <c r="P749" s="386"/>
      <c r="Q749" s="386"/>
    </row>
    <row r="750" spans="1:17" ht="30" customHeight="1" x14ac:dyDescent="0.2">
      <c r="A750" s="7655"/>
      <c r="B750" s="7653"/>
      <c r="C750" s="7724"/>
      <c r="D750" s="7564"/>
      <c r="E750" s="7660"/>
      <c r="F750" s="7564"/>
      <c r="G750" s="6393"/>
      <c r="H750" s="6393"/>
      <c r="I750" s="6443" t="s">
        <v>4126</v>
      </c>
      <c r="J750" s="6393">
        <f t="shared" si="67"/>
        <v>0</v>
      </c>
      <c r="K750" s="6458">
        <f>G750-J750</f>
        <v>0</v>
      </c>
      <c r="L750" s="6477"/>
      <c r="M750" s="386"/>
      <c r="N750" s="386"/>
      <c r="O750" s="386"/>
      <c r="P750" s="386"/>
      <c r="Q750" s="386"/>
    </row>
    <row r="751" spans="1:17" ht="30" customHeight="1" x14ac:dyDescent="0.2">
      <c r="A751" s="6398">
        <v>346</v>
      </c>
      <c r="B751" s="6400" t="s">
        <v>1380</v>
      </c>
      <c r="C751" s="6434" t="s">
        <v>1172</v>
      </c>
      <c r="D751" s="6393">
        <v>5000000</v>
      </c>
      <c r="E751" s="6471">
        <v>0.05</v>
      </c>
      <c r="F751" s="6393">
        <f>D751*E751</f>
        <v>250000</v>
      </c>
      <c r="G751" s="6393"/>
      <c r="H751" s="6393"/>
      <c r="I751" s="6443" t="s">
        <v>1381</v>
      </c>
      <c r="J751" s="6393">
        <f t="shared" si="67"/>
        <v>0</v>
      </c>
      <c r="K751" s="6458">
        <f t="shared" ref="K751:K768" si="68">F751-J751</f>
        <v>250000</v>
      </c>
      <c r="L751" s="6477"/>
      <c r="M751" s="386"/>
      <c r="N751" s="386"/>
      <c r="O751" s="386"/>
      <c r="P751" s="386"/>
      <c r="Q751" s="386"/>
    </row>
    <row r="752" spans="1:17" ht="30" customHeight="1" x14ac:dyDescent="0.2">
      <c r="A752" s="6475">
        <v>347</v>
      </c>
      <c r="B752" s="6431" t="s">
        <v>178</v>
      </c>
      <c r="C752" s="6472" t="s">
        <v>1796</v>
      </c>
      <c r="D752" s="6385">
        <v>130000000</v>
      </c>
      <c r="E752" s="6471">
        <v>0.05</v>
      </c>
      <c r="F752" s="6385">
        <f>D752*E752</f>
        <v>6500000</v>
      </c>
      <c r="G752" s="6393">
        <v>6500000</v>
      </c>
      <c r="H752" s="6393" t="s">
        <v>7864</v>
      </c>
      <c r="I752" s="6443" t="s">
        <v>3951</v>
      </c>
      <c r="J752" s="6393">
        <f t="shared" si="67"/>
        <v>6500000</v>
      </c>
      <c r="K752" s="6458">
        <f t="shared" si="68"/>
        <v>0</v>
      </c>
      <c r="L752" s="6477"/>
      <c r="M752" s="386"/>
      <c r="N752" s="386"/>
      <c r="O752" s="386"/>
      <c r="P752" s="386"/>
      <c r="Q752" s="386"/>
    </row>
    <row r="753" spans="1:17" ht="30" customHeight="1" x14ac:dyDescent="0.2">
      <c r="A753" s="6475">
        <v>348</v>
      </c>
      <c r="B753" s="19" t="s">
        <v>1408</v>
      </c>
      <c r="C753" s="6472" t="s">
        <v>1306</v>
      </c>
      <c r="D753" s="6385">
        <v>50000000</v>
      </c>
      <c r="E753" s="6471">
        <v>0.04</v>
      </c>
      <c r="F753" s="6385">
        <f>D753*E753</f>
        <v>2000000</v>
      </c>
      <c r="G753" s="6385">
        <v>2000000</v>
      </c>
      <c r="H753" s="6385" t="s">
        <v>7864</v>
      </c>
      <c r="I753" s="6443" t="s">
        <v>5992</v>
      </c>
      <c r="J753" s="6393">
        <f t="shared" si="67"/>
        <v>2000000</v>
      </c>
      <c r="K753" s="6458">
        <f t="shared" si="68"/>
        <v>0</v>
      </c>
      <c r="L753" s="6477"/>
      <c r="M753" s="386"/>
      <c r="N753" s="386"/>
      <c r="O753" s="386"/>
      <c r="P753" s="386"/>
      <c r="Q753" s="386"/>
    </row>
    <row r="754" spans="1:17" ht="30" customHeight="1" x14ac:dyDescent="0.2">
      <c r="A754" s="6398">
        <v>350</v>
      </c>
      <c r="B754" s="6400" t="s">
        <v>1554</v>
      </c>
      <c r="C754" s="6434"/>
      <c r="D754" s="6393">
        <v>110000000</v>
      </c>
      <c r="E754" s="7898" t="s">
        <v>1556</v>
      </c>
      <c r="F754" s="7899"/>
      <c r="G754" s="6393"/>
      <c r="H754" s="6393"/>
      <c r="I754" s="6443" t="s">
        <v>3469</v>
      </c>
      <c r="J754" s="6393">
        <f t="shared" si="67"/>
        <v>0</v>
      </c>
      <c r="K754" s="6463">
        <f t="shared" si="68"/>
        <v>0</v>
      </c>
      <c r="L754" s="6477"/>
      <c r="M754" s="386"/>
      <c r="N754" s="386"/>
      <c r="O754" s="386"/>
      <c r="P754" s="386"/>
      <c r="Q754" s="386"/>
    </row>
    <row r="755" spans="1:17" ht="30" customHeight="1" x14ac:dyDescent="0.2">
      <c r="A755" s="7654"/>
      <c r="B755" s="7652" t="s">
        <v>1558</v>
      </c>
      <c r="C755" s="7723" t="s">
        <v>1172</v>
      </c>
      <c r="D755" s="6385">
        <v>680000000</v>
      </c>
      <c r="E755" s="6471">
        <v>7.0000000000000007E-2</v>
      </c>
      <c r="F755" s="6385">
        <f t="shared" ref="F755:F766" si="69">D755*E755</f>
        <v>47600000.000000007</v>
      </c>
      <c r="G755" s="7732" t="s">
        <v>7680</v>
      </c>
      <c r="H755" s="7733"/>
      <c r="I755" s="7733"/>
      <c r="J755" s="7734"/>
      <c r="K755" s="6458">
        <f t="shared" si="68"/>
        <v>47600000.000000007</v>
      </c>
      <c r="L755" s="6455" t="s">
        <v>7488</v>
      </c>
      <c r="M755" s="386"/>
      <c r="N755" s="386"/>
      <c r="O755" s="386"/>
      <c r="P755" s="386"/>
      <c r="Q755" s="386"/>
    </row>
    <row r="756" spans="1:17" ht="30" customHeight="1" x14ac:dyDescent="0.2">
      <c r="A756" s="7655"/>
      <c r="B756" s="7653"/>
      <c r="C756" s="7724"/>
      <c r="D756" s="6391">
        <v>30000000</v>
      </c>
      <c r="E756" s="6401">
        <v>7.0000000000000007E-2</v>
      </c>
      <c r="F756" s="6391">
        <f t="shared" si="69"/>
        <v>2100000</v>
      </c>
      <c r="G756" s="7494" t="s">
        <v>7187</v>
      </c>
      <c r="H756" s="7495"/>
      <c r="I756" s="7495"/>
      <c r="J756" s="7768"/>
      <c r="K756" s="6476"/>
      <c r="L756" s="6455" t="s">
        <v>7223</v>
      </c>
      <c r="M756" s="386"/>
      <c r="N756" s="386"/>
      <c r="O756" s="386"/>
      <c r="P756" s="386"/>
      <c r="Q756" s="386"/>
    </row>
    <row r="757" spans="1:17" ht="30" customHeight="1" x14ac:dyDescent="0.2">
      <c r="A757" s="7654"/>
      <c r="B757" s="7652" t="s">
        <v>7184</v>
      </c>
      <c r="C757" s="7723" t="s">
        <v>1172</v>
      </c>
      <c r="D757" s="7563">
        <v>200000000</v>
      </c>
      <c r="E757" s="7659">
        <v>7.0000000000000007E-2</v>
      </c>
      <c r="F757" s="7563">
        <f>D757*E757</f>
        <v>14000000.000000002</v>
      </c>
      <c r="G757" s="7877"/>
      <c r="H757" s="7524"/>
      <c r="I757" s="7524"/>
      <c r="J757" s="7878"/>
      <c r="K757" s="7816"/>
      <c r="L757" s="1660" t="s">
        <v>7186</v>
      </c>
      <c r="M757" s="386"/>
      <c r="N757" s="386"/>
      <c r="O757" s="386"/>
      <c r="P757" s="386"/>
      <c r="Q757" s="386"/>
    </row>
    <row r="758" spans="1:17" ht="30" customHeight="1" x14ac:dyDescent="0.2">
      <c r="A758" s="7655"/>
      <c r="B758" s="7653"/>
      <c r="C758" s="7724"/>
      <c r="D758" s="7564"/>
      <c r="E758" s="7660"/>
      <c r="F758" s="7564"/>
      <c r="G758" s="7769"/>
      <c r="H758" s="7805"/>
      <c r="I758" s="7805"/>
      <c r="J758" s="7770"/>
      <c r="K758" s="7817"/>
      <c r="L758" s="6455" t="s">
        <v>7185</v>
      </c>
      <c r="M758" s="386"/>
      <c r="N758" s="386"/>
      <c r="O758" s="386"/>
      <c r="P758" s="386"/>
      <c r="Q758" s="386"/>
    </row>
    <row r="759" spans="1:17" ht="30" customHeight="1" x14ac:dyDescent="0.2">
      <c r="A759" s="6398"/>
      <c r="B759" s="6400" t="s">
        <v>1558</v>
      </c>
      <c r="C759" s="6434" t="s">
        <v>1172</v>
      </c>
      <c r="D759" s="6393">
        <v>860000000</v>
      </c>
      <c r="E759" s="6402">
        <v>7.0000000000000007E-2</v>
      </c>
      <c r="F759" s="6393">
        <f>D759*E759</f>
        <v>60200000.000000007</v>
      </c>
      <c r="G759" s="7732" t="s">
        <v>7225</v>
      </c>
      <c r="H759" s="7733"/>
      <c r="I759" s="7733"/>
      <c r="J759" s="7734"/>
      <c r="K759" s="6458"/>
      <c r="L759" s="6455" t="s">
        <v>7226</v>
      </c>
      <c r="M759" s="386"/>
      <c r="N759" s="386"/>
      <c r="O759" s="386"/>
      <c r="P759" s="386"/>
      <c r="Q759" s="386"/>
    </row>
    <row r="760" spans="1:17" ht="30" customHeight="1" x14ac:dyDescent="0.2">
      <c r="A760" s="6475">
        <v>352</v>
      </c>
      <c r="B760" s="6431" t="s">
        <v>1561</v>
      </c>
      <c r="C760" s="6472" t="s">
        <v>1081</v>
      </c>
      <c r="D760" s="6385">
        <v>50000000</v>
      </c>
      <c r="E760" s="6471">
        <v>7.0000000000000007E-2</v>
      </c>
      <c r="F760" s="6385">
        <f t="shared" si="69"/>
        <v>3500000.0000000005</v>
      </c>
      <c r="G760" s="6393"/>
      <c r="H760" s="6393"/>
      <c r="I760" s="6512" t="s">
        <v>3517</v>
      </c>
      <c r="J760" s="6393">
        <f t="shared" si="67"/>
        <v>0</v>
      </c>
      <c r="K760" s="6458">
        <f t="shared" si="68"/>
        <v>3500000.0000000005</v>
      </c>
      <c r="L760" s="6477" t="s">
        <v>7311</v>
      </c>
      <c r="M760" s="386"/>
      <c r="N760" s="386"/>
      <c r="O760" s="386"/>
      <c r="P760" s="386"/>
      <c r="Q760" s="386"/>
    </row>
    <row r="761" spans="1:17" ht="30" customHeight="1" x14ac:dyDescent="0.2">
      <c r="A761" s="7654">
        <v>353</v>
      </c>
      <c r="B761" s="7652" t="s">
        <v>1565</v>
      </c>
      <c r="C761" s="6472" t="s">
        <v>1172</v>
      </c>
      <c r="D761" s="6393">
        <v>50000000</v>
      </c>
      <c r="E761" s="6471">
        <v>0.05</v>
      </c>
      <c r="F761" s="6393">
        <f t="shared" si="69"/>
        <v>2500000</v>
      </c>
      <c r="G761" s="6393"/>
      <c r="H761" s="6393"/>
      <c r="I761" s="6443" t="s">
        <v>3718</v>
      </c>
      <c r="J761" s="6393">
        <f t="shared" si="67"/>
        <v>0</v>
      </c>
      <c r="K761" s="6458">
        <f t="shared" si="68"/>
        <v>2500000</v>
      </c>
      <c r="L761" s="6477"/>
      <c r="M761" s="386"/>
      <c r="N761" s="386"/>
      <c r="O761" s="386"/>
      <c r="P761" s="386"/>
      <c r="Q761" s="386"/>
    </row>
    <row r="762" spans="1:17" ht="30" customHeight="1" x14ac:dyDescent="0.2">
      <c r="A762" s="7656"/>
      <c r="B762" s="7665"/>
      <c r="C762" s="6472" t="s">
        <v>1299</v>
      </c>
      <c r="D762" s="6393">
        <v>20000000</v>
      </c>
      <c r="E762" s="6471">
        <v>0.05</v>
      </c>
      <c r="F762" s="6393">
        <f t="shared" si="69"/>
        <v>1000000</v>
      </c>
      <c r="G762" s="1455"/>
      <c r="H762" s="1455"/>
      <c r="I762" s="1455" t="s">
        <v>2847</v>
      </c>
      <c r="J762" s="1455">
        <f t="shared" si="67"/>
        <v>0</v>
      </c>
      <c r="K762" s="6458">
        <f t="shared" si="68"/>
        <v>1000000</v>
      </c>
      <c r="L762" s="6477"/>
      <c r="M762" s="386"/>
      <c r="N762" s="386"/>
      <c r="O762" s="386"/>
      <c r="P762" s="386"/>
      <c r="Q762" s="386"/>
    </row>
    <row r="763" spans="1:17" ht="30" customHeight="1" x14ac:dyDescent="0.2">
      <c r="A763" s="7655"/>
      <c r="B763" s="7653"/>
      <c r="C763" s="6472" t="s">
        <v>1299</v>
      </c>
      <c r="D763" s="6393">
        <v>20000000</v>
      </c>
      <c r="E763" s="6471">
        <v>0.05</v>
      </c>
      <c r="F763" s="6393">
        <f t="shared" si="69"/>
        <v>1000000</v>
      </c>
      <c r="G763" s="1455"/>
      <c r="H763" s="1455"/>
      <c r="I763" s="1455" t="s">
        <v>2847</v>
      </c>
      <c r="J763" s="1455">
        <f>G763</f>
        <v>0</v>
      </c>
      <c r="K763" s="6458">
        <f t="shared" si="68"/>
        <v>1000000</v>
      </c>
      <c r="L763" s="6477"/>
      <c r="M763" s="386"/>
      <c r="N763" s="386"/>
      <c r="O763" s="386"/>
      <c r="P763" s="386"/>
      <c r="Q763" s="386"/>
    </row>
    <row r="764" spans="1:17" ht="30" customHeight="1" x14ac:dyDescent="0.2">
      <c r="A764" s="7654">
        <v>355</v>
      </c>
      <c r="B764" s="7652" t="s">
        <v>1582</v>
      </c>
      <c r="C764" s="7723" t="s">
        <v>2644</v>
      </c>
      <c r="D764" s="6385">
        <v>265000000</v>
      </c>
      <c r="E764" s="6471">
        <v>0.05</v>
      </c>
      <c r="F764" s="6385">
        <f t="shared" si="69"/>
        <v>13250000</v>
      </c>
      <c r="G764" s="6385"/>
      <c r="H764" s="6385"/>
      <c r="I764" s="6522" t="s">
        <v>3411</v>
      </c>
      <c r="J764" s="6385">
        <f t="shared" si="67"/>
        <v>0</v>
      </c>
      <c r="K764" s="6389">
        <f t="shared" si="68"/>
        <v>13250000</v>
      </c>
      <c r="L764" s="6477"/>
      <c r="M764" s="386"/>
      <c r="N764" s="386"/>
      <c r="O764" s="386"/>
      <c r="P764" s="386"/>
      <c r="Q764" s="386"/>
    </row>
    <row r="765" spans="1:17" ht="30" customHeight="1" x14ac:dyDescent="0.2">
      <c r="A765" s="7655"/>
      <c r="B765" s="7653"/>
      <c r="C765" s="7724"/>
      <c r="D765" s="6385">
        <v>60000000</v>
      </c>
      <c r="E765" s="6471">
        <v>0.05</v>
      </c>
      <c r="F765" s="6385">
        <f t="shared" si="69"/>
        <v>3000000</v>
      </c>
      <c r="G765" s="6385"/>
      <c r="H765" s="6385"/>
      <c r="I765" s="6522" t="s">
        <v>2460</v>
      </c>
      <c r="J765" s="6385">
        <f t="shared" si="67"/>
        <v>0</v>
      </c>
      <c r="K765" s="6389">
        <f t="shared" si="68"/>
        <v>3000000</v>
      </c>
      <c r="L765" s="6454"/>
      <c r="M765" s="386"/>
      <c r="N765" s="386"/>
      <c r="O765" s="386"/>
      <c r="P765" s="386"/>
      <c r="Q765" s="386"/>
    </row>
    <row r="766" spans="1:17" ht="30" customHeight="1" x14ac:dyDescent="0.2">
      <c r="A766" s="6475"/>
      <c r="B766" s="6431" t="s">
        <v>6208</v>
      </c>
      <c r="C766" s="6472"/>
      <c r="D766" s="6385">
        <v>20000000</v>
      </c>
      <c r="E766" s="6471">
        <v>0.04</v>
      </c>
      <c r="F766" s="6385">
        <f t="shared" si="69"/>
        <v>800000</v>
      </c>
      <c r="G766" s="6385"/>
      <c r="H766" s="6385"/>
      <c r="I766" s="6522" t="s">
        <v>6909</v>
      </c>
      <c r="J766" s="6385">
        <f>G766</f>
        <v>0</v>
      </c>
      <c r="K766" s="6389">
        <f t="shared" si="68"/>
        <v>800000</v>
      </c>
      <c r="L766" s="6454"/>
      <c r="M766" s="386"/>
      <c r="N766" s="386"/>
      <c r="O766" s="386"/>
      <c r="P766" s="386"/>
      <c r="Q766" s="386"/>
    </row>
    <row r="767" spans="1:17" ht="30" customHeight="1" x14ac:dyDescent="0.2">
      <c r="A767" s="6475">
        <v>358</v>
      </c>
      <c r="B767" s="6431" t="s">
        <v>1597</v>
      </c>
      <c r="C767" s="6472"/>
      <c r="D767" s="6394"/>
      <c r="E767" s="2519"/>
      <c r="F767" s="6394"/>
      <c r="G767" s="6385"/>
      <c r="H767" s="6385"/>
      <c r="I767" s="6522" t="s">
        <v>1598</v>
      </c>
      <c r="J767" s="6385">
        <f>G767</f>
        <v>0</v>
      </c>
      <c r="K767" s="1030">
        <f t="shared" si="68"/>
        <v>0</v>
      </c>
      <c r="L767" s="6477"/>
      <c r="M767" s="386"/>
      <c r="N767" s="386"/>
      <c r="O767" s="386"/>
      <c r="P767" s="386"/>
      <c r="Q767" s="386"/>
    </row>
    <row r="768" spans="1:17" ht="30" customHeight="1" x14ac:dyDescent="0.2">
      <c r="A768" s="6397">
        <v>359</v>
      </c>
      <c r="B768" s="6431" t="s">
        <v>1599</v>
      </c>
      <c r="C768" s="6472"/>
      <c r="D768" s="6394"/>
      <c r="E768" s="2519"/>
      <c r="F768" s="6394"/>
      <c r="G768" s="6393"/>
      <c r="H768" s="6393"/>
      <c r="I768" s="472" t="s">
        <v>1600</v>
      </c>
      <c r="J768" s="6385">
        <f>G768</f>
        <v>0</v>
      </c>
      <c r="K768" s="1030">
        <f t="shared" si="68"/>
        <v>0</v>
      </c>
      <c r="L768" s="6457"/>
      <c r="M768" s="386"/>
      <c r="N768" s="386"/>
      <c r="O768" s="386"/>
      <c r="P768" s="386"/>
      <c r="Q768" s="386"/>
    </row>
    <row r="769" spans="1:17" ht="30" customHeight="1" x14ac:dyDescent="0.2">
      <c r="A769" s="7879">
        <v>360</v>
      </c>
      <c r="B769" s="7717" t="s">
        <v>1614</v>
      </c>
      <c r="C769" s="7873" t="s">
        <v>889</v>
      </c>
      <c r="D769" s="6385">
        <v>290000000</v>
      </c>
      <c r="E769" s="6471">
        <v>0.05</v>
      </c>
      <c r="F769" s="6385">
        <f>D769*E769</f>
        <v>14500000</v>
      </c>
      <c r="G769" s="6385"/>
      <c r="H769" s="6385"/>
      <c r="I769" s="6522" t="s">
        <v>1611</v>
      </c>
      <c r="J769" s="7563">
        <f>G769+G770</f>
        <v>0</v>
      </c>
      <c r="K769" s="7816">
        <f>(F769+F770+F771)-J769</f>
        <v>36100000</v>
      </c>
      <c r="L769" s="7888"/>
      <c r="M769" s="386"/>
      <c r="N769" s="386"/>
      <c r="O769" s="386"/>
      <c r="P769" s="386"/>
      <c r="Q769" s="386"/>
    </row>
    <row r="770" spans="1:17" ht="30" customHeight="1" x14ac:dyDescent="0.2">
      <c r="A770" s="7879"/>
      <c r="B770" s="7717"/>
      <c r="C770" s="7873"/>
      <c r="D770" s="6385">
        <v>210000000</v>
      </c>
      <c r="E770" s="6471">
        <v>0.06</v>
      </c>
      <c r="F770" s="6385">
        <f>D770*E770</f>
        <v>12600000</v>
      </c>
      <c r="G770" s="7563"/>
      <c r="H770" s="7563"/>
      <c r="I770" s="7889" t="s">
        <v>1611</v>
      </c>
      <c r="J770" s="7586"/>
      <c r="K770" s="7882"/>
      <c r="L770" s="7811"/>
      <c r="M770" s="386"/>
      <c r="N770" s="386"/>
      <c r="O770" s="386"/>
      <c r="P770" s="386"/>
      <c r="Q770" s="386"/>
    </row>
    <row r="771" spans="1:17" ht="30" customHeight="1" x14ac:dyDescent="0.2">
      <c r="A771" s="7879"/>
      <c r="B771" s="7717"/>
      <c r="C771" s="7873"/>
      <c r="D771" s="6385">
        <v>150000000</v>
      </c>
      <c r="E771" s="6471">
        <v>0.06</v>
      </c>
      <c r="F771" s="6385">
        <f>D771*E771</f>
        <v>9000000</v>
      </c>
      <c r="G771" s="7564"/>
      <c r="H771" s="7564"/>
      <c r="I771" s="7890"/>
      <c r="J771" s="7564"/>
      <c r="K771" s="7817"/>
      <c r="L771" s="6455"/>
      <c r="M771" s="386"/>
      <c r="N771" s="386"/>
      <c r="O771" s="386"/>
      <c r="P771" s="386"/>
      <c r="Q771" s="386"/>
    </row>
    <row r="772" spans="1:17" ht="30" customHeight="1" x14ac:dyDescent="0.2">
      <c r="A772" s="7879">
        <v>361</v>
      </c>
      <c r="B772" s="7652" t="s">
        <v>1612</v>
      </c>
      <c r="C772" s="7873" t="s">
        <v>371</v>
      </c>
      <c r="D772" s="7482">
        <v>2815000000</v>
      </c>
      <c r="E772" s="7659"/>
      <c r="F772" s="7563">
        <v>106650000</v>
      </c>
      <c r="G772" s="7494" t="s">
        <v>7819</v>
      </c>
      <c r="H772" s="7495"/>
      <c r="I772" s="7768"/>
      <c r="J772" s="7499">
        <f>G774+G775+G776+G777+G778</f>
        <v>5000000</v>
      </c>
      <c r="K772" s="7499">
        <f>69000000-J772</f>
        <v>64000000</v>
      </c>
      <c r="L772" s="6478" t="s">
        <v>4625</v>
      </c>
      <c r="M772" s="386"/>
      <c r="N772" s="386"/>
      <c r="O772" s="386"/>
      <c r="P772" s="386"/>
      <c r="Q772" s="386"/>
    </row>
    <row r="773" spans="1:17" ht="30" customHeight="1" x14ac:dyDescent="0.2">
      <c r="A773" s="7879"/>
      <c r="B773" s="7665"/>
      <c r="C773" s="7873"/>
      <c r="D773" s="7482"/>
      <c r="E773" s="7676"/>
      <c r="F773" s="7586"/>
      <c r="G773" s="7769"/>
      <c r="H773" s="7805"/>
      <c r="I773" s="7770"/>
      <c r="J773" s="7499"/>
      <c r="K773" s="7499"/>
      <c r="L773" s="6478" t="s">
        <v>4626</v>
      </c>
      <c r="M773" s="386"/>
      <c r="N773" s="386"/>
      <c r="O773" s="386"/>
      <c r="P773" s="386"/>
      <c r="Q773" s="386"/>
    </row>
    <row r="774" spans="1:17" ht="30" customHeight="1" x14ac:dyDescent="0.2">
      <c r="A774" s="7879"/>
      <c r="B774" s="7665"/>
      <c r="C774" s="7873"/>
      <c r="D774" s="7482"/>
      <c r="E774" s="7676"/>
      <c r="F774" s="7586"/>
      <c r="G774" s="6560">
        <v>5000000</v>
      </c>
      <c r="H774" s="6560" t="s">
        <v>7821</v>
      </c>
      <c r="I774" s="6560" t="s">
        <v>2467</v>
      </c>
      <c r="J774" s="7499"/>
      <c r="K774" s="7499"/>
      <c r="L774" s="6478" t="s">
        <v>7268</v>
      </c>
      <c r="M774" s="386"/>
      <c r="N774" s="386"/>
      <c r="O774" s="386"/>
      <c r="P774" s="386"/>
      <c r="Q774" s="386"/>
    </row>
    <row r="775" spans="1:17" ht="30" customHeight="1" x14ac:dyDescent="0.2">
      <c r="A775" s="7879"/>
      <c r="B775" s="7665"/>
      <c r="C775" s="7873"/>
      <c r="D775" s="7482"/>
      <c r="E775" s="7676"/>
      <c r="F775" s="7586"/>
      <c r="G775" s="6560"/>
      <c r="H775" s="6560"/>
      <c r="I775" s="6560"/>
      <c r="J775" s="7499"/>
      <c r="K775" s="7499"/>
      <c r="L775" s="6478"/>
      <c r="M775" s="386"/>
      <c r="N775" s="386"/>
      <c r="O775" s="386"/>
      <c r="P775" s="386"/>
      <c r="Q775" s="386"/>
    </row>
    <row r="776" spans="1:17" ht="30" customHeight="1" x14ac:dyDescent="0.2">
      <c r="A776" s="7879"/>
      <c r="B776" s="7665"/>
      <c r="C776" s="7873"/>
      <c r="D776" s="7482"/>
      <c r="E776" s="7676"/>
      <c r="F776" s="7586"/>
      <c r="G776" s="6385"/>
      <c r="H776" s="6385"/>
      <c r="I776" s="6385"/>
      <c r="J776" s="7499"/>
      <c r="K776" s="7499"/>
      <c r="L776" s="6478"/>
      <c r="M776" s="386"/>
      <c r="N776" s="386"/>
      <c r="O776" s="386"/>
      <c r="P776" s="386"/>
      <c r="Q776" s="386"/>
    </row>
    <row r="777" spans="1:17" ht="30" customHeight="1" x14ac:dyDescent="0.2">
      <c r="A777" s="7879"/>
      <c r="B777" s="7665"/>
      <c r="C777" s="7873"/>
      <c r="D777" s="7482"/>
      <c r="E777" s="7676"/>
      <c r="F777" s="7586"/>
      <c r="G777" s="6385"/>
      <c r="H777" s="6385"/>
      <c r="I777" s="6385"/>
      <c r="J777" s="7499"/>
      <c r="K777" s="7499"/>
      <c r="L777" s="6478"/>
      <c r="M777" s="386"/>
      <c r="N777" s="386"/>
      <c r="O777" s="386"/>
      <c r="P777" s="386"/>
      <c r="Q777" s="386"/>
    </row>
    <row r="778" spans="1:17" ht="30" customHeight="1" x14ac:dyDescent="0.2">
      <c r="A778" s="7879"/>
      <c r="B778" s="7665"/>
      <c r="C778" s="7873"/>
      <c r="D778" s="7482"/>
      <c r="E778" s="7660"/>
      <c r="F778" s="7564"/>
      <c r="G778" s="6385"/>
      <c r="H778" s="6385"/>
      <c r="I778" s="6385"/>
      <c r="J778" s="7499"/>
      <c r="K778" s="7499"/>
      <c r="L778" s="6478"/>
      <c r="M778" s="386"/>
      <c r="N778" s="386"/>
      <c r="O778" s="386"/>
      <c r="P778" s="386"/>
      <c r="Q778" s="386"/>
    </row>
    <row r="779" spans="1:17" ht="30" customHeight="1" x14ac:dyDescent="0.2">
      <c r="A779" s="7879"/>
      <c r="B779" s="7665"/>
      <c r="C779" s="7723" t="s">
        <v>371</v>
      </c>
      <c r="D779" s="7563">
        <v>2815000000</v>
      </c>
      <c r="E779" s="7659"/>
      <c r="F779" s="7563">
        <v>106650000</v>
      </c>
      <c r="G779" s="8026">
        <v>18000000</v>
      </c>
      <c r="H779" s="8545" t="s">
        <v>5156</v>
      </c>
      <c r="I779" s="8546"/>
      <c r="J779" s="7816"/>
      <c r="K779" s="7816"/>
      <c r="L779" s="6478"/>
      <c r="M779" s="386"/>
      <c r="N779" s="386"/>
      <c r="O779" s="386"/>
      <c r="P779" s="386"/>
      <c r="Q779" s="386"/>
    </row>
    <row r="780" spans="1:17" ht="30" customHeight="1" x14ac:dyDescent="0.2">
      <c r="A780" s="7879"/>
      <c r="B780" s="7665"/>
      <c r="C780" s="7747"/>
      <c r="D780" s="7586"/>
      <c r="E780" s="7676"/>
      <c r="F780" s="7586"/>
      <c r="G780" s="8027"/>
      <c r="H780" s="8547"/>
      <c r="I780" s="8548"/>
      <c r="J780" s="7882"/>
      <c r="K780" s="7882"/>
      <c r="L780" s="6478"/>
      <c r="M780" s="386"/>
      <c r="N780" s="386"/>
      <c r="O780" s="386"/>
      <c r="P780" s="386"/>
      <c r="Q780" s="386"/>
    </row>
    <row r="781" spans="1:17" ht="30" customHeight="1" x14ac:dyDescent="0.2">
      <c r="A781" s="7879"/>
      <c r="B781" s="7665"/>
      <c r="C781" s="7747"/>
      <c r="D781" s="7586"/>
      <c r="E781" s="7676"/>
      <c r="F781" s="7586"/>
      <c r="G781" s="6385"/>
      <c r="H781" s="6385"/>
      <c r="I781" s="6385"/>
      <c r="J781" s="7882"/>
      <c r="K781" s="7882"/>
      <c r="L781" s="6478"/>
      <c r="M781" s="386"/>
      <c r="N781" s="386"/>
      <c r="O781" s="386"/>
      <c r="P781" s="386"/>
      <c r="Q781" s="386"/>
    </row>
    <row r="782" spans="1:17" ht="30" customHeight="1" x14ac:dyDescent="0.2">
      <c r="A782" s="7879"/>
      <c r="B782" s="7665"/>
      <c r="C782" s="7747"/>
      <c r="D782" s="7586"/>
      <c r="E782" s="7676"/>
      <c r="F782" s="7586"/>
      <c r="G782" s="6385"/>
      <c r="H782" s="6385"/>
      <c r="I782" s="6385"/>
      <c r="J782" s="7882"/>
      <c r="K782" s="7882"/>
      <c r="L782" s="6478"/>
      <c r="M782" s="386"/>
      <c r="N782" s="386"/>
      <c r="O782" s="386"/>
      <c r="P782" s="386"/>
      <c r="Q782" s="386"/>
    </row>
    <row r="783" spans="1:17" ht="30" customHeight="1" x14ac:dyDescent="0.2">
      <c r="A783" s="7879"/>
      <c r="B783" s="7665"/>
      <c r="C783" s="7747"/>
      <c r="D783" s="7586"/>
      <c r="E783" s="7676"/>
      <c r="F783" s="7586"/>
      <c r="G783" s="6385"/>
      <c r="H783" s="233"/>
      <c r="I783" s="233"/>
      <c r="J783" s="7882"/>
      <c r="K783" s="7882"/>
      <c r="L783" s="6478"/>
      <c r="M783" s="386"/>
      <c r="N783" s="386"/>
      <c r="O783" s="386"/>
      <c r="P783" s="386"/>
      <c r="Q783" s="386"/>
    </row>
    <row r="784" spans="1:17" ht="30" customHeight="1" x14ac:dyDescent="0.2">
      <c r="A784" s="7879"/>
      <c r="B784" s="7665"/>
      <c r="C784" s="7747"/>
      <c r="D784" s="7586"/>
      <c r="E784" s="7676"/>
      <c r="F784" s="7586"/>
      <c r="G784" s="6385"/>
      <c r="H784" s="233"/>
      <c r="I784" s="233"/>
      <c r="J784" s="7882"/>
      <c r="K784" s="7882"/>
      <c r="L784" s="6478"/>
      <c r="M784" s="386"/>
      <c r="N784" s="386"/>
      <c r="O784" s="386"/>
      <c r="P784" s="386"/>
      <c r="Q784" s="386"/>
    </row>
    <row r="785" spans="1:17" ht="30" customHeight="1" x14ac:dyDescent="0.2">
      <c r="A785" s="7879"/>
      <c r="B785" s="7653"/>
      <c r="C785" s="7724"/>
      <c r="D785" s="7564"/>
      <c r="E785" s="7660"/>
      <c r="F785" s="7564"/>
      <c r="G785" s="6385"/>
      <c r="H785" s="6385"/>
      <c r="I785" s="6385"/>
      <c r="J785" s="7817"/>
      <c r="K785" s="7817"/>
      <c r="L785" s="6478"/>
      <c r="M785" s="386"/>
      <c r="N785" s="386"/>
      <c r="O785" s="386"/>
      <c r="P785" s="386"/>
      <c r="Q785" s="386"/>
    </row>
    <row r="786" spans="1:17" ht="30" customHeight="1" x14ac:dyDescent="0.2">
      <c r="A786" s="6397"/>
      <c r="B786" s="6431" t="s">
        <v>4179</v>
      </c>
      <c r="C786" s="6472" t="s">
        <v>2278</v>
      </c>
      <c r="D786" s="6385">
        <v>30000000</v>
      </c>
      <c r="E786" s="6471">
        <v>6.5000000000000002E-2</v>
      </c>
      <c r="F786" s="6385">
        <f>D786*E786</f>
        <v>1950000</v>
      </c>
      <c r="G786" s="6385"/>
      <c r="H786" s="6385"/>
      <c r="I786" s="6385" t="s">
        <v>2369</v>
      </c>
      <c r="J786" s="6385">
        <f>G786</f>
        <v>0</v>
      </c>
      <c r="K786" s="6389">
        <f>F786-J786</f>
        <v>1950000</v>
      </c>
      <c r="L786" s="6477"/>
      <c r="M786" s="6477"/>
      <c r="N786" s="6477"/>
      <c r="O786" s="6477"/>
      <c r="P786" s="386"/>
      <c r="Q786" s="386"/>
    </row>
    <row r="787" spans="1:17" ht="30" customHeight="1" x14ac:dyDescent="0.2">
      <c r="A787" s="6475">
        <v>362</v>
      </c>
      <c r="B787" s="19" t="s">
        <v>1619</v>
      </c>
      <c r="C787" s="6472" t="s">
        <v>1652</v>
      </c>
      <c r="D787" s="6393">
        <v>360000000</v>
      </c>
      <c r="E787" s="6471">
        <v>4.4999999999999998E-2</v>
      </c>
      <c r="F787" s="6393">
        <v>16500000</v>
      </c>
      <c r="G787" s="6393"/>
      <c r="H787" s="6393"/>
      <c r="I787" s="472" t="s">
        <v>4776</v>
      </c>
      <c r="J787" s="6393">
        <f t="shared" ref="J787:J798" si="70">G787</f>
        <v>0</v>
      </c>
      <c r="K787" s="6458">
        <f t="shared" ref="K787:K798" si="71">F787-J787</f>
        <v>16500000</v>
      </c>
      <c r="L787" s="6477"/>
      <c r="M787" s="6477"/>
      <c r="N787" s="6477"/>
      <c r="O787" s="6477"/>
      <c r="P787" s="386"/>
      <c r="Q787" s="386"/>
    </row>
    <row r="788" spans="1:17" ht="30" customHeight="1" x14ac:dyDescent="0.2">
      <c r="A788" s="7654">
        <v>363</v>
      </c>
      <c r="B788" s="7652" t="s">
        <v>1641</v>
      </c>
      <c r="C788" s="7723" t="s">
        <v>1172</v>
      </c>
      <c r="D788" s="6393">
        <v>33000000</v>
      </c>
      <c r="E788" s="6471">
        <v>0.05</v>
      </c>
      <c r="F788" s="6393">
        <f>D788*E788</f>
        <v>1650000</v>
      </c>
      <c r="G788" s="7563"/>
      <c r="H788" s="7563"/>
      <c r="I788" s="7889" t="s">
        <v>1621</v>
      </c>
      <c r="J788" s="7563">
        <f t="shared" si="70"/>
        <v>0</v>
      </c>
      <c r="K788" s="7816">
        <f>(F788+F789)-J788</f>
        <v>2150000</v>
      </c>
      <c r="L788" s="6477"/>
      <c r="M788" s="386"/>
      <c r="N788" s="386"/>
      <c r="O788" s="386"/>
      <c r="P788" s="386"/>
      <c r="Q788" s="386"/>
    </row>
    <row r="789" spans="1:17" ht="30" customHeight="1" x14ac:dyDescent="0.2">
      <c r="A789" s="7655"/>
      <c r="B789" s="7653"/>
      <c r="C789" s="7724"/>
      <c r="D789" s="6392">
        <v>10000000</v>
      </c>
      <c r="E789" s="6401">
        <v>0.05</v>
      </c>
      <c r="F789" s="6393">
        <f>D789*E789</f>
        <v>500000</v>
      </c>
      <c r="G789" s="7564"/>
      <c r="H789" s="7564"/>
      <c r="I789" s="7890"/>
      <c r="J789" s="7564"/>
      <c r="K789" s="7817"/>
      <c r="L789" s="6477"/>
      <c r="M789" s="386"/>
      <c r="N789" s="386"/>
      <c r="O789" s="386"/>
      <c r="P789" s="386"/>
      <c r="Q789" s="386"/>
    </row>
    <row r="790" spans="1:17" ht="30" customHeight="1" x14ac:dyDescent="0.2">
      <c r="A790" s="7654">
        <v>364</v>
      </c>
      <c r="B790" s="7652" t="s">
        <v>6247</v>
      </c>
      <c r="C790" s="7723" t="s">
        <v>1172</v>
      </c>
      <c r="D790" s="6385">
        <v>150000000</v>
      </c>
      <c r="E790" s="6471">
        <v>0.06</v>
      </c>
      <c r="F790" s="6385">
        <f>D790*E790</f>
        <v>9000000</v>
      </c>
      <c r="G790" s="6393"/>
      <c r="H790" s="6393"/>
      <c r="I790" s="472"/>
      <c r="J790" s="227"/>
      <c r="K790" s="847"/>
      <c r="L790" s="6477"/>
      <c r="M790" s="386"/>
      <c r="N790" s="386"/>
      <c r="O790" s="386"/>
      <c r="P790" s="386"/>
      <c r="Q790" s="386"/>
    </row>
    <row r="791" spans="1:17" ht="30" customHeight="1" x14ac:dyDescent="0.2">
      <c r="A791" s="7656"/>
      <c r="B791" s="7665"/>
      <c r="C791" s="7747"/>
      <c r="D791" s="7494" t="s">
        <v>7497</v>
      </c>
      <c r="E791" s="7495"/>
      <c r="F791" s="7768"/>
      <c r="G791" s="6393"/>
      <c r="H791" s="6393"/>
      <c r="I791" s="472" t="s">
        <v>2776</v>
      </c>
      <c r="J791" s="7563">
        <f>G791+G792+G793</f>
        <v>0</v>
      </c>
      <c r="K791" s="7816">
        <f>(F790+D790)-J791</f>
        <v>159000000</v>
      </c>
      <c r="L791" s="6455"/>
      <c r="M791" s="386"/>
      <c r="N791" s="386"/>
      <c r="O791" s="386"/>
      <c r="P791" s="386"/>
      <c r="Q791" s="386"/>
    </row>
    <row r="792" spans="1:17" ht="30" customHeight="1" x14ac:dyDescent="0.2">
      <c r="A792" s="7656"/>
      <c r="B792" s="7665"/>
      <c r="C792" s="7747"/>
      <c r="D792" s="7877"/>
      <c r="E792" s="7524"/>
      <c r="F792" s="7878"/>
      <c r="G792" s="6393"/>
      <c r="H792" s="6393"/>
      <c r="I792" s="472" t="s">
        <v>2776</v>
      </c>
      <c r="J792" s="7586"/>
      <c r="K792" s="7882"/>
      <c r="L792" s="6455"/>
      <c r="M792" s="386"/>
      <c r="N792" s="386"/>
      <c r="O792" s="386"/>
      <c r="P792" s="386"/>
      <c r="Q792" s="386"/>
    </row>
    <row r="793" spans="1:17" ht="30" customHeight="1" x14ac:dyDescent="0.2">
      <c r="A793" s="7656"/>
      <c r="B793" s="7665"/>
      <c r="C793" s="7747"/>
      <c r="D793" s="7769"/>
      <c r="E793" s="7805"/>
      <c r="F793" s="7770"/>
      <c r="G793" s="6393"/>
      <c r="H793" s="6393"/>
      <c r="I793" s="472" t="s">
        <v>2776</v>
      </c>
      <c r="J793" s="7564"/>
      <c r="K793" s="7817"/>
      <c r="L793" s="6455"/>
      <c r="M793" s="386"/>
      <c r="N793" s="386"/>
      <c r="O793" s="386"/>
      <c r="P793" s="386"/>
      <c r="Q793" s="386"/>
    </row>
    <row r="794" spans="1:17" ht="30" customHeight="1" x14ac:dyDescent="0.2">
      <c r="A794" s="7655"/>
      <c r="B794" s="7653"/>
      <c r="C794" s="7724"/>
      <c r="D794" s="6394"/>
      <c r="E794" s="2519"/>
      <c r="F794" s="6393">
        <v>6000000</v>
      </c>
      <c r="G794" s="6393"/>
      <c r="H794" s="6393"/>
      <c r="I794" s="472"/>
      <c r="J794" s="7"/>
      <c r="K794" s="6458">
        <f t="shared" si="71"/>
        <v>6000000</v>
      </c>
      <c r="L794" s="6455"/>
      <c r="M794" s="386"/>
      <c r="N794" s="386"/>
      <c r="O794" s="386"/>
      <c r="P794" s="386"/>
      <c r="Q794" s="386"/>
    </row>
    <row r="795" spans="1:17" ht="30" customHeight="1" x14ac:dyDescent="0.2">
      <c r="A795" s="6475">
        <v>365</v>
      </c>
      <c r="B795" s="6431" t="s">
        <v>1639</v>
      </c>
      <c r="C795" s="6472" t="s">
        <v>1718</v>
      </c>
      <c r="D795" s="6393">
        <v>250000000</v>
      </c>
      <c r="E795" s="6471">
        <v>0.05</v>
      </c>
      <c r="F795" s="6393">
        <f>D795*E795</f>
        <v>12500000</v>
      </c>
      <c r="G795" s="6385"/>
      <c r="H795" s="6385"/>
      <c r="I795" s="6385" t="s">
        <v>2808</v>
      </c>
      <c r="J795" s="6385">
        <f t="shared" si="70"/>
        <v>0</v>
      </c>
      <c r="K795" s="6458">
        <f t="shared" si="71"/>
        <v>12500000</v>
      </c>
      <c r="L795" s="6455"/>
      <c r="M795" s="386"/>
      <c r="N795" s="386"/>
      <c r="O795" s="386"/>
      <c r="P795" s="386"/>
      <c r="Q795" s="386"/>
    </row>
    <row r="796" spans="1:17" ht="30" customHeight="1" x14ac:dyDescent="0.2">
      <c r="A796" s="7654">
        <v>366</v>
      </c>
      <c r="B796" s="7652" t="s">
        <v>4684</v>
      </c>
      <c r="C796" s="7723" t="s">
        <v>1107</v>
      </c>
      <c r="D796" s="6385">
        <v>70000000</v>
      </c>
      <c r="E796" s="6471">
        <v>6.3E-2</v>
      </c>
      <c r="F796" s="6385">
        <v>4400000</v>
      </c>
      <c r="G796" s="7563"/>
      <c r="H796" s="7563"/>
      <c r="I796" s="7889" t="s">
        <v>4781</v>
      </c>
      <c r="J796" s="7563">
        <f>G796</f>
        <v>0</v>
      </c>
      <c r="K796" s="7816">
        <f>(F796+F797)-J796</f>
        <v>11150000</v>
      </c>
      <c r="L796" s="6477"/>
      <c r="M796" s="386"/>
      <c r="N796" s="386"/>
      <c r="O796" s="386"/>
      <c r="P796" s="386"/>
      <c r="Q796" s="386"/>
    </row>
    <row r="797" spans="1:17" ht="30" customHeight="1" x14ac:dyDescent="0.2">
      <c r="A797" s="7655"/>
      <c r="B797" s="7653"/>
      <c r="C797" s="7724"/>
      <c r="D797" s="6393">
        <v>135000000</v>
      </c>
      <c r="E797" s="6402">
        <v>0.05</v>
      </c>
      <c r="F797" s="6393">
        <f>D797*E797</f>
        <v>6750000</v>
      </c>
      <c r="G797" s="7564"/>
      <c r="H797" s="7564"/>
      <c r="I797" s="7890"/>
      <c r="J797" s="7564"/>
      <c r="K797" s="7817"/>
      <c r="L797" s="6477"/>
      <c r="M797" s="386"/>
      <c r="N797" s="386"/>
      <c r="O797" s="386"/>
      <c r="P797" s="386"/>
      <c r="Q797" s="386"/>
    </row>
    <row r="798" spans="1:17" ht="30" customHeight="1" x14ac:dyDescent="0.2">
      <c r="A798" s="7654">
        <v>367</v>
      </c>
      <c r="B798" s="7652" t="s">
        <v>1666</v>
      </c>
      <c r="C798" s="7723" t="s">
        <v>1172</v>
      </c>
      <c r="D798" s="6393">
        <v>25000000</v>
      </c>
      <c r="E798" s="6471">
        <v>0.05</v>
      </c>
      <c r="F798" s="6393">
        <f>D798*E798</f>
        <v>1250000</v>
      </c>
      <c r="G798" s="6393">
        <v>1250000</v>
      </c>
      <c r="H798" s="6393" t="s">
        <v>7821</v>
      </c>
      <c r="I798" s="472" t="s">
        <v>6259</v>
      </c>
      <c r="J798" s="6393">
        <f t="shared" si="70"/>
        <v>1250000</v>
      </c>
      <c r="K798" s="6458">
        <f t="shared" si="71"/>
        <v>0</v>
      </c>
      <c r="L798" s="6477"/>
      <c r="M798" s="386"/>
      <c r="N798" s="386"/>
      <c r="O798" s="386"/>
      <c r="P798" s="386"/>
      <c r="Q798" s="386"/>
    </row>
    <row r="799" spans="1:17" ht="30" customHeight="1" x14ac:dyDescent="0.2">
      <c r="A799" s="7655"/>
      <c r="B799" s="7653"/>
      <c r="C799" s="7724"/>
      <c r="D799" s="7470" t="s">
        <v>7847</v>
      </c>
      <c r="E799" s="7493"/>
      <c r="F799" s="7510"/>
      <c r="G799" s="6593">
        <v>4000000</v>
      </c>
      <c r="H799" s="6593" t="s">
        <v>7845</v>
      </c>
      <c r="I799" s="472" t="s">
        <v>6259</v>
      </c>
      <c r="J799" s="6592">
        <f>G799</f>
        <v>4000000</v>
      </c>
      <c r="K799" s="6618"/>
      <c r="L799" s="6612"/>
      <c r="M799" s="386"/>
      <c r="N799" s="386"/>
      <c r="O799" s="386"/>
      <c r="P799" s="386"/>
      <c r="Q799" s="386"/>
    </row>
    <row r="800" spans="1:17" ht="30" customHeight="1" x14ac:dyDescent="0.2">
      <c r="A800" s="7654">
        <v>368</v>
      </c>
      <c r="B800" s="7652" t="s">
        <v>1793</v>
      </c>
      <c r="C800" s="7723" t="s">
        <v>392</v>
      </c>
      <c r="D800" s="7563">
        <v>818000000</v>
      </c>
      <c r="E800" s="7659">
        <v>7.0000000000000007E-2</v>
      </c>
      <c r="F800" s="7563">
        <f>D800*E800</f>
        <v>57260000.000000007</v>
      </c>
      <c r="G800" s="6393">
        <v>20000000</v>
      </c>
      <c r="H800" s="6393" t="s">
        <v>7864</v>
      </c>
      <c r="I800" s="472" t="s">
        <v>5483</v>
      </c>
      <c r="J800" s="7563">
        <f>G800+G801</f>
        <v>20000000</v>
      </c>
      <c r="K800" s="7816">
        <f>F800-J800</f>
        <v>37260000.000000007</v>
      </c>
      <c r="L800" s="6454"/>
      <c r="M800" s="386"/>
      <c r="N800" s="386"/>
      <c r="O800" s="386"/>
      <c r="P800" s="386"/>
      <c r="Q800" s="386"/>
    </row>
    <row r="801" spans="1:17" ht="30" customHeight="1" x14ac:dyDescent="0.2">
      <c r="A801" s="7655"/>
      <c r="B801" s="7653"/>
      <c r="C801" s="7724"/>
      <c r="D801" s="7564"/>
      <c r="E801" s="7660"/>
      <c r="F801" s="7564"/>
      <c r="G801" s="6392"/>
      <c r="H801" s="6392"/>
      <c r="I801" s="1663" t="s">
        <v>5483</v>
      </c>
      <c r="J801" s="7564"/>
      <c r="K801" s="7817"/>
      <c r="L801" s="6454"/>
      <c r="M801" s="386"/>
      <c r="N801" s="386"/>
      <c r="O801" s="386"/>
      <c r="P801" s="386"/>
      <c r="Q801" s="386"/>
    </row>
    <row r="802" spans="1:17" ht="30" customHeight="1" x14ac:dyDescent="0.2">
      <c r="A802" s="7654"/>
      <c r="B802" s="7652" t="s">
        <v>5590</v>
      </c>
      <c r="C802" s="7723" t="s">
        <v>371</v>
      </c>
      <c r="D802" s="7563">
        <v>286000000</v>
      </c>
      <c r="E802" s="7659">
        <v>7.0000000000000007E-2</v>
      </c>
      <c r="F802" s="7563">
        <f>D802*E802</f>
        <v>20020000.000000004</v>
      </c>
      <c r="G802" s="7563"/>
      <c r="H802" s="7563"/>
      <c r="I802" s="7889" t="s">
        <v>6397</v>
      </c>
      <c r="J802" s="7563">
        <f>G802</f>
        <v>0</v>
      </c>
      <c r="K802" s="7816">
        <f>F802-J802-180000</f>
        <v>19840000.000000004</v>
      </c>
      <c r="L802" s="6454" t="s">
        <v>5556</v>
      </c>
      <c r="M802" s="386"/>
      <c r="N802" s="386"/>
      <c r="O802" s="386"/>
      <c r="P802" s="386"/>
      <c r="Q802" s="386"/>
    </row>
    <row r="803" spans="1:17" ht="30" customHeight="1" x14ac:dyDescent="0.2">
      <c r="A803" s="7656"/>
      <c r="B803" s="7665"/>
      <c r="C803" s="7747"/>
      <c r="D803" s="7586"/>
      <c r="E803" s="7676"/>
      <c r="F803" s="7586"/>
      <c r="G803" s="7586"/>
      <c r="H803" s="7586"/>
      <c r="I803" s="8036"/>
      <c r="J803" s="7586"/>
      <c r="K803" s="7882"/>
      <c r="L803" s="6454" t="s">
        <v>5591</v>
      </c>
      <c r="M803" s="386"/>
      <c r="N803" s="386"/>
      <c r="O803" s="386"/>
      <c r="P803" s="386"/>
      <c r="Q803" s="386"/>
    </row>
    <row r="804" spans="1:17" ht="30" customHeight="1" x14ac:dyDescent="0.2">
      <c r="A804" s="7655"/>
      <c r="B804" s="7653"/>
      <c r="C804" s="7724"/>
      <c r="D804" s="7564"/>
      <c r="E804" s="7660"/>
      <c r="F804" s="7564"/>
      <c r="G804" s="7564"/>
      <c r="H804" s="7564"/>
      <c r="I804" s="7890"/>
      <c r="J804" s="7564"/>
      <c r="K804" s="7817"/>
      <c r="L804" s="6454" t="s">
        <v>7023</v>
      </c>
      <c r="M804" s="386"/>
      <c r="N804" s="386"/>
      <c r="O804" s="386"/>
      <c r="P804" s="386"/>
      <c r="Q804" s="386"/>
    </row>
    <row r="805" spans="1:17" ht="30" customHeight="1" x14ac:dyDescent="0.2">
      <c r="A805" s="7879">
        <v>369</v>
      </c>
      <c r="B805" s="7717" t="s">
        <v>1676</v>
      </c>
      <c r="C805" s="7873" t="s">
        <v>1652</v>
      </c>
      <c r="D805" s="6393">
        <v>250000000</v>
      </c>
      <c r="E805" s="6402">
        <v>0.05</v>
      </c>
      <c r="F805" s="6393">
        <f t="shared" ref="F805:F813" si="72">D805*E805</f>
        <v>12500000</v>
      </c>
      <c r="G805" s="7625"/>
      <c r="H805" s="7625"/>
      <c r="I805" s="8563" t="s">
        <v>4896</v>
      </c>
      <c r="J805" s="7625">
        <f>G805</f>
        <v>0</v>
      </c>
      <c r="K805" s="7625">
        <f>(F805+F806+F807+F808)-J805</f>
        <v>27800000</v>
      </c>
      <c r="L805" s="6454"/>
      <c r="M805" s="386"/>
      <c r="N805" s="386"/>
      <c r="O805" s="386"/>
      <c r="P805" s="386"/>
      <c r="Q805" s="386"/>
    </row>
    <row r="806" spans="1:17" ht="30" customHeight="1" x14ac:dyDescent="0.2">
      <c r="A806" s="7879"/>
      <c r="B806" s="7717"/>
      <c r="C806" s="7873"/>
      <c r="D806" s="6393">
        <v>150000000</v>
      </c>
      <c r="E806" s="6402">
        <v>0.06</v>
      </c>
      <c r="F806" s="6393">
        <f t="shared" si="72"/>
        <v>9000000</v>
      </c>
      <c r="G806" s="7625"/>
      <c r="H806" s="7625"/>
      <c r="I806" s="8563"/>
      <c r="J806" s="7625"/>
      <c r="K806" s="7625"/>
      <c r="L806" s="6478"/>
      <c r="M806" s="386"/>
      <c r="N806" s="386"/>
      <c r="O806" s="386"/>
      <c r="P806" s="386"/>
      <c r="Q806" s="386"/>
    </row>
    <row r="807" spans="1:17" ht="30" customHeight="1" x14ac:dyDescent="0.2">
      <c r="A807" s="7879"/>
      <c r="B807" s="7717"/>
      <c r="C807" s="7873"/>
      <c r="D807" s="6393">
        <v>50000000</v>
      </c>
      <c r="E807" s="6402">
        <v>0.06</v>
      </c>
      <c r="F807" s="6393">
        <f t="shared" si="72"/>
        <v>3000000</v>
      </c>
      <c r="G807" s="7482"/>
      <c r="H807" s="7482"/>
      <c r="I807" s="7778" t="s">
        <v>6581</v>
      </c>
      <c r="J807" s="7482">
        <f>G807</f>
        <v>0</v>
      </c>
      <c r="K807" s="7482">
        <f>(F805+F806+F807+F808)-J807</f>
        <v>27800000</v>
      </c>
      <c r="L807" s="6454"/>
      <c r="M807" s="386"/>
      <c r="N807" s="386"/>
      <c r="O807" s="386"/>
      <c r="P807" s="386"/>
      <c r="Q807" s="386"/>
    </row>
    <row r="808" spans="1:17" ht="30" customHeight="1" x14ac:dyDescent="0.2">
      <c r="A808" s="7654"/>
      <c r="B808" s="7652"/>
      <c r="C808" s="7723"/>
      <c r="D808" s="6392">
        <v>55000000</v>
      </c>
      <c r="E808" s="6409">
        <v>0.06</v>
      </c>
      <c r="F808" s="6392">
        <f t="shared" si="72"/>
        <v>3300000</v>
      </c>
      <c r="G808" s="7563"/>
      <c r="H808" s="7563"/>
      <c r="I808" s="7846"/>
      <c r="J808" s="7563"/>
      <c r="K808" s="7563"/>
      <c r="L808" s="6478"/>
      <c r="M808" s="386"/>
      <c r="N808" s="386"/>
      <c r="O808" s="386"/>
      <c r="P808" s="386"/>
      <c r="Q808" s="386"/>
    </row>
    <row r="809" spans="1:17" ht="30" customHeight="1" x14ac:dyDescent="0.2">
      <c r="A809" s="7879"/>
      <c r="B809" s="7717" t="s">
        <v>5179</v>
      </c>
      <c r="C809" s="6472" t="s">
        <v>3390</v>
      </c>
      <c r="D809" s="6385">
        <v>400000000</v>
      </c>
      <c r="E809" s="6471">
        <v>7.0000000000000007E-2</v>
      </c>
      <c r="F809" s="6385">
        <f t="shared" si="72"/>
        <v>28000000.000000004</v>
      </c>
      <c r="G809" s="6385"/>
      <c r="H809" s="6449"/>
      <c r="I809" s="6385" t="s">
        <v>6569</v>
      </c>
      <c r="J809" s="6385">
        <f>G809</f>
        <v>0</v>
      </c>
      <c r="K809" s="6385">
        <f>F809-J809</f>
        <v>28000000.000000004</v>
      </c>
      <c r="L809" s="6477"/>
      <c r="M809" s="386"/>
      <c r="N809" s="386"/>
      <c r="O809" s="386"/>
      <c r="P809" s="386"/>
      <c r="Q809" s="386"/>
    </row>
    <row r="810" spans="1:17" ht="30" customHeight="1" x14ac:dyDescent="0.2">
      <c r="A810" s="7879"/>
      <c r="B810" s="7717"/>
      <c r="C810" s="6472"/>
      <c r="D810" s="6385">
        <v>130000000</v>
      </c>
      <c r="E810" s="6471">
        <v>7.0000000000000007E-2</v>
      </c>
      <c r="F810" s="6385">
        <f t="shared" si="72"/>
        <v>9100000</v>
      </c>
      <c r="G810" s="7470" t="s">
        <v>7586</v>
      </c>
      <c r="H810" s="7493"/>
      <c r="I810" s="7493"/>
      <c r="J810" s="7510"/>
      <c r="K810" s="6385"/>
      <c r="L810" s="6477" t="s">
        <v>7587</v>
      </c>
      <c r="M810" s="386"/>
      <c r="N810" s="386"/>
      <c r="O810" s="386"/>
      <c r="P810" s="386"/>
      <c r="Q810" s="386"/>
    </row>
    <row r="811" spans="1:17" ht="30" customHeight="1" x14ac:dyDescent="0.2">
      <c r="A811" s="6398"/>
      <c r="B811" s="6412" t="s">
        <v>5182</v>
      </c>
      <c r="C811" s="6434" t="s">
        <v>3390</v>
      </c>
      <c r="D811" s="6393">
        <v>150000000</v>
      </c>
      <c r="E811" s="6402">
        <v>0.06</v>
      </c>
      <c r="F811" s="6393">
        <f t="shared" si="72"/>
        <v>9000000</v>
      </c>
      <c r="G811" s="6393">
        <v>9000000</v>
      </c>
      <c r="H811" s="6393" t="s">
        <v>7821</v>
      </c>
      <c r="I811" s="6443" t="s">
        <v>5761</v>
      </c>
      <c r="J811" s="6393">
        <f>G811</f>
        <v>9000000</v>
      </c>
      <c r="K811" s="6393">
        <f>F811-J811</f>
        <v>0</v>
      </c>
      <c r="L811" s="6455" t="s">
        <v>7366</v>
      </c>
      <c r="M811" s="386"/>
      <c r="N811" s="386"/>
      <c r="O811" s="386"/>
      <c r="P811" s="386"/>
      <c r="Q811" s="386"/>
    </row>
    <row r="812" spans="1:17" ht="30" customHeight="1" x14ac:dyDescent="0.2">
      <c r="A812" s="7654">
        <v>370</v>
      </c>
      <c r="B812" s="7652" t="s">
        <v>1696</v>
      </c>
      <c r="C812" s="7723" t="s">
        <v>3323</v>
      </c>
      <c r="D812" s="6385">
        <v>200000000</v>
      </c>
      <c r="E812" s="6471">
        <v>0.05</v>
      </c>
      <c r="F812" s="6385">
        <f t="shared" si="72"/>
        <v>10000000</v>
      </c>
      <c r="G812" s="6393"/>
      <c r="H812" s="6393"/>
      <c r="I812" s="472" t="s">
        <v>3400</v>
      </c>
      <c r="J812" s="6393">
        <f t="shared" ref="J812:J832" si="73">G812</f>
        <v>0</v>
      </c>
      <c r="K812" s="6458">
        <f>F812-J812</f>
        <v>10000000</v>
      </c>
      <c r="L812" s="6477"/>
      <c r="M812" s="386"/>
      <c r="N812" s="386"/>
      <c r="O812" s="386"/>
      <c r="P812" s="386"/>
      <c r="Q812" s="386"/>
    </row>
    <row r="813" spans="1:17" ht="30" customHeight="1" x14ac:dyDescent="0.2">
      <c r="A813" s="7656"/>
      <c r="B813" s="7665"/>
      <c r="C813" s="7747"/>
      <c r="D813" s="6394">
        <v>50000000</v>
      </c>
      <c r="E813" s="2519">
        <v>0.05</v>
      </c>
      <c r="F813" s="6394">
        <f t="shared" si="72"/>
        <v>2500000</v>
      </c>
      <c r="G813" s="7850" t="s">
        <v>7162</v>
      </c>
      <c r="H813" s="7851"/>
      <c r="I813" s="7851"/>
      <c r="J813" s="7852"/>
      <c r="K813" s="6463"/>
      <c r="L813" s="1114" t="s">
        <v>7158</v>
      </c>
      <c r="M813" s="386"/>
      <c r="N813" s="386"/>
      <c r="O813" s="386"/>
      <c r="P813" s="386"/>
      <c r="Q813" s="386"/>
    </row>
    <row r="814" spans="1:17" ht="30" customHeight="1" x14ac:dyDescent="0.2">
      <c r="A814" s="7656"/>
      <c r="B814" s="7665"/>
      <c r="C814" s="7747"/>
      <c r="D814" s="6385">
        <v>80000000</v>
      </c>
      <c r="E814" s="6471"/>
      <c r="F814" s="6385"/>
      <c r="G814" s="7732" t="s">
        <v>7391</v>
      </c>
      <c r="H814" s="7733"/>
      <c r="I814" s="7733"/>
      <c r="J814" s="7734"/>
      <c r="K814" s="6458"/>
      <c r="L814" s="6454" t="s">
        <v>7392</v>
      </c>
      <c r="M814" s="386"/>
      <c r="N814" s="386"/>
      <c r="O814" s="386"/>
      <c r="P814" s="386"/>
      <c r="Q814" s="386"/>
    </row>
    <row r="815" spans="1:17" ht="30" customHeight="1" x14ac:dyDescent="0.2">
      <c r="A815" s="7656"/>
      <c r="B815" s="7665"/>
      <c r="C815" s="7747"/>
      <c r="D815" s="6385">
        <v>70000000</v>
      </c>
      <c r="E815" s="6471"/>
      <c r="F815" s="6385"/>
      <c r="G815" s="7732" t="s">
        <v>7393</v>
      </c>
      <c r="H815" s="7733"/>
      <c r="I815" s="7733"/>
      <c r="J815" s="7734"/>
      <c r="K815" s="6458"/>
      <c r="L815" s="6454" t="s">
        <v>7392</v>
      </c>
      <c r="M815" s="386"/>
      <c r="N815" s="386"/>
      <c r="O815" s="386"/>
      <c r="P815" s="386"/>
      <c r="Q815" s="386"/>
    </row>
    <row r="816" spans="1:17" ht="30" customHeight="1" x14ac:dyDescent="0.2">
      <c r="A816" s="7656"/>
      <c r="B816" s="7665"/>
      <c r="C816" s="7747"/>
      <c r="D816" s="6385">
        <v>30000000</v>
      </c>
      <c r="E816" s="6471"/>
      <c r="F816" s="6385"/>
      <c r="G816" s="7732" t="s">
        <v>7394</v>
      </c>
      <c r="H816" s="7733"/>
      <c r="I816" s="7733"/>
      <c r="J816" s="7734"/>
      <c r="K816" s="6458"/>
      <c r="L816" s="6454" t="s">
        <v>7392</v>
      </c>
      <c r="M816" s="386"/>
      <c r="N816" s="386"/>
      <c r="O816" s="386"/>
      <c r="P816" s="386"/>
      <c r="Q816" s="386"/>
    </row>
    <row r="817" spans="1:17" ht="30" customHeight="1" x14ac:dyDescent="0.2">
      <c r="A817" s="7655"/>
      <c r="B817" s="7653"/>
      <c r="C817" s="7724"/>
      <c r="D817" s="5344"/>
      <c r="E817" s="5345"/>
      <c r="F817" s="5344"/>
      <c r="G817" s="1455">
        <v>13500000</v>
      </c>
      <c r="H817" s="1455" t="s">
        <v>7826</v>
      </c>
      <c r="I817" s="1455" t="s">
        <v>3400</v>
      </c>
      <c r="J817" s="1455">
        <f>G817</f>
        <v>13500000</v>
      </c>
      <c r="K817" s="5940"/>
      <c r="L817" s="5584"/>
      <c r="M817" s="386"/>
      <c r="N817" s="386"/>
      <c r="O817" s="386"/>
      <c r="P817" s="386"/>
      <c r="Q817" s="386"/>
    </row>
    <row r="818" spans="1:17" ht="30" customHeight="1" x14ac:dyDescent="0.2">
      <c r="A818" s="6398">
        <v>372</v>
      </c>
      <c r="B818" s="6400" t="s">
        <v>1706</v>
      </c>
      <c r="C818" s="6434"/>
      <c r="D818" s="6411"/>
      <c r="E818" s="2519"/>
      <c r="F818" s="6411"/>
      <c r="G818" s="6393"/>
      <c r="H818" s="6393"/>
      <c r="I818" s="472"/>
      <c r="J818" s="6393">
        <f t="shared" si="73"/>
        <v>0</v>
      </c>
      <c r="K818" s="6463"/>
      <c r="L818" s="6477"/>
      <c r="M818" s="386"/>
      <c r="N818" s="386"/>
      <c r="O818" s="386"/>
      <c r="P818" s="386"/>
      <c r="Q818" s="386"/>
    </row>
    <row r="819" spans="1:17" ht="30" customHeight="1" x14ac:dyDescent="0.2">
      <c r="A819" s="7654"/>
      <c r="B819" s="7652" t="s">
        <v>1725</v>
      </c>
      <c r="C819" s="7723" t="s">
        <v>1718</v>
      </c>
      <c r="D819" s="6385">
        <v>20000000</v>
      </c>
      <c r="E819" s="6471">
        <v>0.05</v>
      </c>
      <c r="F819" s="6385">
        <f>D819*E819</f>
        <v>1000000</v>
      </c>
      <c r="G819" s="7563"/>
      <c r="H819" s="7563"/>
      <c r="I819" s="7563" t="s">
        <v>3486</v>
      </c>
      <c r="J819" s="7563">
        <f t="shared" si="73"/>
        <v>0</v>
      </c>
      <c r="K819" s="7816">
        <f>(F819+F820+F821)-J819</f>
        <v>3000000</v>
      </c>
      <c r="L819" s="6477"/>
      <c r="M819" s="386"/>
      <c r="N819" s="386"/>
      <c r="O819" s="386"/>
      <c r="P819" s="386"/>
      <c r="Q819" s="386"/>
    </row>
    <row r="820" spans="1:17" ht="30" customHeight="1" x14ac:dyDescent="0.2">
      <c r="A820" s="7656"/>
      <c r="B820" s="7665"/>
      <c r="C820" s="7747"/>
      <c r="D820" s="6393">
        <v>10000000</v>
      </c>
      <c r="E820" s="6471">
        <v>0.05</v>
      </c>
      <c r="F820" s="6385">
        <f>D820*E820</f>
        <v>500000</v>
      </c>
      <c r="G820" s="7564"/>
      <c r="H820" s="7564"/>
      <c r="I820" s="7564"/>
      <c r="J820" s="7564"/>
      <c r="K820" s="7817"/>
      <c r="L820" s="6477"/>
      <c r="M820" s="386"/>
      <c r="N820" s="386"/>
      <c r="O820" s="386"/>
      <c r="P820" s="386"/>
      <c r="Q820" s="386"/>
    </row>
    <row r="821" spans="1:17" ht="30" customHeight="1" x14ac:dyDescent="0.2">
      <c r="A821" s="7656"/>
      <c r="B821" s="7665"/>
      <c r="C821" s="7747"/>
      <c r="D821" s="7563">
        <v>30000000</v>
      </c>
      <c r="E821" s="7659">
        <v>0.05</v>
      </c>
      <c r="F821" s="7563">
        <f>D821*E821</f>
        <v>1500000</v>
      </c>
      <c r="G821" s="7732" t="s">
        <v>7005</v>
      </c>
      <c r="H821" s="7733"/>
      <c r="I821" s="7733"/>
      <c r="J821" s="7734"/>
      <c r="K821" s="6458"/>
      <c r="L821" s="7811" t="s">
        <v>7004</v>
      </c>
      <c r="M821" s="386"/>
      <c r="N821" s="386"/>
      <c r="O821" s="386"/>
      <c r="P821" s="386"/>
      <c r="Q821" s="386"/>
    </row>
    <row r="822" spans="1:17" ht="30" customHeight="1" x14ac:dyDescent="0.2">
      <c r="A822" s="7656"/>
      <c r="B822" s="7665"/>
      <c r="C822" s="7747"/>
      <c r="D822" s="7586"/>
      <c r="E822" s="7676"/>
      <c r="F822" s="7586"/>
      <c r="G822" s="7732" t="s">
        <v>7006</v>
      </c>
      <c r="H822" s="7733"/>
      <c r="I822" s="7733"/>
      <c r="J822" s="7734"/>
      <c r="K822" s="6458"/>
      <c r="L822" s="7897"/>
      <c r="M822" s="386"/>
      <c r="N822" s="386"/>
      <c r="O822" s="386"/>
      <c r="P822" s="386"/>
      <c r="Q822" s="386"/>
    </row>
    <row r="823" spans="1:17" ht="30" customHeight="1" x14ac:dyDescent="0.2">
      <c r="A823" s="7655"/>
      <c r="B823" s="7653"/>
      <c r="C823" s="7724"/>
      <c r="D823" s="7564"/>
      <c r="E823" s="7660"/>
      <c r="F823" s="7564"/>
      <c r="G823" s="7732" t="s">
        <v>7007</v>
      </c>
      <c r="H823" s="7733"/>
      <c r="I823" s="7733"/>
      <c r="J823" s="7734"/>
      <c r="K823" s="6458"/>
      <c r="L823" s="7812"/>
      <c r="M823" s="386"/>
      <c r="N823" s="386"/>
      <c r="O823" s="386"/>
      <c r="P823" s="386"/>
      <c r="Q823" s="386"/>
    </row>
    <row r="824" spans="1:17" ht="30" customHeight="1" x14ac:dyDescent="0.2">
      <c r="A824" s="6398">
        <v>374</v>
      </c>
      <c r="B824" s="6400" t="s">
        <v>1727</v>
      </c>
      <c r="C824" s="6434"/>
      <c r="D824" s="6411"/>
      <c r="E824" s="6421"/>
      <c r="F824" s="6411"/>
      <c r="G824" s="6393"/>
      <c r="H824" s="6393"/>
      <c r="I824" s="472"/>
      <c r="J824" s="6393">
        <f t="shared" si="73"/>
        <v>0</v>
      </c>
      <c r="K824" s="6463">
        <f t="shared" ref="K824:K833" si="74">F824-J824</f>
        <v>0</v>
      </c>
      <c r="L824" s="6477"/>
      <c r="M824" s="386"/>
      <c r="N824" s="386"/>
      <c r="O824" s="386"/>
      <c r="P824" s="386"/>
      <c r="Q824" s="386"/>
    </row>
    <row r="825" spans="1:17" ht="30" customHeight="1" x14ac:dyDescent="0.2">
      <c r="A825" s="7654">
        <v>375</v>
      </c>
      <c r="B825" s="7652" t="s">
        <v>6040</v>
      </c>
      <c r="C825" s="7723" t="s">
        <v>889</v>
      </c>
      <c r="D825" s="7563">
        <v>2000000000</v>
      </c>
      <c r="E825" s="7659">
        <v>7.0000000000000007E-2</v>
      </c>
      <c r="F825" s="7563">
        <f>D825*E825</f>
        <v>140000000</v>
      </c>
      <c r="G825" s="6385"/>
      <c r="H825" s="6385"/>
      <c r="I825" s="6385" t="s">
        <v>4403</v>
      </c>
      <c r="J825" s="7563">
        <f>G825+G826+G827+G828</f>
        <v>0</v>
      </c>
      <c r="K825" s="7816">
        <f>F825-J825</f>
        <v>140000000</v>
      </c>
      <c r="L825" s="7674" t="s">
        <v>7841</v>
      </c>
      <c r="M825" s="386"/>
      <c r="N825" s="386"/>
      <c r="O825" s="386"/>
      <c r="P825" s="386"/>
      <c r="Q825" s="386"/>
    </row>
    <row r="826" spans="1:17" ht="30" customHeight="1" x14ac:dyDescent="0.2">
      <c r="A826" s="7656"/>
      <c r="B826" s="7665"/>
      <c r="C826" s="7747"/>
      <c r="D826" s="7586"/>
      <c r="E826" s="7676"/>
      <c r="F826" s="7586"/>
      <c r="G826" s="6393"/>
      <c r="H826" s="6393"/>
      <c r="I826" s="6443" t="s">
        <v>4403</v>
      </c>
      <c r="J826" s="7586"/>
      <c r="K826" s="7882"/>
      <c r="L826" s="8186"/>
      <c r="M826" s="386"/>
      <c r="N826" s="386"/>
      <c r="O826" s="386"/>
      <c r="P826" s="386"/>
      <c r="Q826" s="386"/>
    </row>
    <row r="827" spans="1:17" ht="30" customHeight="1" x14ac:dyDescent="0.2">
      <c r="A827" s="7656"/>
      <c r="B827" s="7665"/>
      <c r="C827" s="7747"/>
      <c r="D827" s="7586"/>
      <c r="E827" s="7676"/>
      <c r="F827" s="7586"/>
      <c r="G827" s="6393"/>
      <c r="H827" s="6393"/>
      <c r="I827" s="6443" t="s">
        <v>4403</v>
      </c>
      <c r="J827" s="7586"/>
      <c r="K827" s="7882"/>
      <c r="L827" s="7675"/>
      <c r="M827" s="386"/>
      <c r="N827" s="386"/>
      <c r="O827" s="386"/>
      <c r="P827" s="386"/>
      <c r="Q827" s="386"/>
    </row>
    <row r="828" spans="1:17" ht="30" customHeight="1" x14ac:dyDescent="0.2">
      <c r="A828" s="7656"/>
      <c r="B828" s="7665"/>
      <c r="C828" s="7747"/>
      <c r="D828" s="7586"/>
      <c r="E828" s="7676"/>
      <c r="F828" s="7586"/>
      <c r="G828" s="6393"/>
      <c r="H828" s="6393"/>
      <c r="I828" s="6443" t="s">
        <v>4403</v>
      </c>
      <c r="J828" s="7564"/>
      <c r="K828" s="7817"/>
      <c r="L828" s="6072" t="s">
        <v>7842</v>
      </c>
      <c r="M828" s="386"/>
      <c r="N828" s="386"/>
      <c r="O828" s="386"/>
      <c r="P828" s="386"/>
      <c r="Q828" s="386"/>
    </row>
    <row r="829" spans="1:17" ht="30" customHeight="1" x14ac:dyDescent="0.2">
      <c r="A829" s="7655"/>
      <c r="B829" s="7653"/>
      <c r="C829" s="7724"/>
      <c r="D829" s="7564"/>
      <c r="E829" s="7660"/>
      <c r="F829" s="7564"/>
      <c r="G829" s="7552" t="s">
        <v>7843</v>
      </c>
      <c r="H829" s="7843"/>
      <c r="I829" s="7843"/>
      <c r="J829" s="7844"/>
      <c r="K829" s="6458"/>
      <c r="L829" s="6488"/>
      <c r="M829" s="386"/>
      <c r="N829" s="386"/>
      <c r="O829" s="386"/>
      <c r="P829" s="386"/>
      <c r="Q829" s="386"/>
    </row>
    <row r="830" spans="1:17" ht="30" customHeight="1" x14ac:dyDescent="0.2">
      <c r="A830" s="6398">
        <v>376</v>
      </c>
      <c r="B830" s="6400" t="s">
        <v>3580</v>
      </c>
      <c r="C830" s="6434" t="s">
        <v>262</v>
      </c>
      <c r="D830" s="6393">
        <v>50000000</v>
      </c>
      <c r="E830" s="6471">
        <v>0.06</v>
      </c>
      <c r="F830" s="6393">
        <f>D830*E830</f>
        <v>3000000</v>
      </c>
      <c r="G830" s="6393"/>
      <c r="H830" s="6393"/>
      <c r="I830" s="472" t="s">
        <v>1743</v>
      </c>
      <c r="J830" s="6393">
        <f t="shared" si="73"/>
        <v>0</v>
      </c>
      <c r="K830" s="6458">
        <f t="shared" si="74"/>
        <v>3000000</v>
      </c>
      <c r="L830" s="6477"/>
      <c r="M830" s="386"/>
      <c r="N830" s="386"/>
      <c r="O830" s="386"/>
      <c r="P830" s="386"/>
      <c r="Q830" s="386"/>
    </row>
    <row r="831" spans="1:17" ht="30" customHeight="1" x14ac:dyDescent="0.2">
      <c r="A831" s="6398">
        <v>377</v>
      </c>
      <c r="B831" s="6400" t="s">
        <v>1752</v>
      </c>
      <c r="C831" s="6434" t="s">
        <v>1652</v>
      </c>
      <c r="D831" s="6393">
        <v>153000000</v>
      </c>
      <c r="E831" s="6471">
        <v>7.0000000000000007E-2</v>
      </c>
      <c r="F831" s="6393">
        <f>D831*E831</f>
        <v>10710000.000000002</v>
      </c>
      <c r="G831" s="6393"/>
      <c r="H831" s="6393"/>
      <c r="I831" s="472" t="s">
        <v>1952</v>
      </c>
      <c r="J831" s="6393">
        <f t="shared" si="73"/>
        <v>0</v>
      </c>
      <c r="K831" s="6458">
        <f t="shared" si="74"/>
        <v>10710000.000000002</v>
      </c>
      <c r="L831" s="6477"/>
      <c r="M831" s="386"/>
      <c r="N831" s="386"/>
      <c r="O831" s="386"/>
      <c r="P831" s="386"/>
      <c r="Q831" s="386"/>
    </row>
    <row r="832" spans="1:17" ht="30" customHeight="1" x14ac:dyDescent="0.2">
      <c r="A832" s="6398">
        <v>378</v>
      </c>
      <c r="B832" s="6400" t="s">
        <v>1790</v>
      </c>
      <c r="C832" s="6434" t="s">
        <v>889</v>
      </c>
      <c r="D832" s="6393">
        <v>300000000</v>
      </c>
      <c r="E832" s="6471">
        <v>5.0999999999999997E-2</v>
      </c>
      <c r="F832" s="6393">
        <v>15500000</v>
      </c>
      <c r="G832" s="6393">
        <v>6000000</v>
      </c>
      <c r="H832" s="6393" t="s">
        <v>7864</v>
      </c>
      <c r="I832" s="472" t="s">
        <v>7868</v>
      </c>
      <c r="J832" s="6393">
        <f t="shared" si="73"/>
        <v>6000000</v>
      </c>
      <c r="K832" s="6458">
        <f t="shared" si="74"/>
        <v>9500000</v>
      </c>
      <c r="L832" s="6477"/>
      <c r="M832" s="386"/>
      <c r="N832" s="386"/>
      <c r="O832" s="386"/>
      <c r="P832" s="386"/>
      <c r="Q832" s="386"/>
    </row>
    <row r="833" spans="1:17" ht="30" customHeight="1" x14ac:dyDescent="0.2">
      <c r="A833" s="6397">
        <v>379</v>
      </c>
      <c r="B833" s="19" t="s">
        <v>1753</v>
      </c>
      <c r="C833" s="6472" t="s">
        <v>372</v>
      </c>
      <c r="D833" s="6385">
        <v>60000000</v>
      </c>
      <c r="E833" s="6471">
        <v>0.05</v>
      </c>
      <c r="F833" s="6385">
        <f>D833*E833</f>
        <v>3000000</v>
      </c>
      <c r="G833" s="6385"/>
      <c r="H833" s="6385"/>
      <c r="I833" s="6522" t="s">
        <v>6367</v>
      </c>
      <c r="J833" s="6385">
        <f>G833</f>
        <v>0</v>
      </c>
      <c r="K833" s="6389">
        <f t="shared" si="74"/>
        <v>3000000</v>
      </c>
      <c r="L833" s="6457"/>
      <c r="M833" s="386"/>
      <c r="N833" s="386"/>
      <c r="O833" s="386"/>
      <c r="P833" s="386"/>
      <c r="Q833" s="386"/>
    </row>
    <row r="834" spans="1:17" ht="30" customHeight="1" x14ac:dyDescent="0.2">
      <c r="A834" s="6398">
        <v>381</v>
      </c>
      <c r="B834" s="6400" t="s">
        <v>1797</v>
      </c>
      <c r="C834" s="6434" t="s">
        <v>889</v>
      </c>
      <c r="D834" s="6393">
        <v>50000000</v>
      </c>
      <c r="E834" s="6471">
        <v>0.05</v>
      </c>
      <c r="F834" s="6393">
        <f>D834*E834</f>
        <v>2500000</v>
      </c>
      <c r="G834" s="6393"/>
      <c r="H834" s="6393"/>
      <c r="I834" s="472" t="s">
        <v>3516</v>
      </c>
      <c r="J834" s="6393">
        <f>G834</f>
        <v>0</v>
      </c>
      <c r="K834" s="6458">
        <f>F834-J834</f>
        <v>2500000</v>
      </c>
      <c r="L834" s="6477"/>
      <c r="M834" s="386"/>
      <c r="N834" s="386"/>
      <c r="O834" s="386"/>
      <c r="P834" s="386"/>
      <c r="Q834" s="386"/>
    </row>
    <row r="835" spans="1:17" ht="30" customHeight="1" x14ac:dyDescent="0.2">
      <c r="A835" s="6398">
        <v>382</v>
      </c>
      <c r="B835" s="6400" t="s">
        <v>1812</v>
      </c>
      <c r="C835" s="6434" t="s">
        <v>262</v>
      </c>
      <c r="D835" s="6393">
        <v>150000000</v>
      </c>
      <c r="E835" s="6471"/>
      <c r="F835" s="6393"/>
      <c r="G835" s="6393"/>
      <c r="H835" s="6393"/>
      <c r="I835" s="472"/>
      <c r="J835" s="6393"/>
      <c r="K835" s="6458"/>
      <c r="L835" s="6477"/>
      <c r="M835" s="386"/>
      <c r="N835" s="386"/>
      <c r="O835" s="386"/>
      <c r="P835" s="386"/>
      <c r="Q835" s="386"/>
    </row>
    <row r="836" spans="1:17" ht="30" customHeight="1" x14ac:dyDescent="0.2">
      <c r="A836" s="6398">
        <v>383</v>
      </c>
      <c r="B836" s="6400" t="s">
        <v>1823</v>
      </c>
      <c r="C836" s="6434" t="s">
        <v>262</v>
      </c>
      <c r="D836" s="6393">
        <v>10000000</v>
      </c>
      <c r="E836" s="6471">
        <v>7.0000000000000007E-2</v>
      </c>
      <c r="F836" s="6393">
        <f t="shared" ref="F836:F867" si="75">D836*E836</f>
        <v>700000.00000000012</v>
      </c>
      <c r="G836" s="6393"/>
      <c r="H836" s="6393"/>
      <c r="I836" s="472" t="s">
        <v>2928</v>
      </c>
      <c r="J836" s="6393">
        <f>G836</f>
        <v>0</v>
      </c>
      <c r="K836" s="6458">
        <f>F836-J836</f>
        <v>700000.00000000012</v>
      </c>
      <c r="L836" s="6477"/>
      <c r="M836" s="386"/>
      <c r="N836" s="386"/>
      <c r="O836" s="386"/>
      <c r="P836" s="386"/>
      <c r="Q836" s="386"/>
    </row>
    <row r="837" spans="1:17" ht="30" customHeight="1" x14ac:dyDescent="0.2">
      <c r="A837" s="624">
        <v>384</v>
      </c>
      <c r="B837" s="6400" t="s">
        <v>1861</v>
      </c>
      <c r="C837" s="6434" t="s">
        <v>262</v>
      </c>
      <c r="D837" s="6393">
        <v>150000000</v>
      </c>
      <c r="E837" s="6471">
        <v>7.0000000000000007E-2</v>
      </c>
      <c r="F837" s="6393">
        <f t="shared" si="75"/>
        <v>10500000.000000002</v>
      </c>
      <c r="G837" s="6393"/>
      <c r="H837" s="6393"/>
      <c r="I837" s="472" t="s">
        <v>7652</v>
      </c>
      <c r="J837" s="6393">
        <f>G837</f>
        <v>0</v>
      </c>
      <c r="K837" s="6458">
        <f>F837-J837</f>
        <v>10500000.000000002</v>
      </c>
      <c r="L837" s="6477"/>
      <c r="M837" s="386"/>
      <c r="N837" s="386"/>
      <c r="O837" s="386"/>
      <c r="P837" s="386"/>
      <c r="Q837" s="386"/>
    </row>
    <row r="838" spans="1:17" ht="30" customHeight="1" x14ac:dyDescent="0.2">
      <c r="A838" s="7654">
        <v>385</v>
      </c>
      <c r="B838" s="7652" t="s">
        <v>1877</v>
      </c>
      <c r="C838" s="7723" t="s">
        <v>1652</v>
      </c>
      <c r="D838" s="6393">
        <v>12000000</v>
      </c>
      <c r="E838" s="6471">
        <v>0.05</v>
      </c>
      <c r="F838" s="6385">
        <f>D838*E838</f>
        <v>600000</v>
      </c>
      <c r="G838" s="7563"/>
      <c r="H838" s="7563"/>
      <c r="I838" s="7563" t="s">
        <v>6266</v>
      </c>
      <c r="J838" s="7563">
        <f>G838</f>
        <v>0</v>
      </c>
      <c r="K838" s="7816">
        <f>(F838+F839)-J838</f>
        <v>2150000</v>
      </c>
      <c r="L838" s="6477" t="s">
        <v>6267</v>
      </c>
      <c r="M838" s="386"/>
      <c r="N838" s="386"/>
      <c r="O838" s="386"/>
      <c r="P838" s="386"/>
      <c r="Q838" s="386"/>
    </row>
    <row r="839" spans="1:17" ht="30" customHeight="1" x14ac:dyDescent="0.2">
      <c r="A839" s="7656"/>
      <c r="B839" s="7665"/>
      <c r="C839" s="7747"/>
      <c r="D839" s="6385">
        <v>31000000</v>
      </c>
      <c r="E839" s="6471">
        <v>0.05</v>
      </c>
      <c r="F839" s="6384">
        <f>D839*E839</f>
        <v>1550000</v>
      </c>
      <c r="G839" s="7586"/>
      <c r="H839" s="7586"/>
      <c r="I839" s="7586"/>
      <c r="J839" s="7586"/>
      <c r="K839" s="7882"/>
      <c r="L839" s="5469" t="s">
        <v>7105</v>
      </c>
      <c r="M839" s="386"/>
      <c r="N839" s="386"/>
      <c r="O839" s="386"/>
      <c r="P839" s="386"/>
      <c r="Q839" s="386"/>
    </row>
    <row r="840" spans="1:17" ht="30" customHeight="1" x14ac:dyDescent="0.2">
      <c r="A840" s="7656"/>
      <c r="B840" s="7665"/>
      <c r="C840" s="7747"/>
      <c r="D840" s="6513">
        <f>SUM(D838:D839)</f>
        <v>43000000</v>
      </c>
      <c r="E840" s="6552">
        <v>0.05</v>
      </c>
      <c r="F840" s="6513">
        <f>D840*E840</f>
        <v>2150000</v>
      </c>
      <c r="G840" s="7564"/>
      <c r="H840" s="7564"/>
      <c r="I840" s="7564"/>
      <c r="J840" s="7564"/>
      <c r="K840" s="7817"/>
      <c r="L840" s="6454"/>
      <c r="M840" s="386"/>
      <c r="N840" s="386"/>
      <c r="O840" s="386"/>
      <c r="P840" s="386"/>
      <c r="Q840" s="386"/>
    </row>
    <row r="841" spans="1:17" ht="30" customHeight="1" x14ac:dyDescent="0.2">
      <c r="A841" s="7656"/>
      <c r="B841" s="7665"/>
      <c r="C841" s="7747"/>
      <c r="D841" s="6385">
        <v>7000000</v>
      </c>
      <c r="E841" s="6471"/>
      <c r="F841" s="6385"/>
      <c r="G841" s="8092" t="s">
        <v>7145</v>
      </c>
      <c r="H841" s="8093"/>
      <c r="I841" s="8093"/>
      <c r="J841" s="8094"/>
      <c r="K841" s="6476"/>
      <c r="L841" s="6454"/>
      <c r="M841" s="386"/>
      <c r="N841" s="386"/>
      <c r="O841" s="386"/>
      <c r="P841" s="386"/>
      <c r="Q841" s="386"/>
    </row>
    <row r="842" spans="1:17" ht="30" customHeight="1" x14ac:dyDescent="0.2">
      <c r="A842" s="7656"/>
      <c r="B842" s="7665"/>
      <c r="C842" s="7747"/>
      <c r="D842" s="6385">
        <v>100000000</v>
      </c>
      <c r="E842" s="6471"/>
      <c r="F842" s="6385"/>
      <c r="G842" s="8092" t="s">
        <v>7147</v>
      </c>
      <c r="H842" s="8093"/>
      <c r="I842" s="8093"/>
      <c r="J842" s="8094"/>
      <c r="K842" s="6476"/>
      <c r="L842" s="6454"/>
      <c r="M842" s="386"/>
      <c r="N842" s="386"/>
      <c r="O842" s="386"/>
      <c r="P842" s="386"/>
      <c r="Q842" s="386"/>
    </row>
    <row r="843" spans="1:17" ht="30" customHeight="1" x14ac:dyDescent="0.2">
      <c r="A843" s="7656"/>
      <c r="B843" s="7665"/>
      <c r="C843" s="7747"/>
      <c r="D843" s="6385">
        <v>50000000</v>
      </c>
      <c r="E843" s="6471"/>
      <c r="F843" s="6385"/>
      <c r="G843" s="8092" t="s">
        <v>7146</v>
      </c>
      <c r="H843" s="8093"/>
      <c r="I843" s="8093"/>
      <c r="J843" s="8094"/>
      <c r="K843" s="6476"/>
      <c r="L843" s="6454"/>
      <c r="M843" s="386"/>
      <c r="N843" s="386"/>
      <c r="O843" s="386"/>
      <c r="P843" s="386"/>
      <c r="Q843" s="386"/>
    </row>
    <row r="844" spans="1:17" ht="30" customHeight="1" x14ac:dyDescent="0.2">
      <c r="A844" s="7656"/>
      <c r="B844" s="7665"/>
      <c r="C844" s="7747"/>
      <c r="D844" s="8026">
        <v>200000000</v>
      </c>
      <c r="E844" s="8028">
        <v>7.0000000000000007E-2</v>
      </c>
      <c r="F844" s="8026">
        <f>D844*E844</f>
        <v>14000000.000000002</v>
      </c>
      <c r="G844" s="7563"/>
      <c r="H844" s="7563"/>
      <c r="I844" s="7889" t="s">
        <v>7551</v>
      </c>
      <c r="J844" s="7563">
        <f>G844</f>
        <v>0</v>
      </c>
      <c r="K844" s="6476"/>
      <c r="L844" s="5469" t="s">
        <v>7212</v>
      </c>
      <c r="M844" s="386"/>
      <c r="N844" s="386"/>
      <c r="O844" s="386"/>
      <c r="P844" s="386"/>
      <c r="Q844" s="386"/>
    </row>
    <row r="845" spans="1:17" ht="30" customHeight="1" x14ac:dyDescent="0.2">
      <c r="A845" s="7656"/>
      <c r="B845" s="7665"/>
      <c r="C845" s="7747"/>
      <c r="D845" s="8027"/>
      <c r="E845" s="8029"/>
      <c r="F845" s="8027"/>
      <c r="G845" s="7564"/>
      <c r="H845" s="7564"/>
      <c r="I845" s="7890"/>
      <c r="J845" s="7564"/>
      <c r="K845" s="6476"/>
      <c r="L845" s="5584" t="s">
        <v>7213</v>
      </c>
      <c r="M845" s="386"/>
      <c r="N845" s="386"/>
      <c r="O845" s="386"/>
      <c r="P845" s="386"/>
      <c r="Q845" s="386"/>
    </row>
    <row r="846" spans="1:17" ht="30" customHeight="1" x14ac:dyDescent="0.2">
      <c r="A846" s="7655"/>
      <c r="B846" s="7653"/>
      <c r="C846" s="7724"/>
      <c r="D846" s="6548">
        <v>50000000</v>
      </c>
      <c r="E846" s="6549">
        <v>7.0000000000000007E-2</v>
      </c>
      <c r="F846" s="6548">
        <f>D846*E846</f>
        <v>3500000.0000000005</v>
      </c>
      <c r="G846" s="8092" t="s">
        <v>7359</v>
      </c>
      <c r="H846" s="8093"/>
      <c r="I846" s="8093"/>
      <c r="J846" s="8094"/>
      <c r="K846" s="6476"/>
      <c r="L846" s="5584" t="s">
        <v>7360</v>
      </c>
      <c r="M846" s="386"/>
      <c r="N846" s="386"/>
      <c r="O846" s="386"/>
      <c r="P846" s="386"/>
      <c r="Q846" s="386"/>
    </row>
    <row r="847" spans="1:17" ht="30" customHeight="1" x14ac:dyDescent="0.2">
      <c r="A847" s="7654">
        <v>386</v>
      </c>
      <c r="B847" s="7652" t="s">
        <v>3092</v>
      </c>
      <c r="C847" s="7723" t="s">
        <v>1306</v>
      </c>
      <c r="D847" s="6391">
        <v>100000000</v>
      </c>
      <c r="E847" s="6401">
        <v>7.0000000000000007E-2</v>
      </c>
      <c r="F847" s="6391">
        <f t="shared" si="75"/>
        <v>7000000.0000000009</v>
      </c>
      <c r="G847" s="6393"/>
      <c r="H847" s="6385"/>
      <c r="I847" s="6522" t="s">
        <v>4476</v>
      </c>
      <c r="J847" s="6391">
        <f t="shared" ref="J847:J851" si="76">G847</f>
        <v>0</v>
      </c>
      <c r="K847" s="6457">
        <f>F847-J847</f>
        <v>7000000.0000000009</v>
      </c>
      <c r="L847" s="6454"/>
      <c r="M847" s="386"/>
      <c r="N847" s="386"/>
      <c r="O847" s="386"/>
      <c r="P847" s="386"/>
      <c r="Q847" s="386"/>
    </row>
    <row r="848" spans="1:17" ht="30" customHeight="1" x14ac:dyDescent="0.2">
      <c r="A848" s="7656"/>
      <c r="B848" s="7665"/>
      <c r="C848" s="7747"/>
      <c r="D848" s="7470" t="s">
        <v>7540</v>
      </c>
      <c r="E848" s="7493"/>
      <c r="F848" s="7510"/>
      <c r="G848" s="6393"/>
      <c r="H848" s="6385"/>
      <c r="I848" s="6522"/>
      <c r="J848" s="6391"/>
      <c r="K848" s="6457"/>
      <c r="L848" s="6454"/>
      <c r="M848" s="386"/>
      <c r="N848" s="386"/>
      <c r="O848" s="386"/>
      <c r="P848" s="386"/>
      <c r="Q848" s="386"/>
    </row>
    <row r="849" spans="1:17" ht="30" customHeight="1" x14ac:dyDescent="0.2">
      <c r="A849" s="7655"/>
      <c r="B849" s="7653"/>
      <c r="C849" s="7724"/>
      <c r="D849" s="7470" t="s">
        <v>7751</v>
      </c>
      <c r="E849" s="7493"/>
      <c r="F849" s="7510"/>
      <c r="G849" s="6393"/>
      <c r="H849" s="6385"/>
      <c r="I849" s="6522" t="s">
        <v>7766</v>
      </c>
      <c r="J849" s="6391">
        <f>G849</f>
        <v>0</v>
      </c>
      <c r="K849" s="6457"/>
      <c r="L849" s="6454" t="s">
        <v>7750</v>
      </c>
      <c r="M849" s="386"/>
      <c r="N849" s="386"/>
      <c r="O849" s="386"/>
      <c r="P849" s="386"/>
      <c r="Q849" s="386"/>
    </row>
    <row r="850" spans="1:17" ht="30" customHeight="1" x14ac:dyDescent="0.2">
      <c r="A850" s="6475">
        <v>387</v>
      </c>
      <c r="B850" s="6431" t="s">
        <v>1923</v>
      </c>
      <c r="C850" s="6472" t="s">
        <v>1306</v>
      </c>
      <c r="D850" s="6385">
        <v>75000000</v>
      </c>
      <c r="E850" s="6471">
        <v>0.05</v>
      </c>
      <c r="F850" s="6385">
        <f t="shared" si="75"/>
        <v>3750000</v>
      </c>
      <c r="G850" s="6385"/>
      <c r="H850" s="6522"/>
      <c r="I850" s="6522" t="s">
        <v>7195</v>
      </c>
      <c r="J850" s="6391">
        <f t="shared" si="76"/>
        <v>0</v>
      </c>
      <c r="K850" s="6389">
        <f>F850-J850</f>
        <v>3750000</v>
      </c>
      <c r="L850" s="6477"/>
      <c r="M850" s="386"/>
      <c r="N850" s="386"/>
      <c r="O850" s="386"/>
      <c r="P850" s="386"/>
      <c r="Q850" s="386"/>
    </row>
    <row r="851" spans="1:17" ht="30" customHeight="1" x14ac:dyDescent="0.2">
      <c r="A851" s="7654"/>
      <c r="B851" s="7652" t="s">
        <v>1953</v>
      </c>
      <c r="C851" s="7723" t="s">
        <v>1306</v>
      </c>
      <c r="D851" s="7563">
        <v>150000000</v>
      </c>
      <c r="E851" s="7659">
        <v>0.05</v>
      </c>
      <c r="F851" s="7563">
        <f t="shared" si="75"/>
        <v>7500000</v>
      </c>
      <c r="G851" s="6393"/>
      <c r="H851" s="6393"/>
      <c r="I851" s="472" t="s">
        <v>7312</v>
      </c>
      <c r="J851" s="6385">
        <f t="shared" si="76"/>
        <v>0</v>
      </c>
      <c r="K851" s="6389">
        <f>G851-J851</f>
        <v>0</v>
      </c>
      <c r="L851" s="6488"/>
      <c r="M851" s="386"/>
      <c r="N851" s="386"/>
      <c r="O851" s="386"/>
      <c r="P851" s="386"/>
      <c r="Q851" s="386"/>
    </row>
    <row r="852" spans="1:17" ht="30" customHeight="1" x14ac:dyDescent="0.2">
      <c r="A852" s="7655"/>
      <c r="B852" s="7653"/>
      <c r="C852" s="7724"/>
      <c r="D852" s="7564"/>
      <c r="E852" s="7660"/>
      <c r="F852" s="7564"/>
      <c r="G852" s="6393"/>
      <c r="H852" s="6393"/>
      <c r="I852" s="472" t="s">
        <v>7312</v>
      </c>
      <c r="J852" s="6393">
        <f>G852</f>
        <v>0</v>
      </c>
      <c r="K852" s="6458">
        <f>F851-J852</f>
        <v>7500000</v>
      </c>
      <c r="L852" s="6488"/>
      <c r="M852" s="386"/>
      <c r="N852" s="386"/>
      <c r="O852" s="386"/>
      <c r="P852" s="386"/>
      <c r="Q852" s="386"/>
    </row>
    <row r="853" spans="1:17" ht="30" customHeight="1" x14ac:dyDescent="0.2">
      <c r="A853" s="7654">
        <v>390</v>
      </c>
      <c r="B853" s="7652" t="s">
        <v>1996</v>
      </c>
      <c r="C853" s="7723" t="s">
        <v>889</v>
      </c>
      <c r="D853" s="6393">
        <v>5000000</v>
      </c>
      <c r="E853" s="6402">
        <v>0.05</v>
      </c>
      <c r="F853" s="6393">
        <f t="shared" si="75"/>
        <v>250000</v>
      </c>
      <c r="G853" s="6393">
        <v>1750000</v>
      </c>
      <c r="H853" s="6393" t="s">
        <v>7864</v>
      </c>
      <c r="I853" s="472" t="s">
        <v>2533</v>
      </c>
      <c r="J853" s="6393">
        <f>G853</f>
        <v>1750000</v>
      </c>
      <c r="K853" s="6458">
        <f>(F853+F854+F855+F856)-J853</f>
        <v>0</v>
      </c>
      <c r="L853" s="6477"/>
      <c r="M853" s="386"/>
      <c r="N853" s="386"/>
      <c r="O853" s="386"/>
      <c r="P853" s="386"/>
      <c r="Q853" s="386"/>
    </row>
    <row r="854" spans="1:17" ht="30" customHeight="1" x14ac:dyDescent="0.2">
      <c r="A854" s="7656"/>
      <c r="B854" s="7665"/>
      <c r="C854" s="7747"/>
      <c r="D854" s="6393">
        <v>10000000</v>
      </c>
      <c r="E854" s="6402">
        <v>0.05</v>
      </c>
      <c r="F854" s="6393">
        <f t="shared" si="75"/>
        <v>500000</v>
      </c>
      <c r="G854" s="8092" t="s">
        <v>7034</v>
      </c>
      <c r="H854" s="8093"/>
      <c r="I854" s="8093"/>
      <c r="J854" s="8094"/>
      <c r="K854" s="6458"/>
      <c r="L854" s="7811" t="s">
        <v>7012</v>
      </c>
      <c r="M854" s="386"/>
      <c r="N854" s="386"/>
      <c r="O854" s="386"/>
      <c r="P854" s="386"/>
      <c r="Q854" s="386"/>
    </row>
    <row r="855" spans="1:17" ht="30" customHeight="1" x14ac:dyDescent="0.2">
      <c r="A855" s="7656"/>
      <c r="B855" s="7665"/>
      <c r="C855" s="7747"/>
      <c r="D855" s="6393">
        <v>10000000</v>
      </c>
      <c r="E855" s="6402">
        <v>0.05</v>
      </c>
      <c r="F855" s="6393">
        <f t="shared" si="75"/>
        <v>500000</v>
      </c>
      <c r="G855" s="8092" t="s">
        <v>7035</v>
      </c>
      <c r="H855" s="8093"/>
      <c r="I855" s="8093"/>
      <c r="J855" s="8094"/>
      <c r="K855" s="6458"/>
      <c r="L855" s="7897"/>
      <c r="M855" s="386"/>
      <c r="N855" s="386"/>
      <c r="O855" s="386"/>
      <c r="P855" s="386"/>
      <c r="Q855" s="386"/>
    </row>
    <row r="856" spans="1:17" ht="30" customHeight="1" x14ac:dyDescent="0.2">
      <c r="A856" s="7655"/>
      <c r="B856" s="7653"/>
      <c r="C856" s="7724"/>
      <c r="D856" s="6393">
        <v>10000000</v>
      </c>
      <c r="E856" s="6402">
        <v>0.05</v>
      </c>
      <c r="F856" s="6393">
        <f t="shared" si="75"/>
        <v>500000</v>
      </c>
      <c r="G856" s="8092" t="s">
        <v>7036</v>
      </c>
      <c r="H856" s="8093"/>
      <c r="I856" s="8093"/>
      <c r="J856" s="8094"/>
      <c r="K856" s="6458"/>
      <c r="L856" s="7812"/>
      <c r="M856" s="386"/>
      <c r="N856" s="386"/>
      <c r="O856" s="386"/>
      <c r="P856" s="386"/>
      <c r="Q856" s="386"/>
    </row>
    <row r="857" spans="1:17" ht="30" customHeight="1" x14ac:dyDescent="0.2">
      <c r="A857" s="7654">
        <v>391</v>
      </c>
      <c r="B857" s="7652" t="s">
        <v>2003</v>
      </c>
      <c r="C857" s="7723" t="s">
        <v>3390</v>
      </c>
      <c r="D857" s="7563">
        <v>1000000000</v>
      </c>
      <c r="E857" s="7659">
        <v>0.05</v>
      </c>
      <c r="F857" s="7563">
        <f t="shared" si="75"/>
        <v>50000000</v>
      </c>
      <c r="G857" s="6385"/>
      <c r="H857" s="6385"/>
      <c r="I857" s="6385"/>
      <c r="J857" s="7563"/>
      <c r="K857" s="7816"/>
      <c r="L857" s="6389"/>
      <c r="M857" s="386"/>
      <c r="N857" s="386"/>
      <c r="O857" s="386"/>
      <c r="P857" s="386"/>
      <c r="Q857" s="386"/>
    </row>
    <row r="858" spans="1:17" ht="30" customHeight="1" x14ac:dyDescent="0.2">
      <c r="A858" s="7656"/>
      <c r="B858" s="7665"/>
      <c r="C858" s="7747"/>
      <c r="D858" s="7586"/>
      <c r="E858" s="7676"/>
      <c r="F858" s="7586"/>
      <c r="G858" s="6385"/>
      <c r="H858" s="6385"/>
      <c r="I858" s="6385"/>
      <c r="J858" s="7586"/>
      <c r="K858" s="7882"/>
      <c r="L858" s="6389"/>
      <c r="M858" s="386"/>
      <c r="N858" s="386"/>
      <c r="O858" s="386"/>
      <c r="P858" s="386"/>
      <c r="Q858" s="386"/>
    </row>
    <row r="859" spans="1:17" ht="30" customHeight="1" x14ac:dyDescent="0.2">
      <c r="A859" s="7655"/>
      <c r="B859" s="7653"/>
      <c r="C859" s="7724"/>
      <c r="D859" s="7564"/>
      <c r="E859" s="7660"/>
      <c r="F859" s="7564"/>
      <c r="G859" s="6385"/>
      <c r="H859" s="6385"/>
      <c r="I859" s="6385"/>
      <c r="J859" s="7564"/>
      <c r="K859" s="7817"/>
      <c r="L859" s="6389"/>
      <c r="M859" s="386"/>
      <c r="N859" s="386"/>
      <c r="O859" s="386"/>
      <c r="P859" s="386"/>
      <c r="Q859" s="386"/>
    </row>
    <row r="860" spans="1:17" ht="30" customHeight="1" x14ac:dyDescent="0.2">
      <c r="A860" s="6398">
        <v>392</v>
      </c>
      <c r="B860" s="6400" t="s">
        <v>2048</v>
      </c>
      <c r="C860" s="6434" t="s">
        <v>1294</v>
      </c>
      <c r="D860" s="6393">
        <v>50000000</v>
      </c>
      <c r="E860" s="6471">
        <v>0.05</v>
      </c>
      <c r="F860" s="6393">
        <f t="shared" si="75"/>
        <v>2500000</v>
      </c>
      <c r="G860" s="6393"/>
      <c r="H860" s="6393"/>
      <c r="I860" s="472" t="s">
        <v>3047</v>
      </c>
      <c r="J860" s="6393">
        <f>G860</f>
        <v>0</v>
      </c>
      <c r="K860" s="6458">
        <f>F860-J860</f>
        <v>2500000</v>
      </c>
      <c r="L860" s="6477"/>
      <c r="M860" s="386"/>
      <c r="N860" s="386"/>
      <c r="O860" s="386"/>
      <c r="P860" s="386"/>
      <c r="Q860" s="386"/>
    </row>
    <row r="861" spans="1:17" ht="30" customHeight="1" x14ac:dyDescent="0.2">
      <c r="A861" s="6475"/>
      <c r="B861" s="19" t="s">
        <v>2040</v>
      </c>
      <c r="C861" s="6472"/>
      <c r="D861" s="6385">
        <v>70000000</v>
      </c>
      <c r="E861" s="6471">
        <v>0.05</v>
      </c>
      <c r="F861" s="6385">
        <f t="shared" si="75"/>
        <v>3500000</v>
      </c>
      <c r="G861" s="6385"/>
      <c r="H861" s="6385"/>
      <c r="I861" s="6385" t="s">
        <v>3701</v>
      </c>
      <c r="J861" s="6385">
        <f>G861</f>
        <v>0</v>
      </c>
      <c r="K861" s="6389">
        <f>F861-J861</f>
        <v>3500000</v>
      </c>
      <c r="L861" s="6477"/>
      <c r="M861" s="386"/>
      <c r="N861" s="386"/>
      <c r="O861" s="386"/>
      <c r="P861" s="386"/>
      <c r="Q861" s="386"/>
    </row>
    <row r="862" spans="1:17" ht="30" customHeight="1" x14ac:dyDescent="0.2">
      <c r="A862" s="7654"/>
      <c r="B862" s="6491" t="s">
        <v>2052</v>
      </c>
      <c r="C862" s="8024" t="s">
        <v>1306</v>
      </c>
      <c r="D862" s="6489">
        <v>600000000</v>
      </c>
      <c r="E862" s="6505">
        <v>0.06</v>
      </c>
      <c r="F862" s="6489">
        <f t="shared" si="75"/>
        <v>36000000</v>
      </c>
      <c r="G862" s="7482"/>
      <c r="H862" s="7482"/>
      <c r="I862" s="8300"/>
      <c r="J862" s="7768"/>
      <c r="K862" s="6458"/>
      <c r="L862" s="6477"/>
      <c r="M862" s="386"/>
      <c r="N862" s="386"/>
      <c r="O862" s="386"/>
      <c r="P862" s="386"/>
      <c r="Q862" s="386"/>
    </row>
    <row r="863" spans="1:17" ht="30" customHeight="1" x14ac:dyDescent="0.2">
      <c r="A863" s="7656"/>
      <c r="B863" s="6491" t="s">
        <v>2049</v>
      </c>
      <c r="C863" s="8024"/>
      <c r="D863" s="6489">
        <v>310000000</v>
      </c>
      <c r="E863" s="679">
        <v>0.06</v>
      </c>
      <c r="F863" s="6489">
        <f t="shared" si="75"/>
        <v>18600000</v>
      </c>
      <c r="G863" s="7482"/>
      <c r="H863" s="7482"/>
      <c r="I863" s="8300"/>
      <c r="J863" s="7878"/>
      <c r="K863" s="6458"/>
      <c r="L863" s="6477"/>
      <c r="M863" s="386"/>
      <c r="N863" s="386"/>
      <c r="O863" s="386"/>
      <c r="P863" s="386"/>
      <c r="Q863" s="386"/>
    </row>
    <row r="864" spans="1:17" ht="30" customHeight="1" x14ac:dyDescent="0.2">
      <c r="A864" s="7656"/>
      <c r="B864" s="6491" t="s">
        <v>2053</v>
      </c>
      <c r="C864" s="8024"/>
      <c r="D864" s="6489">
        <v>50000000</v>
      </c>
      <c r="E864" s="679">
        <v>0.06</v>
      </c>
      <c r="F864" s="6489">
        <f t="shared" si="75"/>
        <v>3000000</v>
      </c>
      <c r="G864" s="7482"/>
      <c r="H864" s="7482"/>
      <c r="I864" s="8300"/>
      <c r="J864" s="7878"/>
      <c r="K864" s="6458"/>
      <c r="L864" s="6477"/>
      <c r="M864" s="386"/>
      <c r="N864" s="386"/>
      <c r="O864" s="386"/>
      <c r="P864" s="386"/>
      <c r="Q864" s="386"/>
    </row>
    <row r="865" spans="1:17" ht="30" customHeight="1" x14ac:dyDescent="0.2">
      <c r="A865" s="7656"/>
      <c r="B865" s="6491" t="s">
        <v>2050</v>
      </c>
      <c r="C865" s="8024"/>
      <c r="D865" s="6489">
        <v>110000000</v>
      </c>
      <c r="E865" s="679">
        <v>0.06</v>
      </c>
      <c r="F865" s="6489">
        <f t="shared" si="75"/>
        <v>6600000</v>
      </c>
      <c r="G865" s="7482"/>
      <c r="H865" s="7482"/>
      <c r="I865" s="8300"/>
      <c r="J865" s="7878"/>
      <c r="K865" s="6458"/>
      <c r="L865" s="6477"/>
      <c r="M865" s="386"/>
      <c r="N865" s="386"/>
      <c r="O865" s="386"/>
      <c r="P865" s="386"/>
      <c r="Q865" s="386"/>
    </row>
    <row r="866" spans="1:17" ht="30" customHeight="1" x14ac:dyDescent="0.2">
      <c r="A866" s="7656"/>
      <c r="B866" s="6491" t="s">
        <v>2051</v>
      </c>
      <c r="C866" s="8025"/>
      <c r="D866" s="6489">
        <v>100000000</v>
      </c>
      <c r="E866" s="679">
        <v>0.06</v>
      </c>
      <c r="F866" s="6489">
        <f t="shared" si="75"/>
        <v>6000000</v>
      </c>
      <c r="G866" s="7482"/>
      <c r="H866" s="7482"/>
      <c r="I866" s="8300"/>
      <c r="J866" s="7878"/>
      <c r="K866" s="6458"/>
      <c r="L866" s="6477"/>
      <c r="M866" s="386"/>
      <c r="N866" s="386"/>
      <c r="O866" s="386"/>
      <c r="P866" s="386"/>
      <c r="Q866" s="386"/>
    </row>
    <row r="867" spans="1:17" ht="30" customHeight="1" x14ac:dyDescent="0.2">
      <c r="A867" s="7656"/>
      <c r="B867" s="6519" t="s">
        <v>4588</v>
      </c>
      <c r="C867" s="6492"/>
      <c r="D867" s="6498">
        <v>50000000</v>
      </c>
      <c r="E867" s="6504">
        <v>0.06</v>
      </c>
      <c r="F867" s="6498">
        <f t="shared" si="75"/>
        <v>3000000</v>
      </c>
      <c r="G867" s="7482"/>
      <c r="H867" s="7482"/>
      <c r="I867" s="8300"/>
      <c r="J867" s="7770"/>
      <c r="K867" s="6476"/>
      <c r="L867" s="6454"/>
      <c r="M867" s="386"/>
      <c r="N867" s="386"/>
      <c r="O867" s="386"/>
      <c r="P867" s="386"/>
      <c r="Q867" s="386"/>
    </row>
    <row r="868" spans="1:17" ht="30" customHeight="1" x14ac:dyDescent="0.2">
      <c r="A868" s="7656"/>
      <c r="B868" s="8021" t="s">
        <v>3423</v>
      </c>
      <c r="C868" s="8023" t="s">
        <v>1306</v>
      </c>
      <c r="D868" s="8001">
        <f>SUM(D862:D867)</f>
        <v>1220000000</v>
      </c>
      <c r="E868" s="8083"/>
      <c r="F868" s="8001">
        <f>SUM(F862:F867)</f>
        <v>73200000</v>
      </c>
      <c r="G868" s="6590">
        <v>20000000</v>
      </c>
      <c r="H868" s="6590" t="s">
        <v>7864</v>
      </c>
      <c r="I868" s="6628" t="s">
        <v>7294</v>
      </c>
      <c r="J868" s="7563">
        <f>G868+G870+G871+G872</f>
        <v>20000000</v>
      </c>
      <c r="K868" s="7816">
        <f>F868-J868</f>
        <v>53200000</v>
      </c>
      <c r="L868" s="6612" t="s">
        <v>7295</v>
      </c>
      <c r="M868" s="386"/>
      <c r="N868" s="386"/>
      <c r="O868" s="386"/>
      <c r="P868" s="386"/>
      <c r="Q868" s="386"/>
    </row>
    <row r="869" spans="1:17" ht="30" customHeight="1" x14ac:dyDescent="0.2">
      <c r="A869" s="7656"/>
      <c r="B869" s="8269"/>
      <c r="C869" s="8024"/>
      <c r="D869" s="8041"/>
      <c r="E869" s="8142"/>
      <c r="F869" s="8041"/>
      <c r="G869" s="7"/>
      <c r="H869" s="7"/>
      <c r="I869" s="6807"/>
      <c r="J869" s="7586"/>
      <c r="K869" s="7882"/>
      <c r="L869" s="6620"/>
      <c r="M869" s="386"/>
      <c r="N869" s="386"/>
      <c r="O869" s="386"/>
      <c r="P869" s="386"/>
      <c r="Q869" s="386"/>
    </row>
    <row r="870" spans="1:17" ht="30" customHeight="1" x14ac:dyDescent="0.2">
      <c r="A870" s="7656"/>
      <c r="B870" s="8269"/>
      <c r="C870" s="8024"/>
      <c r="D870" s="8041"/>
      <c r="E870" s="8142"/>
      <c r="F870" s="8041"/>
      <c r="G870" s="6393"/>
      <c r="H870" s="6393"/>
      <c r="I870" s="472"/>
      <c r="J870" s="7586"/>
      <c r="K870" s="7882"/>
      <c r="L870" s="6613"/>
      <c r="M870" s="386"/>
      <c r="N870" s="386"/>
      <c r="O870" s="386"/>
      <c r="P870" s="386"/>
      <c r="Q870" s="386"/>
    </row>
    <row r="871" spans="1:17" ht="30" customHeight="1" x14ac:dyDescent="0.2">
      <c r="A871" s="7656"/>
      <c r="B871" s="8269"/>
      <c r="C871" s="8024"/>
      <c r="D871" s="8041"/>
      <c r="E871" s="8142"/>
      <c r="F871" s="8041"/>
      <c r="G871" s="6393"/>
      <c r="H871" s="6393"/>
      <c r="I871" s="472"/>
      <c r="J871" s="7586"/>
      <c r="K871" s="7882"/>
      <c r="L871" s="6478"/>
      <c r="M871" s="386"/>
      <c r="N871" s="386"/>
      <c r="O871" s="386"/>
      <c r="P871" s="386"/>
      <c r="Q871" s="386"/>
    </row>
    <row r="872" spans="1:17" ht="30" customHeight="1" x14ac:dyDescent="0.2">
      <c r="A872" s="7655"/>
      <c r="B872" s="8022"/>
      <c r="C872" s="8025"/>
      <c r="D872" s="8002"/>
      <c r="E872" s="8084"/>
      <c r="F872" s="8002"/>
      <c r="G872" s="6393"/>
      <c r="H872" s="6393"/>
      <c r="I872" s="472"/>
      <c r="J872" s="7564"/>
      <c r="K872" s="7817"/>
      <c r="L872" s="6478"/>
      <c r="M872" s="386"/>
      <c r="N872" s="386"/>
      <c r="O872" s="386"/>
      <c r="P872" s="386"/>
      <c r="Q872" s="386"/>
    </row>
    <row r="873" spans="1:17" ht="30" customHeight="1" x14ac:dyDescent="0.2">
      <c r="A873" s="7654"/>
      <c r="B873" s="7652" t="s">
        <v>2069</v>
      </c>
      <c r="C873" s="7723" t="s">
        <v>3323</v>
      </c>
      <c r="D873" s="7563">
        <v>200000000</v>
      </c>
      <c r="E873" s="7659">
        <v>7.0000000000000007E-2</v>
      </c>
      <c r="F873" s="7563">
        <f t="shared" ref="F873:F879" si="77">D873*E873</f>
        <v>14000000.000000002</v>
      </c>
      <c r="G873" s="6393"/>
      <c r="H873" s="6393"/>
      <c r="I873" s="472" t="s">
        <v>7305</v>
      </c>
      <c r="J873" s="6385">
        <f>G873</f>
        <v>0</v>
      </c>
      <c r="K873" s="6389">
        <f>F873-J873</f>
        <v>14000000.000000002</v>
      </c>
      <c r="L873" s="6454"/>
      <c r="M873" s="386"/>
      <c r="N873" s="386"/>
      <c r="O873" s="386"/>
      <c r="P873" s="386"/>
      <c r="Q873" s="386"/>
    </row>
    <row r="874" spans="1:17" ht="30" customHeight="1" x14ac:dyDescent="0.2">
      <c r="A874" s="7655"/>
      <c r="B874" s="7653"/>
      <c r="C874" s="7724"/>
      <c r="D874" s="7564"/>
      <c r="E874" s="7660"/>
      <c r="F874" s="7564"/>
      <c r="G874" s="6393"/>
      <c r="H874" s="6393"/>
      <c r="I874" s="472" t="s">
        <v>7305</v>
      </c>
      <c r="J874" s="6393">
        <f>G874</f>
        <v>0</v>
      </c>
      <c r="K874" s="6458">
        <f>F873-J874</f>
        <v>14000000.000000002</v>
      </c>
      <c r="L874" s="6454"/>
      <c r="M874" s="386"/>
      <c r="N874" s="386"/>
      <c r="O874" s="386"/>
      <c r="P874" s="386"/>
      <c r="Q874" s="386"/>
    </row>
    <row r="875" spans="1:17" ht="30" customHeight="1" x14ac:dyDescent="0.2">
      <c r="A875" s="6398"/>
      <c r="B875" s="6400" t="s">
        <v>2089</v>
      </c>
      <c r="C875" s="6434" t="s">
        <v>2278</v>
      </c>
      <c r="D875" s="6393">
        <v>13000000</v>
      </c>
      <c r="E875" s="6471">
        <v>0.05</v>
      </c>
      <c r="F875" s="6393">
        <f t="shared" si="77"/>
        <v>650000</v>
      </c>
      <c r="G875" s="6393"/>
      <c r="H875" s="6393"/>
      <c r="I875" s="472" t="s">
        <v>2984</v>
      </c>
      <c r="J875" s="6393">
        <f>G875</f>
        <v>0</v>
      </c>
      <c r="K875" s="6458">
        <f>F875-J875</f>
        <v>650000</v>
      </c>
      <c r="L875" s="6477"/>
      <c r="M875" s="386"/>
      <c r="N875" s="386"/>
      <c r="O875" s="386"/>
      <c r="P875" s="386"/>
      <c r="Q875" s="386"/>
    </row>
    <row r="876" spans="1:17" ht="30" customHeight="1" x14ac:dyDescent="0.2">
      <c r="A876" s="7654"/>
      <c r="B876" s="7652" t="s">
        <v>2128</v>
      </c>
      <c r="C876" s="7723" t="s">
        <v>1287</v>
      </c>
      <c r="D876" s="6393">
        <v>50000000</v>
      </c>
      <c r="E876" s="6471">
        <v>0.04</v>
      </c>
      <c r="F876" s="6393">
        <f t="shared" si="77"/>
        <v>2000000</v>
      </c>
      <c r="G876" s="7563"/>
      <c r="H876" s="7563"/>
      <c r="I876" s="7889" t="s">
        <v>5845</v>
      </c>
      <c r="J876" s="7563">
        <f>G876+G877</f>
        <v>0</v>
      </c>
      <c r="K876" s="7816">
        <f>(F876+F877)-J876</f>
        <v>7000000</v>
      </c>
      <c r="L876" s="7816"/>
      <c r="M876" s="386"/>
      <c r="N876" s="386"/>
      <c r="O876" s="386"/>
      <c r="P876" s="386"/>
      <c r="Q876" s="386"/>
    </row>
    <row r="877" spans="1:17" ht="30" customHeight="1" x14ac:dyDescent="0.2">
      <c r="A877" s="7655"/>
      <c r="B877" s="7653"/>
      <c r="C877" s="7724"/>
      <c r="D877" s="6392">
        <v>100000000</v>
      </c>
      <c r="E877" s="6401">
        <v>0.05</v>
      </c>
      <c r="F877" s="6392">
        <f t="shared" si="77"/>
        <v>5000000</v>
      </c>
      <c r="G877" s="7564"/>
      <c r="H877" s="7564"/>
      <c r="I877" s="7890"/>
      <c r="J877" s="7564"/>
      <c r="K877" s="7817"/>
      <c r="L877" s="7817"/>
      <c r="M877" s="386"/>
      <c r="N877" s="386"/>
      <c r="O877" s="386"/>
      <c r="P877" s="386"/>
      <c r="Q877" s="386"/>
    </row>
    <row r="878" spans="1:17" ht="30" customHeight="1" x14ac:dyDescent="0.2">
      <c r="A878" s="6475"/>
      <c r="B878" s="6431" t="s">
        <v>2129</v>
      </c>
      <c r="C878" s="6472" t="s">
        <v>372</v>
      </c>
      <c r="D878" s="6385">
        <v>100000000</v>
      </c>
      <c r="E878" s="6471">
        <v>0.05</v>
      </c>
      <c r="F878" s="6385">
        <f t="shared" si="77"/>
        <v>5000000</v>
      </c>
      <c r="G878" s="6385"/>
      <c r="H878" s="6385"/>
      <c r="I878" s="6522" t="s">
        <v>3581</v>
      </c>
      <c r="J878" s="6385">
        <f>G878</f>
        <v>0</v>
      </c>
      <c r="K878" s="6389">
        <f>F878-J878</f>
        <v>5000000</v>
      </c>
      <c r="L878" s="6457"/>
      <c r="M878" s="386"/>
      <c r="N878" s="386"/>
      <c r="O878" s="386"/>
      <c r="P878" s="386"/>
      <c r="Q878" s="386"/>
    </row>
    <row r="879" spans="1:17" s="1539" customFormat="1" ht="30" customHeight="1" x14ac:dyDescent="0.2">
      <c r="A879" s="6475"/>
      <c r="B879" s="6431" t="s">
        <v>2208</v>
      </c>
      <c r="C879" s="6472" t="s">
        <v>1306</v>
      </c>
      <c r="D879" s="6385">
        <v>30000000</v>
      </c>
      <c r="E879" s="6471">
        <v>0.05</v>
      </c>
      <c r="F879" s="6385">
        <f t="shared" si="77"/>
        <v>1500000</v>
      </c>
      <c r="G879" s="6385"/>
      <c r="H879" s="6385"/>
      <c r="I879" s="6385" t="s">
        <v>3204</v>
      </c>
      <c r="J879" s="6385">
        <f>G879</f>
        <v>0</v>
      </c>
      <c r="K879" s="6385">
        <f>F879-J879</f>
        <v>1500000</v>
      </c>
      <c r="L879" s="6477"/>
      <c r="M879" s="387"/>
      <c r="N879" s="387"/>
      <c r="O879" s="387"/>
      <c r="P879" s="387"/>
      <c r="Q879" s="387"/>
    </row>
    <row r="880" spans="1:17" ht="30" customHeight="1" x14ac:dyDescent="0.2">
      <c r="A880" s="6398"/>
      <c r="B880" s="6400" t="s">
        <v>2303</v>
      </c>
      <c r="C880" s="6434"/>
      <c r="D880" s="6393">
        <v>100000000</v>
      </c>
      <c r="E880" s="6471">
        <v>0.05</v>
      </c>
      <c r="F880" s="6393">
        <f>D880*E880</f>
        <v>5000000</v>
      </c>
      <c r="G880" s="6393"/>
      <c r="H880" s="6393"/>
      <c r="I880" s="472" t="s">
        <v>5949</v>
      </c>
      <c r="J880" s="6393">
        <f t="shared" ref="J880:J886" si="78">G880</f>
        <v>0</v>
      </c>
      <c r="K880" s="6458">
        <f>F880-J880</f>
        <v>5000000</v>
      </c>
      <c r="L880" s="6477" t="s">
        <v>7287</v>
      </c>
      <c r="M880" s="386"/>
      <c r="N880" s="386"/>
      <c r="O880" s="386"/>
      <c r="P880" s="386"/>
      <c r="Q880" s="386"/>
    </row>
    <row r="881" spans="1:17" ht="30" customHeight="1" x14ac:dyDescent="0.2">
      <c r="A881" s="6398"/>
      <c r="B881" s="6400" t="s">
        <v>5996</v>
      </c>
      <c r="C881" s="6434" t="s">
        <v>1306</v>
      </c>
      <c r="D881" s="6393">
        <v>25000000</v>
      </c>
      <c r="E881" s="6471">
        <v>0.04</v>
      </c>
      <c r="F881" s="6393">
        <f>D881*E881</f>
        <v>1000000</v>
      </c>
      <c r="G881" s="6393"/>
      <c r="H881" s="6393"/>
      <c r="I881" s="472" t="s">
        <v>2346</v>
      </c>
      <c r="J881" s="6393">
        <f t="shared" si="78"/>
        <v>0</v>
      </c>
      <c r="K881" s="6458">
        <f>F881-J881</f>
        <v>1000000</v>
      </c>
      <c r="L881" s="6477"/>
      <c r="M881" s="386"/>
      <c r="N881" s="386"/>
      <c r="O881" s="386"/>
      <c r="P881" s="386"/>
      <c r="Q881" s="386"/>
    </row>
    <row r="882" spans="1:17" ht="30" customHeight="1" x14ac:dyDescent="0.2">
      <c r="A882" s="6398"/>
      <c r="B882" s="6400" t="s">
        <v>2385</v>
      </c>
      <c r="C882" s="6434"/>
      <c r="D882" s="6411"/>
      <c r="E882" s="2519"/>
      <c r="F882" s="6411"/>
      <c r="G882" s="6393"/>
      <c r="H882" s="6393"/>
      <c r="I882" s="472"/>
      <c r="J882" s="6393">
        <f t="shared" si="78"/>
        <v>0</v>
      </c>
      <c r="K882" s="6463">
        <f>F882-J882</f>
        <v>0</v>
      </c>
      <c r="L882" s="6477"/>
      <c r="M882" s="386"/>
      <c r="N882" s="386"/>
      <c r="O882" s="386"/>
      <c r="P882" s="386"/>
      <c r="Q882" s="386"/>
    </row>
    <row r="883" spans="1:17" ht="30" customHeight="1" x14ac:dyDescent="0.2">
      <c r="A883" s="7654"/>
      <c r="B883" s="7652" t="s">
        <v>2388</v>
      </c>
      <c r="C883" s="7723" t="s">
        <v>1172</v>
      </c>
      <c r="D883" s="7563">
        <v>120000000</v>
      </c>
      <c r="E883" s="7659">
        <v>0.05</v>
      </c>
      <c r="F883" s="7563">
        <f>D883*E883</f>
        <v>6000000</v>
      </c>
      <c r="G883" s="6393"/>
      <c r="H883" s="6393"/>
      <c r="I883" s="472" t="s">
        <v>6933</v>
      </c>
      <c r="J883" s="6393">
        <f>G883</f>
        <v>0</v>
      </c>
      <c r="K883" s="6457"/>
      <c r="L883" s="7732" t="s">
        <v>7426</v>
      </c>
      <c r="M883" s="7733"/>
      <c r="N883" s="7733"/>
      <c r="O883" s="7734"/>
      <c r="P883" s="386"/>
      <c r="Q883" s="386"/>
    </row>
    <row r="884" spans="1:17" ht="30" customHeight="1" x14ac:dyDescent="0.2">
      <c r="A884" s="7656"/>
      <c r="B884" s="7665"/>
      <c r="C884" s="7747"/>
      <c r="D884" s="7586"/>
      <c r="E884" s="7676"/>
      <c r="F884" s="7586"/>
      <c r="G884" s="6393"/>
      <c r="H884" s="6393"/>
      <c r="I884" s="472" t="s">
        <v>6933</v>
      </c>
      <c r="J884" s="6393">
        <f>G884</f>
        <v>0</v>
      </c>
      <c r="K884" s="6457"/>
      <c r="L884" s="6422" t="s">
        <v>7493</v>
      </c>
      <c r="M884" s="6484"/>
      <c r="N884" s="6484"/>
      <c r="O884" s="6484"/>
      <c r="P884" s="386"/>
      <c r="Q884" s="386"/>
    </row>
    <row r="885" spans="1:17" ht="30" customHeight="1" x14ac:dyDescent="0.2">
      <c r="A885" s="7655"/>
      <c r="B885" s="7653"/>
      <c r="C885" s="7724"/>
      <c r="D885" s="7564"/>
      <c r="E885" s="7660"/>
      <c r="F885" s="7564"/>
      <c r="G885" s="6393"/>
      <c r="H885" s="6393"/>
      <c r="I885" s="472" t="s">
        <v>6933</v>
      </c>
      <c r="J885" s="6393">
        <f>G885</f>
        <v>0</v>
      </c>
      <c r="K885" s="6457"/>
      <c r="L885" s="6422" t="s">
        <v>7493</v>
      </c>
      <c r="M885" s="6484"/>
      <c r="N885" s="6484"/>
      <c r="O885" s="6484"/>
      <c r="P885" s="386"/>
      <c r="Q885" s="386"/>
    </row>
    <row r="886" spans="1:17" ht="30" customHeight="1" x14ac:dyDescent="0.2">
      <c r="A886" s="7654"/>
      <c r="B886" s="7652" t="s">
        <v>2647</v>
      </c>
      <c r="C886" s="6433" t="s">
        <v>1652</v>
      </c>
      <c r="D886" s="6393">
        <v>100000000</v>
      </c>
      <c r="E886" s="6471">
        <v>0.05</v>
      </c>
      <c r="F886" s="6393">
        <f t="shared" ref="F886:F911" si="79">D886*E886</f>
        <v>5000000</v>
      </c>
      <c r="G886" s="6385">
        <v>5000000</v>
      </c>
      <c r="H886" s="6385" t="s">
        <v>7826</v>
      </c>
      <c r="I886" s="6385" t="s">
        <v>7828</v>
      </c>
      <c r="J886" s="6385">
        <f t="shared" si="78"/>
        <v>5000000</v>
      </c>
      <c r="K886" s="6389">
        <f>F886-J886</f>
        <v>0</v>
      </c>
      <c r="L886" s="6477"/>
      <c r="M886" s="386"/>
      <c r="N886" s="386"/>
      <c r="O886" s="386"/>
      <c r="P886" s="386"/>
      <c r="Q886" s="386"/>
    </row>
    <row r="887" spans="1:17" ht="30" customHeight="1" x14ac:dyDescent="0.2">
      <c r="A887" s="7656"/>
      <c r="B887" s="7665"/>
      <c r="C887" s="7723" t="s">
        <v>3390</v>
      </c>
      <c r="D887" s="7563">
        <v>1000000000</v>
      </c>
      <c r="E887" s="7659">
        <v>6.5000000000000002E-2</v>
      </c>
      <c r="F887" s="7563">
        <f>D887*E887</f>
        <v>65000000</v>
      </c>
      <c r="G887" s="6385"/>
      <c r="H887" s="6385"/>
      <c r="I887" s="6385" t="s">
        <v>7679</v>
      </c>
      <c r="J887" s="7563">
        <f>G887+G888</f>
        <v>0</v>
      </c>
      <c r="K887" s="7816">
        <f>F887-J887</f>
        <v>65000000</v>
      </c>
      <c r="L887" s="7816"/>
      <c r="M887" s="386"/>
      <c r="N887" s="386"/>
      <c r="O887" s="386"/>
      <c r="P887" s="386"/>
      <c r="Q887" s="386"/>
    </row>
    <row r="888" spans="1:17" ht="30" customHeight="1" x14ac:dyDescent="0.2">
      <c r="A888" s="7656"/>
      <c r="B888" s="7665"/>
      <c r="C888" s="7724"/>
      <c r="D888" s="7564"/>
      <c r="E888" s="7660"/>
      <c r="F888" s="7564"/>
      <c r="G888" s="6391"/>
      <c r="H888" s="6391"/>
      <c r="I888" s="6385" t="s">
        <v>7692</v>
      </c>
      <c r="J888" s="7564"/>
      <c r="K888" s="7817"/>
      <c r="L888" s="7817"/>
      <c r="M888" s="386"/>
      <c r="N888" s="386"/>
      <c r="O888" s="386"/>
      <c r="P888" s="386"/>
      <c r="Q888" s="386"/>
    </row>
    <row r="889" spans="1:17" ht="30" customHeight="1" x14ac:dyDescent="0.2">
      <c r="A889" s="7655"/>
      <c r="B889" s="7653"/>
      <c r="C889" s="6433"/>
      <c r="D889" s="6393">
        <v>1000000000</v>
      </c>
      <c r="E889" s="6471"/>
      <c r="F889" s="6393"/>
      <c r="G889" s="6391"/>
      <c r="H889" s="6391"/>
      <c r="I889" s="6391"/>
      <c r="J889" s="6391"/>
      <c r="K889" s="6457"/>
      <c r="L889" s="6477" t="s">
        <v>7642</v>
      </c>
      <c r="M889" s="386"/>
      <c r="N889" s="386"/>
      <c r="O889" s="386"/>
      <c r="P889" s="386"/>
      <c r="Q889" s="386"/>
    </row>
    <row r="890" spans="1:17" ht="30" customHeight="1" x14ac:dyDescent="0.2">
      <c r="A890" s="7654"/>
      <c r="B890" s="7652" t="s">
        <v>5465</v>
      </c>
      <c r="C890" s="7723" t="s">
        <v>1299</v>
      </c>
      <c r="D890" s="6393">
        <v>20000000</v>
      </c>
      <c r="E890" s="6471">
        <v>0.05</v>
      </c>
      <c r="F890" s="6393">
        <f t="shared" si="79"/>
        <v>1000000</v>
      </c>
      <c r="G890" s="7563"/>
      <c r="H890" s="7563"/>
      <c r="I890" s="7889" t="s">
        <v>4124</v>
      </c>
      <c r="J890" s="7563">
        <f>G890</f>
        <v>0</v>
      </c>
      <c r="K890" s="7816">
        <f>(F890+F891)-J890</f>
        <v>2200000</v>
      </c>
      <c r="L890" s="6477"/>
      <c r="M890" s="386"/>
      <c r="N890" s="386"/>
      <c r="O890" s="386"/>
      <c r="P890" s="386"/>
      <c r="Q890" s="386"/>
    </row>
    <row r="891" spans="1:17" ht="30" customHeight="1" x14ac:dyDescent="0.2">
      <c r="A891" s="7655"/>
      <c r="B891" s="7653"/>
      <c r="C891" s="7724"/>
      <c r="D891" s="6393">
        <v>20000000</v>
      </c>
      <c r="E891" s="6471">
        <v>0.06</v>
      </c>
      <c r="F891" s="6393">
        <f t="shared" si="79"/>
        <v>1200000</v>
      </c>
      <c r="G891" s="7564"/>
      <c r="H891" s="7564"/>
      <c r="I891" s="7890"/>
      <c r="J891" s="7564"/>
      <c r="K891" s="7817"/>
      <c r="L891" s="6477"/>
      <c r="M891" s="386"/>
      <c r="N891" s="386"/>
      <c r="O891" s="386"/>
      <c r="P891" s="386"/>
      <c r="Q891" s="386"/>
    </row>
    <row r="892" spans="1:17" ht="30" customHeight="1" x14ac:dyDescent="0.2">
      <c r="A892" s="7654"/>
      <c r="B892" s="7652" t="s">
        <v>5464</v>
      </c>
      <c r="C892" s="7723" t="s">
        <v>402</v>
      </c>
      <c r="D892" s="6393">
        <v>30000000</v>
      </c>
      <c r="E892" s="6471">
        <v>0.06</v>
      </c>
      <c r="F892" s="6393">
        <f t="shared" si="79"/>
        <v>1800000</v>
      </c>
      <c r="G892" s="7482"/>
      <c r="H892" s="7482"/>
      <c r="I892" s="8300" t="s">
        <v>6905</v>
      </c>
      <c r="J892" s="7482">
        <f>G892</f>
        <v>0</v>
      </c>
      <c r="K892" s="7499">
        <f>(F892+F893)-J892</f>
        <v>3000000</v>
      </c>
      <c r="L892" s="6477"/>
      <c r="M892" s="386"/>
      <c r="N892" s="386"/>
      <c r="O892" s="386"/>
      <c r="P892" s="386"/>
      <c r="Q892" s="386"/>
    </row>
    <row r="893" spans="1:17" ht="30" customHeight="1" x14ac:dyDescent="0.2">
      <c r="A893" s="7655"/>
      <c r="B893" s="7653"/>
      <c r="C893" s="7724"/>
      <c r="D893" s="6393">
        <v>20000000</v>
      </c>
      <c r="E893" s="6471">
        <v>0.06</v>
      </c>
      <c r="F893" s="6393">
        <f t="shared" si="79"/>
        <v>1200000</v>
      </c>
      <c r="G893" s="7482"/>
      <c r="H893" s="7482"/>
      <c r="I893" s="8300"/>
      <c r="J893" s="7482"/>
      <c r="K893" s="7499"/>
      <c r="L893" s="6455"/>
      <c r="M893" s="386"/>
      <c r="N893" s="386"/>
      <c r="O893" s="386"/>
      <c r="P893" s="386"/>
      <c r="Q893" s="386"/>
    </row>
    <row r="894" spans="1:17" ht="30" customHeight="1" x14ac:dyDescent="0.2">
      <c r="A894" s="7654"/>
      <c r="B894" s="7652" t="s">
        <v>234</v>
      </c>
      <c r="C894" s="7723" t="s">
        <v>1172</v>
      </c>
      <c r="D894" s="6393">
        <v>60000000</v>
      </c>
      <c r="E894" s="6471">
        <v>0.05</v>
      </c>
      <c r="F894" s="6393">
        <f t="shared" si="79"/>
        <v>3000000</v>
      </c>
      <c r="G894" s="7563"/>
      <c r="H894" s="7563"/>
      <c r="I894" s="7563" t="s">
        <v>6257</v>
      </c>
      <c r="J894" s="7563">
        <f>G894</f>
        <v>0</v>
      </c>
      <c r="K894" s="7816">
        <f>(F894+F895)-J894</f>
        <v>4800000</v>
      </c>
      <c r="L894" s="6455"/>
      <c r="M894" s="386"/>
      <c r="N894" s="386"/>
      <c r="O894" s="386"/>
      <c r="P894" s="386"/>
      <c r="Q894" s="386"/>
    </row>
    <row r="895" spans="1:17" ht="30" customHeight="1" x14ac:dyDescent="0.2">
      <c r="A895" s="7655"/>
      <c r="B895" s="7653"/>
      <c r="C895" s="7724"/>
      <c r="D895" s="6393">
        <v>30000000</v>
      </c>
      <c r="E895" s="6471">
        <v>0.06</v>
      </c>
      <c r="F895" s="6393">
        <f t="shared" si="79"/>
        <v>1800000</v>
      </c>
      <c r="G895" s="7564"/>
      <c r="H895" s="7564"/>
      <c r="I895" s="7564"/>
      <c r="J895" s="7564"/>
      <c r="K895" s="7817"/>
      <c r="L895" s="6455"/>
      <c r="M895" s="386"/>
      <c r="N895" s="386"/>
      <c r="O895" s="386"/>
      <c r="P895" s="386"/>
      <c r="Q895" s="386"/>
    </row>
    <row r="896" spans="1:17" ht="30" customHeight="1" x14ac:dyDescent="0.2">
      <c r="A896" s="7654"/>
      <c r="B896" s="7652" t="s">
        <v>4946</v>
      </c>
      <c r="C896" s="7723" t="s">
        <v>1299</v>
      </c>
      <c r="D896" s="6393">
        <v>10000000</v>
      </c>
      <c r="E896" s="6471">
        <v>7.0000000000000007E-2</v>
      </c>
      <c r="F896" s="6393">
        <f>D896*E896</f>
        <v>700000.00000000012</v>
      </c>
      <c r="G896" s="7563"/>
      <c r="H896" s="7563"/>
      <c r="I896" s="7563" t="s">
        <v>5204</v>
      </c>
      <c r="J896" s="7563">
        <f>G896</f>
        <v>0</v>
      </c>
      <c r="K896" s="7563">
        <f>(F896+F897)-J896</f>
        <v>3200000</v>
      </c>
      <c r="L896" s="6455"/>
      <c r="M896" s="386"/>
      <c r="N896" s="386"/>
      <c r="O896" s="386"/>
      <c r="P896" s="386"/>
      <c r="Q896" s="386"/>
    </row>
    <row r="897" spans="1:17" ht="30" customHeight="1" x14ac:dyDescent="0.2">
      <c r="A897" s="7655"/>
      <c r="B897" s="7653"/>
      <c r="C897" s="7724"/>
      <c r="D897" s="6393">
        <v>50000000</v>
      </c>
      <c r="E897" s="6471">
        <v>0.05</v>
      </c>
      <c r="F897" s="6393">
        <f>D897*E897</f>
        <v>2500000</v>
      </c>
      <c r="G897" s="7564"/>
      <c r="H897" s="7564"/>
      <c r="I897" s="7564"/>
      <c r="J897" s="7564"/>
      <c r="K897" s="7564"/>
      <c r="L897" s="6455"/>
      <c r="M897" s="386"/>
      <c r="N897" s="386"/>
      <c r="O897" s="386"/>
      <c r="P897" s="386"/>
      <c r="Q897" s="386"/>
    </row>
    <row r="898" spans="1:17" ht="30" customHeight="1" x14ac:dyDescent="0.2">
      <c r="A898" s="7654"/>
      <c r="B898" s="7652" t="s">
        <v>2471</v>
      </c>
      <c r="C898" s="7723" t="s">
        <v>889</v>
      </c>
      <c r="D898" s="6393">
        <v>110120000</v>
      </c>
      <c r="E898" s="6471">
        <v>0.06</v>
      </c>
      <c r="F898" s="6393">
        <f t="shared" si="79"/>
        <v>6607200</v>
      </c>
      <c r="G898" s="7563"/>
      <c r="H898" s="7563"/>
      <c r="I898" s="7563" t="s">
        <v>6252</v>
      </c>
      <c r="J898" s="7563">
        <f>G898</f>
        <v>0</v>
      </c>
      <c r="K898" s="7563">
        <f>(F898+F899)-J898</f>
        <v>9007200</v>
      </c>
      <c r="L898" s="6477"/>
      <c r="M898" s="386"/>
      <c r="N898" s="386"/>
      <c r="O898" s="386"/>
      <c r="P898" s="386"/>
      <c r="Q898" s="386"/>
    </row>
    <row r="899" spans="1:17" ht="30" customHeight="1" x14ac:dyDescent="0.2">
      <c r="A899" s="7655"/>
      <c r="B899" s="7653"/>
      <c r="C899" s="7724"/>
      <c r="D899" s="6393">
        <v>40000000</v>
      </c>
      <c r="E899" s="6471">
        <v>0.06</v>
      </c>
      <c r="F899" s="6393">
        <f t="shared" si="79"/>
        <v>2400000</v>
      </c>
      <c r="G899" s="7564"/>
      <c r="H899" s="7564"/>
      <c r="I899" s="7564"/>
      <c r="J899" s="7564"/>
      <c r="K899" s="7564"/>
      <c r="L899" s="6454"/>
      <c r="M899" s="386"/>
      <c r="N899" s="386"/>
      <c r="O899" s="386"/>
      <c r="P899" s="386"/>
      <c r="Q899" s="386"/>
    </row>
    <row r="900" spans="1:17" ht="30" customHeight="1" x14ac:dyDescent="0.2">
      <c r="A900" s="7654"/>
      <c r="B900" s="7652" t="s">
        <v>2517</v>
      </c>
      <c r="C900" s="7723" t="s">
        <v>1080</v>
      </c>
      <c r="D900" s="6393">
        <v>262500000</v>
      </c>
      <c r="E900" s="6471">
        <v>0.05</v>
      </c>
      <c r="F900" s="6393">
        <f t="shared" si="79"/>
        <v>13125000</v>
      </c>
      <c r="G900" s="6385"/>
      <c r="H900" s="6385"/>
      <c r="I900" s="6385" t="s">
        <v>5423</v>
      </c>
      <c r="J900" s="6385">
        <f>G900</f>
        <v>0</v>
      </c>
      <c r="K900" s="6385">
        <f>F900-J900</f>
        <v>13125000</v>
      </c>
      <c r="L900" s="6454"/>
      <c r="M900" s="386"/>
      <c r="N900" s="386"/>
      <c r="O900" s="386"/>
      <c r="P900" s="386"/>
      <c r="Q900" s="386"/>
    </row>
    <row r="901" spans="1:17" ht="30" customHeight="1" x14ac:dyDescent="0.2">
      <c r="A901" s="7656"/>
      <c r="B901" s="7665"/>
      <c r="C901" s="7747"/>
      <c r="D901" s="6393">
        <v>13000000</v>
      </c>
      <c r="E901" s="6471">
        <v>0.05</v>
      </c>
      <c r="F901" s="6393">
        <f t="shared" si="79"/>
        <v>650000</v>
      </c>
      <c r="G901" s="7732" t="s">
        <v>6235</v>
      </c>
      <c r="H901" s="7733"/>
      <c r="I901" s="7733"/>
      <c r="J901" s="7734"/>
      <c r="K901" s="6385"/>
      <c r="L901" s="6454" t="s">
        <v>6788</v>
      </c>
      <c r="M901" s="386"/>
      <c r="N901" s="386"/>
      <c r="O901" s="386"/>
      <c r="P901" s="386"/>
      <c r="Q901" s="386"/>
    </row>
    <row r="902" spans="1:17" ht="30" customHeight="1" x14ac:dyDescent="0.2">
      <c r="A902" s="7656"/>
      <c r="B902" s="7665"/>
      <c r="C902" s="7747"/>
      <c r="D902" s="6393">
        <f>D900+D901</f>
        <v>275500000</v>
      </c>
      <c r="E902" s="6471">
        <v>0.06</v>
      </c>
      <c r="F902" s="6393">
        <f>D902*E902</f>
        <v>16530000</v>
      </c>
      <c r="G902" s="6385"/>
      <c r="H902" s="6385"/>
      <c r="I902" s="6385"/>
      <c r="J902" s="6385"/>
      <c r="K902" s="6385"/>
      <c r="L902" s="6454"/>
      <c r="M902" s="386"/>
      <c r="N902" s="386"/>
      <c r="O902" s="386"/>
      <c r="P902" s="386"/>
      <c r="Q902" s="386"/>
    </row>
    <row r="903" spans="1:17" ht="30" customHeight="1" x14ac:dyDescent="0.2">
      <c r="A903" s="7656"/>
      <c r="B903" s="7665"/>
      <c r="C903" s="7747"/>
      <c r="D903" s="6482">
        <v>5000000</v>
      </c>
      <c r="E903" s="1929">
        <v>0.06</v>
      </c>
      <c r="F903" s="6393">
        <f t="shared" ref="F903:F906" si="80">D903*E903</f>
        <v>300000</v>
      </c>
      <c r="G903" s="8092" t="s">
        <v>7041</v>
      </c>
      <c r="H903" s="8093"/>
      <c r="I903" s="8093"/>
      <c r="J903" s="8094"/>
      <c r="K903" s="6385"/>
      <c r="L903" s="6454"/>
      <c r="M903" s="386"/>
      <c r="N903" s="386"/>
      <c r="O903" s="386"/>
      <c r="P903" s="386"/>
      <c r="Q903" s="386"/>
    </row>
    <row r="904" spans="1:17" ht="30" customHeight="1" x14ac:dyDescent="0.2">
      <c r="A904" s="7656"/>
      <c r="B904" s="7665"/>
      <c r="C904" s="7747"/>
      <c r="D904" s="6482">
        <v>10000000</v>
      </c>
      <c r="E904" s="1929">
        <v>0.06</v>
      </c>
      <c r="F904" s="6393">
        <f t="shared" si="80"/>
        <v>600000</v>
      </c>
      <c r="G904" s="8092" t="s">
        <v>7042</v>
      </c>
      <c r="H904" s="8093"/>
      <c r="I904" s="8093"/>
      <c r="J904" s="8094"/>
      <c r="K904" s="6385"/>
      <c r="L904" s="6454"/>
      <c r="M904" s="386"/>
      <c r="N904" s="386"/>
      <c r="O904" s="386"/>
      <c r="P904" s="386"/>
      <c r="Q904" s="386"/>
    </row>
    <row r="905" spans="1:17" ht="30" customHeight="1" x14ac:dyDescent="0.2">
      <c r="A905" s="7656"/>
      <c r="B905" s="7665"/>
      <c r="C905" s="7747"/>
      <c r="D905" s="6482">
        <v>15000000</v>
      </c>
      <c r="E905" s="1929">
        <v>0.06</v>
      </c>
      <c r="F905" s="6393">
        <f t="shared" si="80"/>
        <v>900000</v>
      </c>
      <c r="G905" s="8092" t="s">
        <v>7043</v>
      </c>
      <c r="H905" s="8093"/>
      <c r="I905" s="8093"/>
      <c r="J905" s="8094"/>
      <c r="K905" s="6385"/>
      <c r="L905" s="6454"/>
      <c r="M905" s="386"/>
      <c r="N905" s="386"/>
      <c r="O905" s="386"/>
      <c r="P905" s="386"/>
      <c r="Q905" s="386"/>
    </row>
    <row r="906" spans="1:17" ht="30" customHeight="1" x14ac:dyDescent="0.2">
      <c r="A906" s="7656"/>
      <c r="B906" s="7665"/>
      <c r="C906" s="7747"/>
      <c r="D906" s="6482">
        <v>40000000</v>
      </c>
      <c r="E906" s="1929">
        <v>0.06</v>
      </c>
      <c r="F906" s="6393">
        <f t="shared" si="80"/>
        <v>2400000</v>
      </c>
      <c r="G906" s="8092" t="s">
        <v>7044</v>
      </c>
      <c r="H906" s="8093"/>
      <c r="I906" s="8093"/>
      <c r="J906" s="8094"/>
      <c r="K906" s="6385"/>
      <c r="L906" s="6454"/>
      <c r="M906" s="386"/>
      <c r="N906" s="386"/>
      <c r="O906" s="386"/>
      <c r="P906" s="386"/>
      <c r="Q906" s="386"/>
    </row>
    <row r="907" spans="1:17" ht="30" customHeight="1" x14ac:dyDescent="0.2">
      <c r="A907" s="7656"/>
      <c r="B907" s="7665"/>
      <c r="C907" s="7747"/>
      <c r="D907" s="8564">
        <f>D902+D903+D904+D905+D906</f>
        <v>345500000</v>
      </c>
      <c r="E907" s="7683">
        <v>0.06</v>
      </c>
      <c r="F907" s="7559">
        <f>D907*E907</f>
        <v>20730000</v>
      </c>
      <c r="G907" s="7732" t="s">
        <v>7399</v>
      </c>
      <c r="H907" s="7733"/>
      <c r="I907" s="7733"/>
      <c r="J907" s="7734"/>
      <c r="K907" s="6385"/>
      <c r="L907" s="6454"/>
      <c r="M907" s="386"/>
      <c r="N907" s="386"/>
      <c r="O907" s="386"/>
      <c r="P907" s="386"/>
      <c r="Q907" s="386"/>
    </row>
    <row r="908" spans="1:17" ht="30" customHeight="1" x14ac:dyDescent="0.2">
      <c r="A908" s="7656"/>
      <c r="B908" s="7665"/>
      <c r="C908" s="7747"/>
      <c r="D908" s="8565"/>
      <c r="E908" s="7684"/>
      <c r="F908" s="7560"/>
      <c r="G908" s="7732" t="s">
        <v>7374</v>
      </c>
      <c r="H908" s="7733"/>
      <c r="I908" s="7733"/>
      <c r="J908" s="7734"/>
      <c r="K908" s="6385"/>
      <c r="L908" s="6454"/>
      <c r="M908" s="386"/>
      <c r="N908" s="386"/>
      <c r="O908" s="386"/>
      <c r="P908" s="386"/>
      <c r="Q908" s="386"/>
    </row>
    <row r="909" spans="1:17" ht="30" customHeight="1" x14ac:dyDescent="0.2">
      <c r="A909" s="7656"/>
      <c r="B909" s="7665"/>
      <c r="C909" s="7747"/>
      <c r="D909" s="6393">
        <v>19270000</v>
      </c>
      <c r="E909" s="6471"/>
      <c r="F909" s="6393"/>
      <c r="G909" s="7732" t="s">
        <v>7375</v>
      </c>
      <c r="H909" s="7733"/>
      <c r="I909" s="7733"/>
      <c r="J909" s="7734"/>
      <c r="K909" s="6385"/>
      <c r="L909" s="6454"/>
      <c r="M909" s="386"/>
      <c r="N909" s="386"/>
      <c r="O909" s="386"/>
      <c r="P909" s="386"/>
      <c r="Q909" s="386"/>
    </row>
    <row r="910" spans="1:17" ht="30" customHeight="1" x14ac:dyDescent="0.2">
      <c r="A910" s="7655"/>
      <c r="B910" s="7653"/>
      <c r="C910" s="7724"/>
      <c r="D910" s="6558">
        <f>D907+D909</f>
        <v>364770000</v>
      </c>
      <c r="E910" s="6415">
        <v>0.06</v>
      </c>
      <c r="F910" s="6417">
        <f>D910*E910</f>
        <v>21886200</v>
      </c>
      <c r="G910" s="7732" t="s">
        <v>7376</v>
      </c>
      <c r="H910" s="7733"/>
      <c r="I910" s="7733"/>
      <c r="J910" s="7734"/>
      <c r="K910" s="6385"/>
      <c r="L910" s="6454" t="s">
        <v>7567</v>
      </c>
      <c r="M910" s="386"/>
      <c r="N910" s="386"/>
      <c r="O910" s="386"/>
      <c r="P910" s="386"/>
      <c r="Q910" s="386"/>
    </row>
    <row r="911" spans="1:17" ht="30" customHeight="1" x14ac:dyDescent="0.2">
      <c r="A911" s="6397"/>
      <c r="B911" s="6468" t="s">
        <v>2633</v>
      </c>
      <c r="C911" s="6433" t="s">
        <v>1172</v>
      </c>
      <c r="D911" s="6385">
        <v>60000000</v>
      </c>
      <c r="E911" s="6471">
        <v>0.05</v>
      </c>
      <c r="F911" s="6385">
        <f t="shared" si="79"/>
        <v>3000000</v>
      </c>
      <c r="G911" s="7563"/>
      <c r="H911" s="7563"/>
      <c r="I911" s="7563" t="s">
        <v>5516</v>
      </c>
      <c r="J911" s="7563">
        <f>G911</f>
        <v>0</v>
      </c>
      <c r="K911" s="7563">
        <f>(F911+F912)-J911</f>
        <v>4500000</v>
      </c>
      <c r="L911" s="7811" t="s">
        <v>7693</v>
      </c>
      <c r="M911" s="386"/>
      <c r="N911" s="386"/>
      <c r="O911" s="386"/>
      <c r="P911" s="386"/>
      <c r="Q911" s="386"/>
    </row>
    <row r="912" spans="1:17" ht="30" customHeight="1" x14ac:dyDescent="0.2">
      <c r="A912" s="7654"/>
      <c r="B912" s="7652" t="s">
        <v>4903</v>
      </c>
      <c r="C912" s="7723" t="s">
        <v>3390</v>
      </c>
      <c r="D912" s="7563">
        <v>30000000</v>
      </c>
      <c r="E912" s="7659">
        <v>0.05</v>
      </c>
      <c r="F912" s="7563">
        <f>D912*E912</f>
        <v>1500000</v>
      </c>
      <c r="G912" s="7564"/>
      <c r="H912" s="7564"/>
      <c r="I912" s="7564"/>
      <c r="J912" s="7564"/>
      <c r="K912" s="7564"/>
      <c r="L912" s="7812"/>
      <c r="M912" s="386"/>
      <c r="N912" s="386"/>
      <c r="O912" s="386"/>
      <c r="P912" s="386"/>
      <c r="Q912" s="386"/>
    </row>
    <row r="913" spans="1:17" ht="30" customHeight="1" x14ac:dyDescent="0.2">
      <c r="A913" s="7655"/>
      <c r="B913" s="7653"/>
      <c r="C913" s="7724"/>
      <c r="D913" s="7564"/>
      <c r="E913" s="7660"/>
      <c r="F913" s="7564"/>
      <c r="G913" s="6385"/>
      <c r="H913" s="6385"/>
      <c r="I913" s="6385" t="s">
        <v>5516</v>
      </c>
      <c r="J913" s="6385">
        <f>G913</f>
        <v>0</v>
      </c>
      <c r="K913" s="6385">
        <f>F912-J913</f>
        <v>1500000</v>
      </c>
      <c r="L913" s="6477"/>
      <c r="M913" s="386"/>
      <c r="N913" s="386"/>
      <c r="O913" s="386"/>
      <c r="P913" s="386"/>
      <c r="Q913" s="386"/>
    </row>
    <row r="914" spans="1:17" ht="30" customHeight="1" x14ac:dyDescent="0.2">
      <c r="A914" s="7654"/>
      <c r="B914" s="7652" t="s">
        <v>2551</v>
      </c>
      <c r="C914" s="7723"/>
      <c r="D914" s="6393">
        <v>10000000</v>
      </c>
      <c r="E914" s="6471"/>
      <c r="F914" s="6393"/>
      <c r="G914" s="6393"/>
      <c r="H914" s="6393"/>
      <c r="I914" s="472"/>
      <c r="J914" s="6393"/>
      <c r="K914" s="6458"/>
      <c r="L914" s="6477"/>
      <c r="M914" s="386"/>
      <c r="N914" s="386"/>
      <c r="O914" s="386"/>
      <c r="P914" s="386"/>
      <c r="Q914" s="386"/>
    </row>
    <row r="915" spans="1:17" ht="30" customHeight="1" x14ac:dyDescent="0.2">
      <c r="A915" s="7655"/>
      <c r="B915" s="7653"/>
      <c r="C915" s="7724"/>
      <c r="D915" s="6393">
        <v>5000000</v>
      </c>
      <c r="E915" s="6471"/>
      <c r="F915" s="6393"/>
      <c r="G915" s="6393"/>
      <c r="H915" s="6393"/>
      <c r="I915" s="472"/>
      <c r="J915" s="6393"/>
      <c r="K915" s="6458"/>
      <c r="L915" s="6454"/>
      <c r="M915" s="386"/>
      <c r="N915" s="386"/>
      <c r="O915" s="386"/>
      <c r="P915" s="386"/>
      <c r="Q915" s="386"/>
    </row>
    <row r="916" spans="1:17" ht="30" customHeight="1" x14ac:dyDescent="0.2">
      <c r="A916" s="6475"/>
      <c r="B916" s="6431" t="s">
        <v>2573</v>
      </c>
      <c r="C916" s="6472" t="s">
        <v>1172</v>
      </c>
      <c r="D916" s="6385">
        <v>60000000</v>
      </c>
      <c r="E916" s="6471">
        <v>5.5E-2</v>
      </c>
      <c r="F916" s="6385">
        <f t="shared" ref="F916" si="81">D916*E916</f>
        <v>3300000</v>
      </c>
      <c r="G916" s="6385"/>
      <c r="H916" s="7563"/>
      <c r="I916" s="7889" t="s">
        <v>3103</v>
      </c>
      <c r="J916" s="7563">
        <f>G916+G917+G918</f>
        <v>0</v>
      </c>
      <c r="K916" s="7816">
        <v>0</v>
      </c>
      <c r="L916" s="6454" t="s">
        <v>3522</v>
      </c>
      <c r="M916" s="386"/>
      <c r="N916" s="386"/>
      <c r="O916" s="386"/>
      <c r="P916" s="386"/>
      <c r="Q916" s="386"/>
    </row>
    <row r="917" spans="1:17" ht="30" customHeight="1" x14ac:dyDescent="0.2">
      <c r="A917" s="7654"/>
      <c r="B917" s="7652" t="s">
        <v>2714</v>
      </c>
      <c r="C917" s="7723" t="s">
        <v>262</v>
      </c>
      <c r="D917" s="7563">
        <v>230000000</v>
      </c>
      <c r="E917" s="7659">
        <v>5.5E-2</v>
      </c>
      <c r="F917" s="7563">
        <f>D917*E917</f>
        <v>12650000</v>
      </c>
      <c r="G917" s="7563"/>
      <c r="H917" s="7586"/>
      <c r="I917" s="8036"/>
      <c r="J917" s="7586"/>
      <c r="K917" s="7882"/>
      <c r="L917" s="6478" t="s">
        <v>5518</v>
      </c>
      <c r="M917" s="386"/>
      <c r="N917" s="386"/>
      <c r="O917" s="386"/>
      <c r="P917" s="386"/>
      <c r="Q917" s="386"/>
    </row>
    <row r="918" spans="1:17" ht="30" customHeight="1" x14ac:dyDescent="0.2">
      <c r="A918" s="7656"/>
      <c r="B918" s="7665"/>
      <c r="C918" s="7747"/>
      <c r="D918" s="7564"/>
      <c r="E918" s="7660"/>
      <c r="F918" s="7564"/>
      <c r="G918" s="7586"/>
      <c r="H918" s="7586"/>
      <c r="I918" s="8036"/>
      <c r="J918" s="7586"/>
      <c r="K918" s="7882"/>
      <c r="L918" s="6478"/>
      <c r="M918" s="386"/>
      <c r="N918" s="386"/>
      <c r="O918" s="386"/>
      <c r="P918" s="386"/>
      <c r="Q918" s="386"/>
    </row>
    <row r="919" spans="1:17" ht="30" customHeight="1" x14ac:dyDescent="0.2">
      <c r="A919" s="7656"/>
      <c r="B919" s="7665"/>
      <c r="C919" s="7747"/>
      <c r="D919" s="6393">
        <v>60000000</v>
      </c>
      <c r="E919" s="6402">
        <v>5.5E-2</v>
      </c>
      <c r="F919" s="6393">
        <f>D919*E919</f>
        <v>3300000</v>
      </c>
      <c r="G919" s="7564"/>
      <c r="H919" s="7564"/>
      <c r="I919" s="7890"/>
      <c r="J919" s="7564"/>
      <c r="K919" s="7817"/>
      <c r="L919" s="6454" t="s">
        <v>6393</v>
      </c>
      <c r="M919" s="386"/>
      <c r="N919" s="386"/>
      <c r="O919" s="386"/>
      <c r="P919" s="386"/>
      <c r="Q919" s="386"/>
    </row>
    <row r="920" spans="1:17" ht="30" customHeight="1" x14ac:dyDescent="0.2">
      <c r="A920" s="7655"/>
      <c r="B920" s="7653"/>
      <c r="C920" s="7724"/>
      <c r="D920" s="6393">
        <v>16000000</v>
      </c>
      <c r="E920" s="6402">
        <v>5.5E-2</v>
      </c>
      <c r="F920" s="6393">
        <f>D920*E920</f>
        <v>880000</v>
      </c>
      <c r="G920" s="8092" t="s">
        <v>7361</v>
      </c>
      <c r="H920" s="8093"/>
      <c r="I920" s="8093"/>
      <c r="J920" s="8094"/>
      <c r="K920" s="6458"/>
      <c r="L920" s="6454"/>
      <c r="M920" s="386"/>
      <c r="N920" s="386"/>
      <c r="O920" s="386"/>
      <c r="P920" s="386"/>
      <c r="Q920" s="386"/>
    </row>
    <row r="921" spans="1:17" ht="30" customHeight="1" x14ac:dyDescent="0.2">
      <c r="A921" s="6398"/>
      <c r="B921" s="6400" t="s">
        <v>2609</v>
      </c>
      <c r="C921" s="6434"/>
      <c r="D921" s="6411"/>
      <c r="E921" s="6421"/>
      <c r="F921" s="6411"/>
      <c r="G921" s="6393"/>
      <c r="H921" s="6393"/>
      <c r="I921" s="472" t="s">
        <v>4460</v>
      </c>
      <c r="J921" s="6393">
        <f>G921</f>
        <v>0</v>
      </c>
      <c r="K921" s="6463">
        <f>F921-J921</f>
        <v>0</v>
      </c>
      <c r="L921" s="6477"/>
      <c r="M921" s="386"/>
      <c r="N921" s="386"/>
      <c r="O921" s="386"/>
      <c r="P921" s="386"/>
      <c r="Q921" s="386"/>
    </row>
    <row r="922" spans="1:17" ht="30" customHeight="1" x14ac:dyDescent="0.2">
      <c r="A922" s="7654"/>
      <c r="B922" s="7652" t="s">
        <v>3818</v>
      </c>
      <c r="C922" s="7723" t="s">
        <v>5649</v>
      </c>
      <c r="D922" s="6479">
        <v>4215000000</v>
      </c>
      <c r="E922" s="3242">
        <v>0.05</v>
      </c>
      <c r="F922" s="6479">
        <f>D922*E922</f>
        <v>210750000</v>
      </c>
      <c r="G922" s="7991" t="s">
        <v>5146</v>
      </c>
      <c r="H922" s="7992"/>
      <c r="I922" s="7992"/>
      <c r="J922" s="7993"/>
      <c r="K922" s="8238">
        <f>SUM(F922:F924)</f>
        <v>577850000</v>
      </c>
      <c r="L922" s="6454"/>
      <c r="M922" s="386"/>
      <c r="N922" s="386"/>
      <c r="O922" s="386"/>
      <c r="P922" s="386"/>
      <c r="Q922" s="386"/>
    </row>
    <row r="923" spans="1:17" ht="30" customHeight="1" x14ac:dyDescent="0.2">
      <c r="A923" s="7656"/>
      <c r="B923" s="7665"/>
      <c r="C923" s="7747"/>
      <c r="D923" s="6479">
        <v>2000000000</v>
      </c>
      <c r="E923" s="3242">
        <v>7.0000000000000007E-2</v>
      </c>
      <c r="F923" s="6479">
        <f t="shared" ref="F923:F927" si="82">D923*E923</f>
        <v>140000000</v>
      </c>
      <c r="G923" s="7994"/>
      <c r="H923" s="7995"/>
      <c r="I923" s="7995"/>
      <c r="J923" s="7996"/>
      <c r="K923" s="8239"/>
      <c r="L923" s="898"/>
      <c r="M923" s="386"/>
      <c r="N923" s="386"/>
      <c r="O923" s="386"/>
      <c r="P923" s="386"/>
      <c r="Q923" s="386"/>
    </row>
    <row r="924" spans="1:17" ht="30" customHeight="1" x14ac:dyDescent="0.2">
      <c r="A924" s="7656"/>
      <c r="B924" s="7665"/>
      <c r="C924" s="7747"/>
      <c r="D924" s="6479">
        <v>3785000000</v>
      </c>
      <c r="E924" s="3242">
        <v>0.06</v>
      </c>
      <c r="F924" s="6479">
        <f t="shared" si="82"/>
        <v>227100000</v>
      </c>
      <c r="G924" s="7997"/>
      <c r="H924" s="7998"/>
      <c r="I924" s="7998"/>
      <c r="J924" s="7999"/>
      <c r="K924" s="8240"/>
      <c r="L924" s="6455"/>
      <c r="M924" s="386"/>
      <c r="N924" s="386"/>
      <c r="O924" s="386"/>
      <c r="P924" s="386"/>
      <c r="Q924" s="386"/>
    </row>
    <row r="925" spans="1:17" ht="30" customHeight="1" x14ac:dyDescent="0.2">
      <c r="A925" s="7656"/>
      <c r="B925" s="7665"/>
      <c r="C925" s="7747"/>
      <c r="D925" s="3237">
        <v>2915000000</v>
      </c>
      <c r="E925" s="3243">
        <v>0.08</v>
      </c>
      <c r="F925" s="3237">
        <f t="shared" si="82"/>
        <v>233200000</v>
      </c>
      <c r="G925" s="7991" t="s">
        <v>5147</v>
      </c>
      <c r="H925" s="7992"/>
      <c r="I925" s="7992"/>
      <c r="J925" s="7993"/>
      <c r="K925" s="8261">
        <f>F925+F926+F927</f>
        <v>362400000</v>
      </c>
      <c r="L925" s="6455"/>
      <c r="M925" s="386"/>
      <c r="N925" s="386"/>
      <c r="O925" s="386"/>
      <c r="P925" s="386"/>
      <c r="Q925" s="386"/>
    </row>
    <row r="926" spans="1:17" ht="30" customHeight="1" x14ac:dyDescent="0.2">
      <c r="A926" s="7656"/>
      <c r="B926" s="7665"/>
      <c r="C926" s="7747"/>
      <c r="D926" s="3237">
        <v>690000000</v>
      </c>
      <c r="E926" s="3243">
        <v>0.08</v>
      </c>
      <c r="F926" s="3237">
        <f t="shared" si="82"/>
        <v>55200000</v>
      </c>
      <c r="G926" s="7994"/>
      <c r="H926" s="7995"/>
      <c r="I926" s="7995"/>
      <c r="J926" s="7996"/>
      <c r="K926" s="8262"/>
      <c r="L926" s="6455"/>
      <c r="M926" s="386"/>
      <c r="N926" s="386"/>
      <c r="O926" s="386"/>
      <c r="P926" s="386"/>
      <c r="Q926" s="386"/>
    </row>
    <row r="927" spans="1:17" ht="30" customHeight="1" x14ac:dyDescent="0.2">
      <c r="A927" s="7656"/>
      <c r="B927" s="7665"/>
      <c r="C927" s="7747"/>
      <c r="D927" s="3238">
        <v>925000000</v>
      </c>
      <c r="E927" s="3243">
        <v>0.08</v>
      </c>
      <c r="F927" s="3238">
        <f t="shared" si="82"/>
        <v>74000000</v>
      </c>
      <c r="G927" s="7997"/>
      <c r="H927" s="7998"/>
      <c r="I927" s="7998"/>
      <c r="J927" s="7999"/>
      <c r="K927" s="8263"/>
      <c r="L927" s="6458"/>
      <c r="M927" s="386"/>
      <c r="N927" s="386"/>
      <c r="O927" s="386"/>
      <c r="P927" s="386"/>
      <c r="Q927" s="386"/>
    </row>
    <row r="928" spans="1:17" ht="30" customHeight="1" x14ac:dyDescent="0.2">
      <c r="A928" s="7656"/>
      <c r="B928" s="7665"/>
      <c r="C928" s="7747"/>
      <c r="D928" s="8004">
        <f>SUM(D922:D927)</f>
        <v>14530000000</v>
      </c>
      <c r="E928" s="8005"/>
      <c r="F928" s="6489">
        <f>SUM(F922:F927)</f>
        <v>940250000</v>
      </c>
      <c r="G928" s="7991" t="s">
        <v>5140</v>
      </c>
      <c r="H928" s="7992"/>
      <c r="I928" s="7992"/>
      <c r="J928" s="7993"/>
      <c r="K928" s="7816"/>
      <c r="L928" s="6458"/>
      <c r="M928" s="386"/>
      <c r="N928" s="386"/>
      <c r="O928" s="386"/>
      <c r="P928" s="386"/>
      <c r="Q928" s="386"/>
    </row>
    <row r="929" spans="1:17" ht="30" customHeight="1" x14ac:dyDescent="0.2">
      <c r="A929" s="7656"/>
      <c r="B929" s="7665"/>
      <c r="C929" s="7747"/>
      <c r="D929" s="8004" t="s">
        <v>5141</v>
      </c>
      <c r="E929" s="8005"/>
      <c r="F929" s="3307">
        <v>1600000</v>
      </c>
      <c r="G929" s="7994"/>
      <c r="H929" s="7995"/>
      <c r="I929" s="7995"/>
      <c r="J929" s="7996"/>
      <c r="K929" s="7882"/>
      <c r="L929" s="6458"/>
      <c r="M929" s="386"/>
      <c r="N929" s="386"/>
      <c r="O929" s="386"/>
      <c r="P929" s="386"/>
      <c r="Q929" s="386"/>
    </row>
    <row r="930" spans="1:17" ht="30" customHeight="1" x14ac:dyDescent="0.2">
      <c r="A930" s="7656"/>
      <c r="B930" s="7665"/>
      <c r="C930" s="7747"/>
      <c r="D930" s="8004" t="s">
        <v>5142</v>
      </c>
      <c r="E930" s="8005"/>
      <c r="F930" s="3307">
        <v>1300000</v>
      </c>
      <c r="G930" s="7994"/>
      <c r="H930" s="7995"/>
      <c r="I930" s="7995"/>
      <c r="J930" s="7996"/>
      <c r="K930" s="7882"/>
      <c r="L930" s="6458"/>
      <c r="M930" s="386"/>
      <c r="N930" s="386"/>
      <c r="O930" s="386"/>
      <c r="P930" s="386"/>
      <c r="Q930" s="386"/>
    </row>
    <row r="931" spans="1:17" ht="30" customHeight="1" x14ac:dyDescent="0.2">
      <c r="A931" s="7656"/>
      <c r="B931" s="7665"/>
      <c r="C931" s="7747"/>
      <c r="D931" s="8004" t="s">
        <v>5143</v>
      </c>
      <c r="E931" s="8005"/>
      <c r="F931" s="6489">
        <f>SUM(F928:F930)</f>
        <v>943150000</v>
      </c>
      <c r="G931" s="7994"/>
      <c r="H931" s="7995"/>
      <c r="I931" s="7995"/>
      <c r="J931" s="7996"/>
      <c r="K931" s="7882"/>
      <c r="L931" s="6458"/>
      <c r="M931" s="386"/>
      <c r="N931" s="386"/>
      <c r="O931" s="386"/>
      <c r="P931" s="386"/>
      <c r="Q931" s="386"/>
    </row>
    <row r="932" spans="1:17" ht="30" customHeight="1" x14ac:dyDescent="0.2">
      <c r="A932" s="7656"/>
      <c r="B932" s="7665"/>
      <c r="C932" s="7747"/>
      <c r="D932" s="8004" t="s">
        <v>5167</v>
      </c>
      <c r="E932" s="8005"/>
      <c r="F932" s="6489">
        <v>6850000</v>
      </c>
      <c r="G932" s="7994"/>
      <c r="H932" s="7995"/>
      <c r="I932" s="7995"/>
      <c r="J932" s="7996"/>
      <c r="K932" s="7882"/>
      <c r="L932" s="6455" t="s">
        <v>5169</v>
      </c>
      <c r="M932" s="386"/>
      <c r="N932" s="386"/>
      <c r="O932" s="386"/>
      <c r="P932" s="386"/>
      <c r="Q932" s="386"/>
    </row>
    <row r="933" spans="1:17" ht="30" customHeight="1" x14ac:dyDescent="0.2">
      <c r="A933" s="7656"/>
      <c r="B933" s="7665"/>
      <c r="C933" s="7747"/>
      <c r="D933" s="8004" t="s">
        <v>5168</v>
      </c>
      <c r="E933" s="8005"/>
      <c r="F933" s="6489">
        <f>F931+F932</f>
        <v>950000000</v>
      </c>
      <c r="G933" s="7997"/>
      <c r="H933" s="7998"/>
      <c r="I933" s="7998"/>
      <c r="J933" s="7999"/>
      <c r="K933" s="7817"/>
      <c r="L933" s="6458"/>
      <c r="M933" s="386"/>
      <c r="N933" s="386"/>
      <c r="O933" s="386"/>
      <c r="P933" s="386"/>
      <c r="Q933" s="386"/>
    </row>
    <row r="934" spans="1:17" ht="30" customHeight="1" x14ac:dyDescent="0.2">
      <c r="A934" s="7656"/>
      <c r="B934" s="7665"/>
      <c r="C934" s="7747"/>
      <c r="D934" s="744">
        <v>850000000</v>
      </c>
      <c r="E934" s="3241">
        <v>0.08</v>
      </c>
      <c r="F934" s="744">
        <f>D934*E934</f>
        <v>68000000</v>
      </c>
      <c r="G934" s="7470" t="s">
        <v>5172</v>
      </c>
      <c r="H934" s="7493"/>
      <c r="I934" s="7493"/>
      <c r="J934" s="7510"/>
      <c r="K934" s="6458"/>
      <c r="L934" s="6455" t="s">
        <v>5145</v>
      </c>
      <c r="M934" s="386"/>
      <c r="N934" s="386"/>
      <c r="O934" s="386"/>
      <c r="P934" s="386"/>
      <c r="Q934" s="386"/>
    </row>
    <row r="935" spans="1:17" ht="30" customHeight="1" x14ac:dyDescent="0.2">
      <c r="A935" s="7656"/>
      <c r="B935" s="7665"/>
      <c r="C935" s="7747"/>
      <c r="D935" s="8212">
        <f>D928+D934</f>
        <v>15380000000</v>
      </c>
      <c r="E935" s="8213"/>
      <c r="F935" s="3244">
        <f>F928+F934</f>
        <v>1008250000</v>
      </c>
      <c r="G935" s="6394"/>
      <c r="H935" s="6394"/>
      <c r="I935" s="6394" t="s">
        <v>2686</v>
      </c>
      <c r="J935" s="6394">
        <f>G935</f>
        <v>0</v>
      </c>
      <c r="K935" s="7816">
        <f>1010250000-140000000-100000000</f>
        <v>770250000</v>
      </c>
      <c r="L935" s="7811" t="s">
        <v>5650</v>
      </c>
      <c r="M935" s="386"/>
      <c r="N935" s="386"/>
      <c r="O935" s="386"/>
      <c r="P935" s="386"/>
      <c r="Q935" s="386"/>
    </row>
    <row r="936" spans="1:17" ht="30" customHeight="1" x14ac:dyDescent="0.2">
      <c r="A936" s="7656"/>
      <c r="B936" s="7665"/>
      <c r="C936" s="7747"/>
      <c r="D936" s="3244">
        <v>50000000</v>
      </c>
      <c r="E936" s="3241">
        <v>0.08</v>
      </c>
      <c r="F936" s="3244">
        <f>D936*E936</f>
        <v>4000000</v>
      </c>
      <c r="G936" s="6385"/>
      <c r="H936" s="6385"/>
      <c r="I936" s="6385" t="s">
        <v>2686</v>
      </c>
      <c r="J936" s="6385">
        <f>G936</f>
        <v>0</v>
      </c>
      <c r="K936" s="7817"/>
      <c r="L936" s="7812"/>
      <c r="M936" s="386"/>
      <c r="N936" s="386"/>
      <c r="O936" s="386"/>
      <c r="P936" s="386"/>
      <c r="Q936" s="386"/>
    </row>
    <row r="937" spans="1:17" ht="30" customHeight="1" x14ac:dyDescent="0.2">
      <c r="A937" s="7656"/>
      <c r="B937" s="7665"/>
      <c r="C937" s="7747"/>
      <c r="D937" s="8212">
        <f>D935+D936</f>
        <v>15430000000</v>
      </c>
      <c r="E937" s="8213"/>
      <c r="F937" s="3244">
        <f>F935+F936</f>
        <v>1012250000</v>
      </c>
      <c r="G937" s="7494" t="s">
        <v>5648</v>
      </c>
      <c r="H937" s="7495"/>
      <c r="I937" s="7495"/>
      <c r="J937" s="7768"/>
      <c r="K937" s="6458"/>
      <c r="L937" s="6458"/>
      <c r="M937" s="386"/>
      <c r="N937" s="386"/>
      <c r="O937" s="386"/>
      <c r="P937" s="386"/>
      <c r="Q937" s="386"/>
    </row>
    <row r="938" spans="1:17" ht="30" customHeight="1" x14ac:dyDescent="0.2">
      <c r="A938" s="7656"/>
      <c r="B938" s="7665"/>
      <c r="C938" s="7747"/>
      <c r="D938" s="3914">
        <v>820000000</v>
      </c>
      <c r="E938" s="3913">
        <v>0.08</v>
      </c>
      <c r="F938" s="3914">
        <f>D938*E938</f>
        <v>65600000</v>
      </c>
      <c r="G938" s="7732" t="s">
        <v>5646</v>
      </c>
      <c r="H938" s="7733"/>
      <c r="I938" s="7733"/>
      <c r="J938" s="7734"/>
      <c r="K938" s="7816">
        <f>F939-500000000-G940</f>
        <v>577850000</v>
      </c>
      <c r="L938" s="387" t="s">
        <v>5645</v>
      </c>
      <c r="M938" s="386"/>
      <c r="N938" s="386"/>
      <c r="O938" s="386"/>
      <c r="P938" s="386"/>
      <c r="Q938" s="386"/>
    </row>
    <row r="939" spans="1:17" ht="30" customHeight="1" x14ac:dyDescent="0.2">
      <c r="A939" s="7656"/>
      <c r="B939" s="7665"/>
      <c r="C939" s="7747"/>
      <c r="D939" s="8335">
        <f>D937+D938</f>
        <v>16250000000</v>
      </c>
      <c r="E939" s="8336"/>
      <c r="F939" s="8339">
        <f>F937+F938</f>
        <v>1077850000</v>
      </c>
      <c r="G939" s="7732" t="s">
        <v>6238</v>
      </c>
      <c r="H939" s="7733"/>
      <c r="I939" s="7733"/>
      <c r="J939" s="7734"/>
      <c r="K939" s="7882"/>
      <c r="L939" s="6477" t="s">
        <v>6237</v>
      </c>
      <c r="M939" s="386"/>
      <c r="N939" s="386"/>
      <c r="O939" s="386"/>
      <c r="P939" s="386"/>
      <c r="Q939" s="386"/>
    </row>
    <row r="940" spans="1:17" ht="30" customHeight="1" x14ac:dyDescent="0.2">
      <c r="A940" s="7656"/>
      <c r="B940" s="7665"/>
      <c r="C940" s="7747"/>
      <c r="D940" s="8413"/>
      <c r="E940" s="8414"/>
      <c r="F940" s="8415"/>
      <c r="G940" s="6385"/>
      <c r="H940" s="6385"/>
      <c r="I940" s="6385" t="s">
        <v>6239</v>
      </c>
      <c r="J940" s="6385">
        <f>G940</f>
        <v>0</v>
      </c>
      <c r="K940" s="7882"/>
      <c r="L940" s="6477" t="s">
        <v>4906</v>
      </c>
      <c r="M940" s="386"/>
      <c r="N940" s="386"/>
      <c r="O940" s="386"/>
      <c r="P940" s="386"/>
      <c r="Q940" s="386"/>
    </row>
    <row r="941" spans="1:17" ht="30" customHeight="1" x14ac:dyDescent="0.2">
      <c r="A941" s="7656"/>
      <c r="B941" s="7665"/>
      <c r="C941" s="7747"/>
      <c r="D941" s="8337"/>
      <c r="E941" s="8338"/>
      <c r="F941" s="8340"/>
      <c r="G941" s="7991" t="s">
        <v>6316</v>
      </c>
      <c r="H941" s="7992"/>
      <c r="I941" s="7992"/>
      <c r="J941" s="7993"/>
      <c r="K941" s="7817"/>
      <c r="L941" s="387"/>
      <c r="M941" s="386"/>
      <c r="N941" s="386"/>
      <c r="O941" s="386"/>
      <c r="P941" s="386"/>
      <c r="Q941" s="386"/>
    </row>
    <row r="942" spans="1:17" ht="30" customHeight="1" x14ac:dyDescent="0.2">
      <c r="A942" s="7656"/>
      <c r="B942" s="7665"/>
      <c r="C942" s="7747"/>
      <c r="D942" s="6510">
        <v>100000000</v>
      </c>
      <c r="E942" s="1298">
        <v>0.08</v>
      </c>
      <c r="F942" s="6461">
        <f>D942*E942</f>
        <v>8000000</v>
      </c>
      <c r="G942" s="7991" t="s">
        <v>6317</v>
      </c>
      <c r="H942" s="7992"/>
      <c r="I942" s="7992"/>
      <c r="J942" s="7993"/>
      <c r="K942" s="6458"/>
      <c r="L942" s="6455"/>
      <c r="M942" s="386"/>
      <c r="N942" s="386"/>
      <c r="O942" s="386"/>
      <c r="P942" s="386"/>
      <c r="Q942" s="386"/>
    </row>
    <row r="943" spans="1:17" ht="30" customHeight="1" x14ac:dyDescent="0.2">
      <c r="A943" s="7656"/>
      <c r="B943" s="7665"/>
      <c r="C943" s="7747"/>
      <c r="D943" s="7858">
        <f>D939+D942</f>
        <v>16350000000</v>
      </c>
      <c r="E943" s="7860"/>
      <c r="F943" s="6461">
        <f>F939+F942</f>
        <v>1085850000</v>
      </c>
      <c r="G943" s="7732" t="s">
        <v>7069</v>
      </c>
      <c r="H943" s="7733"/>
      <c r="I943" s="7733"/>
      <c r="J943" s="7734"/>
      <c r="K943" s="6458"/>
      <c r="L943" s="6455" t="s">
        <v>6752</v>
      </c>
      <c r="M943" s="386"/>
      <c r="N943" s="386"/>
      <c r="O943" s="386"/>
      <c r="P943" s="386"/>
      <c r="Q943" s="386"/>
    </row>
    <row r="944" spans="1:17" ht="30" customHeight="1" x14ac:dyDescent="0.2">
      <c r="A944" s="7656"/>
      <c r="B944" s="7665"/>
      <c r="C944" s="7747"/>
      <c r="D944" s="8199" t="s">
        <v>7070</v>
      </c>
      <c r="E944" s="8199"/>
      <c r="F944" s="8199"/>
      <c r="G944" s="7732" t="s">
        <v>6859</v>
      </c>
      <c r="H944" s="7733"/>
      <c r="I944" s="7733"/>
      <c r="J944" s="7734"/>
      <c r="K944" s="7816">
        <f>F943-290000000-J946</f>
        <v>795850000</v>
      </c>
      <c r="L944" s="6455" t="s">
        <v>6861</v>
      </c>
      <c r="M944" s="386"/>
      <c r="N944" s="386"/>
      <c r="O944" s="386"/>
      <c r="P944" s="386"/>
      <c r="Q944" s="386"/>
    </row>
    <row r="945" spans="1:17" ht="30" customHeight="1" x14ac:dyDescent="0.2">
      <c r="A945" s="7656"/>
      <c r="B945" s="7665"/>
      <c r="C945" s="7747"/>
      <c r="D945" s="8199"/>
      <c r="E945" s="8199"/>
      <c r="F945" s="8199"/>
      <c r="G945" s="7732" t="s">
        <v>6860</v>
      </c>
      <c r="H945" s="7733"/>
      <c r="I945" s="7733"/>
      <c r="J945" s="7734"/>
      <c r="K945" s="7882"/>
      <c r="L945" s="6455" t="s">
        <v>6861</v>
      </c>
      <c r="M945" s="386"/>
      <c r="N945" s="386"/>
      <c r="O945" s="386"/>
      <c r="P945" s="386"/>
      <c r="Q945" s="386"/>
    </row>
    <row r="946" spans="1:17" ht="30" customHeight="1" x14ac:dyDescent="0.2">
      <c r="A946" s="7656"/>
      <c r="B946" s="7665"/>
      <c r="C946" s="7747"/>
      <c r="D946" s="8199"/>
      <c r="E946" s="8199"/>
      <c r="F946" s="8199"/>
      <c r="G946" s="6385"/>
      <c r="H946" s="6385"/>
      <c r="I946" s="6385" t="s">
        <v>6239</v>
      </c>
      <c r="J946" s="7482">
        <f>G946+G947</f>
        <v>0</v>
      </c>
      <c r="K946" s="7882"/>
      <c r="L946" s="6455" t="s">
        <v>7071</v>
      </c>
      <c r="M946" s="386"/>
      <c r="N946" s="386"/>
      <c r="O946" s="386"/>
      <c r="P946" s="386"/>
      <c r="Q946" s="386"/>
    </row>
    <row r="947" spans="1:17" ht="30" customHeight="1" x14ac:dyDescent="0.2">
      <c r="A947" s="7656"/>
      <c r="B947" s="7665"/>
      <c r="C947" s="7747"/>
      <c r="D947" s="8199"/>
      <c r="E947" s="8199"/>
      <c r="F947" s="8199"/>
      <c r="G947" s="233"/>
      <c r="H947" s="6385"/>
      <c r="I947" s="6385" t="s">
        <v>6239</v>
      </c>
      <c r="J947" s="7482"/>
      <c r="K947" s="7882"/>
      <c r="L947" s="6455"/>
      <c r="M947" s="386"/>
      <c r="N947" s="386"/>
      <c r="O947" s="386"/>
      <c r="P947" s="386"/>
      <c r="Q947" s="386"/>
    </row>
    <row r="948" spans="1:17" ht="30" customHeight="1" x14ac:dyDescent="0.2">
      <c r="A948" s="7656"/>
      <c r="B948" s="7665"/>
      <c r="C948" s="7747"/>
      <c r="D948" s="7470" t="s">
        <v>7072</v>
      </c>
      <c r="E948" s="7493"/>
      <c r="F948" s="7510"/>
      <c r="G948" s="6488"/>
      <c r="H948" s="6385"/>
      <c r="I948" s="6385" t="s">
        <v>6239</v>
      </c>
      <c r="J948" s="7"/>
      <c r="K948" s="898"/>
      <c r="L948" s="6455"/>
      <c r="M948" s="386"/>
      <c r="N948" s="386"/>
      <c r="O948" s="386"/>
      <c r="P948" s="386"/>
      <c r="Q948" s="386"/>
    </row>
    <row r="949" spans="1:17" ht="30" customHeight="1" x14ac:dyDescent="0.2">
      <c r="A949" s="7656"/>
      <c r="B949" s="7665"/>
      <c r="C949" s="7747"/>
      <c r="D949" s="8525">
        <f>D943-170000000</f>
        <v>16180000000</v>
      </c>
      <c r="E949" s="8526"/>
      <c r="F949" s="6551">
        <f>F943-13600000</f>
        <v>1072250000</v>
      </c>
      <c r="G949" s="7991" t="s">
        <v>7425</v>
      </c>
      <c r="H949" s="7992"/>
      <c r="I949" s="7992"/>
      <c r="J949" s="7993"/>
      <c r="K949" s="8528">
        <f>F949+F950-4150000</f>
        <v>1073990000</v>
      </c>
      <c r="L949" s="5770"/>
      <c r="M949" s="386"/>
      <c r="N949" s="386"/>
      <c r="O949" s="386"/>
      <c r="P949" s="386"/>
      <c r="Q949" s="386"/>
    </row>
    <row r="950" spans="1:17" ht="30" customHeight="1" x14ac:dyDescent="0.2">
      <c r="A950" s="7656"/>
      <c r="B950" s="7665"/>
      <c r="C950" s="7747"/>
      <c r="D950" s="8527" t="s">
        <v>7073</v>
      </c>
      <c r="E950" s="8527"/>
      <c r="F950" s="6551">
        <v>5890000</v>
      </c>
      <c r="G950" s="7997"/>
      <c r="H950" s="7998"/>
      <c r="I950" s="7998"/>
      <c r="J950" s="7999"/>
      <c r="K950" s="8529"/>
      <c r="L950" s="6455"/>
      <c r="M950" s="386"/>
      <c r="N950" s="386"/>
      <c r="O950" s="386"/>
      <c r="P950" s="386"/>
      <c r="Q950" s="386"/>
    </row>
    <row r="951" spans="1:17" ht="30" customHeight="1" x14ac:dyDescent="0.2">
      <c r="A951" s="7656"/>
      <c r="B951" s="7665"/>
      <c r="C951" s="7747"/>
      <c r="D951" s="8527" t="s">
        <v>8534</v>
      </c>
      <c r="E951" s="8527"/>
      <c r="F951" s="8527"/>
      <c r="G951" s="7426">
        <v>100000000</v>
      </c>
      <c r="H951" s="7426" t="s">
        <v>7424</v>
      </c>
      <c r="I951" s="7426" t="s">
        <v>3366</v>
      </c>
      <c r="J951" s="7482">
        <v>354000000</v>
      </c>
      <c r="K951" s="7499">
        <f>K949-J951</f>
        <v>719990000</v>
      </c>
      <c r="L951" s="7732" t="s">
        <v>7423</v>
      </c>
      <c r="M951" s="7733"/>
      <c r="N951" s="7733"/>
      <c r="O951" s="7734"/>
      <c r="P951" s="386"/>
      <c r="Q951" s="386"/>
    </row>
    <row r="952" spans="1:17" ht="30" customHeight="1" x14ac:dyDescent="0.2">
      <c r="A952" s="7656"/>
      <c r="B952" s="7665"/>
      <c r="C952" s="7747"/>
      <c r="D952" s="8527"/>
      <c r="E952" s="8527"/>
      <c r="F952" s="8527"/>
      <c r="G952" s="7426">
        <v>100000000</v>
      </c>
      <c r="H952" s="7426" t="s">
        <v>7427</v>
      </c>
      <c r="I952" s="7426" t="s">
        <v>2686</v>
      </c>
      <c r="J952" s="7482"/>
      <c r="K952" s="7499"/>
      <c r="L952" s="6422"/>
      <c r="M952" s="6484"/>
      <c r="N952" s="6484"/>
      <c r="O952" s="6484"/>
      <c r="P952" s="386"/>
      <c r="Q952" s="386"/>
    </row>
    <row r="953" spans="1:17" ht="30" customHeight="1" x14ac:dyDescent="0.2">
      <c r="A953" s="7656"/>
      <c r="B953" s="7665"/>
      <c r="C953" s="7747"/>
      <c r="D953" s="8527"/>
      <c r="E953" s="8527"/>
      <c r="F953" s="8527"/>
      <c r="G953" s="7426">
        <v>50000000</v>
      </c>
      <c r="H953" s="7426" t="s">
        <v>7424</v>
      </c>
      <c r="I953" s="7426" t="s">
        <v>2686</v>
      </c>
      <c r="J953" s="7482"/>
      <c r="K953" s="7499"/>
      <c r="L953" s="6422"/>
      <c r="M953" s="6484"/>
      <c r="N953" s="6484"/>
      <c r="O953" s="6484"/>
      <c r="P953" s="386"/>
      <c r="Q953" s="386"/>
    </row>
    <row r="954" spans="1:17" ht="30" customHeight="1" x14ac:dyDescent="0.2">
      <c r="A954" s="7656"/>
      <c r="B954" s="7665"/>
      <c r="C954" s="7747"/>
      <c r="D954" s="8527"/>
      <c r="E954" s="8527"/>
      <c r="F954" s="8527"/>
      <c r="G954" s="7426">
        <v>4000000</v>
      </c>
      <c r="H954" s="7426"/>
      <c r="I954" s="7426"/>
      <c r="J954" s="7482"/>
      <c r="K954" s="7499"/>
      <c r="L954" s="6422"/>
      <c r="M954" s="6484"/>
      <c r="N954" s="6484"/>
      <c r="O954" s="6484"/>
      <c r="P954" s="386"/>
      <c r="Q954" s="386"/>
    </row>
    <row r="955" spans="1:17" ht="30" customHeight="1" x14ac:dyDescent="0.2">
      <c r="A955" s="7656"/>
      <c r="B955" s="7665"/>
      <c r="C955" s="7747"/>
      <c r="D955" s="8527"/>
      <c r="E955" s="8527"/>
      <c r="F955" s="8527"/>
      <c r="G955" s="8000" t="s">
        <v>8531</v>
      </c>
      <c r="H955" s="8000"/>
      <c r="I955" s="8000"/>
      <c r="J955" s="8000"/>
      <c r="K955" s="7563"/>
      <c r="L955" s="6422"/>
      <c r="M955" s="6484"/>
      <c r="N955" s="6484"/>
      <c r="O955" s="6484"/>
      <c r="P955" s="386"/>
      <c r="Q955" s="386"/>
    </row>
    <row r="956" spans="1:17" ht="30" customHeight="1" x14ac:dyDescent="0.2">
      <c r="A956" s="7656"/>
      <c r="B956" s="7665"/>
      <c r="C956" s="7747"/>
      <c r="D956" s="7451">
        <v>720000000</v>
      </c>
      <c r="E956" s="7452">
        <v>7.0000000000000007E-2</v>
      </c>
      <c r="F956" s="7451">
        <f>D956*E956</f>
        <v>50400000.000000007</v>
      </c>
      <c r="G956" s="8000"/>
      <c r="H956" s="8000"/>
      <c r="I956" s="8000"/>
      <c r="J956" s="8000"/>
      <c r="K956" s="7564"/>
      <c r="L956" s="6422"/>
      <c r="M956" s="6484"/>
      <c r="N956" s="6484"/>
      <c r="O956" s="6484"/>
      <c r="P956" s="386"/>
      <c r="Q956" s="386"/>
    </row>
    <row r="957" spans="1:17" ht="30" customHeight="1" x14ac:dyDescent="0.2">
      <c r="A957" s="7656"/>
      <c r="B957" s="7665"/>
      <c r="C957" s="7747"/>
      <c r="D957" s="7451">
        <v>16180000000</v>
      </c>
      <c r="E957" s="7452">
        <v>7.0000000000000007E-2</v>
      </c>
      <c r="F957" s="7451">
        <f>D957*E957</f>
        <v>1132600000</v>
      </c>
      <c r="G957" s="8000" t="s">
        <v>8535</v>
      </c>
      <c r="H957" s="8000"/>
      <c r="I957" s="8000"/>
      <c r="J957" s="8000"/>
      <c r="K957" s="7563"/>
      <c r="L957" s="6422"/>
      <c r="M957" s="6484"/>
      <c r="N957" s="6484"/>
      <c r="O957" s="6484"/>
      <c r="P957" s="386"/>
      <c r="Q957" s="386"/>
    </row>
    <row r="958" spans="1:17" ht="30" customHeight="1" x14ac:dyDescent="0.2">
      <c r="A958" s="7656"/>
      <c r="B958" s="7665"/>
      <c r="C958" s="7747"/>
      <c r="D958" s="7451">
        <f>D956+D957-170000000</f>
        <v>16730000000</v>
      </c>
      <c r="E958" s="7452">
        <v>7.0000000000000007E-2</v>
      </c>
      <c r="F958" s="7451">
        <f>D958*E958</f>
        <v>1171100000</v>
      </c>
      <c r="G958" s="8000"/>
      <c r="H958" s="8000"/>
      <c r="I958" s="8000"/>
      <c r="J958" s="7674"/>
      <c r="K958" s="7564"/>
      <c r="L958" s="7439"/>
      <c r="M958" s="7443"/>
      <c r="N958" s="7443"/>
      <c r="O958" s="7443"/>
      <c r="P958" s="386"/>
      <c r="Q958" s="386"/>
    </row>
    <row r="959" spans="1:17" ht="30" customHeight="1" x14ac:dyDescent="0.2">
      <c r="A959" s="7656"/>
      <c r="B959" s="7665"/>
      <c r="C959" s="7747"/>
      <c r="D959" s="8557" t="s">
        <v>8536</v>
      </c>
      <c r="E959" s="8557"/>
      <c r="F959" s="8557"/>
      <c r="G959" s="7434"/>
      <c r="H959" s="7434"/>
      <c r="I959" s="7434"/>
      <c r="J959" s="7444"/>
      <c r="K959" s="233"/>
      <c r="L959" s="7439"/>
      <c r="M959" s="7443"/>
      <c r="N959" s="7443"/>
      <c r="O959" s="7443"/>
      <c r="P959" s="386"/>
      <c r="Q959" s="386"/>
    </row>
    <row r="960" spans="1:17" ht="30" customHeight="1" x14ac:dyDescent="0.2">
      <c r="A960" s="7656"/>
      <c r="B960" s="7665"/>
      <c r="C960" s="7747"/>
      <c r="D960" s="8557" t="s">
        <v>8537</v>
      </c>
      <c r="E960" s="8557"/>
      <c r="F960" s="8557"/>
      <c r="G960" s="7563"/>
      <c r="H960" s="7563"/>
      <c r="I960" s="7563"/>
      <c r="J960" s="7563"/>
      <c r="K960" s="7563"/>
      <c r="L960" s="7439"/>
      <c r="M960" s="7443"/>
      <c r="N960" s="7443"/>
      <c r="O960" s="7443"/>
      <c r="P960" s="386"/>
      <c r="Q960" s="386"/>
    </row>
    <row r="961" spans="1:17" ht="30" customHeight="1" x14ac:dyDescent="0.2">
      <c r="A961" s="7656"/>
      <c r="B961" s="7665"/>
      <c r="C961" s="7747"/>
      <c r="D961" s="8557"/>
      <c r="E961" s="8557"/>
      <c r="F961" s="8557"/>
      <c r="G961" s="7564"/>
      <c r="H961" s="7564"/>
      <c r="I961" s="7564"/>
      <c r="J961" s="7564"/>
      <c r="K961" s="7564"/>
      <c r="L961" s="7439"/>
      <c r="M961" s="7443"/>
      <c r="N961" s="7443"/>
      <c r="O961" s="7443"/>
      <c r="P961" s="386"/>
      <c r="Q961" s="386"/>
    </row>
    <row r="962" spans="1:17" ht="30" customHeight="1" x14ac:dyDescent="0.2">
      <c r="A962" s="7656"/>
      <c r="B962" s="7665"/>
      <c r="C962" s="7747"/>
      <c r="D962" s="7451">
        <f>D958-3000000000-50000000</f>
        <v>13680000000</v>
      </c>
      <c r="E962" s="7452">
        <v>7.0000000000000007E-2</v>
      </c>
      <c r="F962" s="7451">
        <f>D962*E962</f>
        <v>957600000.00000012</v>
      </c>
      <c r="G962" s="7732" t="s">
        <v>8545</v>
      </c>
      <c r="H962" s="7733"/>
      <c r="I962" s="7733"/>
      <c r="J962" s="7734"/>
      <c r="K962" s="233"/>
      <c r="L962" s="7439"/>
      <c r="M962" s="7443"/>
      <c r="N962" s="7443"/>
      <c r="O962" s="7443"/>
      <c r="P962" s="386"/>
      <c r="Q962" s="386"/>
    </row>
    <row r="963" spans="1:17" ht="30" customHeight="1" x14ac:dyDescent="0.2">
      <c r="A963" s="7656"/>
      <c r="B963" s="7665"/>
      <c r="C963" s="7747"/>
      <c r="D963" s="8567" t="s">
        <v>8538</v>
      </c>
      <c r="E963" s="8567"/>
      <c r="F963" s="7451">
        <v>140000000</v>
      </c>
      <c r="G963" s="7732" t="s">
        <v>1026</v>
      </c>
      <c r="H963" s="7733"/>
      <c r="I963" s="7733"/>
      <c r="J963" s="7734"/>
      <c r="K963" s="233"/>
      <c r="L963" s="7439"/>
      <c r="M963" s="7443"/>
      <c r="N963" s="7443"/>
      <c r="O963" s="7443"/>
      <c r="P963" s="386"/>
      <c r="Q963" s="386"/>
    </row>
    <row r="964" spans="1:17" ht="30" customHeight="1" x14ac:dyDescent="0.2">
      <c r="A964" s="7656"/>
      <c r="B964" s="7665"/>
      <c r="C964" s="7747"/>
      <c r="D964" s="8567" t="s">
        <v>8539</v>
      </c>
      <c r="E964" s="8567"/>
      <c r="F964" s="7451">
        <v>2300000</v>
      </c>
      <c r="G964" s="7732" t="s">
        <v>1026</v>
      </c>
      <c r="H964" s="7733"/>
      <c r="I964" s="7733"/>
      <c r="J964" s="7734"/>
      <c r="K964" s="233"/>
      <c r="L964" s="7439"/>
      <c r="M964" s="7443"/>
      <c r="N964" s="7443"/>
      <c r="O964" s="7443"/>
      <c r="P964" s="386"/>
      <c r="Q964" s="386"/>
    </row>
    <row r="965" spans="1:17" ht="30" customHeight="1" x14ac:dyDescent="0.2">
      <c r="A965" s="7656"/>
      <c r="B965" s="7665"/>
      <c r="C965" s="7747"/>
      <c r="D965" s="8568" t="s">
        <v>8541</v>
      </c>
      <c r="E965" s="8569"/>
      <c r="F965" s="7451">
        <f>F962+F963+F964</f>
        <v>1099900000</v>
      </c>
      <c r="G965" s="7426">
        <v>20000000</v>
      </c>
      <c r="H965" s="7426" t="s">
        <v>7795</v>
      </c>
      <c r="I965" s="7426" t="s">
        <v>7465</v>
      </c>
      <c r="J965" s="7426">
        <f>G965</f>
        <v>20000000</v>
      </c>
      <c r="K965" s="7426">
        <f>F965-J965</f>
        <v>1079900000</v>
      </c>
      <c r="L965" s="7439"/>
      <c r="M965" s="7443"/>
      <c r="N965" s="7443"/>
      <c r="O965" s="7443"/>
      <c r="P965" s="386"/>
      <c r="Q965" s="386"/>
    </row>
    <row r="966" spans="1:17" ht="30" customHeight="1" x14ac:dyDescent="0.2">
      <c r="A966" s="7656"/>
      <c r="B966" s="7665"/>
      <c r="C966" s="7747"/>
      <c r="D966" s="7442">
        <v>1079900000</v>
      </c>
      <c r="E966" s="3242">
        <v>7.0000000000000007E-2</v>
      </c>
      <c r="F966" s="7442">
        <f>D966*E966</f>
        <v>75593000</v>
      </c>
      <c r="G966" s="7991" t="s">
        <v>8542</v>
      </c>
      <c r="H966" s="7992"/>
      <c r="I966" s="7992"/>
      <c r="J966" s="7993"/>
      <c r="K966" s="7432"/>
      <c r="L966" s="7439"/>
      <c r="M966" s="7443"/>
      <c r="N966" s="7443"/>
      <c r="O966" s="7443"/>
      <c r="P966" s="386"/>
      <c r="Q966" s="386"/>
    </row>
    <row r="967" spans="1:17" ht="30" customHeight="1" x14ac:dyDescent="0.2">
      <c r="A967" s="7656"/>
      <c r="B967" s="7665"/>
      <c r="C967" s="7747"/>
      <c r="D967" s="7442">
        <f>D962+D966+100000</f>
        <v>14760000000</v>
      </c>
      <c r="E967" s="3242">
        <v>7.0000000000000007E-2</v>
      </c>
      <c r="F967" s="7442">
        <f>D967*E967</f>
        <v>1033200000.0000001</v>
      </c>
      <c r="G967" s="7732" t="s">
        <v>8543</v>
      </c>
      <c r="H967" s="7733"/>
      <c r="I967" s="7733"/>
      <c r="J967" s="7734"/>
      <c r="K967" s="7432"/>
      <c r="L967" s="7439"/>
      <c r="M967" s="7443"/>
      <c r="N967" s="7443"/>
      <c r="O967" s="7443"/>
      <c r="P967" s="386"/>
      <c r="Q967" s="386"/>
    </row>
    <row r="968" spans="1:17" ht="30" customHeight="1" x14ac:dyDescent="0.2">
      <c r="A968" s="7656"/>
      <c r="B968" s="7665"/>
      <c r="C968" s="7747"/>
      <c r="D968" s="8576" t="s">
        <v>8544</v>
      </c>
      <c r="E968" s="8576"/>
      <c r="F968" s="8576"/>
      <c r="G968" s="7426"/>
      <c r="H968" s="7426"/>
      <c r="I968" s="7426"/>
      <c r="J968" s="7426"/>
      <c r="K968" s="7427"/>
      <c r="L968" s="6422"/>
      <c r="M968" s="6484"/>
      <c r="N968" s="6484"/>
      <c r="O968" s="6484"/>
      <c r="P968" s="386"/>
      <c r="Q968" s="386"/>
    </row>
    <row r="969" spans="1:17" ht="30" customHeight="1" x14ac:dyDescent="0.2">
      <c r="A969" s="7656"/>
      <c r="B969" s="7665"/>
      <c r="C969" s="7747"/>
      <c r="D969" s="7442">
        <f>D967-3700000000</f>
        <v>11060000000</v>
      </c>
      <c r="E969" s="3242">
        <v>7.0000000000000007E-2</v>
      </c>
      <c r="F969" s="7442">
        <f>D969*E969</f>
        <v>774200000.00000012</v>
      </c>
      <c r="G969" s="7732" t="s">
        <v>8545</v>
      </c>
      <c r="H969" s="7733"/>
      <c r="I969" s="7733"/>
      <c r="J969" s="7734"/>
      <c r="K969" s="7427"/>
      <c r="L969" s="6422"/>
      <c r="M969" s="6484"/>
      <c r="N969" s="6484"/>
      <c r="O969" s="6484"/>
      <c r="P969" s="386"/>
      <c r="Q969" s="386"/>
    </row>
    <row r="970" spans="1:17" ht="30" customHeight="1" x14ac:dyDescent="0.2">
      <c r="A970" s="7656"/>
      <c r="B970" s="7665"/>
      <c r="C970" s="7747"/>
      <c r="D970" s="7912" t="s">
        <v>8546</v>
      </c>
      <c r="E970" s="7912"/>
      <c r="F970" s="7442">
        <v>172600000</v>
      </c>
      <c r="G970" s="7732" t="s">
        <v>1026</v>
      </c>
      <c r="H970" s="7733"/>
      <c r="I970" s="7733"/>
      <c r="J970" s="7734"/>
      <c r="K970" s="7441"/>
      <c r="L970" s="7439"/>
      <c r="M970" s="7443"/>
      <c r="N970" s="7443"/>
      <c r="O970" s="7443"/>
      <c r="P970" s="386"/>
      <c r="Q970" s="386"/>
    </row>
    <row r="971" spans="1:17" ht="30" customHeight="1" x14ac:dyDescent="0.2">
      <c r="A971" s="7656"/>
      <c r="B971" s="7665"/>
      <c r="C971" s="7747"/>
      <c r="D971" s="7883" t="s">
        <v>8548</v>
      </c>
      <c r="E971" s="7884"/>
      <c r="F971" s="7442">
        <v>2000000</v>
      </c>
      <c r="G971" s="7732" t="s">
        <v>8549</v>
      </c>
      <c r="H971" s="7733"/>
      <c r="I971" s="7733"/>
      <c r="J971" s="7734"/>
      <c r="K971" s="7441"/>
      <c r="L971" s="7439"/>
      <c r="M971" s="7443"/>
      <c r="N971" s="7443"/>
      <c r="O971" s="7443"/>
      <c r="P971" s="386"/>
      <c r="Q971" s="386"/>
    </row>
    <row r="972" spans="1:17" ht="30" customHeight="1" x14ac:dyDescent="0.2">
      <c r="A972" s="7656"/>
      <c r="B972" s="7665"/>
      <c r="C972" s="7747"/>
      <c r="D972" s="7883" t="s">
        <v>8547</v>
      </c>
      <c r="E972" s="7884"/>
      <c r="F972" s="7442">
        <f>F969+F970+F971</f>
        <v>948800000.00000012</v>
      </c>
      <c r="G972" s="7732" t="s">
        <v>8550</v>
      </c>
      <c r="H972" s="7733"/>
      <c r="I972" s="7733"/>
      <c r="J972" s="7734"/>
      <c r="K972" s="7441"/>
      <c r="L972" s="7439"/>
      <c r="M972" s="7443"/>
      <c r="N972" s="7443"/>
      <c r="O972" s="7443"/>
      <c r="P972" s="386"/>
      <c r="Q972" s="386"/>
    </row>
    <row r="973" spans="1:17" ht="30" customHeight="1" x14ac:dyDescent="0.2">
      <c r="A973" s="7655"/>
      <c r="B973" s="7653"/>
      <c r="C973" s="7724"/>
      <c r="D973" s="233"/>
      <c r="E973" s="233"/>
      <c r="F973" s="7426"/>
      <c r="G973" s="6385"/>
      <c r="H973" s="6385"/>
      <c r="I973" s="6385"/>
      <c r="J973" s="6393"/>
      <c r="K973" s="6458"/>
      <c r="L973" s="6422"/>
      <c r="M973" s="6484"/>
      <c r="N973" s="6484"/>
      <c r="O973" s="6484"/>
      <c r="P973" s="386"/>
      <c r="Q973" s="386"/>
    </row>
    <row r="974" spans="1:17" ht="30" customHeight="1" x14ac:dyDescent="0.2">
      <c r="A974" s="6475"/>
      <c r="B974" s="6431" t="s">
        <v>2622</v>
      </c>
      <c r="C974" s="6472" t="s">
        <v>889</v>
      </c>
      <c r="D974" s="6385">
        <v>160000000</v>
      </c>
      <c r="E974" s="6471">
        <v>0.05</v>
      </c>
      <c r="F974" s="6385">
        <f t="shared" ref="F974:F988" si="83">D974*E974</f>
        <v>8000000</v>
      </c>
      <c r="G974" s="6385"/>
      <c r="H974" s="6385"/>
      <c r="I974" s="6522" t="s">
        <v>4364</v>
      </c>
      <c r="J974" s="6385">
        <f>G974</f>
        <v>0</v>
      </c>
      <c r="K974" s="6389">
        <f>F974-J974</f>
        <v>8000000</v>
      </c>
      <c r="L974" s="6477"/>
      <c r="M974" s="386"/>
      <c r="N974" s="386"/>
      <c r="O974" s="386"/>
      <c r="P974" s="386"/>
      <c r="Q974" s="386"/>
    </row>
    <row r="975" spans="1:17" ht="30" customHeight="1" x14ac:dyDescent="0.2">
      <c r="A975" s="7654"/>
      <c r="B975" s="7652" t="s">
        <v>2639</v>
      </c>
      <c r="C975" s="7723" t="s">
        <v>1172</v>
      </c>
      <c r="D975" s="7563">
        <v>80000000</v>
      </c>
      <c r="E975" s="7659">
        <v>0.05</v>
      </c>
      <c r="F975" s="7563">
        <f t="shared" si="83"/>
        <v>4000000</v>
      </c>
      <c r="G975" s="6393"/>
      <c r="H975" s="6393"/>
      <c r="I975" s="472" t="s">
        <v>7554</v>
      </c>
      <c r="J975" s="6393">
        <f t="shared" ref="J975:J988" si="84">G975</f>
        <v>0</v>
      </c>
      <c r="K975" s="6458">
        <f t="shared" ref="K975:K988" si="85">F975-J975</f>
        <v>4000000</v>
      </c>
      <c r="L975" s="6477" t="s">
        <v>7555</v>
      </c>
      <c r="M975" s="386"/>
      <c r="N975" s="386"/>
      <c r="O975" s="386"/>
      <c r="P975" s="386"/>
      <c r="Q975" s="386"/>
    </row>
    <row r="976" spans="1:17" ht="30" customHeight="1" x14ac:dyDescent="0.2">
      <c r="A976" s="7655"/>
      <c r="B976" s="7653"/>
      <c r="C976" s="7724"/>
      <c r="D976" s="7564"/>
      <c r="E976" s="7660"/>
      <c r="F976" s="7564"/>
      <c r="G976" s="6393"/>
      <c r="H976" s="6393"/>
      <c r="I976" s="472" t="s">
        <v>4020</v>
      </c>
      <c r="J976" s="6393">
        <f>G976</f>
        <v>0</v>
      </c>
      <c r="K976" s="6458">
        <f>F975-J976</f>
        <v>4000000</v>
      </c>
      <c r="L976" s="7811" t="s">
        <v>7641</v>
      </c>
      <c r="M976" s="386"/>
      <c r="N976" s="386"/>
      <c r="O976" s="386"/>
      <c r="P976" s="386"/>
      <c r="Q976" s="386"/>
    </row>
    <row r="977" spans="1:17" ht="30" customHeight="1" x14ac:dyDescent="0.2">
      <c r="A977" s="6475"/>
      <c r="B977" s="6431" t="s">
        <v>4021</v>
      </c>
      <c r="C977" s="6434" t="s">
        <v>1172</v>
      </c>
      <c r="D977" s="6393">
        <v>100000000</v>
      </c>
      <c r="E977" s="6471">
        <v>0.05</v>
      </c>
      <c r="F977" s="6393">
        <f t="shared" si="83"/>
        <v>5000000</v>
      </c>
      <c r="G977" s="6393"/>
      <c r="H977" s="6393"/>
      <c r="I977" s="472" t="s">
        <v>4063</v>
      </c>
      <c r="J977" s="6393">
        <f t="shared" ref="J977:J981" si="86">G977</f>
        <v>0</v>
      </c>
      <c r="K977" s="6458">
        <f>F977-J977</f>
        <v>5000000</v>
      </c>
      <c r="L977" s="7812"/>
      <c r="M977" s="386"/>
      <c r="N977" s="386"/>
      <c r="O977" s="386"/>
      <c r="P977" s="386"/>
      <c r="Q977" s="386"/>
    </row>
    <row r="978" spans="1:17" ht="30" customHeight="1" x14ac:dyDescent="0.2">
      <c r="A978" s="6475"/>
      <c r="B978" s="6431" t="s">
        <v>3997</v>
      </c>
      <c r="C978" s="6472" t="s">
        <v>1652</v>
      </c>
      <c r="D978" s="6385">
        <v>25000000</v>
      </c>
      <c r="E978" s="6471">
        <v>0.04</v>
      </c>
      <c r="F978" s="6385">
        <f t="shared" si="83"/>
        <v>1000000</v>
      </c>
      <c r="G978" s="6385"/>
      <c r="H978" s="6385"/>
      <c r="I978" s="6522" t="s">
        <v>6262</v>
      </c>
      <c r="J978" s="6385">
        <f t="shared" si="86"/>
        <v>0</v>
      </c>
      <c r="K978" s="6389">
        <f t="shared" si="85"/>
        <v>1000000</v>
      </c>
      <c r="L978" s="6477"/>
      <c r="M978" s="386"/>
      <c r="N978" s="386"/>
      <c r="O978" s="386"/>
      <c r="P978" s="386"/>
      <c r="Q978" s="386"/>
    </row>
    <row r="979" spans="1:17" ht="30" customHeight="1" x14ac:dyDescent="0.2">
      <c r="A979" s="6475"/>
      <c r="B979" s="6405" t="s">
        <v>2692</v>
      </c>
      <c r="C979" s="6472" t="s">
        <v>371</v>
      </c>
      <c r="D979" s="6391">
        <v>500000000</v>
      </c>
      <c r="E979" s="6401">
        <v>7.0000000000000007E-2</v>
      </c>
      <c r="F979" s="6391">
        <f t="shared" si="83"/>
        <v>35000000</v>
      </c>
      <c r="G979" s="6385"/>
      <c r="H979" s="6385"/>
      <c r="I979" s="6385" t="s">
        <v>2693</v>
      </c>
      <c r="J979" s="6385">
        <f t="shared" si="86"/>
        <v>0</v>
      </c>
      <c r="K979" s="6458">
        <f t="shared" si="85"/>
        <v>35000000</v>
      </c>
      <c r="L979" s="6477"/>
      <c r="M979" s="386"/>
      <c r="N979" s="386"/>
      <c r="O979" s="386"/>
      <c r="P979" s="386"/>
      <c r="Q979" s="386"/>
    </row>
    <row r="980" spans="1:17" ht="30" customHeight="1" x14ac:dyDescent="0.2">
      <c r="A980" s="6475"/>
      <c r="B980" s="6405" t="s">
        <v>7628</v>
      </c>
      <c r="C980" s="6472" t="s">
        <v>371</v>
      </c>
      <c r="D980" s="1455">
        <v>40000000</v>
      </c>
      <c r="E980" s="1929">
        <v>7.0000000000000007E-2</v>
      </c>
      <c r="F980" s="1455">
        <f t="shared" si="83"/>
        <v>2800000.0000000005</v>
      </c>
      <c r="G980" s="6385"/>
      <c r="H980" s="6385"/>
      <c r="I980" s="6385" t="s">
        <v>7627</v>
      </c>
      <c r="J980" s="6385">
        <f t="shared" si="86"/>
        <v>0</v>
      </c>
      <c r="K980" s="6458">
        <f t="shared" si="85"/>
        <v>2800000.0000000005</v>
      </c>
      <c r="L980" s="6396" t="s">
        <v>5513</v>
      </c>
      <c r="M980" s="386"/>
      <c r="N980" s="386"/>
      <c r="O980" s="386"/>
      <c r="P980" s="386"/>
      <c r="Q980" s="386"/>
    </row>
    <row r="981" spans="1:17" ht="30" customHeight="1" x14ac:dyDescent="0.2">
      <c r="A981" s="6397"/>
      <c r="B981" s="6406" t="s">
        <v>5727</v>
      </c>
      <c r="C981" s="6433" t="s">
        <v>3007</v>
      </c>
      <c r="D981" s="1455">
        <v>130000000</v>
      </c>
      <c r="E981" s="1929">
        <v>0.05</v>
      </c>
      <c r="F981" s="1455">
        <f t="shared" si="83"/>
        <v>6500000</v>
      </c>
      <c r="G981" s="6385"/>
      <c r="H981" s="6385"/>
      <c r="I981" s="6385" t="s">
        <v>3982</v>
      </c>
      <c r="J981" s="6385">
        <f t="shared" si="86"/>
        <v>0</v>
      </c>
      <c r="K981" s="6458">
        <f t="shared" si="85"/>
        <v>6500000</v>
      </c>
      <c r="L981" s="6516"/>
      <c r="M981" s="386"/>
      <c r="N981" s="386"/>
      <c r="O981" s="386"/>
      <c r="P981" s="386"/>
      <c r="Q981" s="386"/>
    </row>
    <row r="982" spans="1:17" ht="30" customHeight="1" x14ac:dyDescent="0.2">
      <c r="A982" s="7654"/>
      <c r="B982" s="7661" t="s">
        <v>4699</v>
      </c>
      <c r="C982" s="7723" t="s">
        <v>371</v>
      </c>
      <c r="D982" s="7563">
        <v>400000000</v>
      </c>
      <c r="E982" s="7659">
        <v>7.0000000000000007E-2</v>
      </c>
      <c r="F982" s="7563">
        <f t="shared" si="83"/>
        <v>28000000.000000004</v>
      </c>
      <c r="G982" s="6385"/>
      <c r="H982" s="6385"/>
      <c r="I982" s="638" t="s">
        <v>4403</v>
      </c>
      <c r="J982" s="7563">
        <f>G982+G983</f>
        <v>0</v>
      </c>
      <c r="K982" s="7816">
        <f>F982-J982</f>
        <v>28000000.000000004</v>
      </c>
      <c r="L982" s="6454"/>
      <c r="M982" s="386"/>
      <c r="N982" s="386"/>
      <c r="O982" s="386"/>
      <c r="P982" s="386"/>
      <c r="Q982" s="386"/>
    </row>
    <row r="983" spans="1:17" ht="30" customHeight="1" x14ac:dyDescent="0.2">
      <c r="A983" s="7655"/>
      <c r="B983" s="7663"/>
      <c r="C983" s="7724"/>
      <c r="D983" s="7564"/>
      <c r="E983" s="7660"/>
      <c r="F983" s="7564"/>
      <c r="G983" s="6393"/>
      <c r="H983" s="6393"/>
      <c r="I983" s="6441" t="s">
        <v>4403</v>
      </c>
      <c r="J983" s="7564"/>
      <c r="K983" s="7817"/>
      <c r="L983" s="6454"/>
      <c r="M983" s="386"/>
      <c r="N983" s="386"/>
      <c r="O983" s="386"/>
      <c r="P983" s="386"/>
      <c r="Q983" s="386"/>
    </row>
    <row r="984" spans="1:17" ht="30" customHeight="1" x14ac:dyDescent="0.2">
      <c r="A984" s="6398"/>
      <c r="B984" s="6400" t="s">
        <v>2702</v>
      </c>
      <c r="C984" s="6434" t="s">
        <v>262</v>
      </c>
      <c r="D984" s="6393">
        <v>30000000</v>
      </c>
      <c r="E984" s="6402">
        <v>0.05</v>
      </c>
      <c r="F984" s="6393">
        <f t="shared" si="83"/>
        <v>1500000</v>
      </c>
      <c r="G984" s="6393"/>
      <c r="H984" s="6393"/>
      <c r="I984" s="6393" t="s">
        <v>3536</v>
      </c>
      <c r="J984" s="6393">
        <f t="shared" si="84"/>
        <v>0</v>
      </c>
      <c r="K984" s="6458">
        <f t="shared" si="85"/>
        <v>1500000</v>
      </c>
      <c r="L984" s="6477"/>
      <c r="M984" s="386"/>
      <c r="N984" s="386"/>
      <c r="O984" s="386"/>
      <c r="P984" s="386"/>
      <c r="Q984" s="386"/>
    </row>
    <row r="985" spans="1:17" ht="30" customHeight="1" x14ac:dyDescent="0.2">
      <c r="A985" s="6475"/>
      <c r="B985" s="6431" t="s">
        <v>2727</v>
      </c>
      <c r="C985" s="6434" t="s">
        <v>392</v>
      </c>
      <c r="D985" s="6393">
        <v>140000000</v>
      </c>
      <c r="E985" s="6471">
        <v>7.0000000000000007E-2</v>
      </c>
      <c r="F985" s="6393">
        <f t="shared" si="83"/>
        <v>9800000.0000000019</v>
      </c>
      <c r="G985" s="6385"/>
      <c r="H985" s="6385"/>
      <c r="I985" s="6385" t="s">
        <v>4380</v>
      </c>
      <c r="J985" s="6385">
        <f t="shared" si="84"/>
        <v>0</v>
      </c>
      <c r="K985" s="6458">
        <f t="shared" si="85"/>
        <v>9800000.0000000019</v>
      </c>
      <c r="L985" s="6477"/>
      <c r="M985" s="386"/>
      <c r="N985" s="386"/>
      <c r="O985" s="386"/>
      <c r="P985" s="386"/>
      <c r="Q985" s="386"/>
    </row>
    <row r="986" spans="1:17" ht="30" customHeight="1" x14ac:dyDescent="0.2">
      <c r="A986" s="6475"/>
      <c r="B986" s="6431" t="s">
        <v>2735</v>
      </c>
      <c r="C986" s="6434" t="s">
        <v>889</v>
      </c>
      <c r="D986" s="6393">
        <v>85000000</v>
      </c>
      <c r="E986" s="6471">
        <v>0.05</v>
      </c>
      <c r="F986" s="6393">
        <f t="shared" si="83"/>
        <v>4250000</v>
      </c>
      <c r="G986" s="6385"/>
      <c r="H986" s="6385"/>
      <c r="I986" s="6522" t="s">
        <v>3529</v>
      </c>
      <c r="J986" s="6385">
        <f t="shared" si="84"/>
        <v>0</v>
      </c>
      <c r="K986" s="6458">
        <f t="shared" si="85"/>
        <v>4250000</v>
      </c>
      <c r="L986" s="6477"/>
      <c r="M986" s="386"/>
      <c r="N986" s="386"/>
      <c r="O986" s="386"/>
      <c r="P986" s="386"/>
      <c r="Q986" s="386"/>
    </row>
    <row r="987" spans="1:17" ht="30" customHeight="1" x14ac:dyDescent="0.2">
      <c r="A987" s="6475"/>
      <c r="B987" s="6431" t="s">
        <v>3534</v>
      </c>
      <c r="C987" s="6434" t="s">
        <v>372</v>
      </c>
      <c r="D987" s="6393">
        <v>50000000</v>
      </c>
      <c r="E987" s="6471">
        <v>0.05</v>
      </c>
      <c r="F987" s="6393">
        <f t="shared" si="83"/>
        <v>2500000</v>
      </c>
      <c r="G987" s="6385"/>
      <c r="H987" s="6385"/>
      <c r="I987" s="6385" t="s">
        <v>4091</v>
      </c>
      <c r="J987" s="6385">
        <f t="shared" si="84"/>
        <v>0</v>
      </c>
      <c r="K987" s="6458">
        <f t="shared" si="85"/>
        <v>2500000</v>
      </c>
      <c r="L987" s="6477"/>
      <c r="M987" s="386"/>
      <c r="N987" s="386"/>
      <c r="O987" s="386"/>
      <c r="P987" s="386"/>
      <c r="Q987" s="386"/>
    </row>
    <row r="988" spans="1:17" ht="30" customHeight="1" x14ac:dyDescent="0.2">
      <c r="A988" s="6475"/>
      <c r="B988" s="6431" t="s">
        <v>2738</v>
      </c>
      <c r="C988" s="6434" t="s">
        <v>372</v>
      </c>
      <c r="D988" s="6393">
        <v>25000000</v>
      </c>
      <c r="E988" s="6471">
        <v>0.05</v>
      </c>
      <c r="F988" s="6393">
        <f t="shared" si="83"/>
        <v>1250000</v>
      </c>
      <c r="G988" s="6385">
        <v>1250000</v>
      </c>
      <c r="H988" s="6385" t="s">
        <v>8068</v>
      </c>
      <c r="I988" s="6385" t="s">
        <v>4017</v>
      </c>
      <c r="J988" s="6385">
        <f t="shared" si="84"/>
        <v>1250000</v>
      </c>
      <c r="K988" s="6458">
        <f t="shared" si="85"/>
        <v>0</v>
      </c>
      <c r="L988" s="6477"/>
      <c r="M988" s="386"/>
      <c r="N988" s="386"/>
      <c r="O988" s="386"/>
      <c r="P988" s="386"/>
      <c r="Q988" s="386"/>
    </row>
    <row r="989" spans="1:17" ht="30" customHeight="1" x14ac:dyDescent="0.2">
      <c r="A989" s="7654"/>
      <c r="B989" s="7652" t="s">
        <v>2767</v>
      </c>
      <c r="C989" s="7723" t="s">
        <v>262</v>
      </c>
      <c r="D989" s="6385">
        <v>650000000</v>
      </c>
      <c r="E989" s="6471">
        <v>0.06</v>
      </c>
      <c r="F989" s="6385">
        <f>D989*E989</f>
        <v>39000000</v>
      </c>
      <c r="G989" s="7563"/>
      <c r="H989" s="7563"/>
      <c r="I989" s="7563" t="s">
        <v>3477</v>
      </c>
      <c r="J989" s="7563">
        <f>G989</f>
        <v>0</v>
      </c>
      <c r="K989" s="7816">
        <f>(F989+F990+F991)-J989</f>
        <v>45000000</v>
      </c>
      <c r="L989" s="8578" t="s">
        <v>7908</v>
      </c>
      <c r="M989" s="386"/>
      <c r="N989" s="386"/>
      <c r="O989" s="386"/>
      <c r="P989" s="386"/>
      <c r="Q989" s="386"/>
    </row>
    <row r="990" spans="1:17" ht="30" customHeight="1" x14ac:dyDescent="0.2">
      <c r="A990" s="7656"/>
      <c r="B990" s="7665"/>
      <c r="C990" s="7747"/>
      <c r="D990" s="6393">
        <v>50000000</v>
      </c>
      <c r="E990" s="6471">
        <v>0.06</v>
      </c>
      <c r="F990" s="6393">
        <f>D990*E990</f>
        <v>3000000</v>
      </c>
      <c r="G990" s="7586"/>
      <c r="H990" s="7586"/>
      <c r="I990" s="7586"/>
      <c r="J990" s="7586"/>
      <c r="K990" s="7882"/>
      <c r="L990" s="8579"/>
      <c r="M990" s="386"/>
      <c r="N990" s="386"/>
      <c r="O990" s="386"/>
      <c r="P990" s="386"/>
      <c r="Q990" s="386"/>
    </row>
    <row r="991" spans="1:17" ht="30" customHeight="1" x14ac:dyDescent="0.2">
      <c r="A991" s="7656"/>
      <c r="B991" s="7665"/>
      <c r="C991" s="7747"/>
      <c r="D991" s="6393">
        <v>50000000</v>
      </c>
      <c r="E991" s="6471">
        <v>0.06</v>
      </c>
      <c r="F991" s="6393">
        <f>D991*E991</f>
        <v>3000000</v>
      </c>
      <c r="G991" s="7564"/>
      <c r="H991" s="7564"/>
      <c r="I991" s="7564"/>
      <c r="J991" s="7564"/>
      <c r="K991" s="7817"/>
      <c r="L991" s="6627" t="s">
        <v>7909</v>
      </c>
      <c r="M991" s="386"/>
      <c r="N991" s="386"/>
      <c r="O991" s="386"/>
      <c r="P991" s="386"/>
      <c r="Q991" s="386"/>
    </row>
    <row r="992" spans="1:17" ht="30" customHeight="1" x14ac:dyDescent="0.2">
      <c r="A992" s="7655"/>
      <c r="B992" s="7653"/>
      <c r="C992" s="7724"/>
      <c r="D992" s="6623">
        <v>750000000</v>
      </c>
      <c r="E992" s="6632">
        <v>7.0000000000000007E-2</v>
      </c>
      <c r="F992" s="6623">
        <f>D992*E992</f>
        <v>52500000.000000007</v>
      </c>
      <c r="G992" s="6593"/>
      <c r="H992" s="6593"/>
      <c r="I992" s="6593"/>
      <c r="J992" s="6593"/>
      <c r="K992" s="6614"/>
      <c r="L992" s="6627"/>
      <c r="M992" s="386"/>
      <c r="N992" s="386"/>
      <c r="O992" s="386"/>
      <c r="P992" s="386"/>
      <c r="Q992" s="386"/>
    </row>
    <row r="993" spans="1:17" ht="30" customHeight="1" x14ac:dyDescent="0.2">
      <c r="A993" s="6475"/>
      <c r="B993" s="6431" t="s">
        <v>2802</v>
      </c>
      <c r="C993" s="6434" t="s">
        <v>359</v>
      </c>
      <c r="D993" s="6393">
        <v>20000000</v>
      </c>
      <c r="E993" s="6471">
        <v>0.05</v>
      </c>
      <c r="F993" s="6393">
        <f t="shared" ref="F993:F1001" si="87">D993*E993</f>
        <v>1000000</v>
      </c>
      <c r="G993" s="6385"/>
      <c r="H993" s="6385"/>
      <c r="I993" s="6385" t="s">
        <v>3556</v>
      </c>
      <c r="J993" s="6385">
        <f>G993</f>
        <v>0</v>
      </c>
      <c r="K993" s="6458">
        <f>F993-J993</f>
        <v>1000000</v>
      </c>
      <c r="L993" s="6477"/>
      <c r="M993" s="386"/>
      <c r="N993" s="386"/>
      <c r="O993" s="386"/>
      <c r="P993" s="386"/>
      <c r="Q993" s="386"/>
    </row>
    <row r="994" spans="1:17" ht="30" customHeight="1" x14ac:dyDescent="0.2">
      <c r="A994" s="7879"/>
      <c r="B994" s="7717" t="s">
        <v>2904</v>
      </c>
      <c r="C994" s="7873" t="s">
        <v>1081</v>
      </c>
      <c r="D994" s="7482">
        <v>40000000</v>
      </c>
      <c r="E994" s="7870">
        <v>0.04</v>
      </c>
      <c r="F994" s="7482">
        <f t="shared" si="87"/>
        <v>1600000</v>
      </c>
      <c r="G994" s="6385"/>
      <c r="H994" s="6385"/>
      <c r="I994" s="6385" t="s">
        <v>4314</v>
      </c>
      <c r="J994" s="6385">
        <f>G994</f>
        <v>0</v>
      </c>
      <c r="K994" s="6389">
        <f>F994-J994</f>
        <v>1600000</v>
      </c>
      <c r="L994" s="6477"/>
      <c r="M994" s="386"/>
      <c r="N994" s="386"/>
      <c r="O994" s="386"/>
      <c r="P994" s="386"/>
      <c r="Q994" s="386"/>
    </row>
    <row r="995" spans="1:17" ht="30" customHeight="1" x14ac:dyDescent="0.2">
      <c r="A995" s="7879"/>
      <c r="B995" s="7717"/>
      <c r="C995" s="7873"/>
      <c r="D995" s="7482"/>
      <c r="E995" s="7870"/>
      <c r="F995" s="7482"/>
      <c r="G995" s="6385"/>
      <c r="H995" s="6385"/>
      <c r="I995" s="6385" t="s">
        <v>7800</v>
      </c>
      <c r="J995" s="6385">
        <f>G995</f>
        <v>0</v>
      </c>
      <c r="K995" s="6389">
        <f>F994-J995</f>
        <v>1600000</v>
      </c>
      <c r="L995" s="6477"/>
      <c r="M995" s="386"/>
      <c r="N995" s="386"/>
      <c r="O995" s="386"/>
      <c r="P995" s="386"/>
      <c r="Q995" s="386"/>
    </row>
    <row r="996" spans="1:17" ht="30" customHeight="1" x14ac:dyDescent="0.2">
      <c r="A996" s="6490"/>
      <c r="B996" s="6469" t="s">
        <v>2834</v>
      </c>
      <c r="C996" s="6435" t="s">
        <v>2849</v>
      </c>
      <c r="D996" s="6393">
        <v>40000000</v>
      </c>
      <c r="E996" s="6402">
        <v>0.05</v>
      </c>
      <c r="F996" s="6393">
        <f t="shared" si="87"/>
        <v>2000000</v>
      </c>
      <c r="G996" s="6393"/>
      <c r="H996" s="6393"/>
      <c r="I996" s="6393" t="s">
        <v>3681</v>
      </c>
      <c r="J996" s="6393">
        <f>G996</f>
        <v>0</v>
      </c>
      <c r="K996" s="6458">
        <f>G996-J996</f>
        <v>0</v>
      </c>
      <c r="L996" s="6477"/>
      <c r="M996" s="386"/>
      <c r="N996" s="386"/>
      <c r="O996" s="386"/>
      <c r="P996" s="386"/>
      <c r="Q996" s="386"/>
    </row>
    <row r="997" spans="1:17" ht="30" customHeight="1" x14ac:dyDescent="0.2">
      <c r="A997" s="7879"/>
      <c r="B997" s="7717" t="s">
        <v>2899</v>
      </c>
      <c r="C997" s="6472" t="s">
        <v>1718</v>
      </c>
      <c r="D997" s="6393">
        <v>400000000</v>
      </c>
      <c r="E997" s="6471">
        <v>7.0000000000000007E-2</v>
      </c>
      <c r="F997" s="6393">
        <f t="shared" si="87"/>
        <v>28000000.000000004</v>
      </c>
      <c r="G997" s="6393"/>
      <c r="H997" s="6393"/>
      <c r="I997" s="6443" t="s">
        <v>2868</v>
      </c>
      <c r="J997" s="6393">
        <f t="shared" ref="J997:J1010" si="88">G997</f>
        <v>0</v>
      </c>
      <c r="K997" s="6458">
        <f>F997-J997</f>
        <v>28000000.000000004</v>
      </c>
      <c r="L997" s="6478"/>
      <c r="M997" s="386"/>
      <c r="N997" s="386"/>
      <c r="O997" s="386"/>
      <c r="P997" s="386"/>
      <c r="Q997" s="386"/>
    </row>
    <row r="998" spans="1:17" ht="30" customHeight="1" x14ac:dyDescent="0.2">
      <c r="A998" s="7879"/>
      <c r="B998" s="7717"/>
      <c r="C998" s="6472" t="s">
        <v>990</v>
      </c>
      <c r="D998" s="6385">
        <v>200000000</v>
      </c>
      <c r="E998" s="6471">
        <v>7.0000000000000007E-2</v>
      </c>
      <c r="F998" s="6385">
        <f t="shared" si="87"/>
        <v>14000000.000000002</v>
      </c>
      <c r="G998" s="6385"/>
      <c r="H998" s="6385"/>
      <c r="I998" s="6385" t="s">
        <v>7339</v>
      </c>
      <c r="J998" s="6385">
        <f>G998</f>
        <v>0</v>
      </c>
      <c r="K998" s="6389">
        <f>F998-J998</f>
        <v>14000000.000000002</v>
      </c>
      <c r="L998" s="6478"/>
      <c r="M998" s="386"/>
      <c r="N998" s="386"/>
      <c r="O998" s="386"/>
      <c r="P998" s="386"/>
      <c r="Q998" s="386"/>
    </row>
    <row r="999" spans="1:17" ht="30" customHeight="1" x14ac:dyDescent="0.2">
      <c r="A999" s="7654"/>
      <c r="B999" s="7652" t="s">
        <v>4692</v>
      </c>
      <c r="C999" s="7723" t="s">
        <v>2278</v>
      </c>
      <c r="D999" s="7563">
        <v>100000000</v>
      </c>
      <c r="E999" s="7659">
        <v>7.0000000000000007E-2</v>
      </c>
      <c r="F999" s="7563">
        <f>D999*E999</f>
        <v>7000000.0000000009</v>
      </c>
      <c r="G999" s="6385"/>
      <c r="H999" s="6385"/>
      <c r="I999" s="6385" t="s">
        <v>2868</v>
      </c>
      <c r="J999" s="6385">
        <f>G999</f>
        <v>0</v>
      </c>
      <c r="K999" s="6458">
        <f>F999-J999</f>
        <v>7000000.0000000009</v>
      </c>
      <c r="L999" s="6477"/>
      <c r="M999" s="386"/>
      <c r="N999" s="386"/>
      <c r="O999" s="386"/>
      <c r="P999" s="386"/>
      <c r="Q999" s="386"/>
    </row>
    <row r="1000" spans="1:17" ht="30" customHeight="1" x14ac:dyDescent="0.2">
      <c r="A1000" s="7655"/>
      <c r="B1000" s="7653"/>
      <c r="C1000" s="7724"/>
      <c r="D1000" s="7564"/>
      <c r="E1000" s="7660"/>
      <c r="F1000" s="7564"/>
      <c r="G1000" s="6385"/>
      <c r="H1000" s="6385"/>
      <c r="I1000" s="6385" t="s">
        <v>2868</v>
      </c>
      <c r="J1000" s="6385">
        <f>G1000</f>
        <v>0</v>
      </c>
      <c r="K1000" s="6458">
        <f>F999-J1000</f>
        <v>7000000.0000000009</v>
      </c>
      <c r="L1000" s="6477"/>
      <c r="M1000" s="386"/>
      <c r="N1000" s="386"/>
      <c r="O1000" s="386"/>
      <c r="P1000" s="386"/>
      <c r="Q1000" s="386"/>
    </row>
    <row r="1001" spans="1:17" ht="30" customHeight="1" x14ac:dyDescent="0.2">
      <c r="A1001" s="7654"/>
      <c r="B1001" s="7652" t="s">
        <v>2206</v>
      </c>
      <c r="C1001" s="7723" t="s">
        <v>1306</v>
      </c>
      <c r="D1001" s="7563">
        <v>150000000</v>
      </c>
      <c r="E1001" s="7659">
        <v>0.05</v>
      </c>
      <c r="F1001" s="7846">
        <f t="shared" si="87"/>
        <v>7500000</v>
      </c>
      <c r="G1001" s="6393"/>
      <c r="H1001" s="6393"/>
      <c r="I1001" s="6443" t="s">
        <v>4539</v>
      </c>
      <c r="J1001" s="6393">
        <f t="shared" si="88"/>
        <v>0</v>
      </c>
      <c r="K1001" s="6458">
        <f>F1001-J1001</f>
        <v>7500000</v>
      </c>
      <c r="L1001" s="6477"/>
      <c r="M1001" s="386"/>
      <c r="N1001" s="386"/>
      <c r="O1001" s="386"/>
      <c r="P1001" s="386"/>
      <c r="Q1001" s="386"/>
    </row>
    <row r="1002" spans="1:17" ht="30" customHeight="1" x14ac:dyDescent="0.2">
      <c r="A1002" s="7655"/>
      <c r="B1002" s="7653"/>
      <c r="C1002" s="7724"/>
      <c r="D1002" s="7564"/>
      <c r="E1002" s="7660"/>
      <c r="F1002" s="7848"/>
      <c r="G1002" s="6393"/>
      <c r="H1002" s="6393"/>
      <c r="I1002" s="6443" t="s">
        <v>4539</v>
      </c>
      <c r="J1002" s="6393">
        <f t="shared" si="88"/>
        <v>0</v>
      </c>
      <c r="K1002" s="6458">
        <f>F1001-J1002</f>
        <v>7500000</v>
      </c>
      <c r="L1002" s="6477"/>
      <c r="M1002" s="386"/>
      <c r="N1002" s="386"/>
      <c r="O1002" s="386"/>
      <c r="P1002" s="386"/>
      <c r="Q1002" s="386"/>
    </row>
    <row r="1003" spans="1:17" ht="30" customHeight="1" x14ac:dyDescent="0.2">
      <c r="A1003" s="6475"/>
      <c r="B1003" s="19" t="s">
        <v>180</v>
      </c>
      <c r="C1003" s="6434" t="s">
        <v>2849</v>
      </c>
      <c r="D1003" s="6393">
        <v>126000000</v>
      </c>
      <c r="E1003" s="6471">
        <f>F1003/D1003</f>
        <v>0.05</v>
      </c>
      <c r="F1003" s="6393">
        <v>6300000</v>
      </c>
      <c r="G1003" s="6385"/>
      <c r="H1003" s="6385"/>
      <c r="I1003" s="6385" t="s">
        <v>4880</v>
      </c>
      <c r="J1003" s="6385">
        <f t="shared" si="88"/>
        <v>0</v>
      </c>
      <c r="K1003" s="6458">
        <f t="shared" ref="K1003:K1009" si="89">F1003-J1003</f>
        <v>6300000</v>
      </c>
      <c r="L1003" s="6477"/>
      <c r="M1003" s="386"/>
      <c r="N1003" s="386"/>
      <c r="O1003" s="386"/>
      <c r="P1003" s="386"/>
      <c r="Q1003" s="386"/>
    </row>
    <row r="1004" spans="1:17" ht="30" customHeight="1" x14ac:dyDescent="0.2">
      <c r="A1004" s="7654"/>
      <c r="B1004" s="7652" t="s">
        <v>4695</v>
      </c>
      <c r="C1004" s="7723" t="s">
        <v>989</v>
      </c>
      <c r="D1004" s="7563">
        <v>50000000</v>
      </c>
      <c r="E1004" s="7659">
        <v>0.05</v>
      </c>
      <c r="F1004" s="7563">
        <f t="shared" ref="F1004:F1026" si="90">D1004*E1004</f>
        <v>2500000</v>
      </c>
      <c r="G1004" s="6393"/>
      <c r="H1004" s="6393"/>
      <c r="I1004" s="6443" t="s">
        <v>4764</v>
      </c>
      <c r="J1004" s="6393">
        <f t="shared" si="88"/>
        <v>0</v>
      </c>
      <c r="K1004" s="6458">
        <f>F1004-J1004</f>
        <v>2500000</v>
      </c>
      <c r="L1004" s="2700"/>
      <c r="M1004" s="386"/>
      <c r="N1004" s="386"/>
      <c r="O1004" s="386"/>
      <c r="P1004" s="386"/>
      <c r="Q1004" s="386"/>
    </row>
    <row r="1005" spans="1:17" ht="30" customHeight="1" x14ac:dyDescent="0.2">
      <c r="A1005" s="7655"/>
      <c r="B1005" s="7653"/>
      <c r="C1005" s="7724"/>
      <c r="D1005" s="7564"/>
      <c r="E1005" s="7660"/>
      <c r="F1005" s="7564"/>
      <c r="G1005" s="6393"/>
      <c r="H1005" s="6393"/>
      <c r="I1005" s="6443" t="s">
        <v>4764</v>
      </c>
      <c r="J1005" s="6393">
        <f t="shared" si="88"/>
        <v>0</v>
      </c>
      <c r="K1005" s="6458">
        <f>F1004-J1005</f>
        <v>2500000</v>
      </c>
      <c r="L1005" s="2700"/>
      <c r="M1005" s="386"/>
      <c r="N1005" s="386"/>
      <c r="O1005" s="386"/>
      <c r="P1005" s="386"/>
      <c r="Q1005" s="386"/>
    </row>
    <row r="1006" spans="1:17" ht="30" customHeight="1" x14ac:dyDescent="0.2">
      <c r="A1006" s="6397"/>
      <c r="B1006" s="6431" t="s">
        <v>2873</v>
      </c>
      <c r="C1006" s="6472" t="s">
        <v>1172</v>
      </c>
      <c r="D1006" s="6385">
        <v>100000000</v>
      </c>
      <c r="E1006" s="6471">
        <v>0.05</v>
      </c>
      <c r="F1006" s="6385">
        <f t="shared" si="90"/>
        <v>5000000</v>
      </c>
      <c r="G1006" s="6385"/>
      <c r="H1006" s="6385"/>
      <c r="I1006" s="6385" t="s">
        <v>6261</v>
      </c>
      <c r="J1006" s="6385">
        <f t="shared" si="88"/>
        <v>0</v>
      </c>
      <c r="K1006" s="6389">
        <f>F1006-J1006</f>
        <v>5000000</v>
      </c>
      <c r="L1006" s="6477"/>
      <c r="M1006" s="386"/>
      <c r="N1006" s="386"/>
      <c r="O1006" s="386"/>
      <c r="P1006" s="386"/>
      <c r="Q1006" s="386"/>
    </row>
    <row r="1007" spans="1:17" ht="30" customHeight="1" x14ac:dyDescent="0.2">
      <c r="A1007" s="6475"/>
      <c r="B1007" s="6400" t="s">
        <v>2878</v>
      </c>
      <c r="C1007" s="6434" t="s">
        <v>1718</v>
      </c>
      <c r="D1007" s="6393">
        <v>25000000</v>
      </c>
      <c r="E1007" s="6402">
        <v>0.04</v>
      </c>
      <c r="F1007" s="6393">
        <f t="shared" si="90"/>
        <v>1000000</v>
      </c>
      <c r="G1007" s="6393"/>
      <c r="H1007" s="6393"/>
      <c r="I1007" s="6443" t="s">
        <v>4062</v>
      </c>
      <c r="J1007" s="6393">
        <f t="shared" si="88"/>
        <v>0</v>
      </c>
      <c r="K1007" s="6458">
        <f t="shared" si="89"/>
        <v>1000000</v>
      </c>
      <c r="L1007" s="6477"/>
      <c r="M1007" s="386"/>
      <c r="N1007" s="386"/>
      <c r="O1007" s="386"/>
      <c r="P1007" s="386"/>
      <c r="Q1007" s="386"/>
    </row>
    <row r="1008" spans="1:17" ht="30" customHeight="1" x14ac:dyDescent="0.2">
      <c r="A1008" s="6397"/>
      <c r="B1008" s="19" t="s">
        <v>2938</v>
      </c>
      <c r="C1008" s="6472" t="s">
        <v>1138</v>
      </c>
      <c r="D1008" s="6385">
        <v>10000000</v>
      </c>
      <c r="E1008" s="6471">
        <v>0.05</v>
      </c>
      <c r="F1008" s="6385">
        <f t="shared" si="90"/>
        <v>500000</v>
      </c>
      <c r="G1008" s="6385"/>
      <c r="H1008" s="6385"/>
      <c r="I1008" s="6385" t="s">
        <v>2939</v>
      </c>
      <c r="J1008" s="6385">
        <f t="shared" si="88"/>
        <v>0</v>
      </c>
      <c r="K1008" s="6458">
        <f t="shared" si="89"/>
        <v>500000</v>
      </c>
      <c r="L1008" s="6477"/>
      <c r="M1008" s="386"/>
      <c r="N1008" s="386"/>
      <c r="O1008" s="386"/>
      <c r="P1008" s="386"/>
      <c r="Q1008" s="386"/>
    </row>
    <row r="1009" spans="1:17" ht="30" customHeight="1" x14ac:dyDescent="0.2">
      <c r="A1009" s="6475"/>
      <c r="B1009" s="6431" t="s">
        <v>5360</v>
      </c>
      <c r="C1009" s="6472" t="s">
        <v>2278</v>
      </c>
      <c r="D1009" s="6385">
        <v>50000000</v>
      </c>
      <c r="E1009" s="6471">
        <v>0.05</v>
      </c>
      <c r="F1009" s="6385">
        <f t="shared" si="90"/>
        <v>2500000</v>
      </c>
      <c r="G1009" s="6385"/>
      <c r="H1009" s="6385"/>
      <c r="I1009" s="6385" t="s">
        <v>7712</v>
      </c>
      <c r="J1009" s="6385">
        <f t="shared" si="88"/>
        <v>0</v>
      </c>
      <c r="K1009" s="6389">
        <f t="shared" si="89"/>
        <v>2500000</v>
      </c>
      <c r="L1009" s="6477"/>
      <c r="M1009" s="386"/>
      <c r="N1009" s="386"/>
      <c r="O1009" s="386"/>
      <c r="P1009" s="386"/>
      <c r="Q1009" s="386"/>
    </row>
    <row r="1010" spans="1:17" ht="30" customHeight="1" x14ac:dyDescent="0.2">
      <c r="A1010" s="7654"/>
      <c r="B1010" s="8291" t="s">
        <v>3037</v>
      </c>
      <c r="C1010" s="8341" t="s">
        <v>1306</v>
      </c>
      <c r="D1010" s="6393">
        <v>30000000</v>
      </c>
      <c r="E1010" s="6471">
        <v>0.05</v>
      </c>
      <c r="F1010" s="6393">
        <f t="shared" si="90"/>
        <v>1500000</v>
      </c>
      <c r="G1010" s="7778"/>
      <c r="H1010" s="7482"/>
      <c r="I1010" s="7482" t="s">
        <v>3729</v>
      </c>
      <c r="J1010" s="7482">
        <f t="shared" si="88"/>
        <v>0</v>
      </c>
      <c r="K1010" s="7499">
        <f>(F1010+F1011+F1012+F1013)-J1010</f>
        <v>4750000</v>
      </c>
      <c r="L1010" s="7811"/>
      <c r="M1010" s="386"/>
      <c r="N1010" s="386"/>
      <c r="O1010" s="386"/>
      <c r="P1010" s="386"/>
      <c r="Q1010" s="386"/>
    </row>
    <row r="1011" spans="1:17" ht="30" customHeight="1" x14ac:dyDescent="0.2">
      <c r="A1011" s="7656"/>
      <c r="B1011" s="8292"/>
      <c r="C1011" s="8342"/>
      <c r="D1011" s="6393">
        <v>15000000</v>
      </c>
      <c r="E1011" s="6471">
        <v>0.05</v>
      </c>
      <c r="F1011" s="6393">
        <f t="shared" si="90"/>
        <v>750000</v>
      </c>
      <c r="G1011" s="7778"/>
      <c r="H1011" s="7482"/>
      <c r="I1011" s="7482"/>
      <c r="J1011" s="7482"/>
      <c r="K1011" s="7499"/>
      <c r="L1011" s="7897"/>
      <c r="M1011" s="386"/>
      <c r="N1011" s="386"/>
      <c r="O1011" s="386"/>
      <c r="P1011" s="386"/>
      <c r="Q1011" s="386"/>
    </row>
    <row r="1012" spans="1:17" ht="30" customHeight="1" x14ac:dyDescent="0.2">
      <c r="A1012" s="7656"/>
      <c r="B1012" s="8292"/>
      <c r="C1012" s="8342"/>
      <c r="D1012" s="6393">
        <v>15000000</v>
      </c>
      <c r="E1012" s="6471">
        <v>0.05</v>
      </c>
      <c r="F1012" s="6393">
        <f t="shared" si="90"/>
        <v>750000</v>
      </c>
      <c r="G1012" s="7778"/>
      <c r="H1012" s="7482"/>
      <c r="I1012" s="7482"/>
      <c r="J1012" s="7482"/>
      <c r="K1012" s="7499"/>
      <c r="L1012" s="7812"/>
      <c r="M1012" s="386"/>
      <c r="N1012" s="386"/>
      <c r="O1012" s="386"/>
      <c r="P1012" s="386"/>
      <c r="Q1012" s="386"/>
    </row>
    <row r="1013" spans="1:17" ht="30" customHeight="1" x14ac:dyDescent="0.2">
      <c r="A1013" s="7656"/>
      <c r="B1013" s="8292"/>
      <c r="C1013" s="8342"/>
      <c r="D1013" s="7563">
        <v>35000000</v>
      </c>
      <c r="E1013" s="7659">
        <v>0.05</v>
      </c>
      <c r="F1013" s="7563">
        <f t="shared" si="90"/>
        <v>1750000</v>
      </c>
      <c r="G1013" s="7846"/>
      <c r="H1013" s="7563"/>
      <c r="I1013" s="7563" t="s">
        <v>7697</v>
      </c>
      <c r="J1013" s="7563">
        <f>G1013</f>
        <v>0</v>
      </c>
      <c r="K1013" s="7816">
        <f>(F1010+F1011+F1012+F1013)-J1013</f>
        <v>4750000</v>
      </c>
      <c r="L1013" s="7811"/>
      <c r="M1013" s="386"/>
      <c r="N1013" s="386"/>
      <c r="O1013" s="386"/>
      <c r="P1013" s="386"/>
      <c r="Q1013" s="386"/>
    </row>
    <row r="1014" spans="1:17" ht="30" customHeight="1" x14ac:dyDescent="0.2">
      <c r="A1014" s="7656"/>
      <c r="B1014" s="8292"/>
      <c r="C1014" s="8342"/>
      <c r="D1014" s="7586"/>
      <c r="E1014" s="7676"/>
      <c r="F1014" s="7586"/>
      <c r="G1014" s="7847"/>
      <c r="H1014" s="7586"/>
      <c r="I1014" s="7586"/>
      <c r="J1014" s="7586"/>
      <c r="K1014" s="7882"/>
      <c r="L1014" s="7897"/>
      <c r="M1014" s="386"/>
      <c r="N1014" s="386"/>
      <c r="O1014" s="386"/>
      <c r="P1014" s="386"/>
      <c r="Q1014" s="386"/>
    </row>
    <row r="1015" spans="1:17" ht="30" customHeight="1" x14ac:dyDescent="0.2">
      <c r="A1015" s="7656"/>
      <c r="B1015" s="8292"/>
      <c r="C1015" s="8342"/>
      <c r="D1015" s="7586"/>
      <c r="E1015" s="7676"/>
      <c r="F1015" s="7586"/>
      <c r="G1015" s="7847"/>
      <c r="H1015" s="7586"/>
      <c r="I1015" s="7586"/>
      <c r="J1015" s="7586"/>
      <c r="K1015" s="7882"/>
      <c r="L1015" s="7897"/>
      <c r="M1015" s="386"/>
      <c r="N1015" s="386"/>
      <c r="O1015" s="386"/>
      <c r="P1015" s="386"/>
      <c r="Q1015" s="386"/>
    </row>
    <row r="1016" spans="1:17" ht="30" customHeight="1" x14ac:dyDescent="0.2">
      <c r="A1016" s="7655"/>
      <c r="B1016" s="8293"/>
      <c r="C1016" s="8343"/>
      <c r="D1016" s="7564"/>
      <c r="E1016" s="7660"/>
      <c r="F1016" s="7564"/>
      <c r="G1016" s="7848"/>
      <c r="H1016" s="7564"/>
      <c r="I1016" s="7564"/>
      <c r="J1016" s="7564"/>
      <c r="K1016" s="7817"/>
      <c r="L1016" s="7812"/>
      <c r="M1016" s="386"/>
      <c r="N1016" s="386"/>
      <c r="O1016" s="386"/>
      <c r="P1016" s="386"/>
      <c r="Q1016" s="386"/>
    </row>
    <row r="1017" spans="1:17" ht="30" customHeight="1" x14ac:dyDescent="0.2">
      <c r="A1017" s="7654"/>
      <c r="B1017" s="8291" t="s">
        <v>6093</v>
      </c>
      <c r="C1017" s="8341" t="s">
        <v>942</v>
      </c>
      <c r="D1017" s="7563">
        <v>60000000</v>
      </c>
      <c r="E1017" s="7659">
        <v>0.05</v>
      </c>
      <c r="F1017" s="7563">
        <f>D1017*E1017</f>
        <v>3000000</v>
      </c>
      <c r="G1017" s="6385"/>
      <c r="H1017" s="6385"/>
      <c r="I1017" s="6385" t="s">
        <v>6784</v>
      </c>
      <c r="J1017" s="6385">
        <f>G1017</f>
        <v>0</v>
      </c>
      <c r="K1017" s="6389">
        <f>F1017-J1017</f>
        <v>3000000</v>
      </c>
      <c r="L1017" s="6477"/>
      <c r="M1017" s="386"/>
      <c r="N1017" s="386"/>
      <c r="O1017" s="386"/>
      <c r="P1017" s="386"/>
      <c r="Q1017" s="386"/>
    </row>
    <row r="1018" spans="1:17" ht="30" customHeight="1" x14ac:dyDescent="0.2">
      <c r="A1018" s="7655"/>
      <c r="B1018" s="8293"/>
      <c r="C1018" s="8343"/>
      <c r="D1018" s="7564"/>
      <c r="E1018" s="7660"/>
      <c r="F1018" s="7564"/>
      <c r="G1018" s="6393"/>
      <c r="H1018" s="6393"/>
      <c r="I1018" s="6393" t="s">
        <v>6784</v>
      </c>
      <c r="J1018" s="6393">
        <f>G1018</f>
        <v>0</v>
      </c>
      <c r="K1018" s="6458">
        <f>F1017-J1018</f>
        <v>3000000</v>
      </c>
      <c r="L1018" s="6477"/>
      <c r="M1018" s="386"/>
      <c r="N1018" s="386"/>
      <c r="O1018" s="386"/>
      <c r="P1018" s="386"/>
      <c r="Q1018" s="386"/>
    </row>
    <row r="1019" spans="1:17" ht="30" customHeight="1" x14ac:dyDescent="0.2">
      <c r="A1019" s="7703"/>
      <c r="B1019" s="8291" t="s">
        <v>6302</v>
      </c>
      <c r="C1019" s="8341" t="s">
        <v>1172</v>
      </c>
      <c r="D1019" s="7563">
        <v>40000000</v>
      </c>
      <c r="E1019" s="7659">
        <v>0.05</v>
      </c>
      <c r="F1019" s="7563">
        <f>D1019*E1019</f>
        <v>2000000</v>
      </c>
      <c r="G1019" s="6393"/>
      <c r="H1019" s="6393"/>
      <c r="I1019" s="6393" t="s">
        <v>7444</v>
      </c>
      <c r="J1019" s="6393">
        <f>G1019</f>
        <v>0</v>
      </c>
      <c r="K1019" s="6458">
        <f>F1019-J1019</f>
        <v>2000000</v>
      </c>
      <c r="L1019" s="2555" t="s">
        <v>7263</v>
      </c>
      <c r="M1019" s="386"/>
      <c r="N1019" s="386"/>
      <c r="O1019" s="386"/>
      <c r="P1019" s="386"/>
      <c r="Q1019" s="386"/>
    </row>
    <row r="1020" spans="1:17" ht="30" customHeight="1" x14ac:dyDescent="0.2">
      <c r="A1020" s="7705"/>
      <c r="B1020" s="8293"/>
      <c r="C1020" s="8343"/>
      <c r="D1020" s="7564"/>
      <c r="E1020" s="7660"/>
      <c r="F1020" s="7564"/>
      <c r="G1020" s="6393"/>
      <c r="H1020" s="6393"/>
      <c r="I1020" s="6393" t="s">
        <v>7444</v>
      </c>
      <c r="J1020" s="6393">
        <f>G1020</f>
        <v>0</v>
      </c>
      <c r="K1020" s="6476">
        <f>F1019-J1020</f>
        <v>2000000</v>
      </c>
      <c r="L1020" s="6563" t="s">
        <v>6571</v>
      </c>
      <c r="M1020" s="386"/>
      <c r="N1020" s="386"/>
      <c r="O1020" s="386"/>
      <c r="P1020" s="386"/>
      <c r="Q1020" s="386"/>
    </row>
    <row r="1021" spans="1:17" ht="30" customHeight="1" x14ac:dyDescent="0.2">
      <c r="A1021" s="7654"/>
      <c r="B1021" s="7652" t="s">
        <v>3040</v>
      </c>
      <c r="C1021" s="7723" t="s">
        <v>1172</v>
      </c>
      <c r="D1021" s="7563">
        <v>1050000000</v>
      </c>
      <c r="E1021" s="7659">
        <v>7.0000000000000007E-2</v>
      </c>
      <c r="F1021" s="7563">
        <f>D1021*E1021</f>
        <v>73500000</v>
      </c>
      <c r="G1021" s="7482" t="s">
        <v>7150</v>
      </c>
      <c r="H1021" s="7482"/>
      <c r="I1021" s="7482"/>
      <c r="J1021" s="7482"/>
      <c r="K1021" s="7816"/>
      <c r="L1021" s="6454" t="s">
        <v>6917</v>
      </c>
      <c r="M1021" s="386"/>
      <c r="N1021" s="386"/>
      <c r="O1021" s="386"/>
      <c r="P1021" s="386"/>
      <c r="Q1021" s="386"/>
    </row>
    <row r="1022" spans="1:17" ht="30" customHeight="1" x14ac:dyDescent="0.2">
      <c r="A1022" s="7656"/>
      <c r="B1022" s="7665"/>
      <c r="C1022" s="7747"/>
      <c r="D1022" s="7564"/>
      <c r="E1022" s="7660"/>
      <c r="F1022" s="7564"/>
      <c r="G1022" s="7482"/>
      <c r="H1022" s="7482"/>
      <c r="I1022" s="7482"/>
      <c r="J1022" s="7482"/>
      <c r="K1022" s="7882"/>
      <c r="L1022" s="6454" t="s">
        <v>6918</v>
      </c>
      <c r="M1022" s="386"/>
      <c r="N1022" s="386"/>
      <c r="O1022" s="386"/>
      <c r="P1022" s="386"/>
      <c r="Q1022" s="386"/>
    </row>
    <row r="1023" spans="1:17" ht="30" customHeight="1" x14ac:dyDescent="0.2">
      <c r="A1023" s="7656"/>
      <c r="B1023" s="7665"/>
      <c r="C1023" s="7747"/>
      <c r="D1023" s="6393">
        <v>65000000</v>
      </c>
      <c r="E1023" s="6471">
        <v>7.0000000000000007E-2</v>
      </c>
      <c r="F1023" s="6393">
        <f>D1023*E1023</f>
        <v>4550000</v>
      </c>
      <c r="G1023" s="6393"/>
      <c r="H1023" s="6393"/>
      <c r="I1023" s="6385"/>
      <c r="J1023" s="6385"/>
      <c r="K1023" s="848"/>
      <c r="L1023" s="6454"/>
      <c r="M1023" s="386"/>
      <c r="N1023" s="386"/>
      <c r="O1023" s="386"/>
      <c r="P1023" s="386"/>
      <c r="Q1023" s="386"/>
    </row>
    <row r="1024" spans="1:17" ht="30" customHeight="1" x14ac:dyDescent="0.2">
      <c r="A1024" s="7655"/>
      <c r="B1024" s="7653"/>
      <c r="C1024" s="7724"/>
      <c r="D1024" s="6494">
        <v>1000000000</v>
      </c>
      <c r="E1024" s="6552">
        <v>7.0000000000000007E-2</v>
      </c>
      <c r="F1024" s="6494">
        <f>D1024*E1024</f>
        <v>70000000</v>
      </c>
      <c r="G1024" s="6393"/>
      <c r="H1024" s="6393"/>
      <c r="I1024" s="6443"/>
      <c r="J1024" s="7"/>
      <c r="K1024" s="898"/>
      <c r="L1024" s="6454" t="s">
        <v>6919</v>
      </c>
      <c r="M1024" s="386"/>
      <c r="N1024" s="386"/>
      <c r="O1024" s="386"/>
      <c r="P1024" s="386"/>
      <c r="Q1024" s="386"/>
    </row>
    <row r="1025" spans="1:17" ht="30" customHeight="1" x14ac:dyDescent="0.2">
      <c r="A1025" s="6475"/>
      <c r="B1025" s="6431" t="s">
        <v>3071</v>
      </c>
      <c r="C1025" s="6434" t="s">
        <v>889</v>
      </c>
      <c r="D1025" s="6393">
        <v>100000000</v>
      </c>
      <c r="E1025" s="6471">
        <v>0.05</v>
      </c>
      <c r="F1025" s="6393">
        <f t="shared" si="90"/>
        <v>5000000</v>
      </c>
      <c r="G1025" s="6393"/>
      <c r="H1025" s="6393"/>
      <c r="I1025" s="6443" t="s">
        <v>3966</v>
      </c>
      <c r="J1025" s="6393">
        <f>G1025</f>
        <v>0</v>
      </c>
      <c r="K1025" s="6458">
        <f>F1025-J1025</f>
        <v>5000000</v>
      </c>
      <c r="L1025" s="6477"/>
      <c r="M1025" s="6477"/>
      <c r="N1025" s="6477"/>
      <c r="O1025" s="6477"/>
      <c r="P1025" s="6477"/>
      <c r="Q1025" s="386"/>
    </row>
    <row r="1026" spans="1:17" ht="30" customHeight="1" x14ac:dyDescent="0.2">
      <c r="A1026" s="7654"/>
      <c r="B1026" s="7652" t="s">
        <v>3764</v>
      </c>
      <c r="C1026" s="7723" t="s">
        <v>1107</v>
      </c>
      <c r="D1026" s="7563">
        <v>30000000</v>
      </c>
      <c r="E1026" s="7659">
        <v>7.0000000000000007E-2</v>
      </c>
      <c r="F1026" s="7563">
        <f t="shared" si="90"/>
        <v>2100000</v>
      </c>
      <c r="G1026" s="6385"/>
      <c r="H1026" s="6385"/>
      <c r="I1026" s="6385" t="s">
        <v>4141</v>
      </c>
      <c r="J1026" s="6385">
        <f>G1026</f>
        <v>0</v>
      </c>
      <c r="K1026" s="6389">
        <f>F1026-J1026</f>
        <v>2100000</v>
      </c>
      <c r="L1026" s="6454"/>
      <c r="M1026" s="386"/>
      <c r="N1026" s="386"/>
      <c r="O1026" s="386"/>
      <c r="P1026" s="386"/>
      <c r="Q1026" s="386"/>
    </row>
    <row r="1027" spans="1:17" ht="30" customHeight="1" x14ac:dyDescent="0.2">
      <c r="A1027" s="7655"/>
      <c r="B1027" s="7653"/>
      <c r="C1027" s="7724"/>
      <c r="D1027" s="7564"/>
      <c r="E1027" s="7660"/>
      <c r="F1027" s="7564"/>
      <c r="G1027" s="6385"/>
      <c r="H1027" s="6385"/>
      <c r="I1027" s="6385" t="s">
        <v>4141</v>
      </c>
      <c r="J1027" s="6385">
        <f>G1027</f>
        <v>0</v>
      </c>
      <c r="K1027" s="6389">
        <f>F1026-J1027</f>
        <v>2100000</v>
      </c>
      <c r="L1027" s="6454"/>
      <c r="M1027" s="386"/>
      <c r="N1027" s="386"/>
      <c r="O1027" s="386"/>
      <c r="P1027" s="386"/>
      <c r="Q1027" s="386"/>
    </row>
    <row r="1028" spans="1:17" ht="30" customHeight="1" x14ac:dyDescent="0.2">
      <c r="A1028" s="7654"/>
      <c r="B1028" s="7652" t="s">
        <v>3954</v>
      </c>
      <c r="C1028" s="7723" t="s">
        <v>989</v>
      </c>
      <c r="D1028" s="6385">
        <v>300000000</v>
      </c>
      <c r="E1028" s="6471">
        <v>0.05</v>
      </c>
      <c r="F1028" s="6385">
        <f>D1028*E1028</f>
        <v>15000000</v>
      </c>
      <c r="G1028" s="7482"/>
      <c r="H1028" s="7482"/>
      <c r="I1028" s="7482" t="s">
        <v>7326</v>
      </c>
      <c r="J1028" s="7482">
        <f>G1028</f>
        <v>0</v>
      </c>
      <c r="K1028" s="7499">
        <f>(F1028+F1029)-J1028</f>
        <v>18000000</v>
      </c>
      <c r="L1028" s="7811"/>
      <c r="M1028" s="386"/>
      <c r="N1028" s="386"/>
      <c r="O1028" s="386"/>
      <c r="P1028" s="386"/>
      <c r="Q1028" s="386"/>
    </row>
    <row r="1029" spans="1:17" ht="30" customHeight="1" x14ac:dyDescent="0.2">
      <c r="A1029" s="7656"/>
      <c r="B1029" s="7665"/>
      <c r="C1029" s="7747"/>
      <c r="D1029" s="6393">
        <v>60000000</v>
      </c>
      <c r="E1029" s="6402">
        <v>0.05</v>
      </c>
      <c r="F1029" s="6393">
        <f>D1029*E1029</f>
        <v>3000000</v>
      </c>
      <c r="G1029" s="7482"/>
      <c r="H1029" s="7482"/>
      <c r="I1029" s="7482"/>
      <c r="J1029" s="7482"/>
      <c r="K1029" s="7499"/>
      <c r="L1029" s="7812"/>
      <c r="M1029" s="386"/>
      <c r="N1029" s="386"/>
      <c r="O1029" s="386"/>
      <c r="P1029" s="386"/>
      <c r="Q1029" s="386"/>
    </row>
    <row r="1030" spans="1:17" ht="30" customHeight="1" x14ac:dyDescent="0.2">
      <c r="A1030" s="7656"/>
      <c r="B1030" s="7665"/>
      <c r="C1030" s="7747"/>
      <c r="D1030" s="6385">
        <v>300000000</v>
      </c>
      <c r="E1030" s="6471">
        <v>0.05</v>
      </c>
      <c r="F1030" s="6385">
        <f>D1030*E1030</f>
        <v>15000000</v>
      </c>
      <c r="G1030" s="233"/>
      <c r="H1030" s="6385"/>
      <c r="I1030" s="6385" t="s">
        <v>7789</v>
      </c>
      <c r="J1030" s="7563">
        <f>G1030+G1031</f>
        <v>0</v>
      </c>
      <c r="K1030" s="7816">
        <f>(F1030+F1031)-J1030</f>
        <v>18000000</v>
      </c>
      <c r="L1030" s="7811"/>
      <c r="M1030" s="386"/>
      <c r="N1030" s="386"/>
      <c r="O1030" s="386"/>
      <c r="P1030" s="386"/>
      <c r="Q1030" s="386"/>
    </row>
    <row r="1031" spans="1:17" ht="30" customHeight="1" x14ac:dyDescent="0.2">
      <c r="A1031" s="7655"/>
      <c r="B1031" s="7653"/>
      <c r="C1031" s="7724"/>
      <c r="D1031" s="6393">
        <v>60000000</v>
      </c>
      <c r="E1031" s="6402">
        <v>0.05</v>
      </c>
      <c r="F1031" s="6393">
        <f>D1031*E1031</f>
        <v>3000000</v>
      </c>
      <c r="G1031" s="6393"/>
      <c r="H1031" s="6385"/>
      <c r="I1031" s="6385" t="s">
        <v>7789</v>
      </c>
      <c r="J1031" s="7564"/>
      <c r="K1031" s="7817"/>
      <c r="L1031" s="7812"/>
      <c r="M1031" s="386"/>
      <c r="N1031" s="386"/>
      <c r="O1031" s="386"/>
      <c r="P1031" s="386"/>
      <c r="Q1031" s="386"/>
    </row>
    <row r="1032" spans="1:17" ht="30" customHeight="1" x14ac:dyDescent="0.2">
      <c r="A1032" s="7654"/>
      <c r="B1032" s="7652" t="s">
        <v>3159</v>
      </c>
      <c r="C1032" s="7723" t="s">
        <v>989</v>
      </c>
      <c r="D1032" s="7563">
        <v>50000000</v>
      </c>
      <c r="E1032" s="7659">
        <v>0.05</v>
      </c>
      <c r="F1032" s="7563">
        <f>D1032*E1032</f>
        <v>2500000</v>
      </c>
      <c r="G1032" s="6385"/>
      <c r="H1032" s="6385"/>
      <c r="I1032" s="6385" t="s">
        <v>5854</v>
      </c>
      <c r="J1032" s="6385">
        <f>G1032</f>
        <v>0</v>
      </c>
      <c r="K1032" s="6458">
        <f>F1032-J1032</f>
        <v>2500000</v>
      </c>
      <c r="L1032" s="6455"/>
      <c r="M1032" s="386"/>
      <c r="N1032" s="386"/>
      <c r="O1032" s="386"/>
      <c r="P1032" s="386"/>
      <c r="Q1032" s="386"/>
    </row>
    <row r="1033" spans="1:17" ht="30" customHeight="1" x14ac:dyDescent="0.2">
      <c r="A1033" s="7655"/>
      <c r="B1033" s="7653"/>
      <c r="C1033" s="7724"/>
      <c r="D1033" s="7564"/>
      <c r="E1033" s="7660"/>
      <c r="F1033" s="7564"/>
      <c r="G1033" s="6385"/>
      <c r="H1033" s="6385"/>
      <c r="I1033" s="6385" t="s">
        <v>7803</v>
      </c>
      <c r="J1033" s="6385">
        <f>G1033</f>
        <v>0</v>
      </c>
      <c r="K1033" s="6458">
        <f>F1032-J1033</f>
        <v>2500000</v>
      </c>
      <c r="L1033" s="6455"/>
      <c r="M1033" s="386"/>
      <c r="N1033" s="386"/>
      <c r="O1033" s="386"/>
      <c r="P1033" s="386"/>
      <c r="Q1033" s="386"/>
    </row>
    <row r="1034" spans="1:17" ht="30" customHeight="1" x14ac:dyDescent="0.2">
      <c r="A1034" s="6475"/>
      <c r="B1034" s="6405" t="s">
        <v>3164</v>
      </c>
      <c r="C1034" s="6472" t="s">
        <v>3323</v>
      </c>
      <c r="D1034" s="6385">
        <v>416000000</v>
      </c>
      <c r="E1034" s="6471">
        <v>0.04</v>
      </c>
      <c r="F1034" s="6385">
        <f>D1034*E1034</f>
        <v>16640000</v>
      </c>
      <c r="G1034" s="6385"/>
      <c r="H1034" s="6385"/>
      <c r="I1034" s="6385" t="s">
        <v>4844</v>
      </c>
      <c r="J1034" s="6385">
        <f>G1034</f>
        <v>0</v>
      </c>
      <c r="K1034" s="6458">
        <f>F1034-J1034</f>
        <v>16640000</v>
      </c>
      <c r="L1034" s="6477"/>
      <c r="M1034" s="386"/>
      <c r="N1034" s="386"/>
      <c r="O1034" s="386"/>
      <c r="P1034" s="386"/>
      <c r="Q1034" s="386"/>
    </row>
    <row r="1035" spans="1:17" ht="30" customHeight="1" x14ac:dyDescent="0.2">
      <c r="A1035" s="6595"/>
      <c r="B1035" s="6598" t="s">
        <v>200</v>
      </c>
      <c r="C1035" s="6609"/>
      <c r="D1035" s="6590">
        <v>200000000</v>
      </c>
      <c r="E1035" s="6615">
        <v>7.0000000000000007E-2</v>
      </c>
      <c r="F1035" s="6590">
        <f>D1035*E1035</f>
        <v>14000000.000000002</v>
      </c>
      <c r="G1035" s="6590"/>
      <c r="H1035" s="6590"/>
      <c r="I1035" s="6590"/>
      <c r="J1035" s="6590"/>
      <c r="K1035" s="6618"/>
      <c r="L1035" s="6619" t="s">
        <v>7883</v>
      </c>
      <c r="M1035" s="386"/>
      <c r="N1035" s="386"/>
      <c r="O1035" s="386"/>
      <c r="P1035" s="386"/>
      <c r="Q1035" s="386"/>
    </row>
    <row r="1036" spans="1:17" ht="30" customHeight="1" x14ac:dyDescent="0.2">
      <c r="A1036" s="7654"/>
      <c r="B1036" s="7661" t="s">
        <v>825</v>
      </c>
      <c r="C1036" s="7703"/>
      <c r="D1036" s="7962" t="s">
        <v>7506</v>
      </c>
      <c r="E1036" s="7963"/>
      <c r="F1036" s="7964"/>
      <c r="G1036" s="7991" t="s">
        <v>7504</v>
      </c>
      <c r="H1036" s="7992"/>
      <c r="I1036" s="7992"/>
      <c r="J1036" s="7993"/>
      <c r="K1036" s="7816"/>
      <c r="L1036" s="6477"/>
      <c r="M1036" s="386"/>
      <c r="N1036" s="386"/>
      <c r="O1036" s="386"/>
      <c r="P1036" s="386"/>
      <c r="Q1036" s="386"/>
    </row>
    <row r="1037" spans="1:17" ht="30" customHeight="1" x14ac:dyDescent="0.2">
      <c r="A1037" s="7656"/>
      <c r="B1037" s="7662"/>
      <c r="C1037" s="7704"/>
      <c r="D1037" s="7965"/>
      <c r="E1037" s="7966"/>
      <c r="F1037" s="7967"/>
      <c r="G1037" s="7997"/>
      <c r="H1037" s="7998"/>
      <c r="I1037" s="7998"/>
      <c r="J1037" s="7999"/>
      <c r="K1037" s="7817"/>
      <c r="L1037" s="6477"/>
      <c r="M1037" s="386"/>
      <c r="N1037" s="386"/>
      <c r="O1037" s="386"/>
      <c r="P1037" s="386"/>
      <c r="Q1037" s="386"/>
    </row>
    <row r="1038" spans="1:17" ht="30" customHeight="1" x14ac:dyDescent="0.2">
      <c r="A1038" s="7656"/>
      <c r="B1038" s="7662"/>
      <c r="C1038" s="7704"/>
      <c r="D1038" s="7965"/>
      <c r="E1038" s="7966"/>
      <c r="F1038" s="7967"/>
      <c r="G1038" s="7991" t="s">
        <v>7505</v>
      </c>
      <c r="H1038" s="7992"/>
      <c r="I1038" s="7992"/>
      <c r="J1038" s="7993"/>
      <c r="K1038" s="6458"/>
      <c r="L1038" s="6477"/>
      <c r="M1038" s="386"/>
      <c r="N1038" s="386"/>
      <c r="O1038" s="386"/>
      <c r="P1038" s="386"/>
      <c r="Q1038" s="386"/>
    </row>
    <row r="1039" spans="1:17" ht="30" customHeight="1" x14ac:dyDescent="0.2">
      <c r="A1039" s="7656"/>
      <c r="B1039" s="7662"/>
      <c r="C1039" s="7704"/>
      <c r="D1039" s="7965"/>
      <c r="E1039" s="7966"/>
      <c r="F1039" s="7967"/>
      <c r="G1039" s="7997"/>
      <c r="H1039" s="7998"/>
      <c r="I1039" s="7998"/>
      <c r="J1039" s="7999"/>
      <c r="K1039" s="6458"/>
      <c r="L1039" s="6477"/>
      <c r="M1039" s="386"/>
      <c r="N1039" s="386"/>
      <c r="O1039" s="386"/>
      <c r="P1039" s="386"/>
      <c r="Q1039" s="386"/>
    </row>
    <row r="1040" spans="1:17" ht="30" customHeight="1" x14ac:dyDescent="0.2">
      <c r="A1040" s="7656"/>
      <c r="B1040" s="7662"/>
      <c r="C1040" s="7704"/>
      <c r="D1040" s="7965"/>
      <c r="E1040" s="7966"/>
      <c r="F1040" s="7967"/>
      <c r="G1040" s="7732" t="s">
        <v>7507</v>
      </c>
      <c r="H1040" s="7733"/>
      <c r="I1040" s="7733"/>
      <c r="J1040" s="7734"/>
      <c r="K1040" s="6458"/>
      <c r="L1040" s="6477" t="s">
        <v>7508</v>
      </c>
      <c r="M1040" s="386"/>
      <c r="N1040" s="386"/>
      <c r="O1040" s="386"/>
      <c r="P1040" s="386"/>
      <c r="Q1040" s="386"/>
    </row>
    <row r="1041" spans="1:17" ht="30" customHeight="1" x14ac:dyDescent="0.2">
      <c r="A1041" s="7655"/>
      <c r="B1041" s="7663"/>
      <c r="C1041" s="7705"/>
      <c r="D1041" s="7968"/>
      <c r="E1041" s="7969"/>
      <c r="F1041" s="7970"/>
      <c r="G1041" s="7732" t="s">
        <v>7509</v>
      </c>
      <c r="H1041" s="7733"/>
      <c r="I1041" s="7733"/>
      <c r="J1041" s="7734"/>
      <c r="K1041" s="6458"/>
      <c r="L1041" s="6477"/>
      <c r="M1041" s="386"/>
      <c r="N1041" s="386"/>
      <c r="O1041" s="386"/>
      <c r="P1041" s="386"/>
      <c r="Q1041" s="386"/>
    </row>
    <row r="1042" spans="1:17" ht="30" customHeight="1" x14ac:dyDescent="0.2">
      <c r="A1042" s="7654"/>
      <c r="B1042" s="7661" t="s">
        <v>3215</v>
      </c>
      <c r="C1042" s="7723" t="s">
        <v>3216</v>
      </c>
      <c r="D1042" s="7563">
        <v>120000000</v>
      </c>
      <c r="E1042" s="7659">
        <v>0.04</v>
      </c>
      <c r="F1042" s="7563">
        <f>D1042*E1042</f>
        <v>4800000</v>
      </c>
      <c r="G1042" s="6393"/>
      <c r="H1042" s="6393"/>
      <c r="I1042" s="6393" t="s">
        <v>1946</v>
      </c>
      <c r="J1042" s="6393">
        <f t="shared" ref="J1042:J1063" si="91">G1042</f>
        <v>0</v>
      </c>
      <c r="K1042" s="6458">
        <f t="shared" ref="K1042:K1054" si="92">F1042-J1042</f>
        <v>4800000</v>
      </c>
      <c r="L1042" s="6477"/>
      <c r="M1042" s="386"/>
      <c r="N1042" s="386"/>
      <c r="O1042" s="386"/>
      <c r="P1042" s="386"/>
      <c r="Q1042" s="386"/>
    </row>
    <row r="1043" spans="1:17" ht="30" customHeight="1" x14ac:dyDescent="0.2">
      <c r="A1043" s="7655"/>
      <c r="B1043" s="7663"/>
      <c r="C1043" s="7724"/>
      <c r="D1043" s="7564"/>
      <c r="E1043" s="7660"/>
      <c r="F1043" s="7564"/>
      <c r="G1043" s="6393"/>
      <c r="H1043" s="6393"/>
      <c r="I1043" s="6393" t="s">
        <v>1946</v>
      </c>
      <c r="J1043" s="6393">
        <f>G1043</f>
        <v>0</v>
      </c>
      <c r="K1043" s="6458">
        <f>F1042-J1043</f>
        <v>4800000</v>
      </c>
      <c r="L1043" s="6477"/>
      <c r="M1043" s="386"/>
      <c r="N1043" s="386"/>
      <c r="O1043" s="386"/>
      <c r="P1043" s="386"/>
      <c r="Q1043" s="386"/>
    </row>
    <row r="1044" spans="1:17" ht="30" customHeight="1" x14ac:dyDescent="0.2">
      <c r="A1044" s="7654"/>
      <c r="B1044" s="7661" t="s">
        <v>3218</v>
      </c>
      <c r="C1044" s="7723" t="s">
        <v>3219</v>
      </c>
      <c r="D1044" s="7563">
        <v>100000000</v>
      </c>
      <c r="E1044" s="7659">
        <v>0.05</v>
      </c>
      <c r="F1044" s="7563">
        <f>D1044*E1044</f>
        <v>5000000</v>
      </c>
      <c r="G1044" s="6385"/>
      <c r="H1044" s="6385"/>
      <c r="I1044" s="6385" t="s">
        <v>7432</v>
      </c>
      <c r="J1044" s="6385">
        <f t="shared" si="91"/>
        <v>0</v>
      </c>
      <c r="K1044" s="6458">
        <f t="shared" si="92"/>
        <v>5000000</v>
      </c>
      <c r="L1044" s="6477"/>
      <c r="M1044" s="386"/>
      <c r="N1044" s="386"/>
      <c r="O1044" s="386"/>
      <c r="P1044" s="386"/>
      <c r="Q1044" s="386"/>
    </row>
    <row r="1045" spans="1:17" ht="30" customHeight="1" x14ac:dyDescent="0.2">
      <c r="A1045" s="7655"/>
      <c r="B1045" s="7663"/>
      <c r="C1045" s="7724"/>
      <c r="D1045" s="7564"/>
      <c r="E1045" s="7660"/>
      <c r="F1045" s="7564"/>
      <c r="G1045" s="6385"/>
      <c r="H1045" s="6385"/>
      <c r="I1045" s="6385" t="s">
        <v>7814</v>
      </c>
      <c r="J1045" s="6385">
        <f>G1045</f>
        <v>0</v>
      </c>
      <c r="K1045" s="6458">
        <f>F1044-J1045</f>
        <v>5000000</v>
      </c>
      <c r="L1045" s="6477"/>
      <c r="M1045" s="386"/>
      <c r="N1045" s="386"/>
      <c r="O1045" s="386"/>
      <c r="P1045" s="386"/>
      <c r="Q1045" s="386"/>
    </row>
    <row r="1046" spans="1:17" ht="30" customHeight="1" x14ac:dyDescent="0.2">
      <c r="A1046" s="7654"/>
      <c r="B1046" s="7661" t="s">
        <v>3221</v>
      </c>
      <c r="C1046" s="7723" t="s">
        <v>1796</v>
      </c>
      <c r="D1046" s="7563">
        <v>50000000</v>
      </c>
      <c r="E1046" s="7659">
        <v>0.05</v>
      </c>
      <c r="F1046" s="7563">
        <f>D1046*E1046</f>
        <v>2500000</v>
      </c>
      <c r="G1046" s="6385"/>
      <c r="H1046" s="6385"/>
      <c r="I1046" s="6385" t="s">
        <v>4777</v>
      </c>
      <c r="J1046" s="6385">
        <f t="shared" si="91"/>
        <v>0</v>
      </c>
      <c r="K1046" s="6458">
        <f t="shared" si="92"/>
        <v>2500000</v>
      </c>
      <c r="L1046" s="6477"/>
      <c r="M1046" s="386"/>
      <c r="N1046" s="386"/>
      <c r="O1046" s="386"/>
      <c r="P1046" s="386"/>
      <c r="Q1046" s="386"/>
    </row>
    <row r="1047" spans="1:17" ht="30" customHeight="1" x14ac:dyDescent="0.2">
      <c r="A1047" s="7655"/>
      <c r="B1047" s="7663"/>
      <c r="C1047" s="7724"/>
      <c r="D1047" s="7564"/>
      <c r="E1047" s="7660"/>
      <c r="F1047" s="7564"/>
      <c r="G1047" s="6385"/>
      <c r="H1047" s="6385"/>
      <c r="I1047" s="6385" t="s">
        <v>7735</v>
      </c>
      <c r="J1047" s="6385">
        <f>G1047</f>
        <v>0</v>
      </c>
      <c r="K1047" s="6458">
        <f>F1046-J1047</f>
        <v>2500000</v>
      </c>
      <c r="L1047" s="6477"/>
      <c r="M1047" s="386"/>
      <c r="N1047" s="386"/>
      <c r="O1047" s="386"/>
      <c r="P1047" s="386"/>
      <c r="Q1047" s="386"/>
    </row>
    <row r="1048" spans="1:17" ht="30" customHeight="1" x14ac:dyDescent="0.2">
      <c r="A1048" s="146"/>
      <c r="B1048" s="6430" t="s">
        <v>3224</v>
      </c>
      <c r="C1048" s="6456"/>
      <c r="D1048" s="6456"/>
      <c r="E1048" s="2519"/>
      <c r="F1048" s="6411"/>
      <c r="G1048" s="6394"/>
      <c r="H1048" s="6394"/>
      <c r="I1048" s="6394" t="s">
        <v>3226</v>
      </c>
      <c r="J1048" s="6394">
        <f t="shared" si="91"/>
        <v>0</v>
      </c>
      <c r="K1048" s="6463">
        <f t="shared" si="92"/>
        <v>0</v>
      </c>
      <c r="L1048" s="2177" t="s">
        <v>4831</v>
      </c>
      <c r="M1048" s="386"/>
      <c r="N1048" s="386"/>
      <c r="O1048" s="386"/>
      <c r="P1048" s="386"/>
      <c r="Q1048" s="386"/>
    </row>
    <row r="1049" spans="1:17" ht="30" customHeight="1" x14ac:dyDescent="0.2">
      <c r="A1049" s="146"/>
      <c r="B1049" s="6407" t="s">
        <v>3257</v>
      </c>
      <c r="C1049" s="6434" t="s">
        <v>402</v>
      </c>
      <c r="D1049" s="6393">
        <v>40000000</v>
      </c>
      <c r="E1049" s="6471">
        <v>0.05</v>
      </c>
      <c r="F1049" s="6393">
        <f>D1049*E1049</f>
        <v>2000000</v>
      </c>
      <c r="G1049" s="6385"/>
      <c r="H1049" s="6385"/>
      <c r="I1049" s="6385" t="s">
        <v>5536</v>
      </c>
      <c r="J1049" s="6385">
        <f t="shared" si="91"/>
        <v>0</v>
      </c>
      <c r="K1049" s="2352">
        <f t="shared" si="92"/>
        <v>2000000</v>
      </c>
      <c r="L1049" s="6477"/>
      <c r="M1049" s="386"/>
      <c r="N1049" s="386"/>
      <c r="O1049" s="386"/>
      <c r="P1049" s="386"/>
      <c r="Q1049" s="386"/>
    </row>
    <row r="1050" spans="1:17" ht="30" customHeight="1" x14ac:dyDescent="0.2">
      <c r="A1050" s="7654"/>
      <c r="B1050" s="7661" t="s">
        <v>3293</v>
      </c>
      <c r="C1050" s="7723" t="s">
        <v>1796</v>
      </c>
      <c r="D1050" s="7563">
        <v>15000000</v>
      </c>
      <c r="E1050" s="7659">
        <v>0.05</v>
      </c>
      <c r="F1050" s="7563">
        <f>D1050*E1050</f>
        <v>750000</v>
      </c>
      <c r="G1050" s="6385"/>
      <c r="H1050" s="6385"/>
      <c r="I1050" s="6385" t="s">
        <v>5416</v>
      </c>
      <c r="J1050" s="6385">
        <f t="shared" si="91"/>
        <v>0</v>
      </c>
      <c r="K1050" s="6458">
        <f t="shared" si="92"/>
        <v>750000</v>
      </c>
      <c r="L1050" s="6477" t="s">
        <v>6123</v>
      </c>
      <c r="M1050" s="386"/>
      <c r="N1050" s="386"/>
      <c r="O1050" s="386"/>
      <c r="P1050" s="386"/>
      <c r="Q1050" s="386"/>
    </row>
    <row r="1051" spans="1:17" ht="30" customHeight="1" x14ac:dyDescent="0.2">
      <c r="A1051" s="7655"/>
      <c r="B1051" s="7663"/>
      <c r="C1051" s="7724"/>
      <c r="D1051" s="7564"/>
      <c r="E1051" s="7660"/>
      <c r="F1051" s="7564"/>
      <c r="G1051" s="6385"/>
      <c r="H1051" s="6385"/>
      <c r="I1051" s="6385" t="s">
        <v>5416</v>
      </c>
      <c r="J1051" s="6385">
        <f t="shared" si="91"/>
        <v>0</v>
      </c>
      <c r="K1051" s="6458">
        <f>F1050-J1051</f>
        <v>750000</v>
      </c>
      <c r="L1051" s="6477"/>
      <c r="M1051" s="386"/>
      <c r="N1051" s="386"/>
      <c r="O1051" s="386"/>
      <c r="P1051" s="386"/>
      <c r="Q1051" s="386"/>
    </row>
    <row r="1052" spans="1:17" ht="30" customHeight="1" x14ac:dyDescent="0.2">
      <c r="A1052" s="6475"/>
      <c r="B1052" s="6405" t="s">
        <v>3296</v>
      </c>
      <c r="C1052" s="6472" t="s">
        <v>942</v>
      </c>
      <c r="D1052" s="6385">
        <v>150000000</v>
      </c>
      <c r="E1052" s="6471">
        <v>0.05</v>
      </c>
      <c r="F1052" s="6385">
        <f>D1052*E1052</f>
        <v>7500000</v>
      </c>
      <c r="G1052" s="6385"/>
      <c r="H1052" s="6385"/>
      <c r="I1052" s="6385" t="s">
        <v>7314</v>
      </c>
      <c r="J1052" s="6385">
        <f t="shared" si="91"/>
        <v>0</v>
      </c>
      <c r="K1052" s="6389">
        <f t="shared" si="92"/>
        <v>7500000</v>
      </c>
      <c r="L1052" s="6477"/>
      <c r="M1052" s="386"/>
      <c r="N1052" s="386"/>
      <c r="O1052" s="386"/>
      <c r="P1052" s="386"/>
      <c r="Q1052" s="386"/>
    </row>
    <row r="1053" spans="1:17" ht="30" customHeight="1" x14ac:dyDescent="0.2">
      <c r="A1053" s="6475"/>
      <c r="B1053" s="6405" t="s">
        <v>3308</v>
      </c>
      <c r="C1053" s="6434" t="s">
        <v>3323</v>
      </c>
      <c r="D1053" s="6393">
        <v>20000000</v>
      </c>
      <c r="E1053" s="6471">
        <v>0.05</v>
      </c>
      <c r="F1053" s="6393">
        <f>D1053*E1053</f>
        <v>1000000</v>
      </c>
      <c r="G1053" s="6385"/>
      <c r="H1053" s="6385"/>
      <c r="I1053" s="6385" t="s">
        <v>6136</v>
      </c>
      <c r="J1053" s="6385">
        <f t="shared" si="91"/>
        <v>0</v>
      </c>
      <c r="K1053" s="6458">
        <f t="shared" si="92"/>
        <v>1000000</v>
      </c>
      <c r="L1053" s="6477"/>
      <c r="M1053" s="386"/>
      <c r="N1053" s="386"/>
      <c r="O1053" s="386"/>
      <c r="P1053" s="386"/>
      <c r="Q1053" s="386"/>
    </row>
    <row r="1054" spans="1:17" ht="30" customHeight="1" x14ac:dyDescent="0.2">
      <c r="A1054" s="6475"/>
      <c r="B1054" s="6405" t="s">
        <v>4305</v>
      </c>
      <c r="C1054" s="6434" t="s">
        <v>889</v>
      </c>
      <c r="D1054" s="6393">
        <v>200000000</v>
      </c>
      <c r="E1054" s="6471">
        <v>0.05</v>
      </c>
      <c r="F1054" s="6393">
        <f>D1054*E1054</f>
        <v>10000000</v>
      </c>
      <c r="G1054" s="6385"/>
      <c r="H1054" s="6385"/>
      <c r="I1054" s="6385" t="s">
        <v>7431</v>
      </c>
      <c r="J1054" s="6385">
        <f t="shared" si="91"/>
        <v>0</v>
      </c>
      <c r="K1054" s="6458">
        <f t="shared" si="92"/>
        <v>10000000</v>
      </c>
      <c r="L1054" s="6477"/>
      <c r="M1054" s="386"/>
      <c r="N1054" s="386"/>
      <c r="O1054" s="386"/>
      <c r="P1054" s="386"/>
      <c r="Q1054" s="386"/>
    </row>
    <row r="1055" spans="1:17" ht="30" customHeight="1" x14ac:dyDescent="0.2">
      <c r="A1055" s="6475"/>
      <c r="B1055" s="6405" t="s">
        <v>3332</v>
      </c>
      <c r="C1055" s="6407"/>
      <c r="D1055" s="6456"/>
      <c r="E1055" s="2519"/>
      <c r="F1055" s="6411"/>
      <c r="G1055" s="6385"/>
      <c r="H1055" s="6385"/>
      <c r="I1055" s="6385"/>
      <c r="J1055" s="6385">
        <f t="shared" si="91"/>
        <v>0</v>
      </c>
      <c r="K1055" s="6463"/>
      <c r="L1055" s="6477"/>
      <c r="M1055" s="386"/>
      <c r="N1055" s="386"/>
      <c r="O1055" s="386"/>
      <c r="P1055" s="386"/>
      <c r="Q1055" s="386"/>
    </row>
    <row r="1056" spans="1:17" ht="30" customHeight="1" x14ac:dyDescent="0.2">
      <c r="A1056" s="7654"/>
      <c r="B1056" s="7652" t="s">
        <v>3395</v>
      </c>
      <c r="C1056" s="7723" t="s">
        <v>889</v>
      </c>
      <c r="D1056" s="7563">
        <v>1000000000</v>
      </c>
      <c r="E1056" s="7659">
        <v>6.5000000000000002E-2</v>
      </c>
      <c r="F1056" s="7563">
        <f>D1056*E1056</f>
        <v>65000000</v>
      </c>
      <c r="G1056" s="6385"/>
      <c r="H1056" s="6385"/>
      <c r="I1056" s="6385" t="s">
        <v>7346</v>
      </c>
      <c r="J1056" s="7563">
        <f>G1056+G1057+G1058</f>
        <v>0</v>
      </c>
      <c r="K1056" s="7816">
        <f>F1056-J1056</f>
        <v>65000000</v>
      </c>
      <c r="L1056" s="2700"/>
      <c r="M1056" s="386"/>
      <c r="N1056" s="386"/>
      <c r="O1056" s="386"/>
      <c r="P1056" s="386"/>
      <c r="Q1056" s="386"/>
    </row>
    <row r="1057" spans="1:17" ht="30" customHeight="1" x14ac:dyDescent="0.2">
      <c r="A1057" s="7656"/>
      <c r="B1057" s="7665"/>
      <c r="C1057" s="7747"/>
      <c r="D1057" s="7586"/>
      <c r="E1057" s="7676"/>
      <c r="F1057" s="7586"/>
      <c r="G1057" s="6385"/>
      <c r="H1057" s="6385"/>
      <c r="I1057" s="6385" t="s">
        <v>7434</v>
      </c>
      <c r="J1057" s="7586"/>
      <c r="K1057" s="7882"/>
      <c r="L1057" s="2700"/>
      <c r="M1057" s="386"/>
      <c r="N1057" s="386"/>
      <c r="O1057" s="386"/>
      <c r="P1057" s="386"/>
      <c r="Q1057" s="386"/>
    </row>
    <row r="1058" spans="1:17" ht="30" customHeight="1" x14ac:dyDescent="0.2">
      <c r="A1058" s="7656"/>
      <c r="B1058" s="7665"/>
      <c r="C1058" s="7724"/>
      <c r="D1058" s="7564"/>
      <c r="E1058" s="7660"/>
      <c r="F1058" s="7564"/>
      <c r="G1058" s="6385"/>
      <c r="H1058" s="6385"/>
      <c r="I1058" s="6385" t="s">
        <v>7451</v>
      </c>
      <c r="J1058" s="7564"/>
      <c r="K1058" s="7817"/>
      <c r="L1058" s="2700"/>
      <c r="M1058" s="386"/>
      <c r="N1058" s="386"/>
      <c r="O1058" s="386"/>
      <c r="P1058" s="386"/>
      <c r="Q1058" s="386"/>
    </row>
    <row r="1059" spans="1:17" ht="30" customHeight="1" x14ac:dyDescent="0.2">
      <c r="A1059" s="7656"/>
      <c r="B1059" s="7665"/>
      <c r="C1059" s="7873" t="s">
        <v>1298</v>
      </c>
      <c r="D1059" s="7482">
        <v>500000000</v>
      </c>
      <c r="E1059" s="7870">
        <v>6.5000000000000002E-2</v>
      </c>
      <c r="F1059" s="7482">
        <f>D1059*E1059</f>
        <v>32500000</v>
      </c>
      <c r="G1059" s="6385"/>
      <c r="H1059" s="6385"/>
      <c r="I1059" s="6385" t="s">
        <v>7603</v>
      </c>
      <c r="J1059" s="7482">
        <f>G1059+G1060+G1061</f>
        <v>0</v>
      </c>
      <c r="K1059" s="7499">
        <f>F1059-J1059</f>
        <v>32500000</v>
      </c>
      <c r="L1059" s="2700"/>
      <c r="M1059" s="386"/>
      <c r="N1059" s="386"/>
      <c r="O1059" s="386"/>
      <c r="P1059" s="386"/>
      <c r="Q1059" s="386"/>
    </row>
    <row r="1060" spans="1:17" ht="30" customHeight="1" x14ac:dyDescent="0.2">
      <c r="A1060" s="7656"/>
      <c r="B1060" s="7665"/>
      <c r="C1060" s="7873"/>
      <c r="D1060" s="7482"/>
      <c r="E1060" s="7870"/>
      <c r="F1060" s="7482"/>
      <c r="G1060" s="6385"/>
      <c r="H1060" s="6385"/>
      <c r="I1060" s="6385" t="s">
        <v>7451</v>
      </c>
      <c r="J1060" s="7482"/>
      <c r="K1060" s="7499"/>
      <c r="L1060" s="2700"/>
      <c r="M1060" s="386"/>
      <c r="N1060" s="386"/>
      <c r="O1060" s="386"/>
      <c r="P1060" s="386"/>
      <c r="Q1060" s="386"/>
    </row>
    <row r="1061" spans="1:17" ht="30" customHeight="1" x14ac:dyDescent="0.2">
      <c r="A1061" s="7656"/>
      <c r="B1061" s="7665"/>
      <c r="C1061" s="7873"/>
      <c r="D1061" s="7482"/>
      <c r="E1061" s="7870"/>
      <c r="F1061" s="7482"/>
      <c r="G1061" s="6385"/>
      <c r="H1061" s="7563"/>
      <c r="I1061" s="7563" t="s">
        <v>7451</v>
      </c>
      <c r="J1061" s="7482"/>
      <c r="K1061" s="7499"/>
      <c r="L1061" s="2700"/>
      <c r="M1061" s="386"/>
      <c r="N1061" s="386"/>
      <c r="O1061" s="386"/>
      <c r="P1061" s="386"/>
      <c r="Q1061" s="386"/>
    </row>
    <row r="1062" spans="1:17" ht="30" customHeight="1" x14ac:dyDescent="0.2">
      <c r="A1062" s="7655"/>
      <c r="B1062" s="7653"/>
      <c r="C1062" s="7873"/>
      <c r="D1062" s="7482"/>
      <c r="E1062" s="7870"/>
      <c r="F1062" s="7482"/>
      <c r="G1062" s="6385"/>
      <c r="H1062" s="7564"/>
      <c r="I1062" s="7564"/>
      <c r="J1062" s="6393">
        <f>G1062</f>
        <v>0</v>
      </c>
      <c r="K1062" s="898"/>
      <c r="L1062" s="2700"/>
      <c r="M1062" s="386"/>
      <c r="N1062" s="386"/>
      <c r="O1062" s="386"/>
      <c r="P1062" s="386"/>
      <c r="Q1062" s="386"/>
    </row>
    <row r="1063" spans="1:17" ht="30" customHeight="1" x14ac:dyDescent="0.2">
      <c r="A1063" s="7654"/>
      <c r="B1063" s="7661" t="s">
        <v>3514</v>
      </c>
      <c r="C1063" s="7747" t="s">
        <v>1652</v>
      </c>
      <c r="D1063" s="6439">
        <v>120000000</v>
      </c>
      <c r="E1063" s="5821">
        <v>0.05</v>
      </c>
      <c r="F1063" s="6439">
        <f>D1063*E1063</f>
        <v>6000000</v>
      </c>
      <c r="G1063" s="7760"/>
      <c r="H1063" s="7760"/>
      <c r="I1063" s="7760" t="s">
        <v>3418</v>
      </c>
      <c r="J1063" s="7760">
        <f t="shared" si="91"/>
        <v>0</v>
      </c>
      <c r="K1063" s="8566">
        <f>(F1063+F1064)-J1063</f>
        <v>7500000</v>
      </c>
      <c r="L1063" s="6455"/>
      <c r="M1063" s="386"/>
      <c r="N1063" s="386"/>
      <c r="O1063" s="386"/>
      <c r="P1063" s="386"/>
      <c r="Q1063" s="386"/>
    </row>
    <row r="1064" spans="1:17" ht="30" customHeight="1" x14ac:dyDescent="0.2">
      <c r="A1064" s="7655"/>
      <c r="B1064" s="7663"/>
      <c r="C1064" s="7724"/>
      <c r="D1064" s="3928">
        <v>30000000</v>
      </c>
      <c r="E1064" s="2348">
        <v>0.05</v>
      </c>
      <c r="F1064" s="3928">
        <f>D1064*E1064</f>
        <v>1500000</v>
      </c>
      <c r="G1064" s="7761"/>
      <c r="H1064" s="7761"/>
      <c r="I1064" s="7761"/>
      <c r="J1064" s="7761"/>
      <c r="K1064" s="8418"/>
      <c r="L1064" s="6454"/>
      <c r="M1064" s="386"/>
      <c r="N1064" s="386"/>
      <c r="O1064" s="386"/>
      <c r="P1064" s="386"/>
      <c r="Q1064" s="386"/>
    </row>
    <row r="1065" spans="1:17" s="1539" customFormat="1" ht="30" customHeight="1" x14ac:dyDescent="0.2">
      <c r="A1065" s="6432"/>
      <c r="B1065" s="6432" t="s">
        <v>3455</v>
      </c>
      <c r="C1065" s="6433" t="s">
        <v>3483</v>
      </c>
      <c r="D1065" s="6385">
        <v>80000000</v>
      </c>
      <c r="E1065" s="6471">
        <v>0.05</v>
      </c>
      <c r="F1065" s="6385">
        <f t="shared" ref="F1065:F1077" si="93">D1065*E1065</f>
        <v>4000000</v>
      </c>
      <c r="G1065" s="6385"/>
      <c r="H1065" s="6385"/>
      <c r="I1065" s="6385" t="s">
        <v>3992</v>
      </c>
      <c r="J1065" s="6385">
        <f>G1065</f>
        <v>0</v>
      </c>
      <c r="K1065" s="6389">
        <f>F1065-J1065</f>
        <v>4000000</v>
      </c>
      <c r="L1065" s="6389"/>
      <c r="M1065" s="387"/>
      <c r="N1065" s="387"/>
      <c r="O1065" s="387"/>
      <c r="P1065" s="387"/>
      <c r="Q1065" s="387"/>
    </row>
    <row r="1066" spans="1:17" s="184" customFormat="1" ht="30" customHeight="1" x14ac:dyDescent="0.2">
      <c r="A1066" s="7654"/>
      <c r="B1066" s="7661" t="s">
        <v>3459</v>
      </c>
      <c r="C1066" s="7723" t="s">
        <v>262</v>
      </c>
      <c r="D1066" s="8026">
        <v>2050000000</v>
      </c>
      <c r="E1066" s="8028">
        <v>0.08</v>
      </c>
      <c r="F1066" s="8026">
        <f>D1066*E1066</f>
        <v>164000000</v>
      </c>
      <c r="G1066" s="7732" t="s">
        <v>5456</v>
      </c>
      <c r="H1066" s="7733"/>
      <c r="I1066" s="7733"/>
      <c r="J1066" s="7734"/>
      <c r="K1066" s="6389"/>
      <c r="L1066" s="6477" t="s">
        <v>6281</v>
      </c>
      <c r="M1066" s="386"/>
      <c r="N1066" s="386"/>
      <c r="O1066" s="386"/>
      <c r="P1066" s="386"/>
      <c r="Q1066" s="386"/>
    </row>
    <row r="1067" spans="1:17" s="184" customFormat="1" ht="30" customHeight="1" x14ac:dyDescent="0.2">
      <c r="A1067" s="7656"/>
      <c r="B1067" s="7662"/>
      <c r="C1067" s="7747"/>
      <c r="D1067" s="8497"/>
      <c r="E1067" s="8498"/>
      <c r="F1067" s="8497"/>
      <c r="G1067" s="7732" t="s">
        <v>6364</v>
      </c>
      <c r="H1067" s="7733"/>
      <c r="I1067" s="7733"/>
      <c r="J1067" s="7734"/>
      <c r="K1067" s="6389"/>
      <c r="L1067" s="6477"/>
      <c r="M1067" s="386"/>
      <c r="N1067" s="386"/>
      <c r="O1067" s="386"/>
      <c r="P1067" s="386"/>
      <c r="Q1067" s="386"/>
    </row>
    <row r="1068" spans="1:17" s="184" customFormat="1" ht="30" customHeight="1" x14ac:dyDescent="0.2">
      <c r="A1068" s="7656"/>
      <c r="B1068" s="7662"/>
      <c r="C1068" s="7747"/>
      <c r="D1068" s="8027"/>
      <c r="E1068" s="8029"/>
      <c r="F1068" s="8027"/>
      <c r="G1068" s="7732" t="s">
        <v>6282</v>
      </c>
      <c r="H1068" s="7733"/>
      <c r="I1068" s="7733"/>
      <c r="J1068" s="7734"/>
      <c r="K1068" s="6389"/>
      <c r="L1068" s="6477" t="s">
        <v>6283</v>
      </c>
      <c r="M1068" s="386"/>
      <c r="N1068" s="386"/>
      <c r="O1068" s="386"/>
      <c r="P1068" s="386"/>
      <c r="Q1068" s="386"/>
    </row>
    <row r="1069" spans="1:17" s="184" customFormat="1" ht="30" customHeight="1" x14ac:dyDescent="0.2">
      <c r="A1069" s="7656"/>
      <c r="B1069" s="7662"/>
      <c r="C1069" s="7747"/>
      <c r="D1069" s="6393">
        <v>100000000</v>
      </c>
      <c r="E1069" s="6402"/>
      <c r="F1069" s="6393"/>
      <c r="G1069" s="7732" t="s">
        <v>7417</v>
      </c>
      <c r="H1069" s="7733"/>
      <c r="I1069" s="7733"/>
      <c r="J1069" s="7734"/>
      <c r="K1069" s="6389"/>
      <c r="L1069" s="6477"/>
      <c r="M1069" s="386"/>
      <c r="N1069" s="386"/>
      <c r="O1069" s="386"/>
      <c r="P1069" s="386"/>
      <c r="Q1069" s="386"/>
    </row>
    <row r="1070" spans="1:17" s="184" customFormat="1" ht="30" customHeight="1" x14ac:dyDescent="0.2">
      <c r="A1070" s="7656"/>
      <c r="B1070" s="7662"/>
      <c r="C1070" s="7747"/>
      <c r="D1070" s="6393">
        <v>100000000</v>
      </c>
      <c r="E1070" s="6402"/>
      <c r="F1070" s="6393"/>
      <c r="G1070" s="7732" t="s">
        <v>7418</v>
      </c>
      <c r="H1070" s="7733"/>
      <c r="I1070" s="7733"/>
      <c r="J1070" s="7734"/>
      <c r="K1070" s="6389"/>
      <c r="L1070" s="6477"/>
      <c r="M1070" s="386"/>
      <c r="N1070" s="386"/>
      <c r="O1070" s="386"/>
      <c r="P1070" s="386"/>
      <c r="Q1070" s="386"/>
    </row>
    <row r="1071" spans="1:17" s="184" customFormat="1" ht="30" customHeight="1" x14ac:dyDescent="0.2">
      <c r="A1071" s="7656"/>
      <c r="B1071" s="7662"/>
      <c r="C1071" s="7747"/>
      <c r="D1071" s="6393">
        <v>300000000</v>
      </c>
      <c r="E1071" s="6402"/>
      <c r="F1071" s="6393"/>
      <c r="G1071" s="7732" t="s">
        <v>7419</v>
      </c>
      <c r="H1071" s="7733"/>
      <c r="I1071" s="7733"/>
      <c r="J1071" s="7734"/>
      <c r="K1071" s="6389"/>
      <c r="L1071" s="6477" t="s">
        <v>7420</v>
      </c>
      <c r="M1071" s="386"/>
      <c r="N1071" s="386"/>
      <c r="O1071" s="386"/>
      <c r="P1071" s="386"/>
      <c r="Q1071" s="386"/>
    </row>
    <row r="1072" spans="1:17" s="184" customFormat="1" ht="30" customHeight="1" x14ac:dyDescent="0.2">
      <c r="A1072" s="7656"/>
      <c r="B1072" s="7662"/>
      <c r="C1072" s="7747"/>
      <c r="D1072" s="6393">
        <v>62000000</v>
      </c>
      <c r="E1072" s="6402"/>
      <c r="F1072" s="6393"/>
      <c r="G1072" s="7732" t="s">
        <v>7421</v>
      </c>
      <c r="H1072" s="7733"/>
      <c r="I1072" s="7733"/>
      <c r="J1072" s="7734"/>
      <c r="K1072" s="6389"/>
      <c r="L1072" s="6477"/>
      <c r="M1072" s="386"/>
      <c r="N1072" s="386"/>
      <c r="O1072" s="386"/>
      <c r="P1072" s="386"/>
      <c r="Q1072" s="386"/>
    </row>
    <row r="1073" spans="1:17" s="184" customFormat="1" ht="30" customHeight="1" x14ac:dyDescent="0.2">
      <c r="A1073" s="7656"/>
      <c r="B1073" s="7662"/>
      <c r="C1073" s="7747"/>
      <c r="D1073" s="6393">
        <v>138000000</v>
      </c>
      <c r="E1073" s="6402"/>
      <c r="F1073" s="6393"/>
      <c r="G1073" s="6422"/>
      <c r="H1073" s="6423"/>
      <c r="I1073" s="6423"/>
      <c r="J1073" s="6424"/>
      <c r="K1073" s="6389"/>
      <c r="L1073" s="6477" t="s">
        <v>7422</v>
      </c>
      <c r="M1073" s="386"/>
      <c r="N1073" s="386"/>
      <c r="O1073" s="386"/>
      <c r="P1073" s="386"/>
      <c r="Q1073" s="386"/>
    </row>
    <row r="1074" spans="1:17" s="184" customFormat="1" ht="30" customHeight="1" x14ac:dyDescent="0.2">
      <c r="A1074" s="7655"/>
      <c r="B1074" s="7663"/>
      <c r="C1074" s="7724"/>
      <c r="D1074" s="6494">
        <f>SUM(D1069:D1073)</f>
        <v>700000000</v>
      </c>
      <c r="E1074" s="6496"/>
      <c r="F1074" s="6494"/>
      <c r="G1074" s="6422"/>
      <c r="H1074" s="6423"/>
      <c r="I1074" s="6423"/>
      <c r="J1074" s="6424"/>
      <c r="K1074" s="6389"/>
      <c r="L1074" s="6477"/>
      <c r="M1074" s="386"/>
      <c r="N1074" s="386"/>
      <c r="O1074" s="386"/>
      <c r="P1074" s="386"/>
      <c r="Q1074" s="386"/>
    </row>
    <row r="1075" spans="1:17" s="184" customFormat="1" ht="30" customHeight="1" x14ac:dyDescent="0.2">
      <c r="A1075" s="6475"/>
      <c r="B1075" s="6405" t="s">
        <v>3480</v>
      </c>
      <c r="C1075" s="6472" t="s">
        <v>372</v>
      </c>
      <c r="D1075" s="6385">
        <v>85000000</v>
      </c>
      <c r="E1075" s="6471">
        <v>7.0000000000000007E-2</v>
      </c>
      <c r="F1075" s="6385">
        <f t="shared" si="93"/>
        <v>5950000.0000000009</v>
      </c>
      <c r="G1075" s="6385"/>
      <c r="H1075" s="6385"/>
      <c r="I1075" s="6385" t="s">
        <v>3481</v>
      </c>
      <c r="J1075" s="6385">
        <f t="shared" ref="J1075:J1080" si="94">G1075</f>
        <v>0</v>
      </c>
      <c r="K1075" s="6389">
        <f t="shared" ref="K1075:K1077" si="95">F1075-J1075</f>
        <v>5950000.0000000009</v>
      </c>
      <c r="L1075" s="6477"/>
      <c r="M1075" s="386"/>
      <c r="N1075" s="386"/>
      <c r="O1075" s="386"/>
      <c r="P1075" s="386"/>
      <c r="Q1075" s="386"/>
    </row>
    <row r="1076" spans="1:17" s="184" customFormat="1" ht="30" customHeight="1" x14ac:dyDescent="0.2">
      <c r="A1076" s="6475"/>
      <c r="B1076" s="6405" t="s">
        <v>3482</v>
      </c>
      <c r="C1076" s="6472" t="s">
        <v>3483</v>
      </c>
      <c r="D1076" s="6385">
        <v>70000000</v>
      </c>
      <c r="E1076" s="6471">
        <v>0.05</v>
      </c>
      <c r="F1076" s="6385">
        <f t="shared" si="93"/>
        <v>3500000</v>
      </c>
      <c r="G1076" s="6385"/>
      <c r="H1076" s="6385"/>
      <c r="I1076" s="6385" t="s">
        <v>4428</v>
      </c>
      <c r="J1076" s="6385">
        <f t="shared" si="94"/>
        <v>0</v>
      </c>
      <c r="K1076" s="6389">
        <f t="shared" si="95"/>
        <v>3500000</v>
      </c>
      <c r="L1076" s="6477"/>
      <c r="M1076" s="386"/>
      <c r="N1076" s="386"/>
      <c r="O1076" s="386"/>
      <c r="P1076" s="386"/>
      <c r="Q1076" s="386"/>
    </row>
    <row r="1077" spans="1:17" s="184" customFormat="1" ht="30" customHeight="1" x14ac:dyDescent="0.2">
      <c r="A1077" s="6475"/>
      <c r="B1077" s="6405" t="s">
        <v>3979</v>
      </c>
      <c r="C1077" s="6472" t="s">
        <v>889</v>
      </c>
      <c r="D1077" s="6385">
        <v>20000000</v>
      </c>
      <c r="E1077" s="6471">
        <v>0.05</v>
      </c>
      <c r="F1077" s="6385">
        <f t="shared" si="93"/>
        <v>1000000</v>
      </c>
      <c r="G1077" s="6385"/>
      <c r="H1077" s="6385"/>
      <c r="I1077" s="6385" t="s">
        <v>2494</v>
      </c>
      <c r="J1077" s="6385">
        <f t="shared" si="94"/>
        <v>0</v>
      </c>
      <c r="K1077" s="6389">
        <f t="shared" si="95"/>
        <v>1000000</v>
      </c>
      <c r="L1077" s="6477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6483"/>
      <c r="B1078" s="6431" t="s">
        <v>3554</v>
      </c>
      <c r="C1078" s="6434" t="s">
        <v>372</v>
      </c>
      <c r="D1078" s="6385">
        <v>10000000</v>
      </c>
      <c r="E1078" s="6471">
        <v>0.05</v>
      </c>
      <c r="F1078" s="6385">
        <f>D1078*E1078</f>
        <v>500000</v>
      </c>
      <c r="G1078" s="6393"/>
      <c r="H1078" s="6393"/>
      <c r="I1078" s="6443" t="s">
        <v>3555</v>
      </c>
      <c r="J1078" s="6393">
        <f t="shared" si="94"/>
        <v>0</v>
      </c>
      <c r="K1078" s="6393">
        <f>F1078-J1078</f>
        <v>500000</v>
      </c>
      <c r="L1078" s="6455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6427"/>
      <c r="B1079" s="6468" t="s">
        <v>4442</v>
      </c>
      <c r="C1079" s="6433" t="s">
        <v>4223</v>
      </c>
      <c r="D1079" s="6385">
        <v>100000000</v>
      </c>
      <c r="E1079" s="6471">
        <v>0.05</v>
      </c>
      <c r="F1079" s="6385">
        <f>D1079*E1079</f>
        <v>5000000</v>
      </c>
      <c r="G1079" s="6385"/>
      <c r="H1079" s="6385"/>
      <c r="I1079" s="6385" t="s">
        <v>6388</v>
      </c>
      <c r="J1079" s="6391">
        <f t="shared" si="94"/>
        <v>0</v>
      </c>
      <c r="K1079" s="6391">
        <f>F1079-J1079</f>
        <v>5000000</v>
      </c>
      <c r="L1079" s="847"/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6483"/>
      <c r="B1080" s="6431" t="s">
        <v>3566</v>
      </c>
      <c r="C1080" s="6472"/>
      <c r="D1080" s="6385">
        <v>6000000</v>
      </c>
      <c r="E1080" s="6471">
        <f>F1080/D1080</f>
        <v>0.05</v>
      </c>
      <c r="F1080" s="6385">
        <v>300000</v>
      </c>
      <c r="G1080" s="6385"/>
      <c r="H1080" s="6385"/>
      <c r="I1080" s="6385" t="s">
        <v>3567</v>
      </c>
      <c r="J1080" s="6385">
        <f t="shared" si="94"/>
        <v>0</v>
      </c>
      <c r="K1080" s="6385">
        <f>F1080-J1080</f>
        <v>300000</v>
      </c>
      <c r="L1080" s="2177" t="s">
        <v>3568</v>
      </c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7703"/>
      <c r="B1081" s="7652" t="s">
        <v>3590</v>
      </c>
      <c r="C1081" s="7723" t="s">
        <v>2278</v>
      </c>
      <c r="D1081" s="7563">
        <v>870000000</v>
      </c>
      <c r="E1081" s="7659">
        <v>7.0999999999999994E-2</v>
      </c>
      <c r="F1081" s="7563">
        <v>62000000</v>
      </c>
      <c r="G1081" s="7563"/>
      <c r="H1081" s="7563"/>
      <c r="I1081" s="7563" t="s">
        <v>7564</v>
      </c>
      <c r="J1081" s="7563">
        <f>G1081+G1084</f>
        <v>0</v>
      </c>
      <c r="K1081" s="7563">
        <f>F1085-J1081</f>
        <v>104500000</v>
      </c>
      <c r="L1081" s="6455" t="s">
        <v>6974</v>
      </c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7704"/>
      <c r="B1082" s="7665"/>
      <c r="C1082" s="7747"/>
      <c r="D1082" s="7586"/>
      <c r="E1082" s="7676"/>
      <c r="F1082" s="7586"/>
      <c r="G1082" s="7586"/>
      <c r="H1082" s="7586"/>
      <c r="I1082" s="7586"/>
      <c r="J1082" s="7586"/>
      <c r="K1082" s="7586"/>
      <c r="L1082" s="6455" t="s">
        <v>6975</v>
      </c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7704"/>
      <c r="B1083" s="7665"/>
      <c r="C1083" s="7747"/>
      <c r="D1083" s="6391">
        <v>150000000</v>
      </c>
      <c r="E1083" s="6401">
        <v>7.0999999999999994E-2</v>
      </c>
      <c r="F1083" s="6385">
        <f>D1083*E1083</f>
        <v>10649999.999999998</v>
      </c>
      <c r="G1083" s="7564"/>
      <c r="H1083" s="7564"/>
      <c r="I1083" s="7564"/>
      <c r="J1083" s="7586"/>
      <c r="K1083" s="7586"/>
      <c r="L1083" s="6455" t="s">
        <v>6976</v>
      </c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7704"/>
      <c r="B1084" s="7665"/>
      <c r="C1084" s="7747"/>
      <c r="D1084" s="6391">
        <f>D1081+D1083+1000000</f>
        <v>1021000000</v>
      </c>
      <c r="E1084" s="6401">
        <v>7.0999999999999994E-2</v>
      </c>
      <c r="F1084" s="6385">
        <v>72500000</v>
      </c>
      <c r="G1084" s="7563"/>
      <c r="H1084" s="7563"/>
      <c r="I1084" s="7563"/>
      <c r="J1084" s="7586"/>
      <c r="K1084" s="7586"/>
      <c r="L1084" s="6455"/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7705"/>
      <c r="B1085" s="7653"/>
      <c r="C1085" s="7724"/>
      <c r="D1085" s="6493">
        <v>1478000000</v>
      </c>
      <c r="E1085" s="6495">
        <v>7.0999999999999994E-2</v>
      </c>
      <c r="F1085" s="6513">
        <v>104500000</v>
      </c>
      <c r="G1085" s="7564"/>
      <c r="H1085" s="7564"/>
      <c r="I1085" s="7564"/>
      <c r="J1085" s="7564"/>
      <c r="K1085" s="7564"/>
      <c r="L1085" s="6517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6483"/>
      <c r="B1086" s="6431" t="s">
        <v>3597</v>
      </c>
      <c r="C1086" s="6472" t="s">
        <v>889</v>
      </c>
      <c r="D1086" s="6385">
        <v>200000000</v>
      </c>
      <c r="E1086" s="6471">
        <v>0.05</v>
      </c>
      <c r="F1086" s="6385">
        <f>D1086*E1086</f>
        <v>10000000</v>
      </c>
      <c r="G1086" s="6385"/>
      <c r="H1086" s="6385"/>
      <c r="I1086" s="6385" t="s">
        <v>3598</v>
      </c>
      <c r="J1086" s="6385">
        <f>G1086</f>
        <v>0</v>
      </c>
      <c r="K1086" s="6385">
        <f>F1086-J1086</f>
        <v>10000000</v>
      </c>
      <c r="L1086" s="6455"/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7703"/>
      <c r="B1087" s="7652" t="s">
        <v>3612</v>
      </c>
      <c r="C1087" s="7723" t="s">
        <v>2278</v>
      </c>
      <c r="D1087" s="6385">
        <v>100000000</v>
      </c>
      <c r="E1087" s="6471">
        <v>0.05</v>
      </c>
      <c r="F1087" s="6385">
        <f t="shared" ref="F1087:F1097" si="96">D1087*E1087</f>
        <v>5000000</v>
      </c>
      <c r="G1087" s="7732" t="s">
        <v>6812</v>
      </c>
      <c r="H1087" s="7733"/>
      <c r="I1087" s="7733"/>
      <c r="J1087" s="7734"/>
      <c r="K1087" s="6385">
        <f>F1087-J1087</f>
        <v>5000000</v>
      </c>
      <c r="L1087" s="6455" t="s">
        <v>6881</v>
      </c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7704"/>
      <c r="B1088" s="7665"/>
      <c r="C1088" s="7747"/>
      <c r="D1088" s="6385">
        <v>100000000</v>
      </c>
      <c r="E1088" s="6471">
        <v>0.05</v>
      </c>
      <c r="F1088" s="6385">
        <f>D1088*E1088</f>
        <v>5000000</v>
      </c>
      <c r="G1088" s="7732" t="s">
        <v>6875</v>
      </c>
      <c r="H1088" s="7733"/>
      <c r="I1088" s="7733"/>
      <c r="J1088" s="7734"/>
      <c r="K1088" s="6385"/>
      <c r="L1088" s="6455" t="s">
        <v>6879</v>
      </c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7705"/>
      <c r="B1089" s="7653"/>
      <c r="C1089" s="7724"/>
      <c r="D1089" s="6513">
        <v>200000000</v>
      </c>
      <c r="E1089" s="6552">
        <v>0.05</v>
      </c>
      <c r="F1089" s="6513">
        <f>D1089*E1089</f>
        <v>10000000</v>
      </c>
      <c r="G1089" s="6385"/>
      <c r="H1089" s="6385"/>
      <c r="I1089" s="6385" t="s">
        <v>4125</v>
      </c>
      <c r="J1089" s="6385">
        <f>G1089</f>
        <v>0</v>
      </c>
      <c r="K1089" s="6385">
        <f>F1089-J1089</f>
        <v>10000000</v>
      </c>
      <c r="L1089" s="6455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6483"/>
      <c r="B1090" s="6431" t="s">
        <v>4055</v>
      </c>
      <c r="C1090" s="6472" t="s">
        <v>2278</v>
      </c>
      <c r="D1090" s="6385">
        <v>200000000</v>
      </c>
      <c r="E1090" s="6471">
        <v>0.05</v>
      </c>
      <c r="F1090" s="6385">
        <f>D1090*E1090</f>
        <v>10000000</v>
      </c>
      <c r="G1090" s="6385"/>
      <c r="H1090" s="6385"/>
      <c r="I1090" s="6385" t="s">
        <v>6428</v>
      </c>
      <c r="J1090" s="6385">
        <f>G1090</f>
        <v>0</v>
      </c>
      <c r="K1090" s="6385">
        <f>F1090-J1090</f>
        <v>10000000</v>
      </c>
      <c r="L1090" s="1660" t="s">
        <v>4520</v>
      </c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7703"/>
      <c r="B1091" s="7652" t="s">
        <v>3674</v>
      </c>
      <c r="C1091" s="7723" t="s">
        <v>402</v>
      </c>
      <c r="D1091" s="7563">
        <v>1300000000</v>
      </c>
      <c r="E1091" s="7659">
        <v>7.0000000000000007E-2</v>
      </c>
      <c r="F1091" s="7563">
        <f t="shared" si="96"/>
        <v>91000000.000000015</v>
      </c>
      <c r="G1091" s="6385">
        <v>30000000</v>
      </c>
      <c r="H1091" s="6385" t="s">
        <v>7864</v>
      </c>
      <c r="I1091" s="6385" t="s">
        <v>7872</v>
      </c>
      <c r="J1091" s="7563">
        <f>G1091+G1092</f>
        <v>30000000</v>
      </c>
      <c r="K1091" s="7563"/>
      <c r="L1091" s="6455" t="s">
        <v>3709</v>
      </c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7704"/>
      <c r="B1092" s="7665"/>
      <c r="C1092" s="7747"/>
      <c r="D1092" s="7564"/>
      <c r="E1092" s="7660"/>
      <c r="F1092" s="7564"/>
      <c r="G1092" s="6385"/>
      <c r="H1092" s="6385"/>
      <c r="I1092" s="6385"/>
      <c r="J1092" s="7564"/>
      <c r="K1092" s="7564"/>
      <c r="L1092" s="6455"/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7705"/>
      <c r="B1093" s="7653"/>
      <c r="C1093" s="7724"/>
      <c r="D1093" s="6393">
        <v>500000000</v>
      </c>
      <c r="E1093" s="6402"/>
      <c r="F1093" s="6393"/>
      <c r="G1093" s="6385"/>
      <c r="H1093" s="6385"/>
      <c r="I1093" s="6385"/>
      <c r="J1093" s="6393"/>
      <c r="K1093" s="6393"/>
      <c r="L1093" s="6455" t="s">
        <v>7167</v>
      </c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7703"/>
      <c r="B1094" s="7652" t="s">
        <v>3707</v>
      </c>
      <c r="C1094" s="7723" t="s">
        <v>3390</v>
      </c>
      <c r="D1094" s="7563">
        <v>10000000</v>
      </c>
      <c r="E1094" s="7659">
        <v>0.05</v>
      </c>
      <c r="F1094" s="7563">
        <f t="shared" si="96"/>
        <v>500000</v>
      </c>
      <c r="G1094" s="6385"/>
      <c r="H1094" s="6385"/>
      <c r="I1094" s="6385" t="s">
        <v>6570</v>
      </c>
      <c r="J1094" s="6385">
        <f>G1094</f>
        <v>0</v>
      </c>
      <c r="K1094" s="6385">
        <f>F1094-J1094</f>
        <v>500000</v>
      </c>
      <c r="L1094" s="6455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7705"/>
      <c r="B1095" s="7653"/>
      <c r="C1095" s="7724"/>
      <c r="D1095" s="7564"/>
      <c r="E1095" s="7660"/>
      <c r="F1095" s="7564"/>
      <c r="G1095" s="6385"/>
      <c r="H1095" s="6385"/>
      <c r="I1095" s="6385" t="s">
        <v>6570</v>
      </c>
      <c r="J1095" s="6385">
        <f>G1095</f>
        <v>0</v>
      </c>
      <c r="K1095" s="6385">
        <f>F1094-J1095</f>
        <v>500000</v>
      </c>
      <c r="L1095" s="6455"/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7703"/>
      <c r="B1096" s="7652" t="s">
        <v>3710</v>
      </c>
      <c r="C1096" s="7723" t="s">
        <v>262</v>
      </c>
      <c r="D1096" s="6385">
        <v>58000000</v>
      </c>
      <c r="E1096" s="6471">
        <v>0.05</v>
      </c>
      <c r="F1096" s="6385">
        <f t="shared" si="96"/>
        <v>2900000</v>
      </c>
      <c r="G1096" s="6385"/>
      <c r="H1096" s="6385"/>
      <c r="I1096" s="6385"/>
      <c r="J1096" s="6385"/>
      <c r="K1096" s="6385"/>
      <c r="L1096" s="6455"/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7704"/>
      <c r="B1097" s="7665"/>
      <c r="C1097" s="7747"/>
      <c r="D1097" s="6385">
        <v>39500000</v>
      </c>
      <c r="E1097" s="6471">
        <v>0.05</v>
      </c>
      <c r="F1097" s="6385">
        <f t="shared" si="96"/>
        <v>1975000</v>
      </c>
      <c r="G1097" s="6385"/>
      <c r="H1097" s="6385"/>
      <c r="I1097" s="6385"/>
      <c r="J1097" s="6385"/>
      <c r="K1097" s="6385"/>
      <c r="L1097" s="6455" t="s">
        <v>5276</v>
      </c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7705"/>
      <c r="B1098" s="7653"/>
      <c r="C1098" s="7724"/>
      <c r="D1098" s="6513">
        <f>D1096+D1097</f>
        <v>97500000</v>
      </c>
      <c r="E1098" s="6552"/>
      <c r="F1098" s="6513"/>
      <c r="G1098" s="6385"/>
      <c r="H1098" s="6385"/>
      <c r="I1098" s="6385"/>
      <c r="J1098" s="6385"/>
      <c r="K1098" s="6385"/>
      <c r="L1098" s="6455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6483"/>
      <c r="B1099" s="6431" t="s">
        <v>3742</v>
      </c>
      <c r="C1099" s="6472" t="s">
        <v>1300</v>
      </c>
      <c r="D1099" s="6385">
        <v>100000000</v>
      </c>
      <c r="E1099" s="6471">
        <v>0.05</v>
      </c>
      <c r="F1099" s="6385">
        <f>D1099*E1099</f>
        <v>5000000</v>
      </c>
      <c r="G1099" s="6385"/>
      <c r="H1099" s="6385"/>
      <c r="I1099" s="6385" t="s">
        <v>4776</v>
      </c>
      <c r="J1099" s="6385">
        <f>G1099</f>
        <v>0</v>
      </c>
      <c r="K1099" s="6385">
        <f>F1099-J1099</f>
        <v>5000000</v>
      </c>
      <c r="L1099" s="6455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6483"/>
      <c r="B1100" s="6431" t="s">
        <v>3743</v>
      </c>
      <c r="C1100" s="6472" t="s">
        <v>1300</v>
      </c>
      <c r="D1100" s="6393">
        <v>96000000</v>
      </c>
      <c r="E1100" s="6402">
        <v>0.05</v>
      </c>
      <c r="F1100" s="6393">
        <v>5000000</v>
      </c>
      <c r="G1100" s="6385"/>
      <c r="H1100" s="6385"/>
      <c r="I1100" s="6385" t="s">
        <v>3525</v>
      </c>
      <c r="J1100" s="6385">
        <f>G1100</f>
        <v>0</v>
      </c>
      <c r="K1100" s="6385">
        <f>F1100-J1100</f>
        <v>5000000</v>
      </c>
      <c r="L1100" s="6455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6483"/>
      <c r="B1101" s="6431" t="s">
        <v>3871</v>
      </c>
      <c r="C1101" s="6472" t="s">
        <v>3390</v>
      </c>
      <c r="D1101" s="6385">
        <v>50000000</v>
      </c>
      <c r="E1101" s="6402">
        <v>0.05</v>
      </c>
      <c r="F1101" s="6393">
        <f>D1101*E1101</f>
        <v>2500000</v>
      </c>
      <c r="G1101" s="6393"/>
      <c r="H1101" s="6393"/>
      <c r="I1101" s="6443"/>
      <c r="J1101" s="6393"/>
      <c r="K1101" s="6393"/>
      <c r="L1101" s="6455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6483"/>
      <c r="B1102" s="6431" t="s">
        <v>3890</v>
      </c>
      <c r="C1102" s="6472"/>
      <c r="D1102" s="6394"/>
      <c r="E1102" s="6394"/>
      <c r="F1102" s="6394"/>
      <c r="G1102" s="6393"/>
      <c r="H1102" s="6393"/>
      <c r="I1102" s="6443" t="s">
        <v>3891</v>
      </c>
      <c r="J1102" s="6393">
        <f>G1102</f>
        <v>0</v>
      </c>
      <c r="K1102" s="6393">
        <f>F1102-J1102</f>
        <v>0</v>
      </c>
      <c r="L1102" s="6455"/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7703"/>
      <c r="B1103" s="7652" t="s">
        <v>3895</v>
      </c>
      <c r="C1103" s="7723" t="s">
        <v>4105</v>
      </c>
      <c r="D1103" s="6385">
        <v>120000000</v>
      </c>
      <c r="E1103" s="6402">
        <v>0.05</v>
      </c>
      <c r="F1103" s="6393">
        <f t="shared" ref="F1103:F1114" si="97">D1103*E1103</f>
        <v>6000000</v>
      </c>
      <c r="G1103" s="7563"/>
      <c r="H1103" s="7563"/>
      <c r="I1103" s="7563" t="s">
        <v>4313</v>
      </c>
      <c r="J1103" s="7563">
        <f>G1103</f>
        <v>0</v>
      </c>
      <c r="K1103" s="7563">
        <f>(F1103+F1104)-J1103</f>
        <v>8100000</v>
      </c>
      <c r="L1103" s="7811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7704"/>
      <c r="B1104" s="7665"/>
      <c r="C1104" s="7747"/>
      <c r="D1104" s="6393">
        <v>30000000</v>
      </c>
      <c r="E1104" s="6402">
        <v>7.0000000000000007E-2</v>
      </c>
      <c r="F1104" s="6393">
        <f t="shared" si="97"/>
        <v>2100000</v>
      </c>
      <c r="G1104" s="7564"/>
      <c r="H1104" s="7564"/>
      <c r="I1104" s="7564"/>
      <c r="J1104" s="7564"/>
      <c r="K1104" s="7564"/>
      <c r="L1104" s="7812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7704"/>
      <c r="B1105" s="7665"/>
      <c r="C1105" s="7747"/>
      <c r="D1105" s="6385">
        <v>120000000</v>
      </c>
      <c r="E1105" s="6402">
        <v>0.05</v>
      </c>
      <c r="F1105" s="6393">
        <f t="shared" si="97"/>
        <v>6000000</v>
      </c>
      <c r="G1105" s="7563"/>
      <c r="H1105" s="7563"/>
      <c r="I1105" s="7563" t="s">
        <v>4313</v>
      </c>
      <c r="J1105" s="7563">
        <f>G1105</f>
        <v>0</v>
      </c>
      <c r="K1105" s="7563">
        <f>(F1105+F1106)-J1105</f>
        <v>8100000</v>
      </c>
      <c r="L1105" s="7811"/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7705"/>
      <c r="B1106" s="7653"/>
      <c r="C1106" s="7724"/>
      <c r="D1106" s="6393">
        <v>30000000</v>
      </c>
      <c r="E1106" s="6402">
        <v>7.0000000000000007E-2</v>
      </c>
      <c r="F1106" s="6393">
        <f t="shared" si="97"/>
        <v>2100000</v>
      </c>
      <c r="G1106" s="7564"/>
      <c r="H1106" s="7564"/>
      <c r="I1106" s="7564"/>
      <c r="J1106" s="7564"/>
      <c r="K1106" s="7564"/>
      <c r="L1106" s="7812"/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7703"/>
      <c r="B1107" s="7652" t="s">
        <v>3956</v>
      </c>
      <c r="C1107" s="7723" t="s">
        <v>3390</v>
      </c>
      <c r="D1107" s="7563">
        <v>50000000</v>
      </c>
      <c r="E1107" s="7659">
        <v>0.05</v>
      </c>
      <c r="F1107" s="7563">
        <f t="shared" si="97"/>
        <v>2500000</v>
      </c>
      <c r="G1107" s="6393"/>
      <c r="H1107" s="6393"/>
      <c r="I1107" s="6443" t="s">
        <v>4121</v>
      </c>
      <c r="J1107" s="6393">
        <f>G1107</f>
        <v>0</v>
      </c>
      <c r="K1107" s="6393">
        <f>F1107-J1107</f>
        <v>2500000</v>
      </c>
      <c r="L1107" s="6455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7705"/>
      <c r="B1108" s="7653"/>
      <c r="C1108" s="7724"/>
      <c r="D1108" s="7564"/>
      <c r="E1108" s="7660"/>
      <c r="F1108" s="7564"/>
      <c r="G1108" s="6393"/>
      <c r="H1108" s="6393"/>
      <c r="I1108" s="6443" t="s">
        <v>4121</v>
      </c>
      <c r="J1108" s="6393">
        <f>G1108</f>
        <v>0</v>
      </c>
      <c r="K1108" s="6393">
        <f>F1107-J1108</f>
        <v>2500000</v>
      </c>
      <c r="L1108" s="6455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7703"/>
      <c r="B1109" s="7717" t="s">
        <v>4902</v>
      </c>
      <c r="C1109" s="7873" t="s">
        <v>942</v>
      </c>
      <c r="D1109" s="7482">
        <v>800000000</v>
      </c>
      <c r="E1109" s="7870">
        <v>6.5000000000000002E-2</v>
      </c>
      <c r="F1109" s="7778">
        <f t="shared" si="97"/>
        <v>52000000</v>
      </c>
      <c r="G1109" s="6385"/>
      <c r="H1109" s="6385"/>
      <c r="I1109" s="6385" t="s">
        <v>4147</v>
      </c>
      <c r="J1109" s="6385">
        <f>G1109</f>
        <v>0</v>
      </c>
      <c r="K1109" s="6385">
        <f>F1109-J1109</f>
        <v>52000000</v>
      </c>
      <c r="L1109" s="6517"/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7704"/>
      <c r="B1110" s="7717"/>
      <c r="C1110" s="7873"/>
      <c r="D1110" s="7482"/>
      <c r="E1110" s="7870"/>
      <c r="F1110" s="7778"/>
      <c r="G1110" s="6385"/>
      <c r="H1110" s="6385"/>
      <c r="I1110" s="6385" t="s">
        <v>4147</v>
      </c>
      <c r="J1110" s="7563">
        <f>G1110+G1111</f>
        <v>0</v>
      </c>
      <c r="K1110" s="7563">
        <f>F1109-J1110</f>
        <v>52000000</v>
      </c>
      <c r="L1110" s="8265"/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7705"/>
      <c r="B1111" s="7717"/>
      <c r="C1111" s="7873"/>
      <c r="D1111" s="7482"/>
      <c r="E1111" s="7870"/>
      <c r="F1111" s="7778"/>
      <c r="G1111" s="6385"/>
      <c r="H1111" s="6385"/>
      <c r="I1111" s="6385" t="s">
        <v>4147</v>
      </c>
      <c r="J1111" s="7564"/>
      <c r="K1111" s="7564"/>
      <c r="L1111" s="8266"/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7703"/>
      <c r="B1112" s="7665" t="s">
        <v>3964</v>
      </c>
      <c r="C1112" s="7747" t="s">
        <v>4223</v>
      </c>
      <c r="D1112" s="6393">
        <v>58000000</v>
      </c>
      <c r="E1112" s="6402">
        <v>0.05</v>
      </c>
      <c r="F1112" s="6393">
        <f t="shared" si="97"/>
        <v>2900000</v>
      </c>
      <c r="G1112" s="7586"/>
      <c r="H1112" s="7586"/>
      <c r="I1112" s="7586" t="s">
        <v>5535</v>
      </c>
      <c r="J1112" s="7586">
        <f>G1112</f>
        <v>0</v>
      </c>
      <c r="K1112" s="7586">
        <f>(F1112+F1113)-J1112</f>
        <v>4900000</v>
      </c>
      <c r="L1112" s="6455"/>
      <c r="M1112" s="386"/>
      <c r="N1112" s="386"/>
      <c r="O1112" s="386"/>
      <c r="P1112" s="386"/>
      <c r="Q1112" s="386"/>
    </row>
    <row r="1113" spans="1:17" s="1659" customFormat="1" ht="30" customHeight="1" x14ac:dyDescent="0.2">
      <c r="A1113" s="7705"/>
      <c r="B1113" s="7653"/>
      <c r="C1113" s="7724"/>
      <c r="D1113" s="6393">
        <v>40000000</v>
      </c>
      <c r="E1113" s="6402">
        <v>0.05</v>
      </c>
      <c r="F1113" s="6393">
        <f t="shared" si="97"/>
        <v>2000000</v>
      </c>
      <c r="G1113" s="7564"/>
      <c r="H1113" s="7564"/>
      <c r="I1113" s="7564"/>
      <c r="J1113" s="7564"/>
      <c r="K1113" s="7564"/>
      <c r="L1113" s="6455"/>
      <c r="M1113" s="386"/>
      <c r="N1113" s="386"/>
      <c r="O1113" s="386"/>
      <c r="P1113" s="386"/>
      <c r="Q1113" s="386"/>
    </row>
    <row r="1114" spans="1:17" s="1659" customFormat="1" ht="30" customHeight="1" x14ac:dyDescent="0.2">
      <c r="A1114" s="7703"/>
      <c r="B1114" s="7652" t="s">
        <v>896</v>
      </c>
      <c r="C1114" s="6472"/>
      <c r="D1114" s="6393">
        <v>130000000</v>
      </c>
      <c r="E1114" s="6402">
        <v>0.05</v>
      </c>
      <c r="F1114" s="6393">
        <f t="shared" si="97"/>
        <v>6500000</v>
      </c>
      <c r="G1114" s="6393"/>
      <c r="H1114" s="6393"/>
      <c r="I1114" s="6443" t="s">
        <v>4869</v>
      </c>
      <c r="J1114" s="6393">
        <f t="shared" ref="J1114:J1121" si="98">G1114</f>
        <v>0</v>
      </c>
      <c r="K1114" s="6393">
        <f>F1114-J1114</f>
        <v>6500000</v>
      </c>
      <c r="L1114" s="6455"/>
      <c r="M1114" s="386"/>
      <c r="N1114" s="386"/>
      <c r="O1114" s="386"/>
      <c r="P1114" s="386"/>
      <c r="Q1114" s="386"/>
    </row>
    <row r="1115" spans="1:17" s="1659" customFormat="1" ht="30" customHeight="1" x14ac:dyDescent="0.2">
      <c r="A1115" s="7704"/>
      <c r="B1115" s="7665"/>
      <c r="C1115" s="6472" t="s">
        <v>262</v>
      </c>
      <c r="D1115" s="6385">
        <v>342000000</v>
      </c>
      <c r="E1115" s="6402">
        <v>5.5E-2</v>
      </c>
      <c r="F1115" s="6385">
        <v>18800000</v>
      </c>
      <c r="G1115" s="6385"/>
      <c r="H1115" s="6385"/>
      <c r="I1115" s="6385" t="s">
        <v>4869</v>
      </c>
      <c r="J1115" s="6385">
        <f>G1115</f>
        <v>0</v>
      </c>
      <c r="K1115" s="6393">
        <f>F1115-J1115</f>
        <v>18800000</v>
      </c>
      <c r="L1115" s="6455" t="s">
        <v>7348</v>
      </c>
      <c r="M1115" s="386"/>
      <c r="N1115" s="386"/>
      <c r="O1115" s="386"/>
      <c r="P1115" s="386"/>
      <c r="Q1115" s="386"/>
    </row>
    <row r="1116" spans="1:17" s="1659" customFormat="1" ht="30" customHeight="1" x14ac:dyDescent="0.2">
      <c r="A1116" s="7704"/>
      <c r="B1116" s="7665"/>
      <c r="C1116" s="735"/>
      <c r="D1116" s="7494" t="s">
        <v>7000</v>
      </c>
      <c r="E1116" s="7495"/>
      <c r="F1116" s="7768"/>
      <c r="G1116" s="7470" t="s">
        <v>7866</v>
      </c>
      <c r="H1116" s="7493"/>
      <c r="I1116" s="7510"/>
      <c r="J1116" s="7563">
        <f>G1117+G1118+G1119</f>
        <v>20000000</v>
      </c>
      <c r="K1116" s="7563">
        <f>40000000-J1116</f>
        <v>20000000</v>
      </c>
      <c r="L1116" s="7816"/>
      <c r="M1116" s="386"/>
      <c r="N1116" s="386"/>
      <c r="O1116" s="386"/>
      <c r="P1116" s="386"/>
      <c r="Q1116" s="386"/>
    </row>
    <row r="1117" spans="1:17" s="1659" customFormat="1" ht="30" customHeight="1" x14ac:dyDescent="0.2">
      <c r="A1117" s="7704"/>
      <c r="B1117" s="7665"/>
      <c r="C1117" s="735"/>
      <c r="D1117" s="7877"/>
      <c r="E1117" s="7524"/>
      <c r="F1117" s="7878"/>
      <c r="G1117" s="6385">
        <v>20000000</v>
      </c>
      <c r="H1117" s="6385" t="s">
        <v>7864</v>
      </c>
      <c r="I1117" s="6385" t="s">
        <v>7566</v>
      </c>
      <c r="J1117" s="7586"/>
      <c r="K1117" s="7586"/>
      <c r="L1117" s="7882"/>
      <c r="M1117" s="386"/>
      <c r="N1117" s="386"/>
      <c r="O1117" s="386"/>
      <c r="P1117" s="386"/>
      <c r="Q1117" s="386"/>
    </row>
    <row r="1118" spans="1:17" s="1659" customFormat="1" ht="30" customHeight="1" x14ac:dyDescent="0.2">
      <c r="A1118" s="7704"/>
      <c r="B1118" s="7665"/>
      <c r="C1118" s="735"/>
      <c r="D1118" s="7877"/>
      <c r="E1118" s="7524"/>
      <c r="F1118" s="7878"/>
      <c r="G1118" s="6385"/>
      <c r="H1118" s="6385"/>
      <c r="I1118" s="6385" t="s">
        <v>7566</v>
      </c>
      <c r="J1118" s="7586"/>
      <c r="K1118" s="7586"/>
      <c r="L1118" s="7882"/>
      <c r="M1118" s="386"/>
      <c r="N1118" s="386"/>
      <c r="O1118" s="386"/>
      <c r="P1118" s="386"/>
      <c r="Q1118" s="386"/>
    </row>
    <row r="1119" spans="1:17" s="1659" customFormat="1" ht="30" customHeight="1" x14ac:dyDescent="0.2">
      <c r="A1119" s="7705"/>
      <c r="B1119" s="7653"/>
      <c r="C1119" s="710"/>
      <c r="D1119" s="7769"/>
      <c r="E1119" s="7805"/>
      <c r="F1119" s="7770"/>
      <c r="G1119" s="6385"/>
      <c r="H1119" s="6385"/>
      <c r="I1119" s="6385"/>
      <c r="J1119" s="7564"/>
      <c r="K1119" s="7564"/>
      <c r="L1119" s="7817"/>
      <c r="M1119" s="386"/>
      <c r="N1119" s="386"/>
      <c r="O1119" s="386"/>
      <c r="P1119" s="386"/>
      <c r="Q1119" s="386"/>
    </row>
    <row r="1120" spans="1:17" s="1659" customFormat="1" ht="30" customHeight="1" x14ac:dyDescent="0.2">
      <c r="A1120" s="6483"/>
      <c r="B1120" s="6431" t="s">
        <v>4014</v>
      </c>
      <c r="C1120" s="6434" t="s">
        <v>4223</v>
      </c>
      <c r="D1120" s="6393">
        <v>100000000</v>
      </c>
      <c r="E1120" s="6402">
        <v>0.06</v>
      </c>
      <c r="F1120" s="6393">
        <f>D1120*E1120</f>
        <v>6000000</v>
      </c>
      <c r="G1120" s="6385"/>
      <c r="H1120" s="6385"/>
      <c r="I1120" s="6385" t="s">
        <v>5085</v>
      </c>
      <c r="J1120" s="6385">
        <f t="shared" si="98"/>
        <v>0</v>
      </c>
      <c r="K1120" s="6393">
        <f>F1120-J1120</f>
        <v>6000000</v>
      </c>
      <c r="L1120" s="6455"/>
      <c r="M1120" s="386"/>
      <c r="N1120" s="386"/>
      <c r="O1120" s="386"/>
      <c r="P1120" s="386"/>
      <c r="Q1120" s="386"/>
    </row>
    <row r="1121" spans="1:17" s="1659" customFormat="1" ht="30" customHeight="1" x14ac:dyDescent="0.2">
      <c r="A1121" s="6483"/>
      <c r="B1121" s="6431" t="s">
        <v>4025</v>
      </c>
      <c r="C1121" s="6434" t="s">
        <v>1718</v>
      </c>
      <c r="D1121" s="6393">
        <v>110000000</v>
      </c>
      <c r="E1121" s="6402">
        <v>0.04</v>
      </c>
      <c r="F1121" s="6393">
        <f>D1121*E1121</f>
        <v>4400000</v>
      </c>
      <c r="G1121" s="6393"/>
      <c r="H1121" s="6393"/>
      <c r="I1121" s="6443" t="s">
        <v>3469</v>
      </c>
      <c r="J1121" s="6393">
        <f t="shared" si="98"/>
        <v>0</v>
      </c>
      <c r="K1121" s="6393">
        <f>F1121-J1121</f>
        <v>4400000</v>
      </c>
      <c r="L1121" s="6455" t="s">
        <v>7849</v>
      </c>
      <c r="M1121" s="386"/>
      <c r="N1121" s="386"/>
      <c r="O1121" s="386"/>
      <c r="P1121" s="386"/>
      <c r="Q1121" s="386"/>
    </row>
    <row r="1122" spans="1:17" s="1659" customFormat="1" ht="30" customHeight="1" x14ac:dyDescent="0.2">
      <c r="A1122" s="6483"/>
      <c r="B1122" s="6431" t="s">
        <v>1455</v>
      </c>
      <c r="C1122" s="6434"/>
      <c r="D1122" s="6393">
        <v>50000000</v>
      </c>
      <c r="E1122" s="6402">
        <v>0.05</v>
      </c>
      <c r="F1122" s="6393">
        <f>D1122*E1122</f>
        <v>2500000</v>
      </c>
      <c r="G1122" s="6385"/>
      <c r="H1122" s="6385"/>
      <c r="I1122" s="6385"/>
      <c r="J1122" s="6385"/>
      <c r="K1122" s="6393"/>
      <c r="L1122" s="6455"/>
      <c r="M1122" s="386"/>
      <c r="N1122" s="386"/>
      <c r="O1122" s="386"/>
      <c r="P1122" s="386"/>
      <c r="Q1122" s="386"/>
    </row>
    <row r="1123" spans="1:17" s="1659" customFormat="1" ht="30" customHeight="1" x14ac:dyDescent="0.2">
      <c r="A1123" s="7703"/>
      <c r="B1123" s="7652" t="s">
        <v>4037</v>
      </c>
      <c r="C1123" s="7723"/>
      <c r="D1123" s="6391">
        <v>21000000</v>
      </c>
      <c r="E1123" s="6385"/>
      <c r="F1123" s="6391"/>
      <c r="G1123" s="6391"/>
      <c r="H1123" s="6391"/>
      <c r="I1123" s="6391"/>
      <c r="J1123" s="6391"/>
      <c r="K1123" s="6392"/>
      <c r="L1123" s="6478" t="s">
        <v>4219</v>
      </c>
      <c r="M1123" s="386"/>
      <c r="N1123" s="386"/>
      <c r="O1123" s="386"/>
      <c r="P1123" s="386"/>
      <c r="Q1123" s="386"/>
    </row>
    <row r="1124" spans="1:17" s="1659" customFormat="1" ht="30" customHeight="1" x14ac:dyDescent="0.2">
      <c r="A1124" s="7705"/>
      <c r="B1124" s="7653"/>
      <c r="C1124" s="7724"/>
      <c r="D1124" s="6391">
        <v>520000000</v>
      </c>
      <c r="E1124" s="6393"/>
      <c r="F1124" s="6391"/>
      <c r="G1124" s="6391"/>
      <c r="H1124" s="6391"/>
      <c r="I1124" s="6391"/>
      <c r="J1124" s="6391"/>
      <c r="K1124" s="6392"/>
      <c r="L1124" s="6478" t="s">
        <v>5126</v>
      </c>
      <c r="M1124" s="386"/>
      <c r="N1124" s="386"/>
      <c r="O1124" s="386"/>
      <c r="P1124" s="386"/>
      <c r="Q1124" s="386"/>
    </row>
    <row r="1125" spans="1:17" s="1659" customFormat="1" ht="30" customHeight="1" x14ac:dyDescent="0.2">
      <c r="A1125" s="7703"/>
      <c r="B1125" s="7652" t="s">
        <v>4046</v>
      </c>
      <c r="C1125" s="7723" t="s">
        <v>990</v>
      </c>
      <c r="D1125" s="6385">
        <v>47000000</v>
      </c>
      <c r="E1125" s="6402">
        <v>0.05</v>
      </c>
      <c r="F1125" s="6385">
        <f>D1125*E1125</f>
        <v>2350000</v>
      </c>
      <c r="G1125" s="7563"/>
      <c r="H1125" s="7563"/>
      <c r="I1125" s="7563" t="s">
        <v>4766</v>
      </c>
      <c r="J1125" s="7563">
        <f>G1125</f>
        <v>0</v>
      </c>
      <c r="K1125" s="7563"/>
      <c r="L1125" s="6477"/>
      <c r="M1125" s="386"/>
      <c r="N1125" s="386"/>
      <c r="O1125" s="386"/>
      <c r="P1125" s="386"/>
      <c r="Q1125" s="386"/>
    </row>
    <row r="1126" spans="1:17" s="1659" customFormat="1" ht="30" customHeight="1" x14ac:dyDescent="0.2">
      <c r="A1126" s="7704"/>
      <c r="B1126" s="7665"/>
      <c r="C1126" s="7747"/>
      <c r="D1126" s="6443">
        <v>90000000</v>
      </c>
      <c r="E1126" s="6402">
        <v>0.05</v>
      </c>
      <c r="F1126" s="6444">
        <f>D1126*E1126</f>
        <v>4500000</v>
      </c>
      <c r="G1126" s="7586"/>
      <c r="H1126" s="7586"/>
      <c r="I1126" s="7586"/>
      <c r="J1126" s="7586"/>
      <c r="K1126" s="7586"/>
      <c r="L1126" s="6455"/>
      <c r="M1126" s="386"/>
      <c r="N1126" s="386"/>
      <c r="O1126" s="386"/>
      <c r="P1126" s="386"/>
      <c r="Q1126" s="386"/>
    </row>
    <row r="1127" spans="1:17" s="1659" customFormat="1" ht="30" customHeight="1" x14ac:dyDescent="0.2">
      <c r="A1127" s="7704"/>
      <c r="B1127" s="7665"/>
      <c r="C1127" s="7747"/>
      <c r="D1127" s="6443">
        <v>3000000</v>
      </c>
      <c r="E1127" s="6402">
        <v>0.05</v>
      </c>
      <c r="F1127" s="6444">
        <f>D1127*E1127</f>
        <v>150000</v>
      </c>
      <c r="G1127" s="7564"/>
      <c r="H1127" s="7564"/>
      <c r="I1127" s="7564"/>
      <c r="J1127" s="7564"/>
      <c r="K1127" s="7564"/>
      <c r="L1127" s="6455"/>
      <c r="M1127" s="386"/>
      <c r="N1127" s="386"/>
      <c r="O1127" s="386"/>
      <c r="P1127" s="386"/>
      <c r="Q1127" s="386"/>
    </row>
    <row r="1128" spans="1:17" s="1659" customFormat="1" ht="30" customHeight="1" x14ac:dyDescent="0.2">
      <c r="A1128" s="7704"/>
      <c r="B1128" s="7665"/>
      <c r="C1128" s="7747"/>
      <c r="D1128" s="6443">
        <v>10000000</v>
      </c>
      <c r="E1128" s="6402">
        <v>0.05</v>
      </c>
      <c r="F1128" s="6444">
        <f t="shared" ref="F1128:F1129" si="99">D1128*E1128</f>
        <v>500000</v>
      </c>
      <c r="G1128" s="7732" t="s">
        <v>7141</v>
      </c>
      <c r="H1128" s="7733"/>
      <c r="I1128" s="7733"/>
      <c r="J1128" s="7734"/>
      <c r="K1128" s="6393"/>
      <c r="L1128" s="6455"/>
      <c r="M1128" s="386"/>
      <c r="N1128" s="386"/>
      <c r="O1128" s="386"/>
      <c r="P1128" s="386"/>
      <c r="Q1128" s="386"/>
    </row>
    <row r="1129" spans="1:17" s="1659" customFormat="1" ht="30" customHeight="1" x14ac:dyDescent="0.2">
      <c r="A1129" s="7704"/>
      <c r="B1129" s="7665"/>
      <c r="C1129" s="7747"/>
      <c r="D1129" s="6443">
        <v>10000000</v>
      </c>
      <c r="E1129" s="6402">
        <v>0.05</v>
      </c>
      <c r="F1129" s="6444">
        <f t="shared" si="99"/>
        <v>500000</v>
      </c>
      <c r="G1129" s="7732" t="s">
        <v>7142</v>
      </c>
      <c r="H1129" s="7733"/>
      <c r="I1129" s="7733"/>
      <c r="J1129" s="7734"/>
      <c r="K1129" s="6393"/>
      <c r="L1129" s="6455"/>
      <c r="M1129" s="386"/>
      <c r="N1129" s="386"/>
      <c r="O1129" s="386"/>
      <c r="P1129" s="386"/>
      <c r="Q1129" s="386"/>
    </row>
    <row r="1130" spans="1:17" s="1659" customFormat="1" ht="30" customHeight="1" x14ac:dyDescent="0.2">
      <c r="A1130" s="7705"/>
      <c r="B1130" s="7653"/>
      <c r="C1130" s="7724"/>
      <c r="D1130" s="6554">
        <f>SUM(D1125:D1129)</f>
        <v>160000000</v>
      </c>
      <c r="E1130" s="6496">
        <v>0.05</v>
      </c>
      <c r="F1130" s="6555">
        <f>D1130*E1130</f>
        <v>8000000</v>
      </c>
      <c r="G1130" s="6385"/>
      <c r="H1130" s="6385"/>
      <c r="I1130" s="6385" t="s">
        <v>7813</v>
      </c>
      <c r="J1130" s="6385">
        <f>G1130</f>
        <v>0</v>
      </c>
      <c r="K1130" s="6393">
        <f>F1130-J1130</f>
        <v>8000000</v>
      </c>
      <c r="L1130" s="6455"/>
      <c r="M1130" s="386"/>
      <c r="N1130" s="386"/>
      <c r="O1130" s="386"/>
      <c r="P1130" s="386"/>
      <c r="Q1130" s="386"/>
    </row>
    <row r="1131" spans="1:17" s="1659" customFormat="1" ht="30" customHeight="1" x14ac:dyDescent="0.2">
      <c r="A1131" s="6483"/>
      <c r="B1131" s="6400" t="s">
        <v>4079</v>
      </c>
      <c r="C1131" s="6434" t="s">
        <v>1652</v>
      </c>
      <c r="D1131" s="6443">
        <v>100000000</v>
      </c>
      <c r="E1131" s="6402">
        <v>0.05</v>
      </c>
      <c r="F1131" s="6444">
        <f>D1131*E1131</f>
        <v>5000000</v>
      </c>
      <c r="G1131" s="6393">
        <v>5000000</v>
      </c>
      <c r="H1131" s="6393" t="s">
        <v>7864</v>
      </c>
      <c r="I1131" s="6443" t="s">
        <v>5468</v>
      </c>
      <c r="J1131" s="6393">
        <f t="shared" ref="J1131:J1133" si="100">G1131</f>
        <v>5000000</v>
      </c>
      <c r="K1131" s="6393">
        <f>F1131-J1131</f>
        <v>0</v>
      </c>
      <c r="L1131" s="6455"/>
      <c r="M1131" s="386"/>
      <c r="N1131" s="386"/>
      <c r="O1131" s="386"/>
      <c r="P1131" s="386"/>
      <c r="Q1131" s="386"/>
    </row>
    <row r="1132" spans="1:17" s="1659" customFormat="1" ht="30" customHeight="1" x14ac:dyDescent="0.2">
      <c r="A1132" s="6483"/>
      <c r="B1132" s="6431" t="s">
        <v>4083</v>
      </c>
      <c r="C1132" s="6434"/>
      <c r="D1132" s="5816"/>
      <c r="E1132" s="6421"/>
      <c r="F1132" s="597"/>
      <c r="G1132" s="6393"/>
      <c r="H1132" s="6393"/>
      <c r="I1132" s="937">
        <v>5423044873</v>
      </c>
      <c r="J1132" s="6393">
        <f t="shared" si="100"/>
        <v>0</v>
      </c>
      <c r="K1132" s="6411"/>
      <c r="L1132" s="6455"/>
      <c r="M1132" s="386"/>
      <c r="N1132" s="386"/>
      <c r="O1132" s="386"/>
      <c r="P1132" s="386"/>
      <c r="Q1132" s="386"/>
    </row>
    <row r="1133" spans="1:17" s="1659" customFormat="1" ht="30" customHeight="1" x14ac:dyDescent="0.2">
      <c r="A1133" s="7703"/>
      <c r="B1133" s="7652" t="s">
        <v>4100</v>
      </c>
      <c r="C1133" s="7723" t="s">
        <v>1796</v>
      </c>
      <c r="D1133" s="6385">
        <v>11000000</v>
      </c>
      <c r="E1133" s="6471">
        <v>0.05</v>
      </c>
      <c r="F1133" s="6385">
        <f>D1133*E1133</f>
        <v>550000</v>
      </c>
      <c r="G1133" s="6385"/>
      <c r="H1133" s="6385"/>
      <c r="I1133" s="6385" t="s">
        <v>7300</v>
      </c>
      <c r="J1133" s="6385">
        <f t="shared" si="100"/>
        <v>0</v>
      </c>
      <c r="K1133" s="6385">
        <f>(F1133+F1134)-J1133</f>
        <v>2050000</v>
      </c>
      <c r="L1133" s="6455"/>
      <c r="M1133" s="386"/>
      <c r="N1133" s="386"/>
      <c r="O1133" s="386"/>
      <c r="P1133" s="386"/>
      <c r="Q1133" s="386"/>
    </row>
    <row r="1134" spans="1:17" s="1659" customFormat="1" ht="30" customHeight="1" x14ac:dyDescent="0.2">
      <c r="A1134" s="7705"/>
      <c r="B1134" s="7653"/>
      <c r="C1134" s="7724"/>
      <c r="D1134" s="6443">
        <v>30000000</v>
      </c>
      <c r="E1134" s="6402">
        <v>0.05</v>
      </c>
      <c r="F1134" s="6444">
        <f>D1134*E1134</f>
        <v>1500000</v>
      </c>
      <c r="G1134" s="6385"/>
      <c r="H1134" s="6385"/>
      <c r="I1134" s="6385" t="s">
        <v>7802</v>
      </c>
      <c r="J1134" s="6385">
        <f>G1134</f>
        <v>0</v>
      </c>
      <c r="K1134" s="6385">
        <f>(F1133+F1134)-J1134</f>
        <v>2050000</v>
      </c>
      <c r="L1134" s="6455"/>
      <c r="M1134" s="386"/>
      <c r="N1134" s="386"/>
      <c r="O1134" s="386"/>
      <c r="P1134" s="386"/>
      <c r="Q1134" s="386"/>
    </row>
    <row r="1135" spans="1:17" s="1659" customFormat="1" ht="30" customHeight="1" x14ac:dyDescent="0.2">
      <c r="A1135" s="6483"/>
      <c r="B1135" s="6431" t="s">
        <v>4114</v>
      </c>
      <c r="C1135" s="6434" t="s">
        <v>1172</v>
      </c>
      <c r="D1135" s="6443">
        <v>50000000</v>
      </c>
      <c r="E1135" s="6402">
        <v>0.05</v>
      </c>
      <c r="F1135" s="6444">
        <f>D1135*E1135</f>
        <v>2500000</v>
      </c>
      <c r="G1135" s="6393"/>
      <c r="H1135" s="6393"/>
      <c r="I1135" s="6443"/>
      <c r="J1135" s="6393"/>
      <c r="K1135" s="6393"/>
      <c r="L1135" s="6455"/>
      <c r="M1135" s="386"/>
      <c r="N1135" s="386"/>
      <c r="O1135" s="386"/>
      <c r="P1135" s="386"/>
      <c r="Q1135" s="386"/>
    </row>
    <row r="1136" spans="1:17" s="1659" customFormat="1" ht="30" customHeight="1" x14ac:dyDescent="0.2">
      <c r="A1136" s="6483"/>
      <c r="B1136" s="6431" t="s">
        <v>4115</v>
      </c>
      <c r="C1136" s="6434"/>
      <c r="D1136" s="6443">
        <v>5000000</v>
      </c>
      <c r="E1136" s="6402"/>
      <c r="F1136" s="6444"/>
      <c r="G1136" s="6393"/>
      <c r="H1136" s="6393"/>
      <c r="I1136" s="6443"/>
      <c r="J1136" s="6393"/>
      <c r="K1136" s="6393"/>
      <c r="L1136" s="6455"/>
      <c r="M1136" s="386"/>
      <c r="N1136" s="386"/>
      <c r="O1136" s="386"/>
      <c r="P1136" s="386"/>
      <c r="Q1136" s="386"/>
    </row>
    <row r="1137" spans="1:17" s="1659" customFormat="1" ht="30" customHeight="1" x14ac:dyDescent="0.2">
      <c r="A1137" s="6483"/>
      <c r="B1137" s="6431" t="s">
        <v>4131</v>
      </c>
      <c r="C1137" s="6434"/>
      <c r="D1137" s="6443">
        <v>45000000</v>
      </c>
      <c r="E1137" s="6402">
        <v>0.05</v>
      </c>
      <c r="F1137" s="6444">
        <f>D1137*E1137</f>
        <v>2250000</v>
      </c>
      <c r="G1137" s="6385">
        <v>2250000</v>
      </c>
      <c r="H1137" s="6385" t="s">
        <v>7864</v>
      </c>
      <c r="I1137" s="6385" t="s">
        <v>3561</v>
      </c>
      <c r="J1137" s="6385">
        <f>G1137</f>
        <v>2250000</v>
      </c>
      <c r="K1137" s="6393">
        <f>F1137-J1137</f>
        <v>0</v>
      </c>
      <c r="L1137" s="6455"/>
      <c r="M1137" s="386"/>
      <c r="N1137" s="386"/>
      <c r="O1137" s="386"/>
      <c r="P1137" s="386"/>
      <c r="Q1137" s="386"/>
    </row>
    <row r="1138" spans="1:17" s="1659" customFormat="1" ht="30" customHeight="1" x14ac:dyDescent="0.2">
      <c r="A1138" s="6483"/>
      <c r="B1138" s="6431" t="s">
        <v>4242</v>
      </c>
      <c r="C1138" s="6472" t="s">
        <v>1299</v>
      </c>
      <c r="D1138" s="6385">
        <v>60000000</v>
      </c>
      <c r="E1138" s="6471">
        <v>0.05</v>
      </c>
      <c r="F1138" s="6385">
        <f>D1138*E1138</f>
        <v>3000000</v>
      </c>
      <c r="G1138" s="6385"/>
      <c r="H1138" s="6385"/>
      <c r="I1138" s="6385" t="s">
        <v>5760</v>
      </c>
      <c r="J1138" s="6385">
        <f>G1138</f>
        <v>0</v>
      </c>
      <c r="K1138" s="6385">
        <f>F1138-J1138</f>
        <v>3000000</v>
      </c>
      <c r="L1138" s="6477"/>
      <c r="M1138" s="386"/>
      <c r="N1138" s="386"/>
      <c r="O1138" s="386"/>
      <c r="P1138" s="386"/>
      <c r="Q1138" s="386"/>
    </row>
    <row r="1139" spans="1:17" s="1659" customFormat="1" ht="30" customHeight="1" x14ac:dyDescent="0.2">
      <c r="A1139" s="6429"/>
      <c r="B1139" s="6400" t="s">
        <v>4139</v>
      </c>
      <c r="C1139" s="6434"/>
      <c r="D1139" s="6443">
        <v>10000000</v>
      </c>
      <c r="E1139" s="6402"/>
      <c r="F1139" s="6444"/>
      <c r="G1139" s="6393"/>
      <c r="H1139" s="6393"/>
      <c r="I1139" s="6443"/>
      <c r="J1139" s="6393"/>
      <c r="K1139" s="6393"/>
      <c r="L1139" s="7997"/>
      <c r="M1139" s="7733"/>
      <c r="N1139" s="7733"/>
      <c r="O1139" s="7734"/>
      <c r="P1139" s="386"/>
      <c r="Q1139" s="386"/>
    </row>
    <row r="1140" spans="1:17" s="1659" customFormat="1" ht="30" customHeight="1" x14ac:dyDescent="0.2">
      <c r="A1140" s="7703"/>
      <c r="B1140" s="7652" t="s">
        <v>4142</v>
      </c>
      <c r="C1140" s="7723"/>
      <c r="D1140" s="7563">
        <v>200000000</v>
      </c>
      <c r="E1140" s="7659">
        <v>7.0000000000000007E-2</v>
      </c>
      <c r="F1140" s="7563">
        <f>D1140*E1140</f>
        <v>14000000.000000002</v>
      </c>
      <c r="G1140" s="6443"/>
      <c r="H1140" s="6402"/>
      <c r="I1140" s="6444" t="s">
        <v>815</v>
      </c>
      <c r="J1140" s="6443">
        <f t="shared" ref="J1140:J1149" si="101">G1140</f>
        <v>0</v>
      </c>
      <c r="K1140" s="6393">
        <f>F1140-J1140</f>
        <v>14000000.000000002</v>
      </c>
      <c r="L1140" s="7732"/>
      <c r="M1140" s="7733"/>
      <c r="N1140" s="7733"/>
      <c r="O1140" s="7734"/>
      <c r="P1140" s="386"/>
      <c r="Q1140" s="386"/>
    </row>
    <row r="1141" spans="1:17" s="1659" customFormat="1" ht="30" customHeight="1" x14ac:dyDescent="0.2">
      <c r="A1141" s="7705"/>
      <c r="B1141" s="7653"/>
      <c r="C1141" s="7724"/>
      <c r="D1141" s="7564"/>
      <c r="E1141" s="7660"/>
      <c r="F1141" s="7564"/>
      <c r="G1141" s="6443"/>
      <c r="H1141" s="6402"/>
      <c r="I1141" s="6453" t="s">
        <v>815</v>
      </c>
      <c r="J1141" s="6443">
        <f>G1141</f>
        <v>0</v>
      </c>
      <c r="K1141" s="6393">
        <f>F1140-J1141</f>
        <v>14000000.000000002</v>
      </c>
      <c r="L1141" s="6485"/>
      <c r="M1141" s="6484"/>
      <c r="N1141" s="6484"/>
      <c r="O1141" s="6484"/>
      <c r="P1141" s="386"/>
      <c r="Q1141" s="386"/>
    </row>
    <row r="1142" spans="1:17" s="1659" customFormat="1" ht="30" customHeight="1" x14ac:dyDescent="0.2">
      <c r="A1142" s="6483"/>
      <c r="B1142" s="6530" t="s">
        <v>4155</v>
      </c>
      <c r="C1142" s="6434"/>
      <c r="D1142" s="5816"/>
      <c r="E1142" s="6421"/>
      <c r="F1142" s="597"/>
      <c r="G1142" s="6393"/>
      <c r="H1142" s="6393"/>
      <c r="I1142" s="6443" t="s">
        <v>4156</v>
      </c>
      <c r="J1142" s="6393">
        <f t="shared" si="101"/>
        <v>0</v>
      </c>
      <c r="K1142" s="6393"/>
      <c r="L1142" s="6455"/>
      <c r="M1142" s="6484"/>
      <c r="N1142" s="6484"/>
      <c r="O1142" s="6484"/>
      <c r="P1142" s="386"/>
      <c r="Q1142" s="386"/>
    </row>
    <row r="1143" spans="1:17" s="1659" customFormat="1" ht="30" customHeight="1" x14ac:dyDescent="0.2">
      <c r="A1143" s="6483"/>
      <c r="B1143" s="6530" t="s">
        <v>4157</v>
      </c>
      <c r="C1143" s="6434"/>
      <c r="D1143" s="5816"/>
      <c r="E1143" s="6421"/>
      <c r="F1143" s="597"/>
      <c r="G1143" s="6393"/>
      <c r="H1143" s="6393"/>
      <c r="I1143" s="6443" t="s">
        <v>4158</v>
      </c>
      <c r="J1143" s="6393">
        <f t="shared" si="101"/>
        <v>0</v>
      </c>
      <c r="K1143" s="6393"/>
      <c r="L1143" s="6455"/>
      <c r="M1143" s="6484"/>
      <c r="N1143" s="6484"/>
      <c r="O1143" s="6484"/>
      <c r="P1143" s="386"/>
      <c r="Q1143" s="386"/>
    </row>
    <row r="1144" spans="1:17" s="1659" customFormat="1" ht="30" customHeight="1" x14ac:dyDescent="0.2">
      <c r="A1144" s="6483"/>
      <c r="B1144" s="6530" t="s">
        <v>4160</v>
      </c>
      <c r="C1144" s="6434"/>
      <c r="D1144" s="5816"/>
      <c r="E1144" s="6421"/>
      <c r="F1144" s="597"/>
      <c r="G1144" s="6393"/>
      <c r="H1144" s="6393"/>
      <c r="I1144" s="6443" t="s">
        <v>4161</v>
      </c>
      <c r="J1144" s="6393">
        <f t="shared" si="101"/>
        <v>0</v>
      </c>
      <c r="K1144" s="6393"/>
      <c r="L1144" s="6455"/>
      <c r="M1144" s="6484"/>
      <c r="N1144" s="6484"/>
      <c r="O1144" s="6484"/>
      <c r="P1144" s="386"/>
      <c r="Q1144" s="386"/>
    </row>
    <row r="1145" spans="1:17" s="1659" customFormat="1" ht="30" customHeight="1" x14ac:dyDescent="0.2">
      <c r="A1145" s="6470"/>
      <c r="B1145" s="6468" t="s">
        <v>4162</v>
      </c>
      <c r="C1145" s="6433" t="s">
        <v>392</v>
      </c>
      <c r="D1145" s="6385">
        <v>95281280</v>
      </c>
      <c r="E1145" s="6471">
        <v>0.06</v>
      </c>
      <c r="F1145" s="6385">
        <v>5716876.7999999998</v>
      </c>
      <c r="G1145" s="6393"/>
      <c r="H1145" s="6393"/>
      <c r="I1145" s="6385" t="s">
        <v>1840</v>
      </c>
      <c r="J1145" s="6385">
        <f t="shared" si="101"/>
        <v>0</v>
      </c>
      <c r="K1145" s="6385">
        <f>F1145-J1145</f>
        <v>5716876.7999999998</v>
      </c>
      <c r="L1145" s="6477" t="s">
        <v>7671</v>
      </c>
      <c r="M1145" s="6484"/>
      <c r="N1145" s="6484"/>
      <c r="O1145" s="6484"/>
      <c r="P1145" s="386"/>
      <c r="Q1145" s="386"/>
    </row>
    <row r="1146" spans="1:17" s="1659" customFormat="1" ht="30" customHeight="1" x14ac:dyDescent="0.2">
      <c r="A1146" s="6483"/>
      <c r="B1146" s="6431" t="s">
        <v>4186</v>
      </c>
      <c r="C1146" s="6472" t="s">
        <v>392</v>
      </c>
      <c r="D1146" s="6385">
        <v>120000000</v>
      </c>
      <c r="E1146" s="6471">
        <v>0.05</v>
      </c>
      <c r="F1146" s="6385">
        <f t="shared" ref="F1146:F1149" si="102">D1146*E1146</f>
        <v>6000000</v>
      </c>
      <c r="G1146" s="6393"/>
      <c r="H1146" s="6393"/>
      <c r="I1146" s="6385" t="s">
        <v>5061</v>
      </c>
      <c r="J1146" s="6385">
        <f t="shared" si="101"/>
        <v>0</v>
      </c>
      <c r="K1146" s="6385">
        <f>F1146-J1146</f>
        <v>6000000</v>
      </c>
      <c r="L1146" s="6455"/>
      <c r="M1146" s="6484"/>
      <c r="N1146" s="6484"/>
      <c r="O1146" s="6484"/>
      <c r="P1146" s="386"/>
      <c r="Q1146" s="386"/>
    </row>
    <row r="1147" spans="1:17" s="1659" customFormat="1" ht="30" customHeight="1" x14ac:dyDescent="0.2">
      <c r="A1147" s="7703"/>
      <c r="B1147" s="7652" t="s">
        <v>4196</v>
      </c>
      <c r="C1147" s="7723" t="s">
        <v>1306</v>
      </c>
      <c r="D1147" s="7563">
        <v>100000000</v>
      </c>
      <c r="E1147" s="7659">
        <v>0.05</v>
      </c>
      <c r="F1147" s="7563">
        <f t="shared" si="102"/>
        <v>5000000</v>
      </c>
      <c r="G1147" s="6393"/>
      <c r="H1147" s="6393"/>
      <c r="I1147" s="6443" t="s">
        <v>5844</v>
      </c>
      <c r="J1147" s="6393">
        <f t="shared" si="101"/>
        <v>0</v>
      </c>
      <c r="K1147" s="6393">
        <f>F1147-J1147</f>
        <v>5000000</v>
      </c>
      <c r="L1147" s="6455"/>
      <c r="M1147" s="6484"/>
      <c r="N1147" s="6484"/>
      <c r="O1147" s="6484"/>
      <c r="P1147" s="386"/>
      <c r="Q1147" s="386"/>
    </row>
    <row r="1148" spans="1:17" s="1659" customFormat="1" ht="30" customHeight="1" x14ac:dyDescent="0.2">
      <c r="A1148" s="7705"/>
      <c r="B1148" s="7653"/>
      <c r="C1148" s="7724"/>
      <c r="D1148" s="7564"/>
      <c r="E1148" s="7660"/>
      <c r="F1148" s="7564"/>
      <c r="G1148" s="6393"/>
      <c r="H1148" s="6393"/>
      <c r="I1148" s="6443" t="s">
        <v>5844</v>
      </c>
      <c r="J1148" s="6393">
        <f t="shared" si="101"/>
        <v>0</v>
      </c>
      <c r="K1148" s="6393">
        <f>F1147-J1148</f>
        <v>5000000</v>
      </c>
      <c r="L1148" s="6455"/>
      <c r="M1148" s="6484"/>
      <c r="N1148" s="6484"/>
      <c r="O1148" s="6484"/>
      <c r="P1148" s="386"/>
      <c r="Q1148" s="386"/>
    </row>
    <row r="1149" spans="1:17" s="1659" customFormat="1" ht="30" customHeight="1" x14ac:dyDescent="0.2">
      <c r="A1149" s="6483"/>
      <c r="B1149" s="6431" t="s">
        <v>4213</v>
      </c>
      <c r="C1149" s="6472" t="s">
        <v>4105</v>
      </c>
      <c r="D1149" s="6385">
        <v>100000000</v>
      </c>
      <c r="E1149" s="6471">
        <v>7.0000000000000007E-2</v>
      </c>
      <c r="F1149" s="6385">
        <f t="shared" si="102"/>
        <v>7000000.0000000009</v>
      </c>
      <c r="G1149" s="6393"/>
      <c r="H1149" s="6393"/>
      <c r="I1149" s="6443" t="s">
        <v>4845</v>
      </c>
      <c r="J1149" s="6393">
        <f t="shared" si="101"/>
        <v>0</v>
      </c>
      <c r="K1149" s="6393">
        <f>F1149-J1149</f>
        <v>7000000.0000000009</v>
      </c>
      <c r="L1149" s="6517"/>
      <c r="M1149" s="6484"/>
      <c r="N1149" s="6484"/>
      <c r="O1149" s="6484"/>
      <c r="P1149" s="386"/>
      <c r="Q1149" s="386"/>
    </row>
    <row r="1150" spans="1:17" s="1659" customFormat="1" ht="30" customHeight="1" x14ac:dyDescent="0.2">
      <c r="A1150" s="6483"/>
      <c r="B1150" s="6431" t="s">
        <v>4292</v>
      </c>
      <c r="C1150" s="6472"/>
      <c r="D1150" s="6385"/>
      <c r="E1150" s="6402"/>
      <c r="F1150" s="6393"/>
      <c r="G1150" s="6393"/>
      <c r="H1150" s="6393"/>
      <c r="I1150" s="6443"/>
      <c r="J1150" s="6393"/>
      <c r="K1150" s="6393"/>
      <c r="L1150" s="4242" t="s">
        <v>6056</v>
      </c>
      <c r="M1150" s="6484"/>
      <c r="N1150" s="6484"/>
      <c r="O1150" s="6484"/>
      <c r="P1150" s="386"/>
      <c r="Q1150" s="386"/>
    </row>
    <row r="1151" spans="1:17" s="1659" customFormat="1" ht="30" customHeight="1" x14ac:dyDescent="0.2">
      <c r="A1151" s="7703"/>
      <c r="B1151" s="7652" t="s">
        <v>4295</v>
      </c>
      <c r="C1151" s="7723" t="s">
        <v>4296</v>
      </c>
      <c r="D1151" s="7563">
        <v>80000000</v>
      </c>
      <c r="E1151" s="7659">
        <v>0.05</v>
      </c>
      <c r="F1151" s="7563">
        <f>D1151*E1151</f>
        <v>4000000</v>
      </c>
      <c r="G1151" s="6393">
        <v>2000000</v>
      </c>
      <c r="H1151" s="6393" t="s">
        <v>7864</v>
      </c>
      <c r="I1151" s="6443" t="s">
        <v>7869</v>
      </c>
      <c r="J1151" s="6393">
        <f t="shared" ref="J1151:J1171" si="103">G1151</f>
        <v>2000000</v>
      </c>
      <c r="K1151" s="6393">
        <f>2000000-J1151</f>
        <v>0</v>
      </c>
      <c r="L1151" s="6517" t="s">
        <v>7501</v>
      </c>
      <c r="M1151" s="6484"/>
      <c r="N1151" s="6484"/>
      <c r="O1151" s="6484"/>
      <c r="P1151" s="386"/>
      <c r="Q1151" s="386"/>
    </row>
    <row r="1152" spans="1:17" s="1659" customFormat="1" ht="30" customHeight="1" x14ac:dyDescent="0.2">
      <c r="A1152" s="7704"/>
      <c r="B1152" s="7665"/>
      <c r="C1152" s="7747"/>
      <c r="D1152" s="7586"/>
      <c r="E1152" s="7676"/>
      <c r="F1152" s="7586"/>
      <c r="G1152" s="6393"/>
      <c r="H1152" s="6393"/>
      <c r="I1152" s="6443" t="s">
        <v>7815</v>
      </c>
      <c r="J1152" s="7563">
        <f t="shared" si="103"/>
        <v>0</v>
      </c>
      <c r="K1152" s="7563">
        <f>F1151-J1152</f>
        <v>4000000</v>
      </c>
      <c r="L1152" s="8265"/>
      <c r="M1152" s="6484"/>
      <c r="N1152" s="6484"/>
      <c r="O1152" s="6484"/>
      <c r="P1152" s="386"/>
      <c r="Q1152" s="386"/>
    </row>
    <row r="1153" spans="1:17" s="1659" customFormat="1" ht="30" customHeight="1" x14ac:dyDescent="0.2">
      <c r="A1153" s="7705"/>
      <c r="B1153" s="7653"/>
      <c r="C1153" s="7724"/>
      <c r="D1153" s="7564"/>
      <c r="E1153" s="7660"/>
      <c r="F1153" s="7564"/>
      <c r="G1153" s="6393"/>
      <c r="H1153" s="6393"/>
      <c r="I1153" s="6443"/>
      <c r="J1153" s="7564"/>
      <c r="K1153" s="7564"/>
      <c r="L1153" s="8266"/>
      <c r="M1153" s="6484"/>
      <c r="N1153" s="6484"/>
      <c r="O1153" s="6484"/>
      <c r="P1153" s="386"/>
      <c r="Q1153" s="386"/>
    </row>
    <row r="1154" spans="1:17" s="1659" customFormat="1" ht="30" customHeight="1" x14ac:dyDescent="0.2">
      <c r="A1154" s="6468"/>
      <c r="B1154" s="6468" t="s">
        <v>4332</v>
      </c>
      <c r="C1154" s="6472" t="s">
        <v>402</v>
      </c>
      <c r="D1154" s="6385">
        <v>200000000</v>
      </c>
      <c r="E1154" s="6471">
        <v>0.05</v>
      </c>
      <c r="F1154" s="6385">
        <f>D1154*E1154</f>
        <v>10000000</v>
      </c>
      <c r="G1154" s="6385"/>
      <c r="H1154" s="6385"/>
      <c r="I1154" s="6385" t="s">
        <v>1220</v>
      </c>
      <c r="J1154" s="6385">
        <f t="shared" si="103"/>
        <v>0</v>
      </c>
      <c r="K1154" s="6385">
        <f>F1154-J1154</f>
        <v>10000000</v>
      </c>
      <c r="L1154" s="2700"/>
      <c r="M1154" s="6484"/>
      <c r="N1154" s="6484"/>
      <c r="O1154" s="6484"/>
      <c r="P1154" s="386"/>
      <c r="Q1154" s="386"/>
    </row>
    <row r="1155" spans="1:17" s="1659" customFormat="1" ht="30" customHeight="1" x14ac:dyDescent="0.2">
      <c r="A1155" s="6483"/>
      <c r="B1155" s="6431" t="s">
        <v>4368</v>
      </c>
      <c r="C1155" s="6434"/>
      <c r="D1155" s="5816"/>
      <c r="E1155" s="6421"/>
      <c r="F1155" s="597"/>
      <c r="G1155" s="6393"/>
      <c r="H1155" s="6393"/>
      <c r="I1155" s="6443" t="s">
        <v>2986</v>
      </c>
      <c r="J1155" s="6393">
        <f t="shared" si="103"/>
        <v>0</v>
      </c>
      <c r="K1155" s="6393"/>
      <c r="L1155" s="6517"/>
      <c r="M1155" s="6484"/>
      <c r="N1155" s="6484"/>
      <c r="O1155" s="6484"/>
      <c r="P1155" s="386"/>
      <c r="Q1155" s="386"/>
    </row>
    <row r="1156" spans="1:17" s="1659" customFormat="1" ht="30" customHeight="1" x14ac:dyDescent="0.2">
      <c r="A1156" s="6483"/>
      <c r="B1156" s="6431" t="s">
        <v>4374</v>
      </c>
      <c r="C1156" s="6472" t="s">
        <v>1718</v>
      </c>
      <c r="D1156" s="6385">
        <v>100000000</v>
      </c>
      <c r="E1156" s="6471">
        <v>0.05</v>
      </c>
      <c r="F1156" s="6385">
        <f>D1156*E1156</f>
        <v>5000000</v>
      </c>
      <c r="G1156" s="6393"/>
      <c r="H1156" s="6393"/>
      <c r="I1156" s="6443" t="s">
        <v>5014</v>
      </c>
      <c r="J1156" s="6391">
        <f>G1156</f>
        <v>0</v>
      </c>
      <c r="K1156" s="6385">
        <f>F1156-J1156</f>
        <v>5000000</v>
      </c>
      <c r="L1156" s="6455"/>
      <c r="M1156" s="6484"/>
      <c r="N1156" s="6484"/>
      <c r="O1156" s="6484"/>
      <c r="P1156" s="386"/>
      <c r="Q1156" s="386"/>
    </row>
    <row r="1157" spans="1:17" s="1659" customFormat="1" ht="30" customHeight="1" x14ac:dyDescent="0.2">
      <c r="A1157" s="7703"/>
      <c r="B1157" s="7652" t="s">
        <v>5361</v>
      </c>
      <c r="C1157" s="7723" t="s">
        <v>262</v>
      </c>
      <c r="D1157" s="6385">
        <v>115000000</v>
      </c>
      <c r="E1157" s="6471">
        <v>0.05</v>
      </c>
      <c r="F1157" s="6385">
        <f>D1157*E1157</f>
        <v>5750000</v>
      </c>
      <c r="G1157" s="7563"/>
      <c r="H1157" s="7563"/>
      <c r="I1157" s="7563" t="s">
        <v>6933</v>
      </c>
      <c r="J1157" s="7563">
        <f>G1157</f>
        <v>0</v>
      </c>
      <c r="K1157" s="7563">
        <f>(F1157+F1158)-J1157</f>
        <v>6000000</v>
      </c>
      <c r="L1157" s="6455"/>
      <c r="M1157" s="6484"/>
      <c r="N1157" s="6484"/>
      <c r="O1157" s="6484"/>
      <c r="P1157" s="386"/>
      <c r="Q1157" s="386"/>
    </row>
    <row r="1158" spans="1:17" s="1659" customFormat="1" ht="30" customHeight="1" x14ac:dyDescent="0.2">
      <c r="A1158" s="7705"/>
      <c r="B1158" s="7653"/>
      <c r="C1158" s="7724"/>
      <c r="D1158" s="6443">
        <v>5000000</v>
      </c>
      <c r="E1158" s="6402">
        <v>0.05</v>
      </c>
      <c r="F1158" s="6444">
        <f>D1158*E1158</f>
        <v>250000</v>
      </c>
      <c r="G1158" s="7564"/>
      <c r="H1158" s="7564"/>
      <c r="I1158" s="7564"/>
      <c r="J1158" s="7564"/>
      <c r="K1158" s="7564"/>
      <c r="L1158" s="6455"/>
      <c r="M1158" s="6484"/>
      <c r="N1158" s="6484"/>
      <c r="O1158" s="6484"/>
      <c r="P1158" s="386"/>
      <c r="Q1158" s="386"/>
    </row>
    <row r="1159" spans="1:17" s="1659" customFormat="1" ht="30" customHeight="1" x14ac:dyDescent="0.2">
      <c r="A1159" s="6483"/>
      <c r="B1159" s="6431" t="s">
        <v>4376</v>
      </c>
      <c r="C1159" s="6472" t="s">
        <v>1718</v>
      </c>
      <c r="D1159" s="6443">
        <v>70000000</v>
      </c>
      <c r="E1159" s="6402">
        <v>7.0000000000000007E-2</v>
      </c>
      <c r="F1159" s="6444">
        <f>D1159*E1159</f>
        <v>4900000.0000000009</v>
      </c>
      <c r="G1159" s="6393"/>
      <c r="H1159" s="6393"/>
      <c r="I1159" s="6443" t="s">
        <v>4928</v>
      </c>
      <c r="J1159" s="6393">
        <f t="shared" si="103"/>
        <v>0</v>
      </c>
      <c r="K1159" s="6393">
        <f t="shared" ref="K1159:K1170" si="104">F1159-J1159</f>
        <v>4900000.0000000009</v>
      </c>
      <c r="L1159" s="6517"/>
      <c r="M1159" s="6484"/>
      <c r="N1159" s="6484"/>
      <c r="O1159" s="6484"/>
      <c r="P1159" s="386"/>
      <c r="Q1159" s="386"/>
    </row>
    <row r="1160" spans="1:17" s="1659" customFormat="1" ht="30" customHeight="1" x14ac:dyDescent="0.2">
      <c r="A1160" s="6483"/>
      <c r="B1160" s="6431" t="s">
        <v>4393</v>
      </c>
      <c r="C1160" s="6472" t="s">
        <v>1718</v>
      </c>
      <c r="D1160" s="6443">
        <v>350000000</v>
      </c>
      <c r="E1160" s="6402">
        <v>7.0000000000000007E-2</v>
      </c>
      <c r="F1160" s="6444">
        <f>D1160*E1160</f>
        <v>24500000.000000004</v>
      </c>
      <c r="G1160" s="6393"/>
      <c r="H1160" s="6393"/>
      <c r="I1160" s="6443" t="s">
        <v>7605</v>
      </c>
      <c r="J1160" s="6393">
        <f t="shared" si="103"/>
        <v>0</v>
      </c>
      <c r="K1160" s="6393">
        <f t="shared" si="104"/>
        <v>24500000.000000004</v>
      </c>
      <c r="L1160" s="6517"/>
      <c r="M1160" s="6484"/>
      <c r="N1160" s="6484"/>
      <c r="O1160" s="6484"/>
      <c r="P1160" s="386"/>
      <c r="Q1160" s="386"/>
    </row>
    <row r="1161" spans="1:17" s="1659" customFormat="1" ht="30" customHeight="1" x14ac:dyDescent="0.2">
      <c r="A1161" s="6483"/>
      <c r="B1161" s="6431" t="s">
        <v>4397</v>
      </c>
      <c r="C1161" s="6472"/>
      <c r="D1161" s="6443">
        <v>50000000</v>
      </c>
      <c r="E1161" s="6402">
        <v>0.05</v>
      </c>
      <c r="F1161" s="6444">
        <f t="shared" ref="F1161:F1179" si="105">D1161*E1161</f>
        <v>2500000</v>
      </c>
      <c r="G1161" s="6393"/>
      <c r="H1161" s="6393"/>
      <c r="I1161" s="6443" t="s">
        <v>7464</v>
      </c>
      <c r="J1161" s="6393">
        <f t="shared" si="103"/>
        <v>0</v>
      </c>
      <c r="K1161" s="6393">
        <f t="shared" si="104"/>
        <v>2500000</v>
      </c>
      <c r="L1161" s="6517"/>
      <c r="M1161" s="6484"/>
      <c r="N1161" s="6484"/>
      <c r="O1161" s="6484"/>
      <c r="P1161" s="386"/>
      <c r="Q1161" s="386"/>
    </row>
    <row r="1162" spans="1:17" s="1659" customFormat="1" ht="30" customHeight="1" x14ac:dyDescent="0.2">
      <c r="A1162" s="6483"/>
      <c r="B1162" s="6431" t="s">
        <v>5013</v>
      </c>
      <c r="C1162" s="6472" t="s">
        <v>1652</v>
      </c>
      <c r="D1162" s="6443">
        <v>100000000</v>
      </c>
      <c r="E1162" s="6402">
        <v>0.05</v>
      </c>
      <c r="F1162" s="6444">
        <f t="shared" si="105"/>
        <v>5000000</v>
      </c>
      <c r="G1162" s="6393"/>
      <c r="H1162" s="6393"/>
      <c r="I1162" s="6443" t="s">
        <v>7522</v>
      </c>
      <c r="J1162" s="6393">
        <f t="shared" si="103"/>
        <v>0</v>
      </c>
      <c r="K1162" s="6393">
        <f t="shared" si="104"/>
        <v>5000000</v>
      </c>
      <c r="L1162" s="6517" t="s">
        <v>7523</v>
      </c>
      <c r="M1162" s="6484"/>
      <c r="N1162" s="6484"/>
      <c r="O1162" s="6484"/>
      <c r="P1162" s="386"/>
      <c r="Q1162" s="386"/>
    </row>
    <row r="1163" spans="1:17" s="1659" customFormat="1" ht="30" customHeight="1" x14ac:dyDescent="0.2">
      <c r="A1163" s="6483"/>
      <c r="B1163" s="6431" t="s">
        <v>4410</v>
      </c>
      <c r="C1163" s="6472"/>
      <c r="D1163" s="6443">
        <v>50000000</v>
      </c>
      <c r="E1163" s="6402">
        <v>0.05</v>
      </c>
      <c r="F1163" s="6444">
        <f t="shared" si="105"/>
        <v>2500000</v>
      </c>
      <c r="G1163" s="6393"/>
      <c r="H1163" s="6393"/>
      <c r="I1163" s="6443" t="s">
        <v>4411</v>
      </c>
      <c r="J1163" s="6393">
        <f t="shared" si="103"/>
        <v>0</v>
      </c>
      <c r="K1163" s="6393">
        <f t="shared" si="104"/>
        <v>2500000</v>
      </c>
      <c r="L1163" s="6517"/>
      <c r="M1163" s="6484"/>
      <c r="N1163" s="6484"/>
      <c r="O1163" s="6484"/>
      <c r="P1163" s="386"/>
      <c r="Q1163" s="386"/>
    </row>
    <row r="1164" spans="1:17" s="1659" customFormat="1" ht="30" customHeight="1" x14ac:dyDescent="0.2">
      <c r="A1164" s="7703"/>
      <c r="B1164" s="7652" t="s">
        <v>5005</v>
      </c>
      <c r="C1164" s="7723" t="s">
        <v>262</v>
      </c>
      <c r="D1164" s="6443">
        <v>20000000</v>
      </c>
      <c r="E1164" s="6402">
        <v>0.05</v>
      </c>
      <c r="F1164" s="6444">
        <f t="shared" si="105"/>
        <v>1000000</v>
      </c>
      <c r="G1164" s="7732" t="s">
        <v>2889</v>
      </c>
      <c r="H1164" s="7733"/>
      <c r="I1164" s="7733"/>
      <c r="J1164" s="7734"/>
      <c r="K1164" s="6393">
        <f t="shared" si="104"/>
        <v>1000000</v>
      </c>
      <c r="L1164" s="6517" t="s">
        <v>7486</v>
      </c>
      <c r="M1164" s="6484"/>
      <c r="N1164" s="6484"/>
      <c r="O1164" s="6484"/>
      <c r="P1164" s="386"/>
      <c r="Q1164" s="386"/>
    </row>
    <row r="1165" spans="1:17" s="1659" customFormat="1" ht="30" customHeight="1" x14ac:dyDescent="0.2">
      <c r="A1165" s="7704"/>
      <c r="B1165" s="7665"/>
      <c r="C1165" s="7747"/>
      <c r="D1165" s="6443">
        <v>30000000</v>
      </c>
      <c r="E1165" s="6402"/>
      <c r="F1165" s="6444"/>
      <c r="G1165" s="7732" t="s">
        <v>7369</v>
      </c>
      <c r="H1165" s="7733"/>
      <c r="I1165" s="7733"/>
      <c r="J1165" s="7734"/>
      <c r="K1165" s="6393"/>
      <c r="L1165" s="6517"/>
      <c r="M1165" s="6484"/>
      <c r="N1165" s="6484"/>
      <c r="O1165" s="6484"/>
      <c r="P1165" s="386"/>
      <c r="Q1165" s="386"/>
    </row>
    <row r="1166" spans="1:17" s="1659" customFormat="1" ht="30" customHeight="1" x14ac:dyDescent="0.2">
      <c r="A1166" s="7704"/>
      <c r="B1166" s="7665"/>
      <c r="C1166" s="7747"/>
      <c r="D1166" s="6443">
        <v>9000000</v>
      </c>
      <c r="E1166" s="6402"/>
      <c r="F1166" s="6444"/>
      <c r="G1166" s="7732" t="s">
        <v>7370</v>
      </c>
      <c r="H1166" s="7733"/>
      <c r="I1166" s="7733"/>
      <c r="J1166" s="7734"/>
      <c r="K1166" s="6393"/>
      <c r="L1166" s="6517"/>
      <c r="M1166" s="6484"/>
      <c r="N1166" s="6484"/>
      <c r="O1166" s="6484"/>
      <c r="P1166" s="386"/>
      <c r="Q1166" s="386"/>
    </row>
    <row r="1167" spans="1:17" s="1659" customFormat="1" ht="30" customHeight="1" x14ac:dyDescent="0.2">
      <c r="A1167" s="7705"/>
      <c r="B1167" s="7653"/>
      <c r="C1167" s="7724"/>
      <c r="D1167" s="6554">
        <v>60000000</v>
      </c>
      <c r="E1167" s="6496">
        <v>7.0000000000000007E-2</v>
      </c>
      <c r="F1167" s="6555">
        <f>D1167*E1167</f>
        <v>4200000</v>
      </c>
      <c r="G1167" s="6485"/>
      <c r="H1167" s="6486"/>
      <c r="I1167" s="6486"/>
      <c r="J1167" s="6487"/>
      <c r="K1167" s="6393"/>
      <c r="L1167" s="6517" t="s">
        <v>7487</v>
      </c>
      <c r="M1167" s="6484"/>
      <c r="N1167" s="6484"/>
      <c r="O1167" s="6484"/>
      <c r="P1167" s="386"/>
      <c r="Q1167" s="386"/>
    </row>
    <row r="1168" spans="1:17" s="1659" customFormat="1" ht="30" customHeight="1" x14ac:dyDescent="0.2">
      <c r="A1168" s="6483"/>
      <c r="B1168" s="6431" t="s">
        <v>4432</v>
      </c>
      <c r="C1168" s="6472" t="s">
        <v>2644</v>
      </c>
      <c r="D1168" s="6443">
        <v>300000000</v>
      </c>
      <c r="E1168" s="6402">
        <v>0.05</v>
      </c>
      <c r="F1168" s="6444">
        <f t="shared" si="105"/>
        <v>15000000</v>
      </c>
      <c r="G1168" s="6393"/>
      <c r="H1168" s="6393"/>
      <c r="I1168" s="6443" t="s">
        <v>7433</v>
      </c>
      <c r="J1168" s="6393">
        <f t="shared" si="103"/>
        <v>0</v>
      </c>
      <c r="K1168" s="6393">
        <f t="shared" si="104"/>
        <v>15000000</v>
      </c>
      <c r="L1168" s="6517"/>
      <c r="M1168" s="6484"/>
      <c r="N1168" s="6484"/>
      <c r="O1168" s="6484"/>
      <c r="P1168" s="386"/>
      <c r="Q1168" s="386"/>
    </row>
    <row r="1169" spans="1:17" s="1659" customFormat="1" ht="30" customHeight="1" x14ac:dyDescent="0.2">
      <c r="A1169" s="6483"/>
      <c r="B1169" s="6431" t="s">
        <v>4433</v>
      </c>
      <c r="C1169" s="6472" t="s">
        <v>371</v>
      </c>
      <c r="D1169" s="6443">
        <v>200000000</v>
      </c>
      <c r="E1169" s="6402">
        <v>0.05</v>
      </c>
      <c r="F1169" s="6444">
        <f t="shared" si="105"/>
        <v>10000000</v>
      </c>
      <c r="G1169" s="6393"/>
      <c r="H1169" s="6393"/>
      <c r="I1169" s="6443" t="s">
        <v>4167</v>
      </c>
      <c r="J1169" s="6393">
        <f t="shared" si="103"/>
        <v>0</v>
      </c>
      <c r="K1169" s="6393">
        <f t="shared" si="104"/>
        <v>10000000</v>
      </c>
      <c r="L1169" s="6517"/>
      <c r="M1169" s="6484"/>
      <c r="N1169" s="6484"/>
      <c r="O1169" s="6484"/>
      <c r="P1169" s="386"/>
      <c r="Q1169" s="386"/>
    </row>
    <row r="1170" spans="1:17" s="1659" customFormat="1" ht="30" customHeight="1" x14ac:dyDescent="0.2">
      <c r="A1170" s="6483"/>
      <c r="B1170" s="6431" t="s">
        <v>4454</v>
      </c>
      <c r="C1170" s="6472" t="s">
        <v>262</v>
      </c>
      <c r="D1170" s="6443">
        <v>120000000</v>
      </c>
      <c r="E1170" s="6402">
        <v>0.06</v>
      </c>
      <c r="F1170" s="6444">
        <f t="shared" si="105"/>
        <v>7200000</v>
      </c>
      <c r="G1170" s="6393"/>
      <c r="H1170" s="6393"/>
      <c r="I1170" s="6443" t="s">
        <v>4455</v>
      </c>
      <c r="J1170" s="6393">
        <f t="shared" si="103"/>
        <v>0</v>
      </c>
      <c r="K1170" s="6393">
        <f t="shared" si="104"/>
        <v>7200000</v>
      </c>
      <c r="L1170" s="6517"/>
      <c r="M1170" s="6484"/>
      <c r="N1170" s="6484"/>
      <c r="O1170" s="6484"/>
      <c r="P1170" s="386"/>
      <c r="Q1170" s="386"/>
    </row>
    <row r="1171" spans="1:17" s="1659" customFormat="1" ht="30" customHeight="1" x14ac:dyDescent="0.2">
      <c r="A1171" s="7703"/>
      <c r="B1171" s="7652" t="s">
        <v>4468</v>
      </c>
      <c r="C1171" s="7723" t="s">
        <v>1300</v>
      </c>
      <c r="D1171" s="6443">
        <v>75000000</v>
      </c>
      <c r="E1171" s="6402">
        <v>0.05</v>
      </c>
      <c r="F1171" s="6444">
        <f t="shared" si="105"/>
        <v>3750000</v>
      </c>
      <c r="G1171" s="7563"/>
      <c r="H1171" s="7563"/>
      <c r="I1171" s="7563" t="s">
        <v>7081</v>
      </c>
      <c r="J1171" s="7563">
        <f t="shared" si="103"/>
        <v>0</v>
      </c>
      <c r="K1171" s="7563">
        <f>(F1171+F1172)-J1171</f>
        <v>5500000</v>
      </c>
      <c r="L1171" s="6517"/>
      <c r="M1171" s="6484"/>
      <c r="N1171" s="6484"/>
      <c r="O1171" s="6484"/>
      <c r="P1171" s="386"/>
      <c r="Q1171" s="386"/>
    </row>
    <row r="1172" spans="1:17" s="1659" customFormat="1" ht="30" customHeight="1" x14ac:dyDescent="0.2">
      <c r="A1172" s="7704"/>
      <c r="B1172" s="7665"/>
      <c r="C1172" s="7747"/>
      <c r="D1172" s="6385">
        <v>35000000</v>
      </c>
      <c r="E1172" s="6471">
        <v>0.05</v>
      </c>
      <c r="F1172" s="6385">
        <f t="shared" si="105"/>
        <v>1750000</v>
      </c>
      <c r="G1172" s="7586"/>
      <c r="H1172" s="7586"/>
      <c r="I1172" s="7586"/>
      <c r="J1172" s="7586"/>
      <c r="K1172" s="7586"/>
      <c r="L1172" s="6517"/>
      <c r="M1172" s="6484"/>
      <c r="N1172" s="6484"/>
      <c r="O1172" s="6484"/>
      <c r="P1172" s="386"/>
      <c r="Q1172" s="386"/>
    </row>
    <row r="1173" spans="1:17" s="1659" customFormat="1" ht="30" customHeight="1" x14ac:dyDescent="0.2">
      <c r="A1173" s="7703"/>
      <c r="B1173" s="7652" t="s">
        <v>4496</v>
      </c>
      <c r="C1173" s="7723" t="s">
        <v>1287</v>
      </c>
      <c r="D1173" s="6443">
        <v>100000000</v>
      </c>
      <c r="E1173" s="6402">
        <v>0.06</v>
      </c>
      <c r="F1173" s="6444">
        <f t="shared" si="105"/>
        <v>6000000</v>
      </c>
      <c r="G1173" s="7482"/>
      <c r="H1173" s="7482"/>
      <c r="I1173" s="7482" t="s">
        <v>5133</v>
      </c>
      <c r="J1173" s="7482">
        <f>G1173+G1176</f>
        <v>0</v>
      </c>
      <c r="K1173" s="7482">
        <f>F1176-J1173</f>
        <v>20300000.000000004</v>
      </c>
      <c r="L1173" s="6517"/>
      <c r="M1173" s="6484"/>
      <c r="N1173" s="6484"/>
      <c r="O1173" s="6484"/>
      <c r="P1173" s="386"/>
      <c r="Q1173" s="386"/>
    </row>
    <row r="1174" spans="1:17" s="1659" customFormat="1" ht="30" customHeight="1" x14ac:dyDescent="0.2">
      <c r="A1174" s="7704"/>
      <c r="B1174" s="7665"/>
      <c r="C1174" s="7747"/>
      <c r="D1174" s="6385">
        <v>160000000</v>
      </c>
      <c r="E1174" s="6471">
        <v>0.06</v>
      </c>
      <c r="F1174" s="6385">
        <f t="shared" si="105"/>
        <v>9600000</v>
      </c>
      <c r="G1174" s="7482"/>
      <c r="H1174" s="7482"/>
      <c r="I1174" s="7482"/>
      <c r="J1174" s="7482"/>
      <c r="K1174" s="7482"/>
      <c r="L1174" s="6517"/>
      <c r="M1174" s="6484"/>
      <c r="N1174" s="6484"/>
      <c r="O1174" s="6484"/>
      <c r="P1174" s="386"/>
      <c r="Q1174" s="386"/>
    </row>
    <row r="1175" spans="1:17" s="1659" customFormat="1" ht="30" customHeight="1" x14ac:dyDescent="0.2">
      <c r="A1175" s="7704"/>
      <c r="B1175" s="7665"/>
      <c r="C1175" s="7747"/>
      <c r="D1175" s="7374">
        <v>30000000</v>
      </c>
      <c r="E1175" s="7363"/>
      <c r="F1175" s="7375"/>
      <c r="G1175" s="7732" t="s">
        <v>8480</v>
      </c>
      <c r="H1175" s="7733"/>
      <c r="I1175" s="7733"/>
      <c r="J1175" s="7734"/>
      <c r="K1175" s="7482"/>
      <c r="L1175" s="7388" t="s">
        <v>8479</v>
      </c>
      <c r="M1175" s="7381"/>
      <c r="N1175" s="7381"/>
      <c r="O1175" s="7381"/>
      <c r="P1175" s="386"/>
      <c r="Q1175" s="386"/>
    </row>
    <row r="1176" spans="1:17" s="1659" customFormat="1" ht="30" customHeight="1" x14ac:dyDescent="0.2">
      <c r="A1176" s="7705"/>
      <c r="B1176" s="7653"/>
      <c r="C1176" s="7724"/>
      <c r="D1176" s="6500">
        <v>290000000</v>
      </c>
      <c r="E1176" s="6415">
        <v>7.0000000000000007E-2</v>
      </c>
      <c r="F1176" s="6501">
        <f t="shared" si="105"/>
        <v>20300000.000000004</v>
      </c>
      <c r="G1176" s="6393"/>
      <c r="H1176" s="6393"/>
      <c r="I1176" s="6393" t="s">
        <v>7082</v>
      </c>
      <c r="J1176" s="7"/>
      <c r="K1176" s="7"/>
      <c r="L1176" s="6517"/>
      <c r="M1176" s="6484"/>
      <c r="N1176" s="6484"/>
      <c r="O1176" s="6484"/>
      <c r="P1176" s="386"/>
      <c r="Q1176" s="386"/>
    </row>
    <row r="1177" spans="1:17" s="1659" customFormat="1" ht="30" customHeight="1" x14ac:dyDescent="0.2">
      <c r="A1177" s="7703"/>
      <c r="B1177" s="7652" t="s">
        <v>4494</v>
      </c>
      <c r="C1177" s="7723" t="s">
        <v>1287</v>
      </c>
      <c r="D1177" s="6385">
        <v>150000000</v>
      </c>
      <c r="E1177" s="6402">
        <v>0.06</v>
      </c>
      <c r="F1177" s="6393">
        <f t="shared" si="105"/>
        <v>9000000</v>
      </c>
      <c r="G1177" s="7563"/>
      <c r="H1177" s="7563"/>
      <c r="I1177" s="7563" t="s">
        <v>2078</v>
      </c>
      <c r="J1177" s="7563">
        <f>G1177</f>
        <v>0</v>
      </c>
      <c r="K1177" s="7563">
        <f>F1179-J1177</f>
        <v>16800000</v>
      </c>
      <c r="L1177" s="6396"/>
      <c r="M1177" s="6484"/>
      <c r="N1177" s="6484"/>
      <c r="O1177" s="6484"/>
      <c r="P1177" s="386"/>
      <c r="Q1177" s="386"/>
    </row>
    <row r="1178" spans="1:17" s="1659" customFormat="1" ht="30" customHeight="1" x14ac:dyDescent="0.2">
      <c r="A1178" s="7704"/>
      <c r="B1178" s="7665"/>
      <c r="C1178" s="7747"/>
      <c r="D1178" s="6385">
        <v>130000000</v>
      </c>
      <c r="E1178" s="6402">
        <v>0.06</v>
      </c>
      <c r="F1178" s="6393">
        <f t="shared" si="105"/>
        <v>7800000</v>
      </c>
      <c r="G1178" s="7586"/>
      <c r="H1178" s="7586"/>
      <c r="I1178" s="7586"/>
      <c r="J1178" s="7586"/>
      <c r="K1178" s="7586"/>
      <c r="L1178" s="6517"/>
      <c r="M1178" s="6484"/>
      <c r="N1178" s="6484"/>
      <c r="O1178" s="6484"/>
      <c r="P1178" s="386"/>
      <c r="Q1178" s="386"/>
    </row>
    <row r="1179" spans="1:17" s="1659" customFormat="1" ht="30" customHeight="1" x14ac:dyDescent="0.2">
      <c r="A1179" s="7705"/>
      <c r="B1179" s="7653"/>
      <c r="C1179" s="7724"/>
      <c r="D1179" s="6390">
        <f>D1177+D1178</f>
        <v>280000000</v>
      </c>
      <c r="E1179" s="6415">
        <v>0.06</v>
      </c>
      <c r="F1179" s="6417">
        <f t="shared" si="105"/>
        <v>16800000</v>
      </c>
      <c r="G1179" s="7564"/>
      <c r="H1179" s="7564"/>
      <c r="I1179" s="7564"/>
      <c r="J1179" s="7564"/>
      <c r="K1179" s="7564"/>
      <c r="L1179" s="6396"/>
      <c r="M1179" s="6484"/>
      <c r="N1179" s="6484"/>
      <c r="O1179" s="6484"/>
      <c r="P1179" s="386"/>
      <c r="Q1179" s="386"/>
    </row>
    <row r="1180" spans="1:17" s="1659" customFormat="1" ht="30" customHeight="1" x14ac:dyDescent="0.2">
      <c r="A1180" s="7703"/>
      <c r="B1180" s="7864" t="s">
        <v>4513</v>
      </c>
      <c r="C1180" s="6472" t="s">
        <v>1299</v>
      </c>
      <c r="D1180" s="6385">
        <v>20000000</v>
      </c>
      <c r="E1180" s="6402">
        <f>F1180/D1180</f>
        <v>0.06</v>
      </c>
      <c r="F1180" s="6393">
        <v>1200000</v>
      </c>
      <c r="G1180" s="6393"/>
      <c r="H1180" s="6393"/>
      <c r="I1180" s="6443" t="s">
        <v>2026</v>
      </c>
      <c r="J1180" s="6393">
        <f>G1180</f>
        <v>0</v>
      </c>
      <c r="K1180" s="6393"/>
      <c r="L1180" s="6396" t="s">
        <v>7280</v>
      </c>
      <c r="M1180" s="6484"/>
      <c r="N1180" s="6484"/>
      <c r="O1180" s="6484"/>
      <c r="P1180" s="386"/>
      <c r="Q1180" s="386"/>
    </row>
    <row r="1181" spans="1:17" s="1659" customFormat="1" ht="30" customHeight="1" x14ac:dyDescent="0.2">
      <c r="A1181" s="7704"/>
      <c r="B1181" s="7865"/>
      <c r="C1181" s="6472" t="s">
        <v>1138</v>
      </c>
      <c r="D1181" s="6385">
        <v>130000000</v>
      </c>
      <c r="E1181" s="6402">
        <v>7.0000000000000007E-2</v>
      </c>
      <c r="F1181" s="6393">
        <v>9000000</v>
      </c>
      <c r="G1181" s="6393"/>
      <c r="H1181" s="6393"/>
      <c r="I1181" s="6443" t="s">
        <v>4526</v>
      </c>
      <c r="J1181" s="6393">
        <f>G1181</f>
        <v>0</v>
      </c>
      <c r="K1181" s="6393"/>
      <c r="L1181" s="6396" t="s">
        <v>6034</v>
      </c>
      <c r="M1181" s="6484"/>
      <c r="N1181" s="6484"/>
      <c r="O1181" s="6484"/>
      <c r="P1181" s="386"/>
      <c r="Q1181" s="386"/>
    </row>
    <row r="1182" spans="1:17" s="1659" customFormat="1" ht="30" customHeight="1" x14ac:dyDescent="0.2">
      <c r="A1182" s="7705"/>
      <c r="B1182" s="7866"/>
      <c r="C1182" s="6433" t="s">
        <v>2644</v>
      </c>
      <c r="D1182" s="6493">
        <v>200000000</v>
      </c>
      <c r="E1182" s="6549"/>
      <c r="F1182" s="6548"/>
      <c r="G1182" s="7732" t="s">
        <v>7767</v>
      </c>
      <c r="H1182" s="7733"/>
      <c r="I1182" s="7733"/>
      <c r="J1182" s="7734"/>
      <c r="K1182" s="6392"/>
      <c r="L1182" s="6396" t="s">
        <v>7768</v>
      </c>
      <c r="M1182" s="6484"/>
      <c r="N1182" s="6484"/>
      <c r="O1182" s="6484"/>
      <c r="P1182" s="386"/>
      <c r="Q1182" s="386"/>
    </row>
    <row r="1183" spans="1:17" s="1659" customFormat="1" ht="30" customHeight="1" x14ac:dyDescent="0.2">
      <c r="A1183" s="7703"/>
      <c r="B1183" s="7652" t="s">
        <v>3186</v>
      </c>
      <c r="C1183" s="7723" t="s">
        <v>889</v>
      </c>
      <c r="D1183" s="7563">
        <v>150000000</v>
      </c>
      <c r="E1183" s="7659">
        <v>0.06</v>
      </c>
      <c r="F1183" s="7563">
        <f>D1183*E1183</f>
        <v>9000000</v>
      </c>
      <c r="G1183" s="7563"/>
      <c r="H1183" s="7563"/>
      <c r="I1183" s="7563" t="s">
        <v>4782</v>
      </c>
      <c r="J1183" s="7563">
        <f>G1183</f>
        <v>0</v>
      </c>
      <c r="K1183" s="7563">
        <f>G1183-J1183</f>
        <v>0</v>
      </c>
      <c r="L1183" s="6396" t="s">
        <v>4682</v>
      </c>
      <c r="M1183" s="6484"/>
      <c r="N1183" s="6484"/>
      <c r="O1183" s="6484"/>
      <c r="P1183" s="386"/>
      <c r="Q1183" s="386"/>
    </row>
    <row r="1184" spans="1:17" s="1659" customFormat="1" ht="30" customHeight="1" x14ac:dyDescent="0.2">
      <c r="A1184" s="7705"/>
      <c r="B1184" s="7653"/>
      <c r="C1184" s="7724"/>
      <c r="D1184" s="7564"/>
      <c r="E1184" s="7660"/>
      <c r="F1184" s="7564"/>
      <c r="G1184" s="7564"/>
      <c r="H1184" s="7564"/>
      <c r="I1184" s="7564"/>
      <c r="J1184" s="7564"/>
      <c r="K1184" s="7564"/>
      <c r="L1184" s="6396" t="s">
        <v>4681</v>
      </c>
      <c r="M1184" s="6484"/>
      <c r="N1184" s="6484"/>
      <c r="O1184" s="6484"/>
      <c r="P1184" s="386"/>
      <c r="Q1184" s="386"/>
    </row>
    <row r="1185" spans="1:17" s="1659" customFormat="1" ht="30" customHeight="1" x14ac:dyDescent="0.2">
      <c r="A1185" s="7703"/>
      <c r="B1185" s="7652" t="s">
        <v>4527</v>
      </c>
      <c r="C1185" s="8341" t="s">
        <v>2278</v>
      </c>
      <c r="D1185" s="6385">
        <v>100000000</v>
      </c>
      <c r="E1185" s="6402">
        <v>0.05</v>
      </c>
      <c r="F1185" s="6393">
        <v>5000000</v>
      </c>
      <c r="G1185" s="7563"/>
      <c r="H1185" s="7563"/>
      <c r="I1185" s="7563" t="s">
        <v>5757</v>
      </c>
      <c r="J1185" s="7563">
        <f>G1185</f>
        <v>0</v>
      </c>
      <c r="K1185" s="7563">
        <f>(F1185+F1186)-J1185</f>
        <v>6500000</v>
      </c>
      <c r="L1185" s="6396"/>
      <c r="M1185" s="6484"/>
      <c r="N1185" s="6484"/>
      <c r="O1185" s="6484"/>
      <c r="P1185" s="386"/>
      <c r="Q1185" s="386"/>
    </row>
    <row r="1186" spans="1:17" s="1659" customFormat="1" ht="30" customHeight="1" x14ac:dyDescent="0.2">
      <c r="A1186" s="7705"/>
      <c r="B1186" s="7653"/>
      <c r="C1186" s="8343"/>
      <c r="D1186" s="6385">
        <v>30000000</v>
      </c>
      <c r="E1186" s="6402">
        <v>0.05</v>
      </c>
      <c r="F1186" s="6393">
        <f t="shared" ref="F1186:F1208" si="106">D1186*E1186</f>
        <v>1500000</v>
      </c>
      <c r="G1186" s="7564"/>
      <c r="H1186" s="7564"/>
      <c r="I1186" s="7564"/>
      <c r="J1186" s="7564"/>
      <c r="K1186" s="7564"/>
      <c r="L1186" s="6396"/>
      <c r="M1186" s="6484"/>
      <c r="N1186" s="6484"/>
      <c r="O1186" s="6484"/>
      <c r="P1186" s="386"/>
      <c r="Q1186" s="386"/>
    </row>
    <row r="1187" spans="1:17" s="1659" customFormat="1" ht="30" customHeight="1" x14ac:dyDescent="0.2">
      <c r="A1187" s="3428"/>
      <c r="B1187" s="2551" t="s">
        <v>5135</v>
      </c>
      <c r="C1187" s="3024" t="s">
        <v>3007</v>
      </c>
      <c r="D1187" s="2548">
        <v>10000000</v>
      </c>
      <c r="E1187" s="2556">
        <v>0.05</v>
      </c>
      <c r="F1187" s="6506">
        <f t="shared" si="106"/>
        <v>500000</v>
      </c>
      <c r="G1187" s="6506"/>
      <c r="H1187" s="6506"/>
      <c r="I1187" s="6508" t="s">
        <v>4125</v>
      </c>
      <c r="J1187" s="6506">
        <f t="shared" ref="J1187:J1210" si="107">G1187</f>
        <v>0</v>
      </c>
      <c r="K1187" s="6506"/>
      <c r="L1187" s="3836"/>
      <c r="M1187" s="6484"/>
      <c r="N1187" s="6484"/>
      <c r="O1187" s="6484"/>
      <c r="P1187" s="386"/>
      <c r="Q1187" s="386"/>
    </row>
    <row r="1188" spans="1:17" s="1659" customFormat="1" ht="30" customHeight="1" x14ac:dyDescent="0.2">
      <c r="A1188" s="7703"/>
      <c r="B1188" s="7652" t="s">
        <v>4537</v>
      </c>
      <c r="C1188" s="7723" t="s">
        <v>1299</v>
      </c>
      <c r="D1188" s="7563">
        <v>100000000</v>
      </c>
      <c r="E1188" s="7659">
        <v>0.05</v>
      </c>
      <c r="F1188" s="7563">
        <f t="shared" si="106"/>
        <v>5000000</v>
      </c>
      <c r="G1188" s="6393"/>
      <c r="H1188" s="6393"/>
      <c r="I1188" s="6443" t="s">
        <v>7285</v>
      </c>
      <c r="J1188" s="6393">
        <f t="shared" si="107"/>
        <v>0</v>
      </c>
      <c r="K1188" s="6393">
        <f>F1188-J1188</f>
        <v>5000000</v>
      </c>
      <c r="L1188" s="6396" t="s">
        <v>7286</v>
      </c>
      <c r="M1188" s="6484"/>
      <c r="N1188" s="6484"/>
      <c r="O1188" s="6484"/>
      <c r="P1188" s="386"/>
      <c r="Q1188" s="386"/>
    </row>
    <row r="1189" spans="1:17" s="1659" customFormat="1" ht="30" customHeight="1" x14ac:dyDescent="0.2">
      <c r="A1189" s="7705"/>
      <c r="B1189" s="7653"/>
      <c r="C1189" s="7724"/>
      <c r="D1189" s="7564"/>
      <c r="E1189" s="7660"/>
      <c r="F1189" s="7564"/>
      <c r="G1189" s="6393"/>
      <c r="H1189" s="6393"/>
      <c r="I1189" s="6443" t="s">
        <v>7285</v>
      </c>
      <c r="J1189" s="6393">
        <f t="shared" si="107"/>
        <v>0</v>
      </c>
      <c r="K1189" s="6393">
        <f>F1188-J1189</f>
        <v>5000000</v>
      </c>
      <c r="L1189" s="6396"/>
      <c r="M1189" s="6484"/>
      <c r="N1189" s="6484"/>
      <c r="O1189" s="6484"/>
      <c r="P1189" s="386"/>
      <c r="Q1189" s="386"/>
    </row>
    <row r="1190" spans="1:17" s="1659" customFormat="1" ht="30" customHeight="1" x14ac:dyDescent="0.2">
      <c r="A1190" s="7703"/>
      <c r="B1190" s="7652" t="s">
        <v>105</v>
      </c>
      <c r="C1190" s="7723" t="s">
        <v>990</v>
      </c>
      <c r="D1190" s="7563">
        <v>200000000</v>
      </c>
      <c r="E1190" s="7659">
        <v>7.0000000000000007E-2</v>
      </c>
      <c r="F1190" s="7563">
        <f t="shared" si="106"/>
        <v>14000000.000000002</v>
      </c>
      <c r="G1190" s="6393"/>
      <c r="H1190" s="6393"/>
      <c r="I1190" s="6443" t="s">
        <v>2794</v>
      </c>
      <c r="J1190" s="6393">
        <f t="shared" si="107"/>
        <v>0</v>
      </c>
      <c r="K1190" s="6393">
        <f>F1190-J1190</f>
        <v>14000000.000000002</v>
      </c>
      <c r="L1190" s="6517"/>
      <c r="M1190" s="6484"/>
      <c r="N1190" s="6484"/>
      <c r="O1190" s="6484"/>
      <c r="P1190" s="386"/>
      <c r="Q1190" s="386"/>
    </row>
    <row r="1191" spans="1:17" s="1659" customFormat="1" ht="30" customHeight="1" x14ac:dyDescent="0.2">
      <c r="A1191" s="7705"/>
      <c r="B1191" s="7653"/>
      <c r="C1191" s="7724"/>
      <c r="D1191" s="7564"/>
      <c r="E1191" s="7660"/>
      <c r="F1191" s="7564"/>
      <c r="G1191" s="6393"/>
      <c r="H1191" s="6393"/>
      <c r="I1191" s="6443" t="s">
        <v>2794</v>
      </c>
      <c r="J1191" s="6393">
        <f t="shared" si="107"/>
        <v>0</v>
      </c>
      <c r="K1191" s="6393">
        <f>F1190-J1191</f>
        <v>14000000.000000002</v>
      </c>
      <c r="L1191" s="6396"/>
      <c r="M1191" s="6484"/>
      <c r="N1191" s="6484"/>
      <c r="O1191" s="6484"/>
      <c r="P1191" s="386"/>
      <c r="Q1191" s="386"/>
    </row>
    <row r="1192" spans="1:17" s="1659" customFormat="1" ht="30" customHeight="1" x14ac:dyDescent="0.2">
      <c r="A1192" s="6483"/>
      <c r="B1192" s="6431" t="s">
        <v>4550</v>
      </c>
      <c r="C1192" s="6472" t="s">
        <v>1299</v>
      </c>
      <c r="D1192" s="6385">
        <v>120000000</v>
      </c>
      <c r="E1192" s="6471">
        <v>7.0000000000000007E-2</v>
      </c>
      <c r="F1192" s="6385">
        <f t="shared" si="106"/>
        <v>8400000</v>
      </c>
      <c r="G1192" s="6385"/>
      <c r="H1192" s="6385"/>
      <c r="I1192" s="6385" t="s">
        <v>5178</v>
      </c>
      <c r="J1192" s="6385">
        <f t="shared" si="107"/>
        <v>0</v>
      </c>
      <c r="K1192" s="6385">
        <f>F1192-J1192</f>
        <v>8400000</v>
      </c>
      <c r="L1192" s="6396"/>
      <c r="M1192" s="6484"/>
      <c r="N1192" s="6484"/>
      <c r="O1192" s="6484"/>
      <c r="P1192" s="386"/>
      <c r="Q1192" s="386"/>
    </row>
    <row r="1193" spans="1:17" s="1659" customFormat="1" ht="30" customHeight="1" x14ac:dyDescent="0.2">
      <c r="A1193" s="6483"/>
      <c r="B1193" s="6431" t="s">
        <v>4577</v>
      </c>
      <c r="C1193" s="6472" t="s">
        <v>371</v>
      </c>
      <c r="D1193" s="6385">
        <v>50000000</v>
      </c>
      <c r="E1193" s="6402">
        <v>0.05</v>
      </c>
      <c r="F1193" s="6393">
        <f t="shared" si="106"/>
        <v>2500000</v>
      </c>
      <c r="G1193" s="6393"/>
      <c r="H1193" s="6393"/>
      <c r="I1193" s="6443" t="s">
        <v>4578</v>
      </c>
      <c r="J1193" s="6393">
        <f t="shared" si="107"/>
        <v>0</v>
      </c>
      <c r="K1193" s="6393">
        <f>F1193-G1193</f>
        <v>2500000</v>
      </c>
      <c r="L1193" s="6396"/>
      <c r="M1193" s="6484"/>
      <c r="N1193" s="6484"/>
      <c r="O1193" s="6484"/>
      <c r="P1193" s="386"/>
      <c r="Q1193" s="386"/>
    </row>
    <row r="1194" spans="1:17" s="1659" customFormat="1" ht="30" customHeight="1" x14ac:dyDescent="0.2">
      <c r="A1194" s="7703"/>
      <c r="B1194" s="7652" t="s">
        <v>4657</v>
      </c>
      <c r="C1194" s="7723" t="s">
        <v>990</v>
      </c>
      <c r="D1194" s="7563">
        <v>10000000</v>
      </c>
      <c r="E1194" s="7659">
        <v>0.05</v>
      </c>
      <c r="F1194" s="7563">
        <f t="shared" si="106"/>
        <v>500000</v>
      </c>
      <c r="G1194" s="6385"/>
      <c r="H1194" s="6385"/>
      <c r="I1194" s="6385" t="s">
        <v>4841</v>
      </c>
      <c r="J1194" s="6385">
        <f t="shared" si="107"/>
        <v>0</v>
      </c>
      <c r="K1194" s="6393">
        <f t="shared" ref="K1194:K1210" si="108">F1194-J1194</f>
        <v>500000</v>
      </c>
      <c r="L1194" s="6517"/>
      <c r="M1194" s="6484"/>
      <c r="N1194" s="6484"/>
      <c r="O1194" s="6484"/>
      <c r="P1194" s="386"/>
      <c r="Q1194" s="386"/>
    </row>
    <row r="1195" spans="1:17" s="1659" customFormat="1" ht="30" customHeight="1" x14ac:dyDescent="0.2">
      <c r="A1195" s="7705"/>
      <c r="B1195" s="7653"/>
      <c r="C1195" s="7724"/>
      <c r="D1195" s="7564"/>
      <c r="E1195" s="7660"/>
      <c r="F1195" s="7564"/>
      <c r="G1195" s="6393"/>
      <c r="H1195" s="6393"/>
      <c r="I1195" s="6443" t="s">
        <v>4841</v>
      </c>
      <c r="J1195" s="6393">
        <f t="shared" si="107"/>
        <v>0</v>
      </c>
      <c r="K1195" s="6393">
        <f>F1194-J1195</f>
        <v>500000</v>
      </c>
      <c r="L1195" s="6396"/>
      <c r="M1195" s="6484"/>
      <c r="N1195" s="6484"/>
      <c r="O1195" s="6484"/>
      <c r="P1195" s="386"/>
      <c r="Q1195" s="386"/>
    </row>
    <row r="1196" spans="1:17" s="1659" customFormat="1" ht="30" customHeight="1" x14ac:dyDescent="0.2">
      <c r="A1196" s="6483"/>
      <c r="B1196" s="6431" t="s">
        <v>4667</v>
      </c>
      <c r="C1196" s="6472" t="s">
        <v>1796</v>
      </c>
      <c r="D1196" s="6385">
        <v>100000000</v>
      </c>
      <c r="E1196" s="6402">
        <v>7.0000000000000007E-2</v>
      </c>
      <c r="F1196" s="6393">
        <f t="shared" si="106"/>
        <v>7000000.0000000009</v>
      </c>
      <c r="G1196" s="6393"/>
      <c r="H1196" s="6393"/>
      <c r="I1196" s="6443" t="s">
        <v>4787</v>
      </c>
      <c r="J1196" s="6393">
        <f t="shared" si="107"/>
        <v>0</v>
      </c>
      <c r="K1196" s="6393">
        <f t="shared" si="108"/>
        <v>7000000.0000000009</v>
      </c>
      <c r="L1196" s="6396"/>
      <c r="M1196" s="6484"/>
      <c r="N1196" s="6484"/>
      <c r="O1196" s="6484"/>
      <c r="P1196" s="386"/>
      <c r="Q1196" s="386"/>
    </row>
    <row r="1197" spans="1:17" s="1659" customFormat="1" ht="30" customHeight="1" x14ac:dyDescent="0.2">
      <c r="A1197" s="6483"/>
      <c r="B1197" s="6431" t="s">
        <v>4668</v>
      </c>
      <c r="C1197" s="6472"/>
      <c r="D1197" s="6385">
        <v>100000000</v>
      </c>
      <c r="E1197" s="6402">
        <v>7.0000000000000007E-2</v>
      </c>
      <c r="F1197" s="6393">
        <f t="shared" si="106"/>
        <v>7000000.0000000009</v>
      </c>
      <c r="G1197" s="6393"/>
      <c r="H1197" s="6393"/>
      <c r="I1197" s="6443" t="s">
        <v>4861</v>
      </c>
      <c r="J1197" s="6393">
        <f t="shared" si="107"/>
        <v>0</v>
      </c>
      <c r="K1197" s="6393">
        <f t="shared" si="108"/>
        <v>7000000.0000000009</v>
      </c>
      <c r="L1197" s="6396"/>
      <c r="M1197" s="6484"/>
      <c r="N1197" s="6484"/>
      <c r="O1197" s="6484"/>
      <c r="P1197" s="386"/>
      <c r="Q1197" s="386"/>
    </row>
    <row r="1198" spans="1:17" s="1659" customFormat="1" ht="30" customHeight="1" x14ac:dyDescent="0.2">
      <c r="A1198" s="6483"/>
      <c r="B1198" s="6431" t="s">
        <v>4669</v>
      </c>
      <c r="C1198" s="6472"/>
      <c r="D1198" s="6385">
        <v>35000000</v>
      </c>
      <c r="E1198" s="6402">
        <v>7.0000000000000007E-2</v>
      </c>
      <c r="F1198" s="6393">
        <f t="shared" si="106"/>
        <v>2450000.0000000005</v>
      </c>
      <c r="G1198" s="6393"/>
      <c r="H1198" s="6393"/>
      <c r="I1198" s="6443" t="s">
        <v>4862</v>
      </c>
      <c r="J1198" s="6393">
        <f t="shared" si="107"/>
        <v>0</v>
      </c>
      <c r="K1198" s="6393">
        <f t="shared" si="108"/>
        <v>2450000.0000000005</v>
      </c>
      <c r="L1198" s="6396"/>
      <c r="M1198" s="6484"/>
      <c r="N1198" s="6484"/>
      <c r="O1198" s="6484"/>
      <c r="P1198" s="386"/>
      <c r="Q1198" s="386"/>
    </row>
    <row r="1199" spans="1:17" s="1659" customFormat="1" ht="30" customHeight="1" x14ac:dyDescent="0.2">
      <c r="A1199" s="7703"/>
      <c r="B1199" s="7652" t="s">
        <v>4676</v>
      </c>
      <c r="C1199" s="7723" t="s">
        <v>1287</v>
      </c>
      <c r="D1199" s="6385">
        <v>110000000</v>
      </c>
      <c r="E1199" s="6402">
        <v>0.05</v>
      </c>
      <c r="F1199" s="6393">
        <f t="shared" si="106"/>
        <v>5500000</v>
      </c>
      <c r="G1199" s="6393"/>
      <c r="H1199" s="6393"/>
      <c r="I1199" s="6443" t="s">
        <v>7669</v>
      </c>
      <c r="J1199" s="6393">
        <f t="shared" si="107"/>
        <v>0</v>
      </c>
      <c r="K1199" s="6393">
        <f t="shared" si="108"/>
        <v>5500000</v>
      </c>
      <c r="L1199" s="6396"/>
      <c r="M1199" s="6484"/>
      <c r="N1199" s="6484"/>
      <c r="O1199" s="6484"/>
      <c r="P1199" s="386"/>
      <c r="Q1199" s="386"/>
    </row>
    <row r="1200" spans="1:17" s="1659" customFormat="1" ht="30" customHeight="1" x14ac:dyDescent="0.2">
      <c r="A1200" s="7705"/>
      <c r="B1200" s="7653"/>
      <c r="C1200" s="7724"/>
      <c r="D1200" s="7470" t="s">
        <v>4531</v>
      </c>
      <c r="E1200" s="7493"/>
      <c r="F1200" s="7510"/>
      <c r="G1200" s="6393"/>
      <c r="H1200" s="6393"/>
      <c r="I1200" s="6443" t="s">
        <v>7746</v>
      </c>
      <c r="J1200" s="6393">
        <f>G1200</f>
        <v>0</v>
      </c>
      <c r="K1200" s="6393">
        <f>D1199-J1200</f>
        <v>110000000</v>
      </c>
      <c r="L1200" s="6396"/>
      <c r="M1200" s="6484"/>
      <c r="N1200" s="6484"/>
      <c r="O1200" s="6484"/>
      <c r="P1200" s="386"/>
      <c r="Q1200" s="386"/>
    </row>
    <row r="1201" spans="1:17" s="1659" customFormat="1" ht="30" customHeight="1" x14ac:dyDescent="0.2">
      <c r="A1201" s="6483"/>
      <c r="B1201" s="6431" t="s">
        <v>4755</v>
      </c>
      <c r="C1201" s="6472" t="s">
        <v>1796</v>
      </c>
      <c r="D1201" s="6385">
        <v>50000000</v>
      </c>
      <c r="E1201" s="6471">
        <v>0.05</v>
      </c>
      <c r="F1201" s="6385">
        <f t="shared" si="106"/>
        <v>2500000</v>
      </c>
      <c r="G1201" s="6385"/>
      <c r="H1201" s="6385"/>
      <c r="I1201" s="6385" t="s">
        <v>5331</v>
      </c>
      <c r="J1201" s="6385">
        <f t="shared" si="107"/>
        <v>0</v>
      </c>
      <c r="K1201" s="6385">
        <f t="shared" si="108"/>
        <v>2500000</v>
      </c>
      <c r="L1201" s="6517"/>
      <c r="M1201" s="6484"/>
      <c r="N1201" s="6484"/>
      <c r="O1201" s="6484"/>
      <c r="P1201" s="386"/>
      <c r="Q1201" s="386"/>
    </row>
    <row r="1202" spans="1:17" s="1659" customFormat="1" ht="30" customHeight="1" x14ac:dyDescent="0.2">
      <c r="A1202" s="7703"/>
      <c r="B1202" s="7652" t="s">
        <v>229</v>
      </c>
      <c r="C1202" s="7723" t="s">
        <v>1306</v>
      </c>
      <c r="D1202" s="7563">
        <v>60000000</v>
      </c>
      <c r="E1202" s="7659">
        <v>0.05</v>
      </c>
      <c r="F1202" s="7563">
        <f t="shared" si="106"/>
        <v>3000000</v>
      </c>
      <c r="G1202" s="6393"/>
      <c r="H1202" s="6393"/>
      <c r="I1202" s="6443" t="s">
        <v>1063</v>
      </c>
      <c r="J1202" s="6393">
        <f t="shared" si="107"/>
        <v>0</v>
      </c>
      <c r="K1202" s="6393">
        <f t="shared" si="108"/>
        <v>3000000</v>
      </c>
      <c r="L1202" s="6396"/>
      <c r="M1202" s="6484"/>
      <c r="N1202" s="6484"/>
      <c r="O1202" s="6484"/>
      <c r="P1202" s="386"/>
      <c r="Q1202" s="386"/>
    </row>
    <row r="1203" spans="1:17" s="1659" customFormat="1" ht="30" customHeight="1" x14ac:dyDescent="0.2">
      <c r="A1203" s="7705"/>
      <c r="B1203" s="7653"/>
      <c r="C1203" s="7724"/>
      <c r="D1203" s="7564"/>
      <c r="E1203" s="7660"/>
      <c r="F1203" s="7564"/>
      <c r="G1203" s="6393"/>
      <c r="H1203" s="6393"/>
      <c r="I1203" s="6443" t="s">
        <v>1063</v>
      </c>
      <c r="J1203" s="6393">
        <f t="shared" si="107"/>
        <v>0</v>
      </c>
      <c r="K1203" s="6393">
        <f>F1202-J1203</f>
        <v>3000000</v>
      </c>
      <c r="L1203" s="6396"/>
      <c r="M1203" s="6484"/>
      <c r="N1203" s="6484"/>
      <c r="O1203" s="6484"/>
      <c r="P1203" s="386"/>
      <c r="Q1203" s="386"/>
    </row>
    <row r="1204" spans="1:17" s="1659" customFormat="1" ht="30" customHeight="1" x14ac:dyDescent="0.2">
      <c r="A1204" s="6483"/>
      <c r="B1204" s="6431" t="s">
        <v>4792</v>
      </c>
      <c r="C1204" s="6472" t="s">
        <v>2278</v>
      </c>
      <c r="D1204" s="6385">
        <v>200000000</v>
      </c>
      <c r="E1204" s="6402">
        <v>7.0000000000000007E-2</v>
      </c>
      <c r="F1204" s="6393">
        <f t="shared" si="106"/>
        <v>14000000.000000002</v>
      </c>
      <c r="G1204" s="6393"/>
      <c r="H1204" s="6393"/>
      <c r="I1204" s="6443" t="s">
        <v>5122</v>
      </c>
      <c r="J1204" s="6393">
        <f t="shared" si="107"/>
        <v>0</v>
      </c>
      <c r="K1204" s="6393">
        <f t="shared" si="108"/>
        <v>14000000.000000002</v>
      </c>
      <c r="L1204" s="6396"/>
      <c r="M1204" s="6484"/>
      <c r="N1204" s="6484"/>
      <c r="O1204" s="6484"/>
      <c r="P1204" s="386"/>
      <c r="Q1204" s="386"/>
    </row>
    <row r="1205" spans="1:17" s="1659" customFormat="1" ht="30" customHeight="1" x14ac:dyDescent="0.2">
      <c r="A1205" s="6483"/>
      <c r="B1205" s="6431" t="s">
        <v>5040</v>
      </c>
      <c r="C1205" s="6472" t="s">
        <v>1300</v>
      </c>
      <c r="D1205" s="6385">
        <v>250000000</v>
      </c>
      <c r="E1205" s="6402">
        <v>7.0000000000000007E-2</v>
      </c>
      <c r="F1205" s="6393">
        <f t="shared" si="106"/>
        <v>17500000</v>
      </c>
      <c r="G1205" s="6393"/>
      <c r="H1205" s="6393"/>
      <c r="I1205" s="6443" t="s">
        <v>5132</v>
      </c>
      <c r="J1205" s="6393">
        <f t="shared" si="107"/>
        <v>0</v>
      </c>
      <c r="K1205" s="6393">
        <f t="shared" si="108"/>
        <v>17500000</v>
      </c>
      <c r="L1205" s="6396"/>
      <c r="M1205" s="6484"/>
      <c r="N1205" s="6484"/>
      <c r="O1205" s="6484"/>
      <c r="P1205" s="386"/>
      <c r="Q1205" s="386"/>
    </row>
    <row r="1206" spans="1:17" s="1659" customFormat="1" ht="30" customHeight="1" x14ac:dyDescent="0.2">
      <c r="A1206" s="7703"/>
      <c r="B1206" s="7652" t="s">
        <v>4914</v>
      </c>
      <c r="C1206" s="7723" t="s">
        <v>1299</v>
      </c>
      <c r="D1206" s="7563">
        <v>200000000</v>
      </c>
      <c r="E1206" s="7659">
        <v>5.5E-2</v>
      </c>
      <c r="F1206" s="7563">
        <f t="shared" si="106"/>
        <v>11000000</v>
      </c>
      <c r="G1206" s="6393"/>
      <c r="H1206" s="6393"/>
      <c r="I1206" s="6443" t="s">
        <v>4581</v>
      </c>
      <c r="J1206" s="6393">
        <f t="shared" si="107"/>
        <v>0</v>
      </c>
      <c r="K1206" s="6393">
        <f t="shared" si="108"/>
        <v>11000000</v>
      </c>
      <c r="L1206" s="6396"/>
      <c r="M1206" s="6484"/>
      <c r="N1206" s="6484"/>
      <c r="O1206" s="6484"/>
      <c r="P1206" s="386"/>
      <c r="Q1206" s="386"/>
    </row>
    <row r="1207" spans="1:17" s="1659" customFormat="1" ht="30" customHeight="1" x14ac:dyDescent="0.2">
      <c r="A1207" s="7705"/>
      <c r="B1207" s="7653"/>
      <c r="C1207" s="7724"/>
      <c r="D1207" s="7564"/>
      <c r="E1207" s="7660"/>
      <c r="F1207" s="7564"/>
      <c r="G1207" s="6393"/>
      <c r="H1207" s="6393"/>
      <c r="I1207" s="6443" t="s">
        <v>1574</v>
      </c>
      <c r="J1207" s="6393">
        <f t="shared" si="107"/>
        <v>0</v>
      </c>
      <c r="K1207" s="6393">
        <f>F1206-J1207</f>
        <v>11000000</v>
      </c>
      <c r="L1207" s="6396"/>
      <c r="M1207" s="6484"/>
      <c r="N1207" s="6484"/>
      <c r="O1207" s="6484"/>
      <c r="P1207" s="386"/>
      <c r="Q1207" s="386"/>
    </row>
    <row r="1208" spans="1:17" s="1659" customFormat="1" ht="30" customHeight="1" x14ac:dyDescent="0.2">
      <c r="A1208" s="6483"/>
      <c r="B1208" s="6431" t="s">
        <v>4922</v>
      </c>
      <c r="C1208" s="6472"/>
      <c r="D1208" s="6385">
        <v>600000000</v>
      </c>
      <c r="E1208" s="6402">
        <v>7.0000000000000007E-2</v>
      </c>
      <c r="F1208" s="6393">
        <f t="shared" si="106"/>
        <v>42000000.000000007</v>
      </c>
      <c r="G1208" s="6393"/>
      <c r="H1208" s="6393"/>
      <c r="I1208" s="6443" t="s">
        <v>5604</v>
      </c>
      <c r="J1208" s="6393">
        <f t="shared" si="107"/>
        <v>0</v>
      </c>
      <c r="K1208" s="6393">
        <f t="shared" si="108"/>
        <v>42000000.000000007</v>
      </c>
      <c r="L1208" s="6396" t="s">
        <v>5656</v>
      </c>
      <c r="M1208" s="6484"/>
      <c r="N1208" s="6484"/>
      <c r="O1208" s="6484"/>
      <c r="P1208" s="386"/>
      <c r="Q1208" s="386"/>
    </row>
    <row r="1209" spans="1:17" s="1659" customFormat="1" ht="30" customHeight="1" x14ac:dyDescent="0.2">
      <c r="A1209" s="6483"/>
      <c r="B1209" s="6431" t="s">
        <v>4967</v>
      </c>
      <c r="C1209" s="6472" t="s">
        <v>3483</v>
      </c>
      <c r="D1209" s="6385">
        <v>150000000</v>
      </c>
      <c r="E1209" s="6402">
        <v>5.6000000000000001E-2</v>
      </c>
      <c r="F1209" s="6393">
        <v>8500000</v>
      </c>
      <c r="G1209" s="6393"/>
      <c r="H1209" s="6393"/>
      <c r="I1209" s="6443" t="s">
        <v>5515</v>
      </c>
      <c r="J1209" s="6393">
        <f t="shared" si="107"/>
        <v>0</v>
      </c>
      <c r="K1209" s="6393">
        <f t="shared" si="108"/>
        <v>8500000</v>
      </c>
      <c r="L1209" s="6396"/>
      <c r="M1209" s="6484"/>
      <c r="N1209" s="6484"/>
      <c r="O1209" s="6484"/>
      <c r="P1209" s="386"/>
      <c r="Q1209" s="386"/>
    </row>
    <row r="1210" spans="1:17" s="1659" customFormat="1" ht="30" customHeight="1" x14ac:dyDescent="0.2">
      <c r="A1210" s="6483"/>
      <c r="B1210" s="6431" t="s">
        <v>5019</v>
      </c>
      <c r="C1210" s="6434"/>
      <c r="D1210" s="6393">
        <v>130000000</v>
      </c>
      <c r="E1210" s="6402">
        <v>0.05</v>
      </c>
      <c r="F1210" s="6393">
        <f>D1210*E1210</f>
        <v>6500000</v>
      </c>
      <c r="G1210" s="6393"/>
      <c r="H1210" s="6393"/>
      <c r="I1210" s="6443" t="s">
        <v>1220</v>
      </c>
      <c r="J1210" s="6393">
        <f t="shared" si="107"/>
        <v>0</v>
      </c>
      <c r="K1210" s="6393">
        <f t="shared" si="108"/>
        <v>6500000</v>
      </c>
      <c r="L1210" s="6396"/>
      <c r="M1210" s="6484"/>
      <c r="N1210" s="6484"/>
      <c r="O1210" s="6484"/>
      <c r="P1210" s="386"/>
      <c r="Q1210" s="386"/>
    </row>
    <row r="1211" spans="1:17" s="1659" customFormat="1" ht="30" customHeight="1" x14ac:dyDescent="0.2">
      <c r="A1211" s="6483"/>
      <c r="B1211" s="6431" t="s">
        <v>5021</v>
      </c>
      <c r="C1211" s="6472" t="s">
        <v>1287</v>
      </c>
      <c r="D1211" s="6393">
        <v>400000000</v>
      </c>
      <c r="E1211" s="6402">
        <v>0.05</v>
      </c>
      <c r="F1211" s="6393">
        <f>D1211*E1211</f>
        <v>20000000</v>
      </c>
      <c r="G1211" s="6385"/>
      <c r="H1211" s="6385"/>
      <c r="I1211" s="6385" t="s">
        <v>7699</v>
      </c>
      <c r="J1211" s="6385">
        <f>G1211</f>
        <v>0</v>
      </c>
      <c r="K1211" s="6385">
        <f>F1211-J1211</f>
        <v>20000000</v>
      </c>
      <c r="L1211" s="6396"/>
      <c r="M1211" s="6484"/>
      <c r="N1211" s="6484"/>
      <c r="O1211" s="6484"/>
      <c r="P1211" s="386"/>
      <c r="Q1211" s="386"/>
    </row>
    <row r="1212" spans="1:17" s="1659" customFormat="1" ht="30" customHeight="1" x14ac:dyDescent="0.2">
      <c r="A1212" s="6483"/>
      <c r="B1212" s="6431" t="s">
        <v>5033</v>
      </c>
      <c r="C1212" s="6434"/>
      <c r="D1212" s="6411"/>
      <c r="E1212" s="6421"/>
      <c r="F1212" s="6411"/>
      <c r="G1212" s="6393"/>
      <c r="H1212" s="6393"/>
      <c r="I1212" s="6443" t="s">
        <v>5034</v>
      </c>
      <c r="J1212" s="6393">
        <f>G1212</f>
        <v>0</v>
      </c>
      <c r="K1212" s="6411">
        <f>F1212-J1212</f>
        <v>0</v>
      </c>
      <c r="L1212" s="6396"/>
      <c r="M1212" s="6484"/>
      <c r="N1212" s="6484"/>
      <c r="O1212" s="6484"/>
      <c r="P1212" s="386"/>
      <c r="Q1212" s="386"/>
    </row>
    <row r="1213" spans="1:17" s="1659" customFormat="1" ht="30" customHeight="1" x14ac:dyDescent="0.2">
      <c r="A1213" s="6531"/>
      <c r="B1213" s="6431" t="s">
        <v>5037</v>
      </c>
      <c r="C1213" s="6434" t="s">
        <v>371</v>
      </c>
      <c r="D1213" s="6393">
        <v>60000000</v>
      </c>
      <c r="E1213" s="6402">
        <v>0.06</v>
      </c>
      <c r="F1213" s="6393">
        <f t="shared" ref="F1213:F1219" si="109">D1213*E1213</f>
        <v>3600000</v>
      </c>
      <c r="G1213" s="6393"/>
      <c r="H1213" s="6393"/>
      <c r="I1213" s="6443"/>
      <c r="J1213" s="6393"/>
      <c r="K1213" s="6393"/>
      <c r="L1213" s="6559" t="s">
        <v>5038</v>
      </c>
      <c r="M1213" s="6484"/>
      <c r="N1213" s="6484"/>
      <c r="O1213" s="6484"/>
      <c r="P1213" s="386"/>
      <c r="Q1213" s="386"/>
    </row>
    <row r="1214" spans="1:17" s="1659" customFormat="1" ht="30" customHeight="1" x14ac:dyDescent="0.2">
      <c r="A1214" s="6531"/>
      <c r="B1214" s="6431" t="s">
        <v>5053</v>
      </c>
      <c r="C1214" s="6434"/>
      <c r="D1214" s="6393">
        <v>300000000</v>
      </c>
      <c r="E1214" s="6402">
        <v>0.05</v>
      </c>
      <c r="F1214" s="6393">
        <f t="shared" si="109"/>
        <v>15000000</v>
      </c>
      <c r="G1214" s="6393"/>
      <c r="H1214" s="6393"/>
      <c r="I1214" s="6443" t="s">
        <v>5059</v>
      </c>
      <c r="J1214" s="6393">
        <f t="shared" ref="J1214:J1223" si="110">G1214</f>
        <v>0</v>
      </c>
      <c r="K1214" s="6393">
        <f>F1214-J1214</f>
        <v>15000000</v>
      </c>
      <c r="L1214" s="6396"/>
      <c r="M1214" s="6484"/>
      <c r="N1214" s="6484"/>
      <c r="O1214" s="6484"/>
      <c r="P1214" s="386"/>
      <c r="Q1214" s="386"/>
    </row>
    <row r="1215" spans="1:17" s="1659" customFormat="1" ht="30" customHeight="1" x14ac:dyDescent="0.2">
      <c r="A1215" s="7703"/>
      <c r="B1215" s="7652" t="s">
        <v>5064</v>
      </c>
      <c r="C1215" s="7723" t="s">
        <v>372</v>
      </c>
      <c r="D1215" s="7563">
        <v>700000000</v>
      </c>
      <c r="E1215" s="7659">
        <v>6.5000000000000002E-2</v>
      </c>
      <c r="F1215" s="7563">
        <f t="shared" si="109"/>
        <v>45500000</v>
      </c>
      <c r="G1215" s="6393"/>
      <c r="H1215" s="6393"/>
      <c r="I1215" s="6443" t="s">
        <v>7653</v>
      </c>
      <c r="J1215" s="7563">
        <f>G1215+G1216</f>
        <v>0</v>
      </c>
      <c r="K1215" s="7563">
        <f>F1215-J1215</f>
        <v>45500000</v>
      </c>
      <c r="L1215" s="6396"/>
      <c r="M1215" s="6484"/>
      <c r="N1215" s="6484"/>
      <c r="O1215" s="6484"/>
      <c r="P1215" s="386"/>
      <c r="Q1215" s="386"/>
    </row>
    <row r="1216" spans="1:17" s="1659" customFormat="1" ht="30" customHeight="1" x14ac:dyDescent="0.2">
      <c r="A1216" s="7705"/>
      <c r="B1216" s="7653"/>
      <c r="C1216" s="7724"/>
      <c r="D1216" s="7564"/>
      <c r="E1216" s="7660"/>
      <c r="F1216" s="7564"/>
      <c r="G1216" s="6393"/>
      <c r="H1216" s="6393"/>
      <c r="I1216" s="6443" t="s">
        <v>7653</v>
      </c>
      <c r="J1216" s="7564"/>
      <c r="K1216" s="7564"/>
      <c r="L1216" s="6396"/>
      <c r="M1216" s="6484"/>
      <c r="N1216" s="6484"/>
      <c r="O1216" s="6484"/>
      <c r="P1216" s="386"/>
      <c r="Q1216" s="386"/>
    </row>
    <row r="1217" spans="1:17" s="1659" customFormat="1" ht="30" customHeight="1" x14ac:dyDescent="0.2">
      <c r="A1217" s="6531"/>
      <c r="B1217" s="6431" t="s">
        <v>5065</v>
      </c>
      <c r="C1217" s="6434" t="s">
        <v>372</v>
      </c>
      <c r="D1217" s="6393">
        <v>400000000</v>
      </c>
      <c r="E1217" s="6402">
        <v>6.5000000000000002E-2</v>
      </c>
      <c r="F1217" s="6393">
        <f t="shared" si="109"/>
        <v>26000000</v>
      </c>
      <c r="G1217" s="6393"/>
      <c r="H1217" s="6393"/>
      <c r="I1217" s="6443" t="s">
        <v>5519</v>
      </c>
      <c r="J1217" s="6393">
        <f t="shared" si="110"/>
        <v>0</v>
      </c>
      <c r="K1217" s="6393">
        <f>F1217-J1217</f>
        <v>26000000</v>
      </c>
      <c r="L1217" s="6396"/>
      <c r="M1217" s="6484"/>
      <c r="N1217" s="6484"/>
      <c r="O1217" s="6484"/>
      <c r="P1217" s="386"/>
      <c r="Q1217" s="386"/>
    </row>
    <row r="1218" spans="1:17" s="1659" customFormat="1" ht="30" customHeight="1" x14ac:dyDescent="0.2">
      <c r="A1218" s="6483"/>
      <c r="B1218" s="19" t="s">
        <v>5067</v>
      </c>
      <c r="C1218" s="378" t="s">
        <v>990</v>
      </c>
      <c r="D1218" s="6385">
        <v>32000000</v>
      </c>
      <c r="E1218" s="6471">
        <v>0.05</v>
      </c>
      <c r="F1218" s="6385">
        <f t="shared" si="109"/>
        <v>1600000</v>
      </c>
      <c r="G1218" s="6385"/>
      <c r="H1218" s="6385"/>
      <c r="I1218" s="6385" t="s">
        <v>7726</v>
      </c>
      <c r="J1218" s="6385">
        <f t="shared" si="110"/>
        <v>0</v>
      </c>
      <c r="K1218" s="6385">
        <f>F1218-J1218</f>
        <v>1600000</v>
      </c>
      <c r="L1218" s="6396"/>
      <c r="M1218" s="6484"/>
      <c r="N1218" s="6484"/>
      <c r="O1218" s="6484"/>
      <c r="P1218" s="386"/>
      <c r="Q1218" s="386"/>
    </row>
    <row r="1219" spans="1:17" s="1659" customFormat="1" ht="30" customHeight="1" x14ac:dyDescent="0.2">
      <c r="A1219" s="6531"/>
      <c r="B1219" s="6400" t="s">
        <v>5113</v>
      </c>
      <c r="C1219" s="6434" t="s">
        <v>1291</v>
      </c>
      <c r="D1219" s="6393">
        <v>500000000</v>
      </c>
      <c r="E1219" s="6402">
        <v>0.05</v>
      </c>
      <c r="F1219" s="6393">
        <f t="shared" si="109"/>
        <v>25000000</v>
      </c>
      <c r="G1219" s="6393"/>
      <c r="H1219" s="6393"/>
      <c r="I1219" s="6443" t="s">
        <v>7719</v>
      </c>
      <c r="J1219" s="6393">
        <f t="shared" si="110"/>
        <v>0</v>
      </c>
      <c r="K1219" s="6393">
        <f>F1219-J1219</f>
        <v>25000000</v>
      </c>
      <c r="L1219" s="6396"/>
      <c r="M1219" s="6484"/>
      <c r="N1219" s="6484"/>
      <c r="O1219" s="6484"/>
      <c r="P1219" s="386"/>
      <c r="Q1219" s="386"/>
    </row>
    <row r="1220" spans="1:17" s="1659" customFormat="1" ht="30" customHeight="1" x14ac:dyDescent="0.2">
      <c r="A1220" s="6531"/>
      <c r="B1220" s="6431" t="s">
        <v>5124</v>
      </c>
      <c r="C1220" s="6434"/>
      <c r="D1220" s="6411"/>
      <c r="E1220" s="6421"/>
      <c r="F1220" s="6411"/>
      <c r="G1220" s="6393"/>
      <c r="H1220" s="6393"/>
      <c r="I1220" s="6443" t="s">
        <v>7327</v>
      </c>
      <c r="J1220" s="6393">
        <f t="shared" si="110"/>
        <v>0</v>
      </c>
      <c r="K1220" s="6393"/>
      <c r="L1220" s="6396" t="s">
        <v>7328</v>
      </c>
      <c r="M1220" s="6484"/>
      <c r="N1220" s="6484"/>
      <c r="O1220" s="6484"/>
      <c r="P1220" s="386"/>
      <c r="Q1220" s="386"/>
    </row>
    <row r="1221" spans="1:17" s="1659" customFormat="1" ht="30" customHeight="1" x14ac:dyDescent="0.2">
      <c r="A1221" s="6531"/>
      <c r="B1221" s="6530" t="s">
        <v>5129</v>
      </c>
      <c r="C1221" s="6434"/>
      <c r="D1221" s="6411"/>
      <c r="E1221" s="6421"/>
      <c r="F1221" s="6411"/>
      <c r="G1221" s="6393"/>
      <c r="H1221" s="6393"/>
      <c r="I1221" s="6443" t="s">
        <v>6361</v>
      </c>
      <c r="J1221" s="6393">
        <f t="shared" si="110"/>
        <v>0</v>
      </c>
      <c r="K1221" s="6393"/>
      <c r="L1221" s="6396"/>
      <c r="M1221" s="6484"/>
      <c r="N1221" s="6484"/>
      <c r="O1221" s="6484"/>
      <c r="P1221" s="386"/>
      <c r="Q1221" s="386"/>
    </row>
    <row r="1222" spans="1:17" s="1659" customFormat="1" ht="30" customHeight="1" x14ac:dyDescent="0.2">
      <c r="A1222" s="7703"/>
      <c r="B1222" s="7652" t="s">
        <v>5218</v>
      </c>
      <c r="C1222" s="7723" t="s">
        <v>990</v>
      </c>
      <c r="D1222" s="7563">
        <v>50000000</v>
      </c>
      <c r="E1222" s="7659">
        <v>0.05</v>
      </c>
      <c r="F1222" s="7563">
        <f>D1222*E1222</f>
        <v>2500000</v>
      </c>
      <c r="G1222" s="6393"/>
      <c r="H1222" s="6393"/>
      <c r="I1222" s="6443" t="s">
        <v>7282</v>
      </c>
      <c r="J1222" s="6393">
        <f t="shared" si="110"/>
        <v>0</v>
      </c>
      <c r="K1222" s="6393">
        <f>F1222-J1222</f>
        <v>2500000</v>
      </c>
      <c r="L1222" s="6396"/>
      <c r="M1222" s="6484"/>
      <c r="N1222" s="6484"/>
      <c r="O1222" s="6484"/>
      <c r="P1222" s="386"/>
      <c r="Q1222" s="386"/>
    </row>
    <row r="1223" spans="1:17" s="1659" customFormat="1" ht="30" customHeight="1" x14ac:dyDescent="0.2">
      <c r="A1223" s="7705"/>
      <c r="B1223" s="7653"/>
      <c r="C1223" s="7724"/>
      <c r="D1223" s="7564"/>
      <c r="E1223" s="7660"/>
      <c r="F1223" s="7564"/>
      <c r="G1223" s="6393"/>
      <c r="H1223" s="6393"/>
      <c r="I1223" s="6443" t="s">
        <v>7282</v>
      </c>
      <c r="J1223" s="6392">
        <f t="shared" si="110"/>
        <v>0</v>
      </c>
      <c r="K1223" s="6392">
        <f>F1222-J1223</f>
        <v>2500000</v>
      </c>
      <c r="L1223" s="6396"/>
      <c r="M1223" s="6484"/>
      <c r="N1223" s="6484"/>
      <c r="O1223" s="6484"/>
      <c r="P1223" s="386"/>
      <c r="Q1223" s="386"/>
    </row>
    <row r="1224" spans="1:17" s="1659" customFormat="1" ht="30" customHeight="1" x14ac:dyDescent="0.2">
      <c r="A1224" s="7703"/>
      <c r="B1224" s="7652" t="s">
        <v>5241</v>
      </c>
      <c r="C1224" s="7723" t="s">
        <v>1306</v>
      </c>
      <c r="D1224" s="7563">
        <v>1275000000</v>
      </c>
      <c r="E1224" s="7659">
        <v>7.0000000000000007E-2</v>
      </c>
      <c r="F1224" s="7563">
        <f>D1224*E1224</f>
        <v>89250000.000000015</v>
      </c>
      <c r="G1224" s="6393"/>
      <c r="H1224" s="6393"/>
      <c r="I1224" s="6443" t="s">
        <v>7313</v>
      </c>
      <c r="J1224" s="7563">
        <f>G1224+G1225+G1226</f>
        <v>0</v>
      </c>
      <c r="K1224" s="7563">
        <f>F1224-J1224</f>
        <v>89250000.000000015</v>
      </c>
      <c r="L1224" s="6396" t="s">
        <v>6009</v>
      </c>
      <c r="M1224" s="6484"/>
      <c r="N1224" s="6484"/>
      <c r="O1224" s="6484"/>
      <c r="P1224" s="386"/>
      <c r="Q1224" s="386"/>
    </row>
    <row r="1225" spans="1:17" s="1659" customFormat="1" ht="30" customHeight="1" x14ac:dyDescent="0.2">
      <c r="A1225" s="7704"/>
      <c r="B1225" s="7665"/>
      <c r="C1225" s="7747"/>
      <c r="D1225" s="7586"/>
      <c r="E1225" s="7676"/>
      <c r="F1225" s="7586"/>
      <c r="G1225" s="6385"/>
      <c r="H1225" s="6385"/>
      <c r="I1225" s="6443" t="s">
        <v>7313</v>
      </c>
      <c r="J1225" s="7586"/>
      <c r="K1225" s="7586"/>
      <c r="L1225" s="7674"/>
      <c r="M1225" s="6484"/>
      <c r="N1225" s="6484"/>
      <c r="O1225" s="6484"/>
      <c r="P1225" s="386"/>
      <c r="Q1225" s="386"/>
    </row>
    <row r="1226" spans="1:17" s="1659" customFormat="1" ht="30" customHeight="1" x14ac:dyDescent="0.2">
      <c r="A1226" s="7704"/>
      <c r="B1226" s="7665"/>
      <c r="C1226" s="7724"/>
      <c r="D1226" s="7564"/>
      <c r="E1226" s="7660"/>
      <c r="F1226" s="7564"/>
      <c r="G1226" s="6385"/>
      <c r="H1226" s="6385"/>
      <c r="I1226" s="6385" t="s">
        <v>7313</v>
      </c>
      <c r="J1226" s="7564"/>
      <c r="K1226" s="7564"/>
      <c r="L1226" s="7675"/>
      <c r="M1226" s="6484"/>
      <c r="N1226" s="6484"/>
      <c r="O1226" s="6484"/>
      <c r="P1226" s="386"/>
      <c r="Q1226" s="386"/>
    </row>
    <row r="1227" spans="1:17" s="1659" customFormat="1" ht="30" customHeight="1" x14ac:dyDescent="0.2">
      <c r="A1227" s="7704"/>
      <c r="B1227" s="7665"/>
      <c r="C1227" s="7723" t="s">
        <v>1306</v>
      </c>
      <c r="D1227" s="7563">
        <v>1275000000</v>
      </c>
      <c r="E1227" s="7659">
        <v>7.0000000000000007E-2</v>
      </c>
      <c r="F1227" s="7563">
        <f>D1227*E1227</f>
        <v>89250000.000000015</v>
      </c>
      <c r="G1227" s="6385"/>
      <c r="H1227" s="6385"/>
      <c r="I1227" s="6385" t="s">
        <v>7313</v>
      </c>
      <c r="J1227" s="7563">
        <f>G1227+G1228+G1229</f>
        <v>0</v>
      </c>
      <c r="K1227" s="7563">
        <f>F1227-J1227</f>
        <v>89250000.000000015</v>
      </c>
      <c r="L1227" s="7674"/>
      <c r="M1227" s="6484"/>
      <c r="N1227" s="6484"/>
      <c r="O1227" s="6484"/>
      <c r="P1227" s="386"/>
      <c r="Q1227" s="386"/>
    </row>
    <row r="1228" spans="1:17" s="1659" customFormat="1" ht="30" customHeight="1" x14ac:dyDescent="0.2">
      <c r="A1228" s="7704"/>
      <c r="B1228" s="7665"/>
      <c r="C1228" s="7747"/>
      <c r="D1228" s="7586"/>
      <c r="E1228" s="7676"/>
      <c r="F1228" s="7586"/>
      <c r="G1228" s="6385"/>
      <c r="H1228" s="6385"/>
      <c r="I1228" s="6385" t="s">
        <v>7313</v>
      </c>
      <c r="J1228" s="7586"/>
      <c r="K1228" s="7586"/>
      <c r="L1228" s="8186"/>
      <c r="M1228" s="6484"/>
      <c r="N1228" s="6484"/>
      <c r="O1228" s="6484"/>
      <c r="P1228" s="386"/>
      <c r="Q1228" s="386"/>
    </row>
    <row r="1229" spans="1:17" s="1659" customFormat="1" ht="30" customHeight="1" x14ac:dyDescent="0.2">
      <c r="A1229" s="7705"/>
      <c r="B1229" s="7653"/>
      <c r="C1229" s="7724"/>
      <c r="D1229" s="7564"/>
      <c r="E1229" s="7660"/>
      <c r="F1229" s="7564"/>
      <c r="G1229" s="6385"/>
      <c r="H1229" s="6385"/>
      <c r="I1229" s="6385"/>
      <c r="J1229" s="7564"/>
      <c r="K1229" s="7564"/>
      <c r="L1229" s="7675"/>
      <c r="M1229" s="6484"/>
      <c r="N1229" s="6484"/>
      <c r="O1229" s="6484"/>
      <c r="P1229" s="386"/>
      <c r="Q1229" s="386"/>
    </row>
    <row r="1230" spans="1:17" s="1659" customFormat="1" ht="30" customHeight="1" x14ac:dyDescent="0.2">
      <c r="A1230" s="7703"/>
      <c r="B1230" s="7652" t="s">
        <v>5243</v>
      </c>
      <c r="C1230" s="7723" t="s">
        <v>1081</v>
      </c>
      <c r="D1230" s="6393">
        <v>50000000</v>
      </c>
      <c r="E1230" s="6402">
        <v>0.05</v>
      </c>
      <c r="F1230" s="6393">
        <f t="shared" ref="F1230:F1237" si="111">D1230*E1230</f>
        <v>2500000</v>
      </c>
      <c r="G1230" s="6385"/>
      <c r="H1230" s="6385"/>
      <c r="I1230" s="6385" t="s">
        <v>5994</v>
      </c>
      <c r="J1230" s="6385">
        <f t="shared" ref="J1230:J1239" si="112">G1230</f>
        <v>0</v>
      </c>
      <c r="K1230" s="6385">
        <f>(F1230+F1231)-J1230</f>
        <v>4000000</v>
      </c>
      <c r="L1230" s="6395"/>
      <c r="M1230" s="6484" t="s">
        <v>5277</v>
      </c>
      <c r="N1230" s="6484"/>
      <c r="O1230" s="6484"/>
      <c r="P1230" s="386"/>
      <c r="Q1230" s="386"/>
    </row>
    <row r="1231" spans="1:17" s="1659" customFormat="1" ht="30" customHeight="1" x14ac:dyDescent="0.2">
      <c r="A1231" s="7705"/>
      <c r="B1231" s="7653"/>
      <c r="C1231" s="7724"/>
      <c r="D1231" s="6393">
        <v>30000000</v>
      </c>
      <c r="E1231" s="6402">
        <v>0.05</v>
      </c>
      <c r="F1231" s="6393">
        <f t="shared" si="111"/>
        <v>1500000</v>
      </c>
      <c r="G1231" s="6385"/>
      <c r="H1231" s="6385"/>
      <c r="I1231" s="6385" t="s">
        <v>7736</v>
      </c>
      <c r="J1231" s="6385">
        <f t="shared" si="112"/>
        <v>0</v>
      </c>
      <c r="K1231" s="6385">
        <f>(F1230+F1231)-J1231</f>
        <v>4000000</v>
      </c>
      <c r="L1231" s="6396"/>
      <c r="M1231" s="6484"/>
      <c r="N1231" s="6484"/>
      <c r="O1231" s="6484"/>
      <c r="P1231" s="386"/>
      <c r="Q1231" s="386"/>
    </row>
    <row r="1232" spans="1:17" s="1659" customFormat="1" ht="30" customHeight="1" x14ac:dyDescent="0.2">
      <c r="A1232" s="7703"/>
      <c r="B1232" s="7652" t="s">
        <v>5250</v>
      </c>
      <c r="C1232" s="7723" t="s">
        <v>1138</v>
      </c>
      <c r="D1232" s="6385">
        <v>100000000</v>
      </c>
      <c r="E1232" s="6402">
        <v>0.05</v>
      </c>
      <c r="F1232" s="6393">
        <f t="shared" si="111"/>
        <v>5000000</v>
      </c>
      <c r="G1232" s="6393"/>
      <c r="H1232" s="6393"/>
      <c r="I1232" s="6443" t="s">
        <v>5997</v>
      </c>
      <c r="J1232" s="6393">
        <f t="shared" si="112"/>
        <v>0</v>
      </c>
      <c r="K1232" s="6393">
        <f>F1232-J1232</f>
        <v>5000000</v>
      </c>
      <c r="L1232" s="6395"/>
      <c r="M1232" s="6484"/>
      <c r="N1232" s="6484"/>
      <c r="O1232" s="6484"/>
      <c r="P1232" s="386"/>
      <c r="Q1232" s="386"/>
    </row>
    <row r="1233" spans="1:17" s="1659" customFormat="1" ht="30" customHeight="1" x14ac:dyDescent="0.2">
      <c r="A1233" s="7704"/>
      <c r="B1233" s="7665"/>
      <c r="C1233" s="7747"/>
      <c r="D1233" s="6393">
        <v>5000000</v>
      </c>
      <c r="E1233" s="6402">
        <v>7.0000000000000007E-2</v>
      </c>
      <c r="F1233" s="6393">
        <f t="shared" si="111"/>
        <v>350000.00000000006</v>
      </c>
      <c r="G1233" s="7732" t="s">
        <v>7635</v>
      </c>
      <c r="H1233" s="7733"/>
      <c r="I1233" s="7733"/>
      <c r="J1233" s="7734"/>
      <c r="K1233" s="6393"/>
      <c r="L1233" s="6488"/>
      <c r="M1233" s="6484"/>
      <c r="N1233" s="6484"/>
      <c r="O1233" s="6484"/>
      <c r="P1233" s="386"/>
      <c r="Q1233" s="386"/>
    </row>
    <row r="1234" spans="1:17" s="1659" customFormat="1" ht="30" customHeight="1" x14ac:dyDescent="0.2">
      <c r="A1234" s="7704"/>
      <c r="B1234" s="7665"/>
      <c r="C1234" s="7747"/>
      <c r="D1234" s="6393">
        <v>92700000</v>
      </c>
      <c r="E1234" s="6402">
        <v>7.0000000000000007E-2</v>
      </c>
      <c r="F1234" s="6393">
        <f t="shared" si="111"/>
        <v>6489000.0000000009</v>
      </c>
      <c r="G1234" s="7732" t="s">
        <v>7631</v>
      </c>
      <c r="H1234" s="7733"/>
      <c r="I1234" s="7733"/>
      <c r="J1234" s="7734"/>
      <c r="K1234" s="6393"/>
      <c r="L1234" s="6488" t="s">
        <v>7633</v>
      </c>
      <c r="M1234" s="6484"/>
      <c r="N1234" s="6484"/>
      <c r="O1234" s="6484"/>
      <c r="P1234" s="386"/>
      <c r="Q1234" s="386"/>
    </row>
    <row r="1235" spans="1:17" s="1659" customFormat="1" ht="30" customHeight="1" x14ac:dyDescent="0.2">
      <c r="A1235" s="7704"/>
      <c r="B1235" s="7665"/>
      <c r="C1235" s="7747"/>
      <c r="D1235" s="6393">
        <v>2300000</v>
      </c>
      <c r="E1235" s="6402">
        <v>7.0000000000000007E-2</v>
      </c>
      <c r="F1235" s="6393">
        <f t="shared" si="111"/>
        <v>161000.00000000003</v>
      </c>
      <c r="G1235" s="7732" t="s">
        <v>7636</v>
      </c>
      <c r="H1235" s="7733"/>
      <c r="I1235" s="7733"/>
      <c r="J1235" s="7734"/>
      <c r="K1235" s="6393"/>
      <c r="L1235" s="6488"/>
      <c r="M1235" s="6484"/>
      <c r="N1235" s="6484"/>
      <c r="O1235" s="6484"/>
      <c r="P1235" s="386"/>
      <c r="Q1235" s="386"/>
    </row>
    <row r="1236" spans="1:17" s="1659" customFormat="1" ht="30" customHeight="1" x14ac:dyDescent="0.2">
      <c r="A1236" s="7705"/>
      <c r="B1236" s="7653"/>
      <c r="C1236" s="7724"/>
      <c r="D1236" s="6494">
        <v>200000000</v>
      </c>
      <c r="E1236" s="6496"/>
      <c r="F1236" s="6494">
        <v>12000000</v>
      </c>
      <c r="G1236" s="7732" t="s">
        <v>7634</v>
      </c>
      <c r="H1236" s="7733"/>
      <c r="I1236" s="7733"/>
      <c r="J1236" s="7734"/>
      <c r="K1236" s="6393"/>
      <c r="L1236" s="6488" t="s">
        <v>7632</v>
      </c>
      <c r="M1236" s="6484"/>
      <c r="N1236" s="6484"/>
      <c r="O1236" s="6484"/>
      <c r="P1236" s="386"/>
      <c r="Q1236" s="386"/>
    </row>
    <row r="1237" spans="1:17" s="1659" customFormat="1" ht="30" customHeight="1" x14ac:dyDescent="0.2">
      <c r="A1237" s="6531"/>
      <c r="B1237" s="6431" t="s">
        <v>5252</v>
      </c>
      <c r="C1237" s="6434" t="s">
        <v>942</v>
      </c>
      <c r="D1237" s="6393">
        <v>200000000</v>
      </c>
      <c r="E1237" s="6402">
        <v>5.5E-2</v>
      </c>
      <c r="F1237" s="6393">
        <f t="shared" si="111"/>
        <v>11000000</v>
      </c>
      <c r="G1237" s="6393"/>
      <c r="H1237" s="6393"/>
      <c r="I1237" s="6443" t="s">
        <v>6141</v>
      </c>
      <c r="J1237" s="6393">
        <f t="shared" si="112"/>
        <v>0</v>
      </c>
      <c r="K1237" s="6393">
        <f>F1237-J1237</f>
        <v>11000000</v>
      </c>
      <c r="L1237" s="6396"/>
      <c r="M1237" s="6484"/>
      <c r="N1237" s="6484"/>
      <c r="O1237" s="6484"/>
      <c r="P1237" s="386"/>
      <c r="Q1237" s="386"/>
    </row>
    <row r="1238" spans="1:17" s="1659" customFormat="1" ht="30" customHeight="1" x14ac:dyDescent="0.2">
      <c r="A1238" s="6531"/>
      <c r="B1238" s="6431" t="s">
        <v>5304</v>
      </c>
      <c r="C1238" s="6434"/>
      <c r="D1238" s="6411"/>
      <c r="E1238" s="6421"/>
      <c r="F1238" s="6411"/>
      <c r="G1238" s="6393"/>
      <c r="H1238" s="6393"/>
      <c r="I1238" s="6443" t="s">
        <v>4147</v>
      </c>
      <c r="J1238" s="6393">
        <f t="shared" si="112"/>
        <v>0</v>
      </c>
      <c r="K1238" s="6411"/>
      <c r="L1238" s="6396"/>
      <c r="M1238" s="6484"/>
      <c r="N1238" s="6484"/>
      <c r="O1238" s="6484"/>
      <c r="P1238" s="386"/>
      <c r="Q1238" s="386"/>
    </row>
    <row r="1239" spans="1:17" s="1659" customFormat="1" ht="30" customHeight="1" x14ac:dyDescent="0.2">
      <c r="A1239" s="6483"/>
      <c r="B1239" s="6431" t="s">
        <v>5310</v>
      </c>
      <c r="C1239" s="6472"/>
      <c r="D1239" s="6385">
        <v>30000000</v>
      </c>
      <c r="E1239" s="6471">
        <v>0.05</v>
      </c>
      <c r="F1239" s="6385">
        <f>D1239*E1239</f>
        <v>1500000</v>
      </c>
      <c r="G1239" s="6393"/>
      <c r="H1239" s="6393"/>
      <c r="I1239" s="6443" t="s">
        <v>6139</v>
      </c>
      <c r="J1239" s="6393">
        <f t="shared" si="112"/>
        <v>0</v>
      </c>
      <c r="K1239" s="6393">
        <f>F1239-J1239</f>
        <v>1500000</v>
      </c>
      <c r="L1239" s="6396"/>
      <c r="M1239" s="6484"/>
      <c r="N1239" s="6484"/>
      <c r="O1239" s="6484"/>
      <c r="P1239" s="386"/>
      <c r="Q1239" s="386"/>
    </row>
    <row r="1240" spans="1:17" s="1659" customFormat="1" ht="30" customHeight="1" x14ac:dyDescent="0.2">
      <c r="A1240" s="6531"/>
      <c r="B1240" s="6431" t="s">
        <v>5311</v>
      </c>
      <c r="C1240" s="6434"/>
      <c r="D1240" s="6393">
        <v>10000000</v>
      </c>
      <c r="E1240" s="6402">
        <v>0.05</v>
      </c>
      <c r="F1240" s="6393">
        <f>D1240*E1240</f>
        <v>500000</v>
      </c>
      <c r="G1240" s="6393"/>
      <c r="H1240" s="6393"/>
      <c r="I1240" s="6443"/>
      <c r="J1240" s="6393"/>
      <c r="K1240" s="6393"/>
      <c r="L1240" s="6396"/>
      <c r="M1240" s="6484"/>
      <c r="N1240" s="6484"/>
      <c r="O1240" s="6484"/>
      <c r="P1240" s="386"/>
      <c r="Q1240" s="386"/>
    </row>
    <row r="1241" spans="1:17" s="1659" customFormat="1" ht="30" customHeight="1" x14ac:dyDescent="0.2">
      <c r="A1241" s="6531"/>
      <c r="B1241" s="6431" t="s">
        <v>5319</v>
      </c>
      <c r="C1241" s="6434" t="s">
        <v>889</v>
      </c>
      <c r="D1241" s="6393">
        <v>110000000</v>
      </c>
      <c r="E1241" s="6402">
        <v>0.05</v>
      </c>
      <c r="F1241" s="6393">
        <f>D1241*E1241</f>
        <v>5500000</v>
      </c>
      <c r="G1241" s="6393"/>
      <c r="H1241" s="6393"/>
      <c r="I1241" s="6443" t="s">
        <v>6194</v>
      </c>
      <c r="J1241" s="6393">
        <f>G1241</f>
        <v>0</v>
      </c>
      <c r="K1241" s="6393">
        <f>F1241-J1241</f>
        <v>5500000</v>
      </c>
      <c r="L1241" s="6396"/>
      <c r="M1241" s="6484"/>
      <c r="N1241" s="6484"/>
      <c r="O1241" s="6484"/>
      <c r="P1241" s="386"/>
      <c r="Q1241" s="386"/>
    </row>
    <row r="1242" spans="1:17" s="1659" customFormat="1" ht="30" customHeight="1" x14ac:dyDescent="0.2">
      <c r="A1242" s="6531"/>
      <c r="B1242" s="6530" t="s">
        <v>5325</v>
      </c>
      <c r="C1242" s="6456"/>
      <c r="D1242" s="6411"/>
      <c r="E1242" s="6421"/>
      <c r="F1242" s="6411"/>
      <c r="G1242" s="6411"/>
      <c r="H1242" s="6411"/>
      <c r="I1242" s="5816" t="s">
        <v>5326</v>
      </c>
      <c r="J1242" s="6411">
        <f>G1242</f>
        <v>0</v>
      </c>
      <c r="K1242" s="6411"/>
      <c r="L1242" s="6559" t="s">
        <v>5327</v>
      </c>
      <c r="M1242" s="6484"/>
      <c r="N1242" s="6484"/>
      <c r="O1242" s="6484"/>
      <c r="P1242" s="386"/>
      <c r="Q1242" s="386"/>
    </row>
    <row r="1243" spans="1:17" s="1659" customFormat="1" ht="30" customHeight="1" x14ac:dyDescent="0.2">
      <c r="A1243" s="6531"/>
      <c r="B1243" s="6431" t="s">
        <v>5332</v>
      </c>
      <c r="C1243" s="6434"/>
      <c r="D1243" s="6393">
        <v>30000000</v>
      </c>
      <c r="E1243" s="6402">
        <v>7.0000000000000007E-2</v>
      </c>
      <c r="F1243" s="6393">
        <f>D1243*E1243</f>
        <v>2100000</v>
      </c>
      <c r="G1243" s="6393"/>
      <c r="H1243" s="6393"/>
      <c r="I1243" s="6443" t="s">
        <v>5918</v>
      </c>
      <c r="J1243" s="6393">
        <f>G1243</f>
        <v>0</v>
      </c>
      <c r="K1243" s="6393">
        <f>F1243-J1243</f>
        <v>2100000</v>
      </c>
      <c r="L1243" s="6396"/>
      <c r="M1243" s="6484"/>
      <c r="N1243" s="6484"/>
      <c r="O1243" s="6484"/>
      <c r="P1243" s="386"/>
      <c r="Q1243" s="386"/>
    </row>
    <row r="1244" spans="1:17" s="1659" customFormat="1" ht="30" customHeight="1" x14ac:dyDescent="0.2">
      <c r="A1244" s="6468"/>
      <c r="B1244" s="6468" t="s">
        <v>5362</v>
      </c>
      <c r="C1244" s="345"/>
      <c r="D1244" s="6385">
        <v>13000000</v>
      </c>
      <c r="E1244" s="6471">
        <v>0.06</v>
      </c>
      <c r="F1244" s="6385">
        <f>D1244*E1244</f>
        <v>780000</v>
      </c>
      <c r="G1244" s="6385"/>
      <c r="H1244" s="6385"/>
      <c r="I1244" s="6385" t="s">
        <v>7650</v>
      </c>
      <c r="J1244" s="6385">
        <f>G1244</f>
        <v>0</v>
      </c>
      <c r="K1244" s="6385">
        <f>F1244-J1244</f>
        <v>780000</v>
      </c>
      <c r="L1244" s="6396" t="s">
        <v>7651</v>
      </c>
      <c r="M1244" s="6484"/>
      <c r="N1244" s="6484"/>
      <c r="O1244" s="6484"/>
      <c r="P1244" s="386"/>
      <c r="Q1244" s="386"/>
    </row>
    <row r="1245" spans="1:17" s="1659" customFormat="1" ht="30" customHeight="1" x14ac:dyDescent="0.2">
      <c r="A1245" s="7703"/>
      <c r="B1245" s="7710" t="s">
        <v>5365</v>
      </c>
      <c r="C1245" s="7813"/>
      <c r="D1245" s="7677"/>
      <c r="E1245" s="7691"/>
      <c r="F1245" s="7677"/>
      <c r="G1245" s="6411"/>
      <c r="H1245" s="6411"/>
      <c r="I1245" s="5816" t="s">
        <v>678</v>
      </c>
      <c r="J1245" s="7690">
        <f>G1245+G1246</f>
        <v>0</v>
      </c>
      <c r="K1245" s="7690"/>
      <c r="L1245" s="8570"/>
      <c r="M1245" s="6484"/>
      <c r="N1245" s="6484"/>
      <c r="O1245" s="6484"/>
      <c r="P1245" s="386"/>
      <c r="Q1245" s="386"/>
    </row>
    <row r="1246" spans="1:17" s="1659" customFormat="1" ht="30" customHeight="1" x14ac:dyDescent="0.2">
      <c r="A1246" s="7705"/>
      <c r="B1246" s="7712"/>
      <c r="C1246" s="7815"/>
      <c r="D1246" s="7678"/>
      <c r="E1246" s="7693"/>
      <c r="F1246" s="7678"/>
      <c r="G1246" s="6411"/>
      <c r="H1246" s="6411"/>
      <c r="I1246" s="5816" t="s">
        <v>5418</v>
      </c>
      <c r="J1246" s="7678"/>
      <c r="K1246" s="7678"/>
      <c r="L1246" s="8571"/>
      <c r="M1246" s="6484"/>
      <c r="N1246" s="6484"/>
      <c r="O1246" s="6484"/>
      <c r="P1246" s="386"/>
      <c r="Q1246" s="386"/>
    </row>
    <row r="1247" spans="1:17" s="1659" customFormat="1" ht="30" customHeight="1" x14ac:dyDescent="0.2">
      <c r="A1247" s="6483"/>
      <c r="B1247" s="6431" t="s">
        <v>5370</v>
      </c>
      <c r="C1247" s="6472" t="s">
        <v>4223</v>
      </c>
      <c r="D1247" s="6385">
        <v>300000000</v>
      </c>
      <c r="E1247" s="6471">
        <v>5.5E-2</v>
      </c>
      <c r="F1247" s="6385">
        <f>D1247*E1247</f>
        <v>16500000</v>
      </c>
      <c r="G1247" s="6385"/>
      <c r="H1247" s="6385"/>
      <c r="I1247" s="6385" t="s">
        <v>7014</v>
      </c>
      <c r="J1247" s="6385">
        <f>G1247</f>
        <v>0</v>
      </c>
      <c r="K1247" s="6393">
        <f>F1247-J1247</f>
        <v>16500000</v>
      </c>
      <c r="L1247" s="6396"/>
      <c r="M1247" s="6484"/>
      <c r="N1247" s="6484"/>
      <c r="O1247" s="6484"/>
      <c r="P1247" s="386"/>
      <c r="Q1247" s="386"/>
    </row>
    <row r="1248" spans="1:17" s="1659" customFormat="1" ht="30" customHeight="1" x14ac:dyDescent="0.2">
      <c r="A1248" s="6531"/>
      <c r="B1248" s="6431" t="s">
        <v>5401</v>
      </c>
      <c r="C1248" s="6434"/>
      <c r="D1248" s="6411"/>
      <c r="E1248" s="6421"/>
      <c r="F1248" s="6411"/>
      <c r="G1248" s="6393"/>
      <c r="H1248" s="6393"/>
      <c r="I1248" s="6443" t="s">
        <v>5402</v>
      </c>
      <c r="J1248" s="6393">
        <f>G1248</f>
        <v>0</v>
      </c>
      <c r="K1248" s="6411"/>
      <c r="L1248" s="6396"/>
      <c r="M1248" s="6484"/>
      <c r="N1248" s="6484"/>
      <c r="O1248" s="6484"/>
      <c r="P1248" s="386"/>
      <c r="Q1248" s="386"/>
    </row>
    <row r="1249" spans="1:17" s="1659" customFormat="1" ht="30" customHeight="1" x14ac:dyDescent="0.2">
      <c r="A1249" s="6531"/>
      <c r="B1249" s="6431" t="s">
        <v>5421</v>
      </c>
      <c r="C1249" s="6434"/>
      <c r="D1249" s="6411"/>
      <c r="E1249" s="6421"/>
      <c r="F1249" s="6411"/>
      <c r="G1249" s="6385"/>
      <c r="H1249" s="6385"/>
      <c r="I1249" s="6385" t="s">
        <v>5422</v>
      </c>
      <c r="J1249" s="6385">
        <f>G1249</f>
        <v>0</v>
      </c>
      <c r="K1249" s="6411"/>
      <c r="L1249" s="6396"/>
      <c r="M1249" s="6484"/>
      <c r="N1249" s="6484"/>
      <c r="O1249" s="6484"/>
      <c r="P1249" s="386"/>
      <c r="Q1249" s="386"/>
    </row>
    <row r="1250" spans="1:17" s="1659" customFormat="1" ht="30" customHeight="1" x14ac:dyDescent="0.2">
      <c r="A1250" s="6531"/>
      <c r="B1250" s="6530" t="s">
        <v>5407</v>
      </c>
      <c r="C1250" s="6456"/>
      <c r="D1250" s="6411">
        <v>70000000</v>
      </c>
      <c r="E1250" s="6421"/>
      <c r="F1250" s="6411"/>
      <c r="G1250" s="7552" t="s">
        <v>5410</v>
      </c>
      <c r="H1250" s="7843"/>
      <c r="I1250" s="7843"/>
      <c r="J1250" s="7844"/>
      <c r="K1250" s="6411"/>
      <c r="L1250" s="6559" t="s">
        <v>5675</v>
      </c>
      <c r="M1250" s="6484"/>
      <c r="N1250" s="6484"/>
      <c r="O1250" s="6484"/>
      <c r="P1250" s="386"/>
      <c r="Q1250" s="386"/>
    </row>
    <row r="1251" spans="1:17" s="1659" customFormat="1" ht="30" customHeight="1" x14ac:dyDescent="0.2">
      <c r="A1251" s="6531"/>
      <c r="B1251" s="6431" t="s">
        <v>5411</v>
      </c>
      <c r="C1251" s="6434" t="s">
        <v>392</v>
      </c>
      <c r="D1251" s="6393">
        <v>8000000</v>
      </c>
      <c r="E1251" s="6402">
        <v>0.05</v>
      </c>
      <c r="F1251" s="6393">
        <f>D1251*E1251</f>
        <v>400000</v>
      </c>
      <c r="G1251" s="6385"/>
      <c r="H1251" s="6385"/>
      <c r="I1251" s="6385" t="s">
        <v>6245</v>
      </c>
      <c r="J1251" s="6385">
        <f>G1251</f>
        <v>0</v>
      </c>
      <c r="K1251" s="6393">
        <f>F1251-J1251</f>
        <v>400000</v>
      </c>
      <c r="L1251" s="6396"/>
      <c r="M1251" s="6484"/>
      <c r="N1251" s="6484"/>
      <c r="O1251" s="6484"/>
      <c r="P1251" s="386"/>
      <c r="Q1251" s="386"/>
    </row>
    <row r="1252" spans="1:17" s="1659" customFormat="1" ht="30" customHeight="1" x14ac:dyDescent="0.2">
      <c r="A1252" s="6483"/>
      <c r="B1252" s="6431" t="s">
        <v>5676</v>
      </c>
      <c r="C1252" s="6472" t="s">
        <v>2644</v>
      </c>
      <c r="D1252" s="6391">
        <v>260000000</v>
      </c>
      <c r="E1252" s="6401">
        <v>0.05</v>
      </c>
      <c r="F1252" s="6391">
        <f>D1252*E1252</f>
        <v>13000000</v>
      </c>
      <c r="G1252" s="8000"/>
      <c r="H1252" s="8000"/>
      <c r="I1252" s="8000"/>
      <c r="J1252" s="8000"/>
      <c r="K1252" s="1604"/>
      <c r="L1252" s="6396"/>
      <c r="M1252" s="6484"/>
      <c r="N1252" s="6484"/>
      <c r="O1252" s="6484"/>
      <c r="P1252" s="386"/>
      <c r="Q1252" s="386"/>
    </row>
    <row r="1253" spans="1:17" s="1659" customFormat="1" ht="30" customHeight="1" x14ac:dyDescent="0.2">
      <c r="A1253" s="7703"/>
      <c r="B1253" s="7652" t="s">
        <v>5440</v>
      </c>
      <c r="C1253" s="7723" t="s">
        <v>1718</v>
      </c>
      <c r="D1253" s="7846">
        <v>250000000</v>
      </c>
      <c r="E1253" s="7659">
        <v>0.06</v>
      </c>
      <c r="F1253" s="7563">
        <f>D1253*E1253</f>
        <v>15000000</v>
      </c>
      <c r="G1253" s="6385"/>
      <c r="H1253" s="6385"/>
      <c r="I1253" s="6385" t="s">
        <v>7340</v>
      </c>
      <c r="J1253" s="6385">
        <f>G1253</f>
        <v>0</v>
      </c>
      <c r="K1253" s="6385">
        <f>F1253-J1253</f>
        <v>15000000</v>
      </c>
      <c r="L1253" s="4242" t="s">
        <v>6882</v>
      </c>
      <c r="M1253" s="6484"/>
      <c r="N1253" s="6484"/>
      <c r="O1253" s="6484"/>
      <c r="P1253" s="386"/>
      <c r="Q1253" s="386"/>
    </row>
    <row r="1254" spans="1:17" s="1659" customFormat="1" ht="30" customHeight="1" x14ac:dyDescent="0.2">
      <c r="A1254" s="7704"/>
      <c r="B1254" s="7665"/>
      <c r="C1254" s="7747"/>
      <c r="D1254" s="7848"/>
      <c r="E1254" s="7660"/>
      <c r="F1254" s="7564"/>
      <c r="G1254" s="6385"/>
      <c r="H1254" s="6385"/>
      <c r="I1254" s="6385"/>
      <c r="J1254" s="6385"/>
      <c r="K1254" s="6393"/>
      <c r="L1254" s="6396" t="s">
        <v>6883</v>
      </c>
      <c r="M1254" s="6484"/>
      <c r="N1254" s="6484"/>
      <c r="O1254" s="6484"/>
      <c r="P1254" s="386"/>
      <c r="Q1254" s="386"/>
    </row>
    <row r="1255" spans="1:17" s="1659" customFormat="1" ht="30" customHeight="1" x14ac:dyDescent="0.2">
      <c r="A1255" s="7704"/>
      <c r="B1255" s="7665"/>
      <c r="C1255" s="7747"/>
      <c r="D1255" s="7778" t="s">
        <v>6884</v>
      </c>
      <c r="E1255" s="7778"/>
      <c r="F1255" s="7778"/>
      <c r="G1255" s="6385"/>
      <c r="H1255" s="6385"/>
      <c r="I1255" s="6385" t="s">
        <v>7340</v>
      </c>
      <c r="J1255" s="7563">
        <f>G1255+G1256+G1257</f>
        <v>0</v>
      </c>
      <c r="K1255" s="7563">
        <f>100000000-J1255</f>
        <v>100000000</v>
      </c>
      <c r="L1255" s="7563"/>
      <c r="M1255" s="6484"/>
      <c r="N1255" s="6484"/>
      <c r="O1255" s="6484"/>
      <c r="P1255" s="386"/>
      <c r="Q1255" s="386"/>
    </row>
    <row r="1256" spans="1:17" s="1659" customFormat="1" ht="30" customHeight="1" x14ac:dyDescent="0.2">
      <c r="A1256" s="7704"/>
      <c r="B1256" s="7665"/>
      <c r="C1256" s="7747"/>
      <c r="D1256" s="7778"/>
      <c r="E1256" s="7778"/>
      <c r="F1256" s="7778"/>
      <c r="G1256" s="6385"/>
      <c r="H1256" s="6385"/>
      <c r="I1256" s="6385" t="s">
        <v>7340</v>
      </c>
      <c r="J1256" s="7586"/>
      <c r="K1256" s="7586"/>
      <c r="L1256" s="7586"/>
      <c r="M1256" s="6484"/>
      <c r="N1256" s="6484"/>
      <c r="O1256" s="6484"/>
      <c r="P1256" s="386"/>
      <c r="Q1256" s="386"/>
    </row>
    <row r="1257" spans="1:17" s="1659" customFormat="1" ht="30" customHeight="1" x14ac:dyDescent="0.2">
      <c r="A1257" s="7705"/>
      <c r="B1257" s="7653"/>
      <c r="C1257" s="7724"/>
      <c r="D1257" s="5267">
        <v>150000000</v>
      </c>
      <c r="E1257" s="6549">
        <v>0.06</v>
      </c>
      <c r="F1257" s="6548">
        <f>D1257*E1257</f>
        <v>9000000</v>
      </c>
      <c r="G1257" s="6385"/>
      <c r="H1257" s="6385"/>
      <c r="I1257" s="6385" t="s">
        <v>7340</v>
      </c>
      <c r="J1257" s="7564"/>
      <c r="K1257" s="7564"/>
      <c r="L1257" s="7564"/>
      <c r="M1257" s="6484"/>
      <c r="N1257" s="6484"/>
      <c r="O1257" s="6484"/>
      <c r="P1257" s="386"/>
      <c r="Q1257" s="386"/>
    </row>
    <row r="1258" spans="1:17" s="1659" customFormat="1" ht="30" customHeight="1" x14ac:dyDescent="0.2">
      <c r="A1258" s="6483"/>
      <c r="B1258" s="6431" t="s">
        <v>5452</v>
      </c>
      <c r="C1258" s="6472"/>
      <c r="D1258" s="6385">
        <v>200000000</v>
      </c>
      <c r="E1258" s="6471">
        <v>0.06</v>
      </c>
      <c r="F1258" s="6385">
        <f>D1258*E1258</f>
        <v>12000000</v>
      </c>
      <c r="G1258" s="6385"/>
      <c r="H1258" s="6385"/>
      <c r="I1258" s="6385" t="s">
        <v>7463</v>
      </c>
      <c r="J1258" s="6385">
        <f>G1258</f>
        <v>0</v>
      </c>
      <c r="K1258" s="6385">
        <f>F1258-J1258</f>
        <v>12000000</v>
      </c>
      <c r="L1258" s="6385"/>
      <c r="M1258" s="6484"/>
      <c r="N1258" s="6484"/>
      <c r="O1258" s="6484"/>
      <c r="P1258" s="386"/>
      <c r="Q1258" s="386"/>
    </row>
    <row r="1259" spans="1:17" s="1659" customFormat="1" ht="30" customHeight="1" x14ac:dyDescent="0.2">
      <c r="A1259" s="7703"/>
      <c r="B1259" s="7652" t="s">
        <v>5462</v>
      </c>
      <c r="C1259" s="7723" t="s">
        <v>889</v>
      </c>
      <c r="D1259" s="6393">
        <v>20000000</v>
      </c>
      <c r="E1259" s="6402">
        <v>7.0000000000000007E-2</v>
      </c>
      <c r="F1259" s="6393">
        <f>D1259*E1259</f>
        <v>1400000.0000000002</v>
      </c>
      <c r="G1259" s="6393"/>
      <c r="H1259" s="6393"/>
      <c r="I1259" s="6443" t="s">
        <v>6783</v>
      </c>
      <c r="J1259" s="6393">
        <f>G1259</f>
        <v>0</v>
      </c>
      <c r="K1259" s="6393">
        <f>F1259-J1259</f>
        <v>1400000.0000000002</v>
      </c>
      <c r="L1259" s="6396"/>
      <c r="M1259" s="6484"/>
      <c r="N1259" s="6484"/>
      <c r="O1259" s="6484"/>
      <c r="P1259" s="386"/>
      <c r="Q1259" s="386"/>
    </row>
    <row r="1260" spans="1:17" s="1659" customFormat="1" ht="30" customHeight="1" x14ac:dyDescent="0.2">
      <c r="A1260" s="7704"/>
      <c r="B1260" s="7665"/>
      <c r="C1260" s="7747"/>
      <c r="D1260" s="6385">
        <v>130000000</v>
      </c>
      <c r="E1260" s="6385"/>
      <c r="F1260" s="6385"/>
      <c r="G1260" s="6393"/>
      <c r="H1260" s="6393"/>
      <c r="I1260" s="6443" t="s">
        <v>6783</v>
      </c>
      <c r="J1260" s="6393">
        <f>G1260</f>
        <v>0</v>
      </c>
      <c r="K1260" s="6393"/>
      <c r="L1260" s="6396" t="s">
        <v>7574</v>
      </c>
      <c r="M1260" s="6484"/>
      <c r="N1260" s="6484"/>
      <c r="O1260" s="6484"/>
      <c r="P1260" s="386"/>
      <c r="Q1260" s="386"/>
    </row>
    <row r="1261" spans="1:17" s="1659" customFormat="1" ht="30" customHeight="1" x14ac:dyDescent="0.2">
      <c r="A1261" s="7705"/>
      <c r="B1261" s="7653"/>
      <c r="C1261" s="7724"/>
      <c r="D1261" s="6123">
        <v>150000000</v>
      </c>
      <c r="E1261" s="6552">
        <v>7.0000000000000007E-2</v>
      </c>
      <c r="F1261" s="6513">
        <f>D1261*E1261</f>
        <v>10500000.000000002</v>
      </c>
      <c r="G1261" s="6599">
        <v>12000000</v>
      </c>
      <c r="H1261" s="6599" t="s">
        <v>7845</v>
      </c>
      <c r="I1261" s="5816" t="s">
        <v>7846</v>
      </c>
      <c r="J1261" s="6599">
        <f>G1261</f>
        <v>12000000</v>
      </c>
      <c r="K1261" s="6393"/>
      <c r="L1261" s="6396" t="s">
        <v>7570</v>
      </c>
      <c r="M1261" s="6484"/>
      <c r="N1261" s="6484"/>
      <c r="O1261" s="6484"/>
      <c r="P1261" s="386"/>
      <c r="Q1261" s="386"/>
    </row>
    <row r="1262" spans="1:17" s="1659" customFormat="1" ht="30" customHeight="1" x14ac:dyDescent="0.2">
      <c r="A1262" s="6483"/>
      <c r="B1262" s="6431" t="s">
        <v>5506</v>
      </c>
      <c r="C1262" s="6472" t="s">
        <v>371</v>
      </c>
      <c r="D1262" s="6393">
        <v>125000000</v>
      </c>
      <c r="E1262" s="6402">
        <v>0.06</v>
      </c>
      <c r="F1262" s="6393">
        <f>D1262*E1262</f>
        <v>7500000</v>
      </c>
      <c r="G1262" s="6385"/>
      <c r="H1262" s="6385"/>
      <c r="I1262" s="6385" t="s">
        <v>6430</v>
      </c>
      <c r="J1262" s="6385">
        <f>G1262</f>
        <v>0</v>
      </c>
      <c r="K1262" s="6393">
        <f>F1262-J1262</f>
        <v>7500000</v>
      </c>
      <c r="L1262" s="6396"/>
      <c r="M1262" s="6484"/>
      <c r="N1262" s="6484"/>
      <c r="O1262" s="6484"/>
      <c r="P1262" s="386"/>
      <c r="Q1262" s="386"/>
    </row>
    <row r="1263" spans="1:17" s="1659" customFormat="1" ht="30" customHeight="1" x14ac:dyDescent="0.2">
      <c r="A1263" s="6483"/>
      <c r="B1263" s="3823"/>
      <c r="C1263" s="6434"/>
      <c r="D1263" s="6393">
        <v>43000000</v>
      </c>
      <c r="E1263" s="6402">
        <v>0.05</v>
      </c>
      <c r="F1263" s="6393">
        <f>D1263*E1263</f>
        <v>2150000</v>
      </c>
      <c r="G1263" s="6393"/>
      <c r="H1263" s="6393"/>
      <c r="I1263" s="6443"/>
      <c r="J1263" s="6393"/>
      <c r="K1263" s="6393"/>
      <c r="L1263" s="6396" t="s">
        <v>5509</v>
      </c>
      <c r="M1263" s="6484"/>
      <c r="N1263" s="6484"/>
      <c r="O1263" s="6484"/>
      <c r="P1263" s="386"/>
      <c r="Q1263" s="386"/>
    </row>
    <row r="1264" spans="1:17" s="1659" customFormat="1" ht="30" customHeight="1" x14ac:dyDescent="0.2">
      <c r="A1264" s="6483"/>
      <c r="B1264" s="6431" t="s">
        <v>1473</v>
      </c>
      <c r="C1264" s="6472" t="s">
        <v>262</v>
      </c>
      <c r="D1264" s="6385">
        <v>150000000</v>
      </c>
      <c r="E1264" s="6471">
        <v>5.7000000000000002E-2</v>
      </c>
      <c r="F1264" s="6385">
        <v>8500000</v>
      </c>
      <c r="G1264" s="6385"/>
      <c r="H1264" s="6385"/>
      <c r="I1264" s="6385" t="s">
        <v>7591</v>
      </c>
      <c r="J1264" s="6385">
        <f>G1264:G1264</f>
        <v>0</v>
      </c>
      <c r="K1264" s="6393">
        <f>F1264-J1264</f>
        <v>8500000</v>
      </c>
      <c r="L1264" s="6396"/>
      <c r="M1264" s="6484"/>
      <c r="N1264" s="6484"/>
      <c r="O1264" s="6484"/>
      <c r="P1264" s="386"/>
      <c r="Q1264" s="386"/>
    </row>
    <row r="1265" spans="1:17" s="1659" customFormat="1" ht="30" customHeight="1" x14ac:dyDescent="0.2">
      <c r="A1265" s="6483"/>
      <c r="B1265" s="4921" t="s">
        <v>5527</v>
      </c>
      <c r="C1265" s="6434" t="s">
        <v>4223</v>
      </c>
      <c r="D1265" s="6393">
        <v>300000000</v>
      </c>
      <c r="E1265" s="6402">
        <v>0.06</v>
      </c>
      <c r="F1265" s="6393">
        <f>D1265*E1265</f>
        <v>18000000</v>
      </c>
      <c r="G1265" s="6393"/>
      <c r="H1265" s="6393"/>
      <c r="I1265" s="6443"/>
      <c r="J1265" s="6393"/>
      <c r="K1265" s="6393"/>
      <c r="L1265" s="6396" t="s">
        <v>5529</v>
      </c>
      <c r="M1265" s="6484"/>
      <c r="N1265" s="6484"/>
      <c r="O1265" s="6484"/>
      <c r="P1265" s="386"/>
      <c r="Q1265" s="386"/>
    </row>
    <row r="1266" spans="1:17" s="1659" customFormat="1" ht="30" customHeight="1" x14ac:dyDescent="0.2">
      <c r="A1266" s="6483"/>
      <c r="B1266" s="4921" t="s">
        <v>5545</v>
      </c>
      <c r="C1266" s="6434" t="s">
        <v>371</v>
      </c>
      <c r="D1266" s="6393">
        <v>100000000</v>
      </c>
      <c r="E1266" s="6402">
        <v>0.05</v>
      </c>
      <c r="F1266" s="6393">
        <f>D1266*E1266</f>
        <v>5000000</v>
      </c>
      <c r="G1266" s="6393"/>
      <c r="H1266" s="6393"/>
      <c r="I1266" s="6443"/>
      <c r="J1266" s="6393"/>
      <c r="K1266" s="6393"/>
      <c r="L1266" s="6396" t="s">
        <v>5546</v>
      </c>
      <c r="M1266" s="6484"/>
      <c r="N1266" s="6484"/>
      <c r="O1266" s="6484"/>
      <c r="P1266" s="386"/>
      <c r="Q1266" s="386"/>
    </row>
    <row r="1267" spans="1:17" s="1659" customFormat="1" ht="30" customHeight="1" x14ac:dyDescent="0.2">
      <c r="A1267" s="7703"/>
      <c r="B1267" s="7652" t="s">
        <v>5551</v>
      </c>
      <c r="C1267" s="7723" t="s">
        <v>4223</v>
      </c>
      <c r="D1267" s="7846">
        <v>40000000</v>
      </c>
      <c r="E1267" s="7659">
        <v>0.04</v>
      </c>
      <c r="F1267" s="7563">
        <f>D1267*E1267</f>
        <v>1600000</v>
      </c>
      <c r="G1267" s="7732" t="s">
        <v>5552</v>
      </c>
      <c r="H1267" s="7733"/>
      <c r="I1267" s="7733"/>
      <c r="J1267" s="7734"/>
      <c r="K1267" s="6393"/>
      <c r="L1267" s="6396" t="s">
        <v>5553</v>
      </c>
      <c r="M1267" s="6484"/>
      <c r="N1267" s="6484"/>
      <c r="O1267" s="6484"/>
      <c r="P1267" s="386"/>
      <c r="Q1267" s="386"/>
    </row>
    <row r="1268" spans="1:17" s="1659" customFormat="1" ht="30" customHeight="1" x14ac:dyDescent="0.2">
      <c r="A1268" s="7705"/>
      <c r="B1268" s="7653"/>
      <c r="C1268" s="7724"/>
      <c r="D1268" s="7848"/>
      <c r="E1268" s="7660"/>
      <c r="F1268" s="7564"/>
      <c r="G1268" s="6385"/>
      <c r="H1268" s="6385"/>
      <c r="I1268" s="6385" t="s">
        <v>6390</v>
      </c>
      <c r="J1268" s="6385">
        <f>G1268</f>
        <v>0</v>
      </c>
      <c r="K1268" s="6393">
        <f>F1267-J1268</f>
        <v>1600000</v>
      </c>
      <c r="L1268" s="6396"/>
      <c r="M1268" s="6484"/>
      <c r="N1268" s="6484"/>
      <c r="O1268" s="6484"/>
      <c r="P1268" s="386"/>
      <c r="Q1268" s="386"/>
    </row>
    <row r="1269" spans="1:17" s="1659" customFormat="1" ht="30" customHeight="1" x14ac:dyDescent="0.2">
      <c r="A1269" s="7703"/>
      <c r="B1269" s="7652" t="s">
        <v>5562</v>
      </c>
      <c r="C1269" s="7723" t="s">
        <v>1652</v>
      </c>
      <c r="D1269" s="7563">
        <v>100000000</v>
      </c>
      <c r="E1269" s="7659">
        <v>0.05</v>
      </c>
      <c r="F1269" s="7563">
        <f>D1269*E1269</f>
        <v>5000000</v>
      </c>
      <c r="G1269" s="7563"/>
      <c r="H1269" s="7563"/>
      <c r="I1269" s="7563" t="s">
        <v>5563</v>
      </c>
      <c r="J1269" s="7563">
        <f>G1269</f>
        <v>0</v>
      </c>
      <c r="K1269" s="7563">
        <f>F1269-J1269</f>
        <v>5000000</v>
      </c>
      <c r="L1269" s="6396" t="s">
        <v>5657</v>
      </c>
      <c r="M1269" s="6484"/>
      <c r="N1269" s="6484"/>
      <c r="O1269" s="6484"/>
      <c r="P1269" s="386"/>
      <c r="Q1269" s="386"/>
    </row>
    <row r="1270" spans="1:17" s="1659" customFormat="1" ht="30" customHeight="1" x14ac:dyDescent="0.2">
      <c r="A1270" s="7705"/>
      <c r="B1270" s="7653"/>
      <c r="C1270" s="7724"/>
      <c r="D1270" s="7564"/>
      <c r="E1270" s="7660"/>
      <c r="F1270" s="7564"/>
      <c r="G1270" s="7564"/>
      <c r="H1270" s="7564"/>
      <c r="I1270" s="7564"/>
      <c r="J1270" s="7564"/>
      <c r="K1270" s="7564"/>
      <c r="L1270" s="6396" t="s">
        <v>5807</v>
      </c>
      <c r="M1270" s="6484"/>
      <c r="N1270" s="6484"/>
      <c r="O1270" s="6484"/>
      <c r="P1270" s="386"/>
      <c r="Q1270" s="386"/>
    </row>
    <row r="1271" spans="1:17" s="1659" customFormat="1" ht="30" customHeight="1" x14ac:dyDescent="0.2">
      <c r="A1271" s="6429"/>
      <c r="B1271" s="4921" t="s">
        <v>5573</v>
      </c>
      <c r="C1271" s="6434" t="s">
        <v>371</v>
      </c>
      <c r="D1271" s="6393">
        <v>150000000</v>
      </c>
      <c r="E1271" s="6402">
        <v>0.06</v>
      </c>
      <c r="F1271" s="6393">
        <f t="shared" ref="F1271:F1294" si="113">D1271*E1271</f>
        <v>9000000</v>
      </c>
      <c r="G1271" s="6385"/>
      <c r="H1271" s="6385"/>
      <c r="I1271" s="6385" t="s">
        <v>4141</v>
      </c>
      <c r="J1271" s="6385">
        <f>G1271</f>
        <v>0</v>
      </c>
      <c r="K1271" s="6393">
        <f>F1271-J1271</f>
        <v>9000000</v>
      </c>
      <c r="L1271" s="6396"/>
      <c r="M1271" s="6484"/>
      <c r="N1271" s="6484"/>
      <c r="O1271" s="6484"/>
      <c r="P1271" s="386"/>
      <c r="Q1271" s="386"/>
    </row>
    <row r="1272" spans="1:17" s="1659" customFormat="1" ht="30" customHeight="1" x14ac:dyDescent="0.2">
      <c r="A1272" s="6429"/>
      <c r="B1272" s="4921" t="s">
        <v>5574</v>
      </c>
      <c r="C1272" s="6434" t="s">
        <v>371</v>
      </c>
      <c r="D1272" s="6393">
        <v>80000000</v>
      </c>
      <c r="E1272" s="6402">
        <v>0.06</v>
      </c>
      <c r="F1272" s="6393">
        <f t="shared" si="113"/>
        <v>4800000</v>
      </c>
      <c r="G1272" s="6385"/>
      <c r="H1272" s="6385"/>
      <c r="I1272" s="6385" t="s">
        <v>6398</v>
      </c>
      <c r="J1272" s="6385">
        <f>G1272</f>
        <v>0</v>
      </c>
      <c r="K1272" s="6393">
        <f>F1272-J1272</f>
        <v>4800000</v>
      </c>
      <c r="L1272" s="6396"/>
      <c r="M1272" s="6484"/>
      <c r="N1272" s="6484"/>
      <c r="O1272" s="6484"/>
      <c r="P1272" s="386"/>
      <c r="Q1272" s="386"/>
    </row>
    <row r="1273" spans="1:17" s="1659" customFormat="1" ht="30" customHeight="1" x14ac:dyDescent="0.2">
      <c r="A1273" s="7703"/>
      <c r="B1273" s="7652" t="s">
        <v>64</v>
      </c>
      <c r="C1273" s="7723" t="s">
        <v>3390</v>
      </c>
      <c r="D1273" s="7563">
        <v>20000000</v>
      </c>
      <c r="E1273" s="7659">
        <v>0.05</v>
      </c>
      <c r="F1273" s="7563">
        <f t="shared" si="113"/>
        <v>1000000</v>
      </c>
      <c r="G1273" s="6385"/>
      <c r="H1273" s="6385"/>
      <c r="I1273" s="6385" t="s">
        <v>6627</v>
      </c>
      <c r="J1273" s="6385">
        <f>G1273</f>
        <v>0</v>
      </c>
      <c r="K1273" s="6393">
        <f>F1273-J1273</f>
        <v>1000000</v>
      </c>
      <c r="L1273" s="6396"/>
      <c r="M1273" s="6484"/>
      <c r="N1273" s="6484"/>
      <c r="O1273" s="6484"/>
      <c r="P1273" s="386"/>
      <c r="Q1273" s="386"/>
    </row>
    <row r="1274" spans="1:17" s="1659" customFormat="1" ht="30" customHeight="1" x14ac:dyDescent="0.2">
      <c r="A1274" s="7705"/>
      <c r="B1274" s="7653"/>
      <c r="C1274" s="7724"/>
      <c r="D1274" s="7564"/>
      <c r="E1274" s="7660"/>
      <c r="F1274" s="7564"/>
      <c r="G1274" s="6391"/>
      <c r="H1274" s="6391"/>
      <c r="I1274" s="6391" t="s">
        <v>7730</v>
      </c>
      <c r="J1274" s="6391">
        <f>G1274</f>
        <v>0</v>
      </c>
      <c r="K1274" s="6392">
        <f>F1273-J1274</f>
        <v>1000000</v>
      </c>
      <c r="L1274" s="6396"/>
      <c r="M1274" s="6484"/>
      <c r="N1274" s="6484"/>
      <c r="O1274" s="6484"/>
      <c r="P1274" s="386"/>
      <c r="Q1274" s="386"/>
    </row>
    <row r="1275" spans="1:17" s="1659" customFormat="1" ht="30" customHeight="1" x14ac:dyDescent="0.2">
      <c r="A1275" s="6468"/>
      <c r="B1275" s="6468" t="s">
        <v>5638</v>
      </c>
      <c r="C1275" s="6472" t="s">
        <v>3390</v>
      </c>
      <c r="D1275" s="6385">
        <v>8000000</v>
      </c>
      <c r="E1275" s="6471">
        <v>0.05</v>
      </c>
      <c r="F1275" s="6385">
        <f t="shared" si="113"/>
        <v>400000</v>
      </c>
      <c r="G1275" s="7563"/>
      <c r="H1275" s="7563"/>
      <c r="I1275" s="7563" t="s">
        <v>7729</v>
      </c>
      <c r="J1275" s="7563">
        <f>G1275</f>
        <v>0</v>
      </c>
      <c r="K1275" s="7563">
        <f>(F1275+F1276)-J1275</f>
        <v>1000000</v>
      </c>
      <c r="L1275" s="6385"/>
      <c r="M1275" s="6484"/>
      <c r="N1275" s="6484"/>
      <c r="O1275" s="6484"/>
      <c r="P1275" s="386"/>
      <c r="Q1275" s="386"/>
    </row>
    <row r="1276" spans="1:17" s="1659" customFormat="1" ht="30" customHeight="1" x14ac:dyDescent="0.2">
      <c r="A1276" s="19"/>
      <c r="B1276" s="19" t="s">
        <v>5639</v>
      </c>
      <c r="C1276" s="6472" t="s">
        <v>3390</v>
      </c>
      <c r="D1276" s="6449">
        <v>12000000</v>
      </c>
      <c r="E1276" s="6471">
        <v>0.05</v>
      </c>
      <c r="F1276" s="6385">
        <f t="shared" si="113"/>
        <v>600000</v>
      </c>
      <c r="G1276" s="7564"/>
      <c r="H1276" s="7564"/>
      <c r="I1276" s="7564"/>
      <c r="J1276" s="7564"/>
      <c r="K1276" s="7564"/>
      <c r="L1276" s="6385"/>
      <c r="M1276" s="6484"/>
      <c r="N1276" s="6484"/>
      <c r="O1276" s="6484"/>
      <c r="P1276" s="386"/>
      <c r="Q1276" s="386"/>
    </row>
    <row r="1277" spans="1:17" s="1659" customFormat="1" ht="30" customHeight="1" x14ac:dyDescent="0.2">
      <c r="A1277" s="7703"/>
      <c r="B1277" s="7652" t="s">
        <v>7379</v>
      </c>
      <c r="C1277" s="7723" t="s">
        <v>372</v>
      </c>
      <c r="D1277" s="7846">
        <v>200000000</v>
      </c>
      <c r="E1277" s="7659">
        <v>0.06</v>
      </c>
      <c r="F1277" s="7563">
        <f>D1277*E1277</f>
        <v>12000000</v>
      </c>
      <c r="G1277" s="7732" t="s">
        <v>7380</v>
      </c>
      <c r="H1277" s="7733"/>
      <c r="I1277" s="7733"/>
      <c r="J1277" s="7734"/>
      <c r="K1277" s="6393"/>
      <c r="L1277" s="7674" t="s">
        <v>7381</v>
      </c>
      <c r="M1277" s="6484"/>
      <c r="N1277" s="6484"/>
      <c r="O1277" s="6484"/>
      <c r="P1277" s="386"/>
      <c r="Q1277" s="386"/>
    </row>
    <row r="1278" spans="1:17" s="1659" customFormat="1" ht="30" customHeight="1" x14ac:dyDescent="0.2">
      <c r="A1278" s="7705"/>
      <c r="B1278" s="7653"/>
      <c r="C1278" s="7724"/>
      <c r="D1278" s="7848"/>
      <c r="E1278" s="7660"/>
      <c r="F1278" s="7564"/>
      <c r="G1278" s="7732" t="s">
        <v>7382</v>
      </c>
      <c r="H1278" s="7733"/>
      <c r="I1278" s="7733"/>
      <c r="J1278" s="7734"/>
      <c r="K1278" s="6393"/>
      <c r="L1278" s="7675"/>
      <c r="M1278" s="6484"/>
      <c r="N1278" s="6484"/>
      <c r="O1278" s="6484"/>
      <c r="P1278" s="386"/>
      <c r="Q1278" s="386"/>
    </row>
    <row r="1279" spans="1:17" s="1659" customFormat="1" ht="30" customHeight="1" x14ac:dyDescent="0.2">
      <c r="A1279" s="7703"/>
      <c r="B1279" s="7652" t="s">
        <v>5660</v>
      </c>
      <c r="C1279" s="7723" t="s">
        <v>889</v>
      </c>
      <c r="D1279" s="6393">
        <v>50000000</v>
      </c>
      <c r="E1279" s="6402">
        <v>0.05</v>
      </c>
      <c r="F1279" s="6393">
        <f t="shared" si="113"/>
        <v>2500000</v>
      </c>
      <c r="G1279" s="6393"/>
      <c r="H1279" s="6393"/>
      <c r="I1279" s="6443" t="s">
        <v>815</v>
      </c>
      <c r="J1279" s="6393">
        <f>G1279</f>
        <v>0</v>
      </c>
      <c r="K1279" s="6393">
        <f>F1279-J1279</f>
        <v>2500000</v>
      </c>
      <c r="L1279" s="6396" t="s">
        <v>5661</v>
      </c>
      <c r="M1279" s="6484"/>
      <c r="N1279" s="6484"/>
      <c r="O1279" s="6484"/>
      <c r="P1279" s="386"/>
      <c r="Q1279" s="386"/>
    </row>
    <row r="1280" spans="1:17" s="1659" customFormat="1" ht="30" customHeight="1" x14ac:dyDescent="0.2">
      <c r="A1280" s="7704"/>
      <c r="B1280" s="7665"/>
      <c r="C1280" s="7747"/>
      <c r="D1280" s="6393">
        <v>2000000</v>
      </c>
      <c r="E1280" s="6402"/>
      <c r="F1280" s="6393"/>
      <c r="G1280" s="7732" t="s">
        <v>7053</v>
      </c>
      <c r="H1280" s="7733"/>
      <c r="I1280" s="7733"/>
      <c r="J1280" s="7733"/>
      <c r="K1280" s="7734"/>
      <c r="L1280" s="6396"/>
      <c r="M1280" s="6484"/>
      <c r="N1280" s="6484"/>
      <c r="O1280" s="6484"/>
      <c r="P1280" s="386"/>
      <c r="Q1280" s="386"/>
    </row>
    <row r="1281" spans="1:17" s="1659" customFormat="1" ht="30" customHeight="1" x14ac:dyDescent="0.2">
      <c r="A1281" s="7704"/>
      <c r="B1281" s="7665"/>
      <c r="C1281" s="7747"/>
      <c r="D1281" s="6393">
        <v>10000000</v>
      </c>
      <c r="E1281" s="6402"/>
      <c r="F1281" s="6393"/>
      <c r="G1281" s="7732" t="s">
        <v>7054</v>
      </c>
      <c r="H1281" s="7733"/>
      <c r="I1281" s="7733"/>
      <c r="J1281" s="7733"/>
      <c r="K1281" s="7734"/>
      <c r="L1281" s="6396"/>
      <c r="M1281" s="6484"/>
      <c r="N1281" s="6484"/>
      <c r="O1281" s="6484"/>
      <c r="P1281" s="386"/>
      <c r="Q1281" s="386"/>
    </row>
    <row r="1282" spans="1:17" s="1659" customFormat="1" ht="30" customHeight="1" x14ac:dyDescent="0.2">
      <c r="A1282" s="7705"/>
      <c r="B1282" s="7653"/>
      <c r="C1282" s="7724"/>
      <c r="D1282" s="6494">
        <v>62000000</v>
      </c>
      <c r="E1282" s="6496">
        <v>0.05</v>
      </c>
      <c r="F1282" s="6494">
        <f>D1282*E1282</f>
        <v>3100000</v>
      </c>
      <c r="G1282" s="6385">
        <v>3100000</v>
      </c>
      <c r="H1282" s="6385" t="s">
        <v>7845</v>
      </c>
      <c r="I1282" s="6385" t="s">
        <v>815</v>
      </c>
      <c r="J1282" s="6385">
        <f>G1282</f>
        <v>3100000</v>
      </c>
      <c r="K1282" s="6385">
        <f>F1282-J1282</f>
        <v>0</v>
      </c>
      <c r="L1282" s="6396"/>
      <c r="M1282" s="6484"/>
      <c r="N1282" s="6484"/>
      <c r="O1282" s="6484"/>
      <c r="P1282" s="386"/>
      <c r="Q1282" s="386"/>
    </row>
    <row r="1283" spans="1:17" s="1659" customFormat="1" ht="30" customHeight="1" x14ac:dyDescent="0.2">
      <c r="A1283" s="7703"/>
      <c r="B1283" s="7652" t="s">
        <v>7397</v>
      </c>
      <c r="C1283" s="7723"/>
      <c r="D1283" s="7563">
        <v>10000000</v>
      </c>
      <c r="E1283" s="7659">
        <v>0.05</v>
      </c>
      <c r="F1283" s="7563">
        <f>D1283*E1283</f>
        <v>500000</v>
      </c>
      <c r="G1283" s="7732" t="s">
        <v>7398</v>
      </c>
      <c r="H1283" s="7733"/>
      <c r="I1283" s="7733"/>
      <c r="J1283" s="7733"/>
      <c r="K1283" s="7734"/>
      <c r="L1283" s="6396"/>
      <c r="M1283" s="6484"/>
      <c r="N1283" s="6484"/>
      <c r="O1283" s="6484"/>
      <c r="P1283" s="386"/>
      <c r="Q1283" s="386"/>
    </row>
    <row r="1284" spans="1:17" s="1659" customFormat="1" ht="30" customHeight="1" x14ac:dyDescent="0.2">
      <c r="A1284" s="7705"/>
      <c r="B1284" s="7653"/>
      <c r="C1284" s="7724"/>
      <c r="D1284" s="7564"/>
      <c r="E1284" s="7660"/>
      <c r="F1284" s="7564"/>
      <c r="G1284" s="6385"/>
      <c r="H1284" s="6385"/>
      <c r="I1284" s="6385" t="s">
        <v>7790</v>
      </c>
      <c r="J1284" s="6385">
        <f>G1284</f>
        <v>0</v>
      </c>
      <c r="K1284" s="6385">
        <f>F1283-J1284</f>
        <v>500000</v>
      </c>
      <c r="L1284" s="6396"/>
      <c r="M1284" s="6484"/>
      <c r="N1284" s="6484"/>
      <c r="O1284" s="6484"/>
      <c r="P1284" s="386"/>
      <c r="Q1284" s="386"/>
    </row>
    <row r="1285" spans="1:17" s="1659" customFormat="1" ht="30" customHeight="1" x14ac:dyDescent="0.2">
      <c r="A1285" s="6429"/>
      <c r="B1285" s="4921" t="s">
        <v>5684</v>
      </c>
      <c r="C1285" s="6434"/>
      <c r="D1285" s="6393">
        <v>20000000</v>
      </c>
      <c r="E1285" s="6402">
        <v>0.05</v>
      </c>
      <c r="F1285" s="6393">
        <f t="shared" si="113"/>
        <v>1000000</v>
      </c>
      <c r="G1285" s="7732" t="s">
        <v>5685</v>
      </c>
      <c r="H1285" s="7733"/>
      <c r="I1285" s="7733"/>
      <c r="J1285" s="7733"/>
      <c r="K1285" s="7734"/>
      <c r="L1285" s="6396"/>
      <c r="M1285" s="6484"/>
      <c r="N1285" s="6484"/>
      <c r="O1285" s="6484"/>
      <c r="P1285" s="386"/>
      <c r="Q1285" s="386"/>
    </row>
    <row r="1286" spans="1:17" s="1659" customFormat="1" ht="30" customHeight="1" x14ac:dyDescent="0.2">
      <c r="A1286" s="7703"/>
      <c r="B1286" s="7652" t="s">
        <v>5738</v>
      </c>
      <c r="C1286" s="7723" t="s">
        <v>3007</v>
      </c>
      <c r="D1286" s="6393">
        <v>200000000</v>
      </c>
      <c r="E1286" s="6402">
        <v>6.5000000000000002E-2</v>
      </c>
      <c r="F1286" s="6393">
        <f t="shared" si="113"/>
        <v>13000000</v>
      </c>
      <c r="G1286" s="6385"/>
      <c r="H1286" s="6385"/>
      <c r="I1286" s="6385"/>
      <c r="J1286" s="6385"/>
      <c r="K1286" s="7482"/>
      <c r="L1286" s="6396"/>
      <c r="M1286" s="6484"/>
      <c r="N1286" s="6484"/>
      <c r="O1286" s="6484"/>
      <c r="P1286" s="386"/>
      <c r="Q1286" s="386"/>
    </row>
    <row r="1287" spans="1:17" s="1659" customFormat="1" ht="30" customHeight="1" x14ac:dyDescent="0.2">
      <c r="A1287" s="7704"/>
      <c r="B1287" s="7665"/>
      <c r="C1287" s="7747"/>
      <c r="D1287" s="6385">
        <v>350000000</v>
      </c>
      <c r="E1287" s="6471">
        <v>6.5000000000000002E-2</v>
      </c>
      <c r="F1287" s="6385">
        <f t="shared" si="113"/>
        <v>22750000</v>
      </c>
      <c r="G1287" s="6385"/>
      <c r="H1287" s="6385"/>
      <c r="I1287" s="6385"/>
      <c r="J1287" s="6385"/>
      <c r="K1287" s="7482"/>
      <c r="L1287" s="6396"/>
      <c r="M1287" s="6484"/>
      <c r="N1287" s="6484"/>
      <c r="O1287" s="6484"/>
      <c r="P1287" s="386"/>
      <c r="Q1287" s="386"/>
    </row>
    <row r="1288" spans="1:17" s="1659" customFormat="1" ht="30" customHeight="1" x14ac:dyDescent="0.2">
      <c r="A1288" s="6483"/>
      <c r="B1288" s="6431" t="s">
        <v>5688</v>
      </c>
      <c r="C1288" s="6472" t="s">
        <v>1300</v>
      </c>
      <c r="D1288" s="6385">
        <v>4000000</v>
      </c>
      <c r="E1288" s="6471">
        <v>7.0000000000000007E-2</v>
      </c>
      <c r="F1288" s="6385">
        <f t="shared" si="113"/>
        <v>280000</v>
      </c>
      <c r="G1288" s="6385"/>
      <c r="H1288" s="6385"/>
      <c r="I1288" s="6385" t="s">
        <v>6623</v>
      </c>
      <c r="J1288" s="6385">
        <f>G1288</f>
        <v>0</v>
      </c>
      <c r="K1288" s="6393">
        <f>F1288-J1288</f>
        <v>280000</v>
      </c>
      <c r="L1288" s="6396"/>
      <c r="M1288" s="6484"/>
      <c r="N1288" s="6484"/>
      <c r="O1288" s="6484"/>
      <c r="P1288" s="386"/>
      <c r="Q1288" s="386"/>
    </row>
    <row r="1289" spans="1:17" s="1659" customFormat="1" ht="30" customHeight="1" x14ac:dyDescent="0.2">
      <c r="A1289" s="6429"/>
      <c r="B1289" s="4921" t="s">
        <v>5690</v>
      </c>
      <c r="C1289" s="6434"/>
      <c r="D1289" s="6393">
        <v>1000000000</v>
      </c>
      <c r="E1289" s="6402">
        <v>7.0000000000000007E-2</v>
      </c>
      <c r="F1289" s="6393">
        <f t="shared" si="113"/>
        <v>70000000</v>
      </c>
      <c r="G1289" s="6393"/>
      <c r="H1289" s="6393"/>
      <c r="I1289" s="6443"/>
      <c r="J1289" s="6393"/>
      <c r="K1289" s="6393"/>
      <c r="L1289" s="6396"/>
      <c r="M1289" s="6484"/>
      <c r="N1289" s="6484"/>
      <c r="O1289" s="6484"/>
      <c r="P1289" s="386"/>
      <c r="Q1289" s="386"/>
    </row>
    <row r="1290" spans="1:17" s="1659" customFormat="1" ht="30" customHeight="1" x14ac:dyDescent="0.2">
      <c r="A1290" s="7703"/>
      <c r="B1290" s="7652" t="s">
        <v>5691</v>
      </c>
      <c r="C1290" s="6472" t="s">
        <v>1287</v>
      </c>
      <c r="D1290" s="6385">
        <v>60000000</v>
      </c>
      <c r="E1290" s="6471">
        <v>0.05</v>
      </c>
      <c r="F1290" s="6385">
        <f t="shared" si="113"/>
        <v>3000000</v>
      </c>
      <c r="G1290" s="6385"/>
      <c r="H1290" s="6385"/>
      <c r="I1290" s="6385" t="s">
        <v>7585</v>
      </c>
      <c r="J1290" s="6385">
        <f>G1290</f>
        <v>0</v>
      </c>
      <c r="K1290" s="6385">
        <f>F1290-J1290</f>
        <v>3000000</v>
      </c>
      <c r="L1290" s="6396"/>
      <c r="M1290" s="6484"/>
      <c r="N1290" s="6484"/>
      <c r="O1290" s="6484"/>
      <c r="P1290" s="386"/>
      <c r="Q1290" s="386"/>
    </row>
    <row r="1291" spans="1:17" s="1659" customFormat="1" ht="30" customHeight="1" x14ac:dyDescent="0.2">
      <c r="A1291" s="7705"/>
      <c r="B1291" s="7653"/>
      <c r="C1291" s="6472" t="s">
        <v>3483</v>
      </c>
      <c r="D1291" s="6393">
        <v>40000000</v>
      </c>
      <c r="E1291" s="6402">
        <v>0.05</v>
      </c>
      <c r="F1291" s="6393">
        <f t="shared" si="113"/>
        <v>2000000</v>
      </c>
      <c r="G1291" s="6385"/>
      <c r="H1291" s="6385"/>
      <c r="I1291" s="6385" t="s">
        <v>7500</v>
      </c>
      <c r="J1291" s="6385">
        <f>G1291</f>
        <v>0</v>
      </c>
      <c r="K1291" s="6393">
        <f>F1291-J1291</f>
        <v>2000000</v>
      </c>
      <c r="L1291" s="6396"/>
      <c r="M1291" s="6484"/>
      <c r="N1291" s="6484"/>
      <c r="O1291" s="6484"/>
      <c r="P1291" s="386"/>
      <c r="Q1291" s="386"/>
    </row>
    <row r="1292" spans="1:17" s="1659" customFormat="1" ht="30" customHeight="1" x14ac:dyDescent="0.2">
      <c r="A1292" s="7703"/>
      <c r="B1292" s="7652" t="s">
        <v>5848</v>
      </c>
      <c r="C1292" s="7723" t="s">
        <v>1299</v>
      </c>
      <c r="D1292" s="7563">
        <v>350000000</v>
      </c>
      <c r="E1292" s="7659">
        <v>0.05</v>
      </c>
      <c r="F1292" s="7563">
        <f t="shared" si="113"/>
        <v>17500000</v>
      </c>
      <c r="G1292" s="6393"/>
      <c r="H1292" s="6393"/>
      <c r="I1292" s="6443" t="s">
        <v>1063</v>
      </c>
      <c r="J1292" s="6393">
        <f>G1292</f>
        <v>0</v>
      </c>
      <c r="K1292" s="6393">
        <f>F1292-J1292</f>
        <v>17500000</v>
      </c>
      <c r="L1292" s="6396"/>
      <c r="M1292" s="6484"/>
      <c r="N1292" s="6484"/>
      <c r="O1292" s="6484"/>
      <c r="P1292" s="386"/>
      <c r="Q1292" s="386"/>
    </row>
    <row r="1293" spans="1:17" s="1659" customFormat="1" ht="30" customHeight="1" x14ac:dyDescent="0.2">
      <c r="A1293" s="7704"/>
      <c r="B1293" s="7665"/>
      <c r="C1293" s="7747"/>
      <c r="D1293" s="7564"/>
      <c r="E1293" s="7660"/>
      <c r="F1293" s="7564"/>
      <c r="G1293" s="7732" t="s">
        <v>7616</v>
      </c>
      <c r="H1293" s="7733"/>
      <c r="I1293" s="7733"/>
      <c r="J1293" s="7734"/>
      <c r="K1293" s="6393"/>
      <c r="L1293" s="6396"/>
      <c r="M1293" s="6484"/>
      <c r="N1293" s="6484"/>
      <c r="O1293" s="6484"/>
      <c r="P1293" s="386"/>
      <c r="Q1293" s="386"/>
    </row>
    <row r="1294" spans="1:17" s="1659" customFormat="1" ht="30" customHeight="1" x14ac:dyDescent="0.2">
      <c r="A1294" s="7705"/>
      <c r="B1294" s="7653"/>
      <c r="C1294" s="7724"/>
      <c r="D1294" s="6494">
        <v>400000000</v>
      </c>
      <c r="E1294" s="6496">
        <v>0.05</v>
      </c>
      <c r="F1294" s="6494">
        <f t="shared" si="113"/>
        <v>20000000</v>
      </c>
      <c r="G1294" s="6393"/>
      <c r="H1294" s="6393"/>
      <c r="I1294" s="6443"/>
      <c r="J1294" s="6393"/>
      <c r="K1294" s="6393"/>
      <c r="L1294" s="6396"/>
      <c r="M1294" s="6484"/>
      <c r="N1294" s="6484"/>
      <c r="O1294" s="6484"/>
      <c r="P1294" s="386"/>
      <c r="Q1294" s="386"/>
    </row>
    <row r="1295" spans="1:17" s="1659" customFormat="1" ht="30" customHeight="1" x14ac:dyDescent="0.2">
      <c r="A1295" s="7703"/>
      <c r="B1295" s="7652" t="s">
        <v>5715</v>
      </c>
      <c r="C1295" s="7723" t="s">
        <v>4223</v>
      </c>
      <c r="D1295" s="6385">
        <v>100000000</v>
      </c>
      <c r="E1295" s="6471">
        <v>5.5E-2</v>
      </c>
      <c r="F1295" s="6385">
        <f>D1295*E1295</f>
        <v>5500000</v>
      </c>
      <c r="G1295" s="6385"/>
      <c r="H1295" s="6385"/>
      <c r="I1295" s="6385" t="s">
        <v>4776</v>
      </c>
      <c r="J1295" s="6385">
        <f>G1295</f>
        <v>0</v>
      </c>
      <c r="K1295" s="6385">
        <f>F1295-J1295</f>
        <v>5500000</v>
      </c>
      <c r="L1295" s="6488" t="s">
        <v>6821</v>
      </c>
      <c r="M1295" s="6484"/>
      <c r="N1295" s="6484"/>
      <c r="O1295" s="6484"/>
      <c r="P1295" s="386"/>
      <c r="Q1295" s="386"/>
    </row>
    <row r="1296" spans="1:17" s="1659" customFormat="1" ht="30" customHeight="1" x14ac:dyDescent="0.2">
      <c r="A1296" s="7704"/>
      <c r="B1296" s="7665"/>
      <c r="C1296" s="7747"/>
      <c r="D1296" s="6385">
        <v>100000000</v>
      </c>
      <c r="E1296" s="6471">
        <v>5.5E-2</v>
      </c>
      <c r="F1296" s="6385">
        <f>D1296*E1296</f>
        <v>5500000</v>
      </c>
      <c r="G1296" s="7732" t="s">
        <v>6824</v>
      </c>
      <c r="H1296" s="7733"/>
      <c r="I1296" s="7733"/>
      <c r="J1296" s="7734"/>
      <c r="K1296" s="6385"/>
      <c r="L1296" s="6488" t="s">
        <v>6820</v>
      </c>
      <c r="M1296" s="6484"/>
      <c r="N1296" s="6484"/>
      <c r="O1296" s="6484"/>
      <c r="P1296" s="386"/>
      <c r="Q1296" s="386"/>
    </row>
    <row r="1297" spans="1:17" s="1659" customFormat="1" ht="30" customHeight="1" x14ac:dyDescent="0.2">
      <c r="A1297" s="7705"/>
      <c r="B1297" s="7653"/>
      <c r="C1297" s="7724"/>
      <c r="D1297" s="6548">
        <v>200000000</v>
      </c>
      <c r="E1297" s="6549">
        <v>5.5E-2</v>
      </c>
      <c r="F1297" s="6548">
        <f>D1297*E1297</f>
        <v>11000000</v>
      </c>
      <c r="G1297" s="6385"/>
      <c r="H1297" s="6385"/>
      <c r="I1297" s="6385" t="s">
        <v>4776</v>
      </c>
      <c r="J1297" s="6385">
        <f>G1297</f>
        <v>0</v>
      </c>
      <c r="K1297" s="6393">
        <f>F1297-J1297</f>
        <v>11000000</v>
      </c>
      <c r="L1297" s="6395" t="s">
        <v>6825</v>
      </c>
      <c r="M1297" s="6484"/>
      <c r="N1297" s="6484"/>
      <c r="O1297" s="6484"/>
      <c r="P1297" s="386"/>
      <c r="Q1297" s="386"/>
    </row>
    <row r="1298" spans="1:17" s="1659" customFormat="1" ht="30" customHeight="1" x14ac:dyDescent="0.2">
      <c r="A1298" s="6468"/>
      <c r="B1298" s="19" t="s">
        <v>5732</v>
      </c>
      <c r="C1298" s="6472" t="s">
        <v>3390</v>
      </c>
      <c r="D1298" s="6385">
        <v>80000000</v>
      </c>
      <c r="E1298" s="6471">
        <v>7.0000000000000007E-2</v>
      </c>
      <c r="F1298" s="6385">
        <f t="shared" ref="F1298:F1303" si="114">D1298*E1298</f>
        <v>5600000.0000000009</v>
      </c>
      <c r="G1298" s="6385"/>
      <c r="H1298" s="6385"/>
      <c r="I1298" s="6385" t="s">
        <v>6554</v>
      </c>
      <c r="J1298" s="6385">
        <f>G1298</f>
        <v>0</v>
      </c>
      <c r="K1298" s="6393">
        <f>F1298-J1298</f>
        <v>5600000.0000000009</v>
      </c>
      <c r="L1298" s="6395"/>
      <c r="M1298" s="6484"/>
      <c r="N1298" s="6484"/>
      <c r="O1298" s="6484"/>
      <c r="P1298" s="386"/>
      <c r="Q1298" s="386"/>
    </row>
    <row r="1299" spans="1:17" s="1659" customFormat="1" ht="30" customHeight="1" x14ac:dyDescent="0.2">
      <c r="A1299" s="6429"/>
      <c r="B1299" s="4921" t="s">
        <v>5744</v>
      </c>
      <c r="C1299" s="6434"/>
      <c r="D1299" s="6393">
        <v>50000000</v>
      </c>
      <c r="E1299" s="6402">
        <v>0.05</v>
      </c>
      <c r="F1299" s="6393">
        <f t="shared" si="114"/>
        <v>2500000</v>
      </c>
      <c r="G1299" s="6393"/>
      <c r="H1299" s="6393"/>
      <c r="I1299" s="6443"/>
      <c r="J1299" s="6393"/>
      <c r="K1299" s="6393"/>
      <c r="L1299" s="6396" t="s">
        <v>5745</v>
      </c>
      <c r="M1299" s="6484"/>
      <c r="N1299" s="6484"/>
      <c r="O1299" s="6484"/>
      <c r="P1299" s="386"/>
      <c r="Q1299" s="386"/>
    </row>
    <row r="1300" spans="1:17" s="1659" customFormat="1" ht="30" customHeight="1" x14ac:dyDescent="0.2">
      <c r="A1300" s="19"/>
      <c r="B1300" s="19" t="s">
        <v>5762</v>
      </c>
      <c r="C1300" s="6472" t="s">
        <v>3390</v>
      </c>
      <c r="D1300" s="6385">
        <v>150000000</v>
      </c>
      <c r="E1300" s="6471">
        <v>0.05</v>
      </c>
      <c r="F1300" s="6385">
        <f t="shared" si="114"/>
        <v>7500000</v>
      </c>
      <c r="G1300" s="6385"/>
      <c r="H1300" s="6385"/>
      <c r="I1300" s="6385" t="s">
        <v>1220</v>
      </c>
      <c r="J1300" s="6385">
        <f t="shared" ref="J1300:J1306" si="115">G1300</f>
        <v>0</v>
      </c>
      <c r="K1300" s="6385">
        <f t="shared" ref="K1300:K1306" si="116">F1300-J1300</f>
        <v>7500000</v>
      </c>
      <c r="L1300" s="6395"/>
      <c r="M1300" s="6484"/>
      <c r="N1300" s="6484"/>
      <c r="O1300" s="6484"/>
      <c r="P1300" s="386"/>
      <c r="Q1300" s="386"/>
    </row>
    <row r="1301" spans="1:17" s="1659" customFormat="1" ht="30" customHeight="1" x14ac:dyDescent="0.2">
      <c r="A1301" s="6429"/>
      <c r="B1301" s="4921" t="s">
        <v>5771</v>
      </c>
      <c r="C1301" s="6434" t="s">
        <v>1306</v>
      </c>
      <c r="D1301" s="6393">
        <v>150000000</v>
      </c>
      <c r="E1301" s="6402">
        <v>0.06</v>
      </c>
      <c r="F1301" s="6393">
        <f t="shared" si="114"/>
        <v>9000000</v>
      </c>
      <c r="G1301" s="6393"/>
      <c r="H1301" s="6393"/>
      <c r="I1301" s="6443" t="s">
        <v>6567</v>
      </c>
      <c r="J1301" s="6393">
        <f t="shared" si="115"/>
        <v>0</v>
      </c>
      <c r="K1301" s="6393">
        <f t="shared" si="116"/>
        <v>9000000</v>
      </c>
      <c r="L1301" s="6396" t="s">
        <v>5810</v>
      </c>
      <c r="M1301" s="6484"/>
      <c r="N1301" s="6484"/>
      <c r="O1301" s="6484"/>
      <c r="P1301" s="386"/>
      <c r="Q1301" s="386"/>
    </row>
    <row r="1302" spans="1:17" s="1659" customFormat="1" ht="30" customHeight="1" x14ac:dyDescent="0.2">
      <c r="A1302" s="6468"/>
      <c r="B1302" s="6468" t="s">
        <v>5772</v>
      </c>
      <c r="C1302" s="6472" t="s">
        <v>3390</v>
      </c>
      <c r="D1302" s="6385">
        <v>20000000</v>
      </c>
      <c r="E1302" s="6471">
        <v>0.05</v>
      </c>
      <c r="F1302" s="6385">
        <f t="shared" si="114"/>
        <v>1000000</v>
      </c>
      <c r="G1302" s="6385"/>
      <c r="H1302" s="6385"/>
      <c r="I1302" s="6385" t="s">
        <v>6583</v>
      </c>
      <c r="J1302" s="6385">
        <f t="shared" si="115"/>
        <v>0</v>
      </c>
      <c r="K1302" s="6385">
        <f t="shared" si="116"/>
        <v>1000000</v>
      </c>
      <c r="L1302" s="6385"/>
      <c r="M1302" s="6484"/>
      <c r="N1302" s="6484"/>
      <c r="O1302" s="6484"/>
      <c r="P1302" s="386"/>
      <c r="Q1302" s="386"/>
    </row>
    <row r="1303" spans="1:17" s="1659" customFormat="1" ht="30" customHeight="1" x14ac:dyDescent="0.2">
      <c r="A1303" s="19"/>
      <c r="B1303" s="19" t="s">
        <v>5805</v>
      </c>
      <c r="C1303" s="6472" t="s">
        <v>1306</v>
      </c>
      <c r="D1303" s="6385">
        <v>50000000</v>
      </c>
      <c r="E1303" s="6471">
        <v>0.05</v>
      </c>
      <c r="F1303" s="6385">
        <f t="shared" si="114"/>
        <v>2500000</v>
      </c>
      <c r="G1303" s="6385"/>
      <c r="H1303" s="6385"/>
      <c r="I1303" s="6385" t="s">
        <v>7700</v>
      </c>
      <c r="J1303" s="6385">
        <f t="shared" si="115"/>
        <v>0</v>
      </c>
      <c r="K1303" s="6385">
        <f t="shared" si="116"/>
        <v>2500000</v>
      </c>
      <c r="L1303" s="6488"/>
      <c r="M1303" s="6484"/>
      <c r="N1303" s="6484"/>
      <c r="O1303" s="6484"/>
      <c r="P1303" s="386"/>
      <c r="Q1303" s="386"/>
    </row>
    <row r="1304" spans="1:17" s="1659" customFormat="1" ht="30" customHeight="1" x14ac:dyDescent="0.2">
      <c r="A1304" s="7703"/>
      <c r="B1304" s="7652" t="s">
        <v>5970</v>
      </c>
      <c r="C1304" s="7723" t="s">
        <v>942</v>
      </c>
      <c r="D1304" s="7563">
        <v>100000000</v>
      </c>
      <c r="E1304" s="7659">
        <v>0.06</v>
      </c>
      <c r="F1304" s="7563">
        <f>D1304*E1304</f>
        <v>6000000</v>
      </c>
      <c r="G1304" s="6385"/>
      <c r="H1304" s="6385"/>
      <c r="I1304" s="6385" t="s">
        <v>7304</v>
      </c>
      <c r="J1304" s="6385">
        <f t="shared" si="115"/>
        <v>0</v>
      </c>
      <c r="K1304" s="6393">
        <f t="shared" si="116"/>
        <v>6000000</v>
      </c>
      <c r="L1304" s="6396"/>
      <c r="M1304" s="6484"/>
      <c r="N1304" s="6484"/>
      <c r="O1304" s="6484"/>
      <c r="P1304" s="386"/>
      <c r="Q1304" s="386"/>
    </row>
    <row r="1305" spans="1:17" s="1659" customFormat="1" ht="30" customHeight="1" x14ac:dyDescent="0.2">
      <c r="A1305" s="7705"/>
      <c r="B1305" s="7653"/>
      <c r="C1305" s="7724"/>
      <c r="D1305" s="7564"/>
      <c r="E1305" s="7660"/>
      <c r="F1305" s="7564"/>
      <c r="G1305" s="6385"/>
      <c r="H1305" s="6385"/>
      <c r="I1305" s="6385" t="s">
        <v>7788</v>
      </c>
      <c r="J1305" s="6385">
        <f t="shared" si="115"/>
        <v>0</v>
      </c>
      <c r="K1305" s="6393">
        <f>F1304-J1305</f>
        <v>6000000</v>
      </c>
      <c r="L1305" s="6396"/>
      <c r="M1305" s="6484"/>
      <c r="N1305" s="6484"/>
      <c r="O1305" s="6484"/>
      <c r="P1305" s="386"/>
      <c r="Q1305" s="386"/>
    </row>
    <row r="1306" spans="1:17" s="1659" customFormat="1" ht="30" customHeight="1" x14ac:dyDescent="0.2">
      <c r="A1306" s="6483"/>
      <c r="B1306" s="6431" t="s">
        <v>5975</v>
      </c>
      <c r="C1306" s="6472" t="s">
        <v>3483</v>
      </c>
      <c r="D1306" s="6385">
        <v>270000000</v>
      </c>
      <c r="E1306" s="6471">
        <v>0.06</v>
      </c>
      <c r="F1306" s="6385">
        <f>D1306*E1306</f>
        <v>16200000</v>
      </c>
      <c r="G1306" s="6385"/>
      <c r="H1306" s="6385"/>
      <c r="I1306" s="6385" t="s">
        <v>4141</v>
      </c>
      <c r="J1306" s="6385">
        <f t="shared" si="115"/>
        <v>0</v>
      </c>
      <c r="K1306" s="6385">
        <f t="shared" si="116"/>
        <v>16200000</v>
      </c>
      <c r="L1306" s="6396"/>
      <c r="M1306" s="6484"/>
      <c r="N1306" s="6484"/>
      <c r="O1306" s="6484"/>
      <c r="P1306" s="386"/>
      <c r="Q1306" s="386"/>
    </row>
    <row r="1307" spans="1:17" s="1659" customFormat="1" ht="30" customHeight="1" x14ac:dyDescent="0.2">
      <c r="A1307" s="7703"/>
      <c r="B1307" s="7652" t="s">
        <v>5980</v>
      </c>
      <c r="C1307" s="7723" t="s">
        <v>942</v>
      </c>
      <c r="D1307" s="6393">
        <v>490000000</v>
      </c>
      <c r="E1307" s="6402">
        <v>0.06</v>
      </c>
      <c r="F1307" s="6393">
        <f>D1307*E1307</f>
        <v>29400000</v>
      </c>
      <c r="G1307" s="7732" t="s">
        <v>6013</v>
      </c>
      <c r="H1307" s="7733"/>
      <c r="I1307" s="7733"/>
      <c r="J1307" s="7733"/>
      <c r="K1307" s="7734"/>
      <c r="L1307" s="4242" t="s">
        <v>6702</v>
      </c>
      <c r="M1307" s="6484"/>
      <c r="N1307" s="6484"/>
      <c r="O1307" s="6484"/>
      <c r="P1307" s="386"/>
      <c r="Q1307" s="386"/>
    </row>
    <row r="1308" spans="1:17" s="1659" customFormat="1" ht="30" customHeight="1" x14ac:dyDescent="0.2">
      <c r="A1308" s="7704"/>
      <c r="B1308" s="7665"/>
      <c r="C1308" s="7747"/>
      <c r="D1308" s="6393">
        <v>30000000</v>
      </c>
      <c r="E1308" s="6402">
        <v>0.06</v>
      </c>
      <c r="F1308" s="6393">
        <f t="shared" ref="F1308:F1313" si="117">D1308*E1308</f>
        <v>1800000</v>
      </c>
      <c r="G1308" s="8000" t="s">
        <v>6704</v>
      </c>
      <c r="H1308" s="8000"/>
      <c r="I1308" s="8000"/>
      <c r="J1308" s="8000"/>
      <c r="K1308" s="6487"/>
      <c r="L1308" s="4242"/>
      <c r="M1308" s="6484"/>
      <c r="N1308" s="6484"/>
      <c r="O1308" s="6484"/>
      <c r="P1308" s="386"/>
      <c r="Q1308" s="386"/>
    </row>
    <row r="1309" spans="1:17" s="1659" customFormat="1" ht="30" customHeight="1" x14ac:dyDescent="0.2">
      <c r="A1309" s="7704"/>
      <c r="B1309" s="7665"/>
      <c r="C1309" s="7747"/>
      <c r="D1309" s="6393">
        <v>60000000</v>
      </c>
      <c r="E1309" s="6402">
        <v>0.06</v>
      </c>
      <c r="F1309" s="6393">
        <f t="shared" si="117"/>
        <v>3600000</v>
      </c>
      <c r="G1309" s="7732" t="s">
        <v>6705</v>
      </c>
      <c r="H1309" s="7733"/>
      <c r="I1309" s="7733"/>
      <c r="J1309" s="7734"/>
      <c r="K1309" s="6487"/>
      <c r="L1309" s="4242"/>
      <c r="M1309" s="6484"/>
      <c r="N1309" s="6484"/>
      <c r="O1309" s="6484"/>
      <c r="P1309" s="386"/>
      <c r="Q1309" s="386"/>
    </row>
    <row r="1310" spans="1:17" s="1659" customFormat="1" ht="30" customHeight="1" x14ac:dyDescent="0.2">
      <c r="A1310" s="7704"/>
      <c r="B1310" s="7665"/>
      <c r="C1310" s="7747"/>
      <c r="D1310" s="6393">
        <v>75000000</v>
      </c>
      <c r="E1310" s="6402">
        <v>0.06</v>
      </c>
      <c r="F1310" s="6393">
        <f t="shared" si="117"/>
        <v>4500000</v>
      </c>
      <c r="G1310" s="7732" t="s">
        <v>6706</v>
      </c>
      <c r="H1310" s="7733"/>
      <c r="I1310" s="7733"/>
      <c r="J1310" s="7734"/>
      <c r="K1310" s="6487"/>
      <c r="L1310" s="4242"/>
      <c r="M1310" s="6484"/>
      <c r="N1310" s="6484"/>
      <c r="O1310" s="6484"/>
      <c r="P1310" s="386"/>
      <c r="Q1310" s="386"/>
    </row>
    <row r="1311" spans="1:17" s="1659" customFormat="1" ht="30" customHeight="1" x14ac:dyDescent="0.2">
      <c r="A1311" s="7704"/>
      <c r="B1311" s="7665"/>
      <c r="C1311" s="7747"/>
      <c r="D1311" s="6393">
        <v>75000000</v>
      </c>
      <c r="E1311" s="6402">
        <v>0.06</v>
      </c>
      <c r="F1311" s="6393">
        <f t="shared" si="117"/>
        <v>4500000</v>
      </c>
      <c r="G1311" s="7732" t="s">
        <v>6707</v>
      </c>
      <c r="H1311" s="7733"/>
      <c r="I1311" s="7733"/>
      <c r="J1311" s="7734"/>
      <c r="K1311" s="6487"/>
      <c r="L1311" s="4242"/>
      <c r="M1311" s="6484"/>
      <c r="N1311" s="6484"/>
      <c r="O1311" s="6484"/>
      <c r="P1311" s="386"/>
      <c r="Q1311" s="386"/>
    </row>
    <row r="1312" spans="1:17" s="1659" customFormat="1" ht="30" customHeight="1" x14ac:dyDescent="0.2">
      <c r="A1312" s="7704"/>
      <c r="B1312" s="7665"/>
      <c r="C1312" s="7747"/>
      <c r="D1312" s="6393">
        <v>70000000</v>
      </c>
      <c r="E1312" s="6402">
        <v>0.06</v>
      </c>
      <c r="F1312" s="6393">
        <f t="shared" si="117"/>
        <v>4200000</v>
      </c>
      <c r="G1312" s="7732" t="s">
        <v>6708</v>
      </c>
      <c r="H1312" s="7733"/>
      <c r="I1312" s="7733"/>
      <c r="J1312" s="7734"/>
      <c r="K1312" s="6487"/>
      <c r="L1312" s="4242"/>
      <c r="M1312" s="6484"/>
      <c r="N1312" s="6484"/>
      <c r="O1312" s="6484"/>
      <c r="P1312" s="386"/>
      <c r="Q1312" s="386"/>
    </row>
    <row r="1313" spans="1:17" s="1659" customFormat="1" ht="30" customHeight="1" x14ac:dyDescent="0.2">
      <c r="A1313" s="7704"/>
      <c r="B1313" s="7665"/>
      <c r="C1313" s="7747"/>
      <c r="D1313" s="6393">
        <v>70000000</v>
      </c>
      <c r="E1313" s="6402">
        <v>0.06</v>
      </c>
      <c r="F1313" s="6393">
        <f t="shared" si="117"/>
        <v>4200000</v>
      </c>
      <c r="G1313" s="7732" t="s">
        <v>6709</v>
      </c>
      <c r="H1313" s="7733"/>
      <c r="I1313" s="7733"/>
      <c r="J1313" s="7734"/>
      <c r="K1313" s="6487"/>
      <c r="L1313" s="4242"/>
      <c r="M1313" s="6484"/>
      <c r="N1313" s="6484"/>
      <c r="O1313" s="6484"/>
      <c r="P1313" s="386"/>
      <c r="Q1313" s="386"/>
    </row>
    <row r="1314" spans="1:17" s="1659" customFormat="1" ht="30" customHeight="1" x14ac:dyDescent="0.2">
      <c r="A1314" s="7704"/>
      <c r="B1314" s="7665"/>
      <c r="C1314" s="7747"/>
      <c r="D1314" s="8026">
        <v>870000000</v>
      </c>
      <c r="E1314" s="8028">
        <v>0.06</v>
      </c>
      <c r="F1314" s="8026">
        <f>D1314*E1314</f>
        <v>52200000</v>
      </c>
      <c r="G1314" s="8000" t="s">
        <v>6703</v>
      </c>
      <c r="H1314" s="8000"/>
      <c r="I1314" s="8000"/>
      <c r="J1314" s="8000"/>
      <c r="K1314" s="6487"/>
      <c r="L1314" s="6396" t="s">
        <v>6701</v>
      </c>
      <c r="M1314" s="6484"/>
      <c r="N1314" s="6484"/>
      <c r="O1314" s="6484"/>
      <c r="P1314" s="386"/>
      <c r="Q1314" s="386"/>
    </row>
    <row r="1315" spans="1:17" s="1659" customFormat="1" ht="30" customHeight="1" x14ac:dyDescent="0.2">
      <c r="A1315" s="7704"/>
      <c r="B1315" s="7665"/>
      <c r="C1315" s="7747"/>
      <c r="D1315" s="8497"/>
      <c r="E1315" s="8498"/>
      <c r="F1315" s="8497"/>
      <c r="G1315" s="7470" t="s">
        <v>7827</v>
      </c>
      <c r="H1315" s="7493"/>
      <c r="I1315" s="7510"/>
      <c r="J1315" s="7563">
        <f>G1316</f>
        <v>37200000</v>
      </c>
      <c r="K1315" s="7563">
        <f>37200000-J1315</f>
        <v>0</v>
      </c>
      <c r="L1315" s="7674" t="s">
        <v>7501</v>
      </c>
      <c r="M1315" s="6484"/>
      <c r="N1315" s="6484"/>
      <c r="O1315" s="6484"/>
      <c r="P1315" s="386"/>
      <c r="Q1315" s="386"/>
    </row>
    <row r="1316" spans="1:17" s="1659" customFormat="1" ht="30" customHeight="1" x14ac:dyDescent="0.2">
      <c r="A1316" s="7704"/>
      <c r="B1316" s="7665"/>
      <c r="C1316" s="7747"/>
      <c r="D1316" s="8027"/>
      <c r="E1316" s="8029"/>
      <c r="F1316" s="8027"/>
      <c r="G1316" s="6565">
        <v>37200000</v>
      </c>
      <c r="H1316" s="6565" t="s">
        <v>7826</v>
      </c>
      <c r="I1316" s="6565" t="s">
        <v>7495</v>
      </c>
      <c r="J1316" s="7564"/>
      <c r="K1316" s="7564"/>
      <c r="L1316" s="7675"/>
      <c r="M1316" s="6484"/>
      <c r="N1316" s="6484"/>
      <c r="O1316" s="6484"/>
      <c r="P1316" s="386"/>
      <c r="Q1316" s="386"/>
    </row>
    <row r="1317" spans="1:17" s="1659" customFormat="1" ht="30" customHeight="1" x14ac:dyDescent="0.2">
      <c r="A1317" s="7704"/>
      <c r="B1317" s="7665"/>
      <c r="C1317" s="7747"/>
      <c r="D1317" s="8026">
        <v>870000000</v>
      </c>
      <c r="E1317" s="8028">
        <v>0.06</v>
      </c>
      <c r="F1317" s="8026">
        <f>D1317*E1317</f>
        <v>52200000</v>
      </c>
      <c r="G1317" s="6385"/>
      <c r="H1317" s="6385"/>
      <c r="I1317" s="6385"/>
      <c r="J1317" s="7563">
        <f>G1317+G1318</f>
        <v>0</v>
      </c>
      <c r="K1317" s="7563"/>
      <c r="L1317" s="7674"/>
      <c r="M1317" s="6484"/>
      <c r="N1317" s="6484"/>
      <c r="O1317" s="6484"/>
      <c r="P1317" s="386"/>
      <c r="Q1317" s="386"/>
    </row>
    <row r="1318" spans="1:17" s="1659" customFormat="1" ht="30" customHeight="1" x14ac:dyDescent="0.2">
      <c r="A1318" s="7705"/>
      <c r="B1318" s="7653"/>
      <c r="C1318" s="7724"/>
      <c r="D1318" s="8027"/>
      <c r="E1318" s="8029"/>
      <c r="F1318" s="8027"/>
      <c r="G1318" s="6385"/>
      <c r="H1318" s="6385"/>
      <c r="I1318" s="6385"/>
      <c r="J1318" s="7564"/>
      <c r="K1318" s="7564"/>
      <c r="L1318" s="7675"/>
      <c r="M1318" s="6484"/>
      <c r="N1318" s="6484"/>
      <c r="O1318" s="6484"/>
      <c r="P1318" s="386"/>
      <c r="Q1318" s="386"/>
    </row>
    <row r="1319" spans="1:17" s="1659" customFormat="1" ht="30" customHeight="1" x14ac:dyDescent="0.2">
      <c r="A1319" s="7703"/>
      <c r="B1319" s="7652" t="s">
        <v>5985</v>
      </c>
      <c r="C1319" s="7723" t="s">
        <v>1081</v>
      </c>
      <c r="D1319" s="7563">
        <v>40000000</v>
      </c>
      <c r="E1319" s="7659">
        <v>0.05</v>
      </c>
      <c r="F1319" s="7563">
        <f>D1319*E1319</f>
        <v>2000000</v>
      </c>
      <c r="G1319" s="6385"/>
      <c r="H1319" s="6385"/>
      <c r="I1319" s="6385" t="s">
        <v>6761</v>
      </c>
      <c r="J1319" s="6385">
        <f>G1319</f>
        <v>0</v>
      </c>
      <c r="K1319" s="6393">
        <f>F1319-J1319</f>
        <v>2000000</v>
      </c>
      <c r="L1319" s="6396"/>
      <c r="M1319" s="6484"/>
      <c r="N1319" s="6484"/>
      <c r="O1319" s="6484"/>
      <c r="P1319" s="386"/>
      <c r="Q1319" s="386"/>
    </row>
    <row r="1320" spans="1:17" s="1659" customFormat="1" ht="30" customHeight="1" x14ac:dyDescent="0.2">
      <c r="A1320" s="7705"/>
      <c r="B1320" s="7653"/>
      <c r="C1320" s="7724"/>
      <c r="D1320" s="7564"/>
      <c r="E1320" s="7660"/>
      <c r="F1320" s="7564"/>
      <c r="G1320" s="6385"/>
      <c r="H1320" s="6385"/>
      <c r="I1320" s="6385" t="s">
        <v>6761</v>
      </c>
      <c r="J1320" s="6385">
        <f>G1320</f>
        <v>0</v>
      </c>
      <c r="K1320" s="6444">
        <f>F1319-J1320</f>
        <v>2000000</v>
      </c>
      <c r="L1320" s="6509"/>
      <c r="M1320" s="6484"/>
      <c r="N1320" s="6484"/>
      <c r="O1320" s="6484"/>
      <c r="P1320" s="386"/>
      <c r="Q1320" s="386"/>
    </row>
    <row r="1321" spans="1:17" s="1659" customFormat="1" ht="30" customHeight="1" x14ac:dyDescent="0.2">
      <c r="A1321" s="7703"/>
      <c r="B1321" s="7652" t="s">
        <v>6017</v>
      </c>
      <c r="C1321" s="7723" t="s">
        <v>3323</v>
      </c>
      <c r="D1321" s="7563">
        <v>1900000000</v>
      </c>
      <c r="E1321" s="7659">
        <v>7.0000000000000007E-2</v>
      </c>
      <c r="F1321" s="7563">
        <f>D1321*E1321</f>
        <v>133000000.00000001</v>
      </c>
      <c r="G1321" s="6590">
        <v>20000000</v>
      </c>
      <c r="H1321" s="6590" t="s">
        <v>7864</v>
      </c>
      <c r="I1321" s="6590" t="s">
        <v>7798</v>
      </c>
      <c r="J1321" s="7563">
        <f>G1321+G1322</f>
        <v>40000000</v>
      </c>
      <c r="K1321" s="7563"/>
      <c r="L1321" s="227" t="s">
        <v>6019</v>
      </c>
      <c r="M1321" s="6484"/>
      <c r="N1321" s="6484"/>
      <c r="O1321" s="6484"/>
      <c r="P1321" s="386"/>
      <c r="Q1321" s="386"/>
    </row>
    <row r="1322" spans="1:17" s="1659" customFormat="1" ht="30" customHeight="1" x14ac:dyDescent="0.2">
      <c r="A1322" s="7704"/>
      <c r="B1322" s="7665"/>
      <c r="C1322" s="7747"/>
      <c r="D1322" s="7586"/>
      <c r="E1322" s="7676"/>
      <c r="F1322" s="7586"/>
      <c r="G1322" s="6590">
        <v>20000000</v>
      </c>
      <c r="H1322" s="6590" t="s">
        <v>7864</v>
      </c>
      <c r="I1322" s="6590" t="s">
        <v>7870</v>
      </c>
      <c r="J1322" s="7586"/>
      <c r="K1322" s="7586"/>
      <c r="L1322" s="6396" t="s">
        <v>6018</v>
      </c>
      <c r="M1322" s="6484"/>
      <c r="N1322" s="6484"/>
      <c r="O1322" s="6484"/>
      <c r="P1322" s="386"/>
      <c r="Q1322" s="386"/>
    </row>
    <row r="1323" spans="1:17" s="1659" customFormat="1" ht="30" customHeight="1" x14ac:dyDescent="0.2">
      <c r="A1323" s="7704"/>
      <c r="B1323" s="7665"/>
      <c r="C1323" s="7747"/>
      <c r="D1323" s="7586"/>
      <c r="E1323" s="7676"/>
      <c r="F1323" s="7586"/>
      <c r="G1323" s="6385"/>
      <c r="H1323" s="6385"/>
      <c r="I1323" s="6385"/>
      <c r="J1323" s="7586"/>
      <c r="K1323" s="7586"/>
      <c r="L1323" s="6396"/>
      <c r="M1323" s="6484"/>
      <c r="N1323" s="6484"/>
      <c r="O1323" s="6484"/>
      <c r="P1323" s="386"/>
      <c r="Q1323" s="386"/>
    </row>
    <row r="1324" spans="1:17" s="1659" customFormat="1" ht="30" customHeight="1" x14ac:dyDescent="0.2">
      <c r="A1324" s="7704"/>
      <c r="B1324" s="7665"/>
      <c r="C1324" s="7747"/>
      <c r="D1324" s="7586"/>
      <c r="E1324" s="7676"/>
      <c r="F1324" s="7586"/>
      <c r="G1324" s="6385"/>
      <c r="H1324" s="6385"/>
      <c r="I1324" s="6385"/>
      <c r="J1324" s="7586"/>
      <c r="K1324" s="7586"/>
      <c r="L1324" s="6396"/>
      <c r="M1324" s="6484"/>
      <c r="N1324" s="6484"/>
      <c r="O1324" s="6484"/>
      <c r="P1324" s="386"/>
      <c r="Q1324" s="386"/>
    </row>
    <row r="1325" spans="1:17" s="1659" customFormat="1" ht="30" customHeight="1" x14ac:dyDescent="0.2">
      <c r="A1325" s="7705"/>
      <c r="B1325" s="7653"/>
      <c r="C1325" s="7724"/>
      <c r="D1325" s="7564"/>
      <c r="E1325" s="7660"/>
      <c r="F1325" s="7564"/>
      <c r="G1325" s="6385"/>
      <c r="H1325" s="6385"/>
      <c r="I1325" s="6385"/>
      <c r="J1325" s="7564"/>
      <c r="K1325" s="7564"/>
      <c r="L1325" s="6396"/>
      <c r="M1325" s="6484"/>
      <c r="N1325" s="6484"/>
      <c r="O1325" s="6484"/>
      <c r="P1325" s="386"/>
      <c r="Q1325" s="386"/>
    </row>
    <row r="1326" spans="1:17" s="1659" customFormat="1" ht="30" customHeight="1" x14ac:dyDescent="0.2">
      <c r="A1326" s="6429"/>
      <c r="B1326" s="4921" t="s">
        <v>6031</v>
      </c>
      <c r="C1326" s="6434"/>
      <c r="D1326" s="6393">
        <v>120000000</v>
      </c>
      <c r="E1326" s="6402"/>
      <c r="F1326" s="6393"/>
      <c r="G1326" s="7732" t="s">
        <v>6033</v>
      </c>
      <c r="H1326" s="7733"/>
      <c r="I1326" s="7733"/>
      <c r="J1326" s="7734"/>
      <c r="K1326" s="6393"/>
      <c r="L1326" s="6396" t="s">
        <v>6032</v>
      </c>
      <c r="M1326" s="6484"/>
      <c r="N1326" s="6484"/>
      <c r="O1326" s="6484"/>
      <c r="P1326" s="386"/>
      <c r="Q1326" s="386"/>
    </row>
    <row r="1327" spans="1:17" s="1659" customFormat="1" ht="30" customHeight="1" x14ac:dyDescent="0.2">
      <c r="A1327" s="6483"/>
      <c r="B1327" s="6431" t="s">
        <v>6053</v>
      </c>
      <c r="C1327" s="6472" t="s">
        <v>1287</v>
      </c>
      <c r="D1327" s="6385">
        <v>200000000</v>
      </c>
      <c r="E1327" s="6471">
        <v>0.06</v>
      </c>
      <c r="F1327" s="6385">
        <f t="shared" ref="F1327:F1332" si="118">D1327*E1327</f>
        <v>12000000</v>
      </c>
      <c r="G1327" s="6385"/>
      <c r="H1327" s="6385"/>
      <c r="I1327" s="6385" t="s">
        <v>7075</v>
      </c>
      <c r="J1327" s="6385">
        <f>G1327</f>
        <v>0</v>
      </c>
      <c r="K1327" s="6391">
        <f>F1327-J1327</f>
        <v>12000000</v>
      </c>
      <c r="L1327" s="6395"/>
      <c r="M1327" s="6484"/>
      <c r="N1327" s="6484"/>
      <c r="O1327" s="6484"/>
      <c r="P1327" s="386"/>
      <c r="Q1327" s="386"/>
    </row>
    <row r="1328" spans="1:17" s="1659" customFormat="1" ht="30" customHeight="1" x14ac:dyDescent="0.2">
      <c r="A1328" s="6468"/>
      <c r="B1328" s="6468" t="s">
        <v>4767</v>
      </c>
      <c r="C1328" s="6472" t="s">
        <v>989</v>
      </c>
      <c r="D1328" s="6385">
        <v>4200000</v>
      </c>
      <c r="E1328" s="6471">
        <v>0.05</v>
      </c>
      <c r="F1328" s="6385">
        <f t="shared" si="118"/>
        <v>210000</v>
      </c>
      <c r="G1328" s="6385"/>
      <c r="H1328" s="6385"/>
      <c r="I1328" s="6385" t="s">
        <v>6137</v>
      </c>
      <c r="J1328" s="6385" t="e">
        <f>G1328+#REF!+#REF!+#REF!+G1336</f>
        <v>#REF!</v>
      </c>
      <c r="K1328" s="6385"/>
      <c r="L1328" s="6385" t="s">
        <v>6138</v>
      </c>
      <c r="M1328" s="6484"/>
      <c r="N1328" s="6484"/>
      <c r="O1328" s="6484"/>
      <c r="P1328" s="386"/>
      <c r="Q1328" s="386"/>
    </row>
    <row r="1329" spans="1:17" s="1659" customFormat="1" ht="30" customHeight="1" x14ac:dyDescent="0.2">
      <c r="A1329" s="7703"/>
      <c r="B1329" s="7652" t="s">
        <v>6143</v>
      </c>
      <c r="C1329" s="7747"/>
      <c r="D1329" s="6393">
        <v>1100000000</v>
      </c>
      <c r="E1329" s="6402">
        <v>7.0000000000000007E-2</v>
      </c>
      <c r="F1329" s="6393">
        <f t="shared" si="118"/>
        <v>77000000</v>
      </c>
      <c r="G1329" s="7563">
        <v>50000000</v>
      </c>
      <c r="H1329" s="7563" t="s">
        <v>7845</v>
      </c>
      <c r="I1329" s="7563" t="s">
        <v>7429</v>
      </c>
      <c r="J1329" s="7563">
        <f>G1329</f>
        <v>50000000</v>
      </c>
      <c r="K1329" s="7563">
        <f>(F1329+F1330)-J1329</f>
        <v>30500000</v>
      </c>
      <c r="L1329" s="6396" t="s">
        <v>6335</v>
      </c>
      <c r="M1329" s="6484"/>
      <c r="N1329" s="6484"/>
      <c r="O1329" s="6484"/>
      <c r="P1329" s="386"/>
      <c r="Q1329" s="386"/>
    </row>
    <row r="1330" spans="1:17" s="1659" customFormat="1" ht="30" customHeight="1" x14ac:dyDescent="0.2">
      <c r="A1330" s="7705"/>
      <c r="B1330" s="7653"/>
      <c r="C1330" s="7724"/>
      <c r="D1330" s="6393">
        <v>50000000</v>
      </c>
      <c r="E1330" s="6471">
        <v>7.0000000000000007E-2</v>
      </c>
      <c r="F1330" s="6393">
        <f t="shared" si="118"/>
        <v>3500000.0000000005</v>
      </c>
      <c r="G1330" s="7564"/>
      <c r="H1330" s="7564"/>
      <c r="I1330" s="7564"/>
      <c r="J1330" s="7564"/>
      <c r="K1330" s="7564"/>
      <c r="L1330" s="6396" t="s">
        <v>6203</v>
      </c>
      <c r="M1330" s="6484"/>
      <c r="N1330" s="6484"/>
      <c r="O1330" s="6484"/>
      <c r="P1330" s="386"/>
      <c r="Q1330" s="386"/>
    </row>
    <row r="1331" spans="1:17" s="1659" customFormat="1" ht="30" customHeight="1" x14ac:dyDescent="0.2">
      <c r="A1331" s="6429"/>
      <c r="B1331" s="4921" t="s">
        <v>6144</v>
      </c>
      <c r="C1331" s="6434"/>
      <c r="D1331" s="6393">
        <v>100000000</v>
      </c>
      <c r="E1331" s="6402">
        <v>7.0000000000000007E-2</v>
      </c>
      <c r="F1331" s="6393">
        <f t="shared" si="118"/>
        <v>7000000.0000000009</v>
      </c>
      <c r="G1331" s="6393">
        <v>7000000</v>
      </c>
      <c r="H1331" s="6393" t="s">
        <v>7864</v>
      </c>
      <c r="I1331" s="6393" t="s">
        <v>3537</v>
      </c>
      <c r="J1331" s="6393">
        <f>G1331</f>
        <v>7000000</v>
      </c>
      <c r="K1331" s="6393">
        <f>F1331-J1331</f>
        <v>0</v>
      </c>
      <c r="L1331" s="6396" t="s">
        <v>6145</v>
      </c>
      <c r="M1331" s="6484"/>
      <c r="N1331" s="6484"/>
      <c r="O1331" s="6484"/>
      <c r="P1331" s="386"/>
      <c r="Q1331" s="386"/>
    </row>
    <row r="1332" spans="1:17" s="1659" customFormat="1" ht="30" customHeight="1" x14ac:dyDescent="0.2">
      <c r="A1332" s="19"/>
      <c r="B1332" s="6431" t="s">
        <v>6172</v>
      </c>
      <c r="C1332" s="6472" t="s">
        <v>2644</v>
      </c>
      <c r="D1332" s="6385">
        <v>100000000</v>
      </c>
      <c r="E1332" s="6471">
        <v>0.05</v>
      </c>
      <c r="F1332" s="6385">
        <f t="shared" si="118"/>
        <v>5000000</v>
      </c>
      <c r="G1332" s="6385"/>
      <c r="H1332" s="6385"/>
      <c r="I1332" s="6385" t="s">
        <v>1810</v>
      </c>
      <c r="J1332" s="6385">
        <f>G1332</f>
        <v>0</v>
      </c>
      <c r="K1332" s="6385">
        <f>F1332-J1332</f>
        <v>5000000</v>
      </c>
      <c r="L1332" s="6396"/>
      <c r="M1332" s="6484"/>
      <c r="N1332" s="6484"/>
      <c r="O1332" s="6484"/>
      <c r="P1332" s="386"/>
      <c r="Q1332" s="386"/>
    </row>
    <row r="1333" spans="1:17" s="1659" customFormat="1" ht="30" customHeight="1" x14ac:dyDescent="0.2">
      <c r="A1333" s="6429"/>
      <c r="B1333" s="4921" t="s">
        <v>6176</v>
      </c>
      <c r="C1333" s="6434"/>
      <c r="D1333" s="6394"/>
      <c r="E1333" s="6394"/>
      <c r="F1333" s="6394"/>
      <c r="G1333" s="6393"/>
      <c r="H1333" s="6393"/>
      <c r="I1333" s="6393" t="s">
        <v>6177</v>
      </c>
      <c r="J1333" s="6393">
        <f>G1333</f>
        <v>0</v>
      </c>
      <c r="K1333" s="6411">
        <f>F1333-J1333</f>
        <v>0</v>
      </c>
      <c r="L1333" s="6396"/>
      <c r="M1333" s="6484"/>
      <c r="N1333" s="6484"/>
      <c r="O1333" s="6484"/>
      <c r="P1333" s="386"/>
      <c r="Q1333" s="386"/>
    </row>
    <row r="1334" spans="1:17" s="1659" customFormat="1" ht="30" customHeight="1" x14ac:dyDescent="0.2">
      <c r="A1334" s="7703"/>
      <c r="B1334" s="7703" t="s">
        <v>6295</v>
      </c>
      <c r="C1334" s="7723" t="s">
        <v>262</v>
      </c>
      <c r="D1334" s="7563">
        <v>50000000</v>
      </c>
      <c r="E1334" s="7659">
        <v>7.0000000000000007E-2</v>
      </c>
      <c r="F1334" s="7563">
        <f>D1334*E1334</f>
        <v>3500000.0000000005</v>
      </c>
      <c r="G1334" s="7991" t="s">
        <v>5756</v>
      </c>
      <c r="H1334" s="7992"/>
      <c r="I1334" s="7992"/>
      <c r="J1334" s="7993"/>
      <c r="K1334" s="6411"/>
      <c r="L1334" s="6396" t="s">
        <v>5631</v>
      </c>
      <c r="M1334" s="6484"/>
      <c r="N1334" s="6484"/>
      <c r="O1334" s="6484"/>
      <c r="P1334" s="386"/>
      <c r="Q1334" s="386"/>
    </row>
    <row r="1335" spans="1:17" s="1659" customFormat="1" ht="30" customHeight="1" x14ac:dyDescent="0.2">
      <c r="A1335" s="7704"/>
      <c r="B1335" s="7704"/>
      <c r="C1335" s="7747"/>
      <c r="D1335" s="7564"/>
      <c r="E1335" s="7660"/>
      <c r="F1335" s="7564"/>
      <c r="G1335" s="6385"/>
      <c r="H1335" s="6385"/>
      <c r="I1335" s="6385" t="s">
        <v>6527</v>
      </c>
      <c r="J1335" s="6385">
        <f>G1335</f>
        <v>0</v>
      </c>
      <c r="K1335" s="6411"/>
      <c r="L1335" s="6396" t="s">
        <v>5632</v>
      </c>
      <c r="M1335" s="6484"/>
      <c r="N1335" s="6484"/>
      <c r="O1335" s="6484"/>
      <c r="P1335" s="386"/>
      <c r="Q1335" s="386"/>
    </row>
    <row r="1336" spans="1:17" s="1659" customFormat="1" ht="30" customHeight="1" x14ac:dyDescent="0.2">
      <c r="A1336" s="7704"/>
      <c r="B1336" s="7704"/>
      <c r="C1336" s="7747"/>
      <c r="D1336" s="8378">
        <v>1000000000</v>
      </c>
      <c r="E1336" s="8375"/>
      <c r="F1336" s="8378"/>
      <c r="G1336" s="8384" t="s">
        <v>6184</v>
      </c>
      <c r="H1336" s="8385"/>
      <c r="I1336" s="8385"/>
      <c r="J1336" s="8386"/>
      <c r="K1336" s="6533"/>
      <c r="L1336" s="4619" t="s">
        <v>6183</v>
      </c>
      <c r="M1336" s="6484"/>
      <c r="N1336" s="6484"/>
      <c r="O1336" s="6484"/>
      <c r="P1336" s="386"/>
      <c r="Q1336" s="386"/>
    </row>
    <row r="1337" spans="1:17" s="1659" customFormat="1" ht="30" customHeight="1" x14ac:dyDescent="0.2">
      <c r="A1337" s="7704"/>
      <c r="B1337" s="7704"/>
      <c r="C1337" s="7747"/>
      <c r="D1337" s="8379"/>
      <c r="E1337" s="8376"/>
      <c r="F1337" s="8379"/>
      <c r="G1337" s="8387" t="s">
        <v>6185</v>
      </c>
      <c r="H1337" s="8388"/>
      <c r="I1337" s="8388"/>
      <c r="J1337" s="8389"/>
      <c r="K1337" s="6533"/>
      <c r="L1337" s="4619" t="s">
        <v>6182</v>
      </c>
      <c r="M1337" s="6484"/>
      <c r="N1337" s="6484"/>
      <c r="O1337" s="6484"/>
      <c r="P1337" s="386"/>
      <c r="Q1337" s="386"/>
    </row>
    <row r="1338" spans="1:17" s="1659" customFormat="1" ht="30" customHeight="1" x14ac:dyDescent="0.2">
      <c r="A1338" s="7704"/>
      <c r="B1338" s="7704"/>
      <c r="C1338" s="7747"/>
      <c r="D1338" s="8379"/>
      <c r="E1338" s="8376"/>
      <c r="F1338" s="8379"/>
      <c r="G1338" s="7732" t="s">
        <v>6346</v>
      </c>
      <c r="H1338" s="7733"/>
      <c r="I1338" s="7733"/>
      <c r="J1338" s="7734"/>
      <c r="K1338" s="6533"/>
      <c r="L1338" s="4619"/>
      <c r="M1338" s="6484"/>
      <c r="N1338" s="6484"/>
      <c r="O1338" s="6484"/>
      <c r="P1338" s="386"/>
      <c r="Q1338" s="386"/>
    </row>
    <row r="1339" spans="1:17" s="1659" customFormat="1" ht="30" customHeight="1" x14ac:dyDescent="0.2">
      <c r="A1339" s="7704"/>
      <c r="B1339" s="7704"/>
      <c r="C1339" s="7747"/>
      <c r="D1339" s="8379"/>
      <c r="E1339" s="8376"/>
      <c r="F1339" s="8379"/>
      <c r="G1339" s="7732" t="s">
        <v>6340</v>
      </c>
      <c r="H1339" s="7733"/>
      <c r="I1339" s="7733"/>
      <c r="J1339" s="7734"/>
      <c r="K1339" s="6533"/>
      <c r="L1339" s="4619"/>
      <c r="M1339" s="6484"/>
      <c r="N1339" s="6484"/>
      <c r="O1339" s="6484"/>
      <c r="P1339" s="386"/>
      <c r="Q1339" s="386"/>
    </row>
    <row r="1340" spans="1:17" s="1659" customFormat="1" ht="30" customHeight="1" x14ac:dyDescent="0.2">
      <c r="A1340" s="7704"/>
      <c r="B1340" s="7704"/>
      <c r="C1340" s="7747"/>
      <c r="D1340" s="8379"/>
      <c r="E1340" s="8376"/>
      <c r="F1340" s="8379"/>
      <c r="G1340" s="7732" t="s">
        <v>6348</v>
      </c>
      <c r="H1340" s="7733"/>
      <c r="I1340" s="7733"/>
      <c r="J1340" s="7734"/>
      <c r="K1340" s="6533"/>
      <c r="L1340" s="4619"/>
      <c r="M1340" s="6484"/>
      <c r="N1340" s="6484"/>
      <c r="O1340" s="6484"/>
      <c r="P1340" s="386"/>
      <c r="Q1340" s="386"/>
    </row>
    <row r="1341" spans="1:17" s="1659" customFormat="1" ht="30" customHeight="1" x14ac:dyDescent="0.2">
      <c r="A1341" s="7704"/>
      <c r="B1341" s="7704"/>
      <c r="C1341" s="7747"/>
      <c r="D1341" s="8379"/>
      <c r="E1341" s="8376"/>
      <c r="F1341" s="8379"/>
      <c r="G1341" s="7732" t="s">
        <v>6347</v>
      </c>
      <c r="H1341" s="7733"/>
      <c r="I1341" s="7733"/>
      <c r="J1341" s="7734"/>
      <c r="K1341" s="6533"/>
      <c r="L1341" s="4619"/>
      <c r="M1341" s="6484"/>
      <c r="N1341" s="6484"/>
      <c r="O1341" s="6484"/>
      <c r="P1341" s="386"/>
      <c r="Q1341" s="386"/>
    </row>
    <row r="1342" spans="1:17" s="1659" customFormat="1" ht="30" customHeight="1" x14ac:dyDescent="0.2">
      <c r="A1342" s="7704"/>
      <c r="B1342" s="7704"/>
      <c r="C1342" s="7747"/>
      <c r="D1342" s="8379"/>
      <c r="E1342" s="8376"/>
      <c r="F1342" s="8379"/>
      <c r="G1342" s="7732" t="s">
        <v>6341</v>
      </c>
      <c r="H1342" s="7733"/>
      <c r="I1342" s="7733"/>
      <c r="J1342" s="7734"/>
      <c r="K1342" s="6533"/>
      <c r="L1342" s="4619"/>
      <c r="M1342" s="6484"/>
      <c r="N1342" s="6484"/>
      <c r="O1342" s="6484"/>
      <c r="P1342" s="386"/>
      <c r="Q1342" s="386"/>
    </row>
    <row r="1343" spans="1:17" s="1659" customFormat="1" ht="30" customHeight="1" x14ac:dyDescent="0.2">
      <c r="A1343" s="7704"/>
      <c r="B1343" s="7704"/>
      <c r="C1343" s="7747"/>
      <c r="D1343" s="8379"/>
      <c r="E1343" s="8376"/>
      <c r="F1343" s="8379"/>
      <c r="G1343" s="7732" t="s">
        <v>6344</v>
      </c>
      <c r="H1343" s="7733"/>
      <c r="I1343" s="7733"/>
      <c r="J1343" s="7734"/>
      <c r="K1343" s="6533"/>
      <c r="L1343" s="4619"/>
      <c r="M1343" s="6484"/>
      <c r="N1343" s="6484"/>
      <c r="O1343" s="6484"/>
      <c r="P1343" s="386"/>
      <c r="Q1343" s="386"/>
    </row>
    <row r="1344" spans="1:17" s="1659" customFormat="1" ht="30" customHeight="1" x14ac:dyDescent="0.2">
      <c r="A1344" s="7704"/>
      <c r="B1344" s="7704"/>
      <c r="C1344" s="7747"/>
      <c r="D1344" s="8379"/>
      <c r="E1344" s="8376"/>
      <c r="F1344" s="8379"/>
      <c r="G1344" s="7732" t="s">
        <v>6345</v>
      </c>
      <c r="H1344" s="7733"/>
      <c r="I1344" s="7733"/>
      <c r="J1344" s="7734"/>
      <c r="K1344" s="6533"/>
      <c r="L1344" s="4619"/>
      <c r="M1344" s="6484"/>
      <c r="N1344" s="6484"/>
      <c r="O1344" s="6484"/>
      <c r="P1344" s="386"/>
      <c r="Q1344" s="386"/>
    </row>
    <row r="1345" spans="1:17" s="1659" customFormat="1" ht="30" customHeight="1" x14ac:dyDescent="0.2">
      <c r="A1345" s="7704"/>
      <c r="B1345" s="7704"/>
      <c r="C1345" s="7747"/>
      <c r="D1345" s="8379"/>
      <c r="E1345" s="8376"/>
      <c r="F1345" s="8379"/>
      <c r="G1345" s="7732" t="s">
        <v>6342</v>
      </c>
      <c r="H1345" s="7733"/>
      <c r="I1345" s="7733"/>
      <c r="J1345" s="7734"/>
      <c r="K1345" s="6533"/>
      <c r="L1345" s="4619"/>
      <c r="M1345" s="6484"/>
      <c r="N1345" s="6484"/>
      <c r="O1345" s="6484"/>
      <c r="P1345" s="386"/>
      <c r="Q1345" s="386"/>
    </row>
    <row r="1346" spans="1:17" s="1659" customFormat="1" ht="30" customHeight="1" x14ac:dyDescent="0.2">
      <c r="A1346" s="7704"/>
      <c r="B1346" s="7704"/>
      <c r="C1346" s="7747"/>
      <c r="D1346" s="8379"/>
      <c r="E1346" s="8376"/>
      <c r="F1346" s="8379"/>
      <c r="G1346" s="7732" t="s">
        <v>6343</v>
      </c>
      <c r="H1346" s="7733"/>
      <c r="I1346" s="7733"/>
      <c r="J1346" s="7734"/>
      <c r="K1346" s="6533"/>
      <c r="L1346" s="4619"/>
      <c r="M1346" s="6484"/>
      <c r="N1346" s="6484"/>
      <c r="O1346" s="6484"/>
      <c r="P1346" s="386"/>
      <c r="Q1346" s="386"/>
    </row>
    <row r="1347" spans="1:17" s="1659" customFormat="1" ht="30" customHeight="1" x14ac:dyDescent="0.2">
      <c r="A1347" s="7705"/>
      <c r="B1347" s="6469" t="s">
        <v>6819</v>
      </c>
      <c r="C1347" s="7724"/>
      <c r="D1347" s="8380"/>
      <c r="E1347" s="8377"/>
      <c r="F1347" s="8380"/>
      <c r="G1347" s="7732" t="s">
        <v>6349</v>
      </c>
      <c r="H1347" s="7733"/>
      <c r="I1347" s="7733"/>
      <c r="J1347" s="7734"/>
      <c r="K1347" s="6533"/>
      <c r="L1347" s="4619"/>
      <c r="M1347" s="6484"/>
      <c r="N1347" s="6484"/>
      <c r="O1347" s="6484"/>
      <c r="P1347" s="386"/>
      <c r="Q1347" s="386"/>
    </row>
    <row r="1348" spans="1:17" s="1659" customFormat="1" ht="30" customHeight="1" x14ac:dyDescent="0.2">
      <c r="A1348" s="7703"/>
      <c r="B1348" s="7652" t="s">
        <v>6295</v>
      </c>
      <c r="C1348" s="7723" t="s">
        <v>262</v>
      </c>
      <c r="D1348" s="6385">
        <f>977000000+D1334</f>
        <v>1027000000</v>
      </c>
      <c r="E1348" s="6471">
        <v>7.0000000000000007E-2</v>
      </c>
      <c r="F1348" s="6385">
        <f>D1348*E1348</f>
        <v>71890000</v>
      </c>
      <c r="G1348" s="7991" t="s">
        <v>7593</v>
      </c>
      <c r="H1348" s="7992"/>
      <c r="I1348" s="7992"/>
      <c r="J1348" s="7993"/>
      <c r="K1348" s="227"/>
      <c r="L1348" s="6396"/>
      <c r="M1348" s="6484"/>
      <c r="N1348" s="6484"/>
      <c r="O1348" s="6484"/>
      <c r="P1348" s="386"/>
      <c r="Q1348" s="386"/>
    </row>
    <row r="1349" spans="1:17" s="1659" customFormat="1" ht="30" customHeight="1" x14ac:dyDescent="0.2">
      <c r="A1349" s="7704"/>
      <c r="B1349" s="7665"/>
      <c r="C1349" s="7747"/>
      <c r="D1349" s="7563">
        <v>1032000000</v>
      </c>
      <c r="E1349" s="7659">
        <v>7.0000000000000007E-2</v>
      </c>
      <c r="F1349" s="7563">
        <f>D1349*E1349</f>
        <v>72240000</v>
      </c>
      <c r="G1349" s="6385"/>
      <c r="H1349" s="6385"/>
      <c r="I1349" s="6385" t="s">
        <v>7011</v>
      </c>
      <c r="J1349" s="7563">
        <f>G1349+G1350+G1351</f>
        <v>0</v>
      </c>
      <c r="K1349" s="7586">
        <f>(F1349+350000)-J1349</f>
        <v>72590000</v>
      </c>
      <c r="L1349" s="6396"/>
      <c r="M1349" s="6484"/>
      <c r="N1349" s="6484"/>
      <c r="O1349" s="6484"/>
      <c r="P1349" s="386"/>
      <c r="Q1349" s="386"/>
    </row>
    <row r="1350" spans="1:17" s="1659" customFormat="1" ht="30" customHeight="1" x14ac:dyDescent="0.2">
      <c r="A1350" s="7704"/>
      <c r="B1350" s="7665"/>
      <c r="C1350" s="7747"/>
      <c r="D1350" s="7586"/>
      <c r="E1350" s="7676"/>
      <c r="F1350" s="7586"/>
      <c r="G1350" s="6384"/>
      <c r="H1350" s="6385"/>
      <c r="I1350" s="6385" t="s">
        <v>7011</v>
      </c>
      <c r="J1350" s="7586"/>
      <c r="K1350" s="7586"/>
      <c r="L1350" s="6396"/>
      <c r="M1350" s="6484"/>
      <c r="N1350" s="6484"/>
      <c r="O1350" s="6484"/>
      <c r="P1350" s="386"/>
      <c r="Q1350" s="386"/>
    </row>
    <row r="1351" spans="1:17" s="1659" customFormat="1" ht="30" customHeight="1" x14ac:dyDescent="0.2">
      <c r="A1351" s="7705"/>
      <c r="B1351" s="7653"/>
      <c r="C1351" s="7724"/>
      <c r="D1351" s="7564"/>
      <c r="E1351" s="7660"/>
      <c r="F1351" s="7564"/>
      <c r="G1351" s="6384"/>
      <c r="H1351" s="6385"/>
      <c r="I1351" s="6385" t="s">
        <v>7011</v>
      </c>
      <c r="J1351" s="7564"/>
      <c r="K1351" s="7564"/>
      <c r="L1351" s="6396"/>
      <c r="M1351" s="6484"/>
      <c r="N1351" s="6484"/>
      <c r="O1351" s="6484"/>
      <c r="P1351" s="386"/>
      <c r="Q1351" s="386"/>
    </row>
    <row r="1352" spans="1:17" s="1659" customFormat="1" ht="30" customHeight="1" x14ac:dyDescent="0.2">
      <c r="A1352" s="6483"/>
      <c r="B1352" s="6431" t="s">
        <v>6189</v>
      </c>
      <c r="C1352" s="6434" t="s">
        <v>392</v>
      </c>
      <c r="D1352" s="6393">
        <v>100000000</v>
      </c>
      <c r="E1352" s="6402">
        <v>0.04</v>
      </c>
      <c r="F1352" s="6393">
        <f>D1352*E1352</f>
        <v>4000000</v>
      </c>
      <c r="G1352" s="7732" t="s">
        <v>6284</v>
      </c>
      <c r="H1352" s="7733"/>
      <c r="I1352" s="7733"/>
      <c r="J1352" s="7734"/>
      <c r="K1352" s="6393"/>
      <c r="L1352" s="6559" t="s">
        <v>6190</v>
      </c>
      <c r="M1352" s="6484"/>
      <c r="N1352" s="6484"/>
      <c r="O1352" s="6484"/>
      <c r="P1352" s="386"/>
      <c r="Q1352" s="386"/>
    </row>
    <row r="1353" spans="1:17" s="1659" customFormat="1" ht="30" customHeight="1" x14ac:dyDescent="0.2">
      <c r="A1353" s="6483"/>
      <c r="B1353" s="4921" t="s">
        <v>6229</v>
      </c>
      <c r="C1353" s="6434"/>
      <c r="D1353" s="6393">
        <v>47000000</v>
      </c>
      <c r="E1353" s="6402">
        <v>4.2999999999999997E-2</v>
      </c>
      <c r="F1353" s="6393">
        <v>2000000</v>
      </c>
      <c r="G1353" s="6393"/>
      <c r="H1353" s="6393"/>
      <c r="I1353" s="6443" t="s">
        <v>6230</v>
      </c>
      <c r="J1353" s="6393">
        <f t="shared" ref="J1353:J1358" si="119">G1353</f>
        <v>0</v>
      </c>
      <c r="K1353" s="6393">
        <f t="shared" ref="K1353:K1358" si="120">F1353-J1353</f>
        <v>2000000</v>
      </c>
      <c r="L1353" s="6396"/>
      <c r="M1353" s="6484"/>
      <c r="N1353" s="6484"/>
      <c r="O1353" s="6484"/>
      <c r="P1353" s="386"/>
      <c r="Q1353" s="386"/>
    </row>
    <row r="1354" spans="1:17" s="1659" customFormat="1" ht="30" customHeight="1" x14ac:dyDescent="0.2">
      <c r="A1354" s="6483"/>
      <c r="B1354" s="6431" t="s">
        <v>6271</v>
      </c>
      <c r="C1354" s="6472" t="s">
        <v>402</v>
      </c>
      <c r="D1354" s="6385">
        <v>150000000</v>
      </c>
      <c r="E1354" s="6471">
        <v>0.05</v>
      </c>
      <c r="F1354" s="6385">
        <f t="shared" ref="F1354:F1360" si="121">D1354*E1354</f>
        <v>7500000</v>
      </c>
      <c r="G1354" s="6385">
        <v>7500000</v>
      </c>
      <c r="H1354" s="6385" t="s">
        <v>7864</v>
      </c>
      <c r="I1354" s="6385" t="s">
        <v>6899</v>
      </c>
      <c r="J1354" s="6385">
        <f t="shared" si="119"/>
        <v>7500000</v>
      </c>
      <c r="K1354" s="6393">
        <f t="shared" si="120"/>
        <v>0</v>
      </c>
      <c r="L1354" s="6396" t="s">
        <v>7515</v>
      </c>
      <c r="M1354" s="6484"/>
      <c r="N1354" s="6484"/>
      <c r="O1354" s="6484"/>
      <c r="P1354" s="386"/>
      <c r="Q1354" s="386"/>
    </row>
    <row r="1355" spans="1:17" s="1659" customFormat="1" ht="30" customHeight="1" x14ac:dyDescent="0.2">
      <c r="A1355" s="6428"/>
      <c r="B1355" s="6412" t="s">
        <v>8270</v>
      </c>
      <c r="C1355" s="6435"/>
      <c r="D1355" s="6392">
        <v>50000000</v>
      </c>
      <c r="E1355" s="6409">
        <v>7.0000000000000007E-2</v>
      </c>
      <c r="F1355" s="6392">
        <f t="shared" si="121"/>
        <v>3500000.0000000005</v>
      </c>
      <c r="G1355" s="6385"/>
      <c r="H1355" s="6385"/>
      <c r="I1355" s="6385"/>
      <c r="J1355" s="6385">
        <f t="shared" si="119"/>
        <v>0</v>
      </c>
      <c r="K1355" s="6393">
        <f t="shared" si="120"/>
        <v>3500000.0000000005</v>
      </c>
      <c r="L1355" s="6396" t="s">
        <v>8271</v>
      </c>
      <c r="M1355" s="6484"/>
      <c r="N1355" s="6484"/>
      <c r="O1355" s="6484"/>
      <c r="P1355" s="386"/>
      <c r="Q1355" s="386"/>
    </row>
    <row r="1356" spans="1:17" s="1659" customFormat="1" ht="30" customHeight="1" x14ac:dyDescent="0.2">
      <c r="A1356" s="6483"/>
      <c r="B1356" s="6431" t="s">
        <v>6352</v>
      </c>
      <c r="C1356" s="6472" t="s">
        <v>1172</v>
      </c>
      <c r="D1356" s="6385">
        <v>100000000</v>
      </c>
      <c r="E1356" s="6471">
        <v>0.05</v>
      </c>
      <c r="F1356" s="6385">
        <f t="shared" si="121"/>
        <v>5000000</v>
      </c>
      <c r="G1356" s="6385"/>
      <c r="H1356" s="6385"/>
      <c r="I1356" s="6385" t="s">
        <v>6830</v>
      </c>
      <c r="J1356" s="6385">
        <f t="shared" si="119"/>
        <v>0</v>
      </c>
      <c r="K1356" s="6385">
        <f t="shared" si="120"/>
        <v>5000000</v>
      </c>
      <c r="L1356" s="6396"/>
      <c r="M1356" s="6484"/>
      <c r="N1356" s="6484"/>
      <c r="O1356" s="6484"/>
      <c r="P1356" s="386"/>
      <c r="Q1356" s="386"/>
    </row>
    <row r="1357" spans="1:17" s="1659" customFormat="1" ht="30" customHeight="1" x14ac:dyDescent="0.2">
      <c r="A1357" s="6429"/>
      <c r="B1357" s="6400" t="s">
        <v>6306</v>
      </c>
      <c r="C1357" s="6434" t="s">
        <v>2644</v>
      </c>
      <c r="D1357" s="6393">
        <v>20000000</v>
      </c>
      <c r="E1357" s="6402">
        <v>0.06</v>
      </c>
      <c r="F1357" s="6393">
        <f t="shared" si="121"/>
        <v>1200000</v>
      </c>
      <c r="G1357" s="6393">
        <v>1200000</v>
      </c>
      <c r="H1357" s="6393" t="s">
        <v>7864</v>
      </c>
      <c r="I1357" s="6443" t="s">
        <v>6384</v>
      </c>
      <c r="J1357" s="6393">
        <f t="shared" si="119"/>
        <v>1200000</v>
      </c>
      <c r="K1357" s="6393">
        <f t="shared" si="120"/>
        <v>0</v>
      </c>
      <c r="L1357" s="6396"/>
      <c r="M1357" s="6484"/>
      <c r="N1357" s="6484"/>
      <c r="O1357" s="6484"/>
      <c r="P1357" s="386"/>
      <c r="Q1357" s="386"/>
    </row>
    <row r="1358" spans="1:17" s="1659" customFormat="1" ht="30" customHeight="1" x14ac:dyDescent="0.2">
      <c r="A1358" s="6427"/>
      <c r="B1358" s="6431" t="s">
        <v>6371</v>
      </c>
      <c r="C1358" s="6472"/>
      <c r="D1358" s="6385">
        <v>100000000</v>
      </c>
      <c r="E1358" s="6471">
        <v>0.05</v>
      </c>
      <c r="F1358" s="6385">
        <f t="shared" si="121"/>
        <v>5000000</v>
      </c>
      <c r="G1358" s="6385"/>
      <c r="H1358" s="6385"/>
      <c r="I1358" s="6385" t="s">
        <v>1574</v>
      </c>
      <c r="J1358" s="6391">
        <f t="shared" si="119"/>
        <v>0</v>
      </c>
      <c r="K1358" s="6385">
        <f t="shared" si="120"/>
        <v>5000000</v>
      </c>
      <c r="L1358" s="6396"/>
      <c r="M1358" s="6484"/>
      <c r="N1358" s="6484"/>
      <c r="O1358" s="6484"/>
      <c r="P1358" s="386"/>
      <c r="Q1358" s="386"/>
    </row>
    <row r="1359" spans="1:17" s="1659" customFormat="1" ht="30" customHeight="1" x14ac:dyDescent="0.2">
      <c r="A1359" s="6483"/>
      <c r="B1359" s="6431" t="s">
        <v>6377</v>
      </c>
      <c r="C1359" s="6472"/>
      <c r="D1359" s="6385">
        <v>100000000</v>
      </c>
      <c r="E1359" s="6471">
        <v>0.06</v>
      </c>
      <c r="F1359" s="6385">
        <f t="shared" si="121"/>
        <v>6000000</v>
      </c>
      <c r="G1359" s="6385"/>
      <c r="H1359" s="6385"/>
      <c r="I1359" s="6385"/>
      <c r="J1359" s="6385"/>
      <c r="K1359" s="6393"/>
      <c r="L1359" s="6396"/>
      <c r="M1359" s="6484"/>
      <c r="N1359" s="6484"/>
      <c r="O1359" s="6484"/>
      <c r="P1359" s="386"/>
      <c r="Q1359" s="386"/>
    </row>
    <row r="1360" spans="1:17" s="1659" customFormat="1" ht="30" customHeight="1" x14ac:dyDescent="0.2">
      <c r="A1360" s="6427"/>
      <c r="B1360" s="6431" t="s">
        <v>6401</v>
      </c>
      <c r="C1360" s="6472"/>
      <c r="D1360" s="6385">
        <v>20000000</v>
      </c>
      <c r="E1360" s="6471">
        <v>0.05</v>
      </c>
      <c r="F1360" s="6385">
        <f t="shared" si="121"/>
        <v>1000000</v>
      </c>
      <c r="G1360" s="6393"/>
      <c r="H1360" s="6393"/>
      <c r="I1360" s="6443" t="s">
        <v>6402</v>
      </c>
      <c r="J1360" s="6393">
        <f>G1360</f>
        <v>0</v>
      </c>
      <c r="K1360" s="6393">
        <f>F1360-J1360</f>
        <v>1000000</v>
      </c>
      <c r="L1360" s="6396"/>
      <c r="M1360" s="6484"/>
      <c r="N1360" s="6484"/>
      <c r="O1360" s="6484"/>
      <c r="P1360" s="386"/>
      <c r="Q1360" s="386"/>
    </row>
    <row r="1361" spans="1:17" s="1659" customFormat="1" ht="30" customHeight="1" x14ac:dyDescent="0.2">
      <c r="A1361" s="6483"/>
      <c r="B1361" s="6431" t="s">
        <v>6415</v>
      </c>
      <c r="C1361" s="6472"/>
      <c r="D1361" s="6385">
        <v>90000000</v>
      </c>
      <c r="E1361" s="6471">
        <v>5.5E-2</v>
      </c>
      <c r="F1361" s="6385">
        <v>5000000</v>
      </c>
      <c r="G1361" s="6385"/>
      <c r="H1361" s="6385"/>
      <c r="I1361" s="6385" t="s">
        <v>7068</v>
      </c>
      <c r="J1361" s="6385">
        <f>G1361</f>
        <v>0</v>
      </c>
      <c r="K1361" s="6385">
        <f>F1361-J1361</f>
        <v>5000000</v>
      </c>
      <c r="L1361" s="6385"/>
      <c r="M1361" s="6484"/>
      <c r="N1361" s="6484"/>
      <c r="O1361" s="6484"/>
      <c r="P1361" s="386"/>
      <c r="Q1361" s="386"/>
    </row>
    <row r="1362" spans="1:17" s="1659" customFormat="1" ht="30" customHeight="1" x14ac:dyDescent="0.2">
      <c r="A1362" s="7703"/>
      <c r="B1362" s="7652" t="s">
        <v>6433</v>
      </c>
      <c r="C1362" s="7723"/>
      <c r="D1362" s="7563">
        <v>100000000</v>
      </c>
      <c r="E1362" s="7659">
        <v>0.05</v>
      </c>
      <c r="F1362" s="7563">
        <f t="shared" ref="F1362:F1386" si="122">D1362*E1362</f>
        <v>5000000</v>
      </c>
      <c r="G1362" s="6385"/>
      <c r="H1362" s="6385"/>
      <c r="I1362" s="6385" t="s">
        <v>7288</v>
      </c>
      <c r="J1362" s="6385">
        <f>G1362</f>
        <v>0</v>
      </c>
      <c r="K1362" s="6393">
        <f>F1362-J1362</f>
        <v>5000000</v>
      </c>
      <c r="L1362" s="6396"/>
      <c r="M1362" s="6484"/>
      <c r="N1362" s="6484"/>
      <c r="O1362" s="6484"/>
      <c r="P1362" s="386"/>
      <c r="Q1362" s="386"/>
    </row>
    <row r="1363" spans="1:17" s="1659" customFormat="1" ht="30" customHeight="1" x14ac:dyDescent="0.2">
      <c r="A1363" s="7705"/>
      <c r="B1363" s="7653"/>
      <c r="C1363" s="7724"/>
      <c r="D1363" s="7564"/>
      <c r="E1363" s="7660"/>
      <c r="F1363" s="7564"/>
      <c r="G1363" s="6385"/>
      <c r="H1363" s="6385"/>
      <c r="I1363" s="6385" t="s">
        <v>7725</v>
      </c>
      <c r="J1363" s="6385">
        <f>G1363</f>
        <v>0</v>
      </c>
      <c r="K1363" s="6393">
        <f>F1362-J1363</f>
        <v>5000000</v>
      </c>
      <c r="L1363" s="6396"/>
      <c r="M1363" s="6484"/>
      <c r="N1363" s="6484"/>
      <c r="O1363" s="6484"/>
      <c r="P1363" s="386"/>
      <c r="Q1363" s="386"/>
    </row>
    <row r="1364" spans="1:17" s="1659" customFormat="1" ht="30" customHeight="1" x14ac:dyDescent="0.2">
      <c r="A1364" s="6483"/>
      <c r="B1364" s="6431" t="s">
        <v>6470</v>
      </c>
      <c r="C1364" s="6472"/>
      <c r="D1364" s="6385">
        <v>25000000</v>
      </c>
      <c r="E1364" s="6471">
        <v>0.05</v>
      </c>
      <c r="F1364" s="6385">
        <f t="shared" si="122"/>
        <v>1250000</v>
      </c>
      <c r="G1364" s="6385"/>
      <c r="H1364" s="6385"/>
      <c r="I1364" s="6385"/>
      <c r="J1364" s="6385"/>
      <c r="K1364" s="6393"/>
      <c r="L1364" s="6396"/>
      <c r="M1364" s="6484"/>
      <c r="N1364" s="6484"/>
      <c r="O1364" s="6484"/>
      <c r="P1364" s="386"/>
      <c r="Q1364" s="386"/>
    </row>
    <row r="1365" spans="1:17" s="1659" customFormat="1" ht="30" customHeight="1" x14ac:dyDescent="0.2">
      <c r="A1365" s="7703"/>
      <c r="B1365" s="7652" t="s">
        <v>6507</v>
      </c>
      <c r="C1365" s="7723"/>
      <c r="D1365" s="7563">
        <v>100000000</v>
      </c>
      <c r="E1365" s="7659">
        <v>0.05</v>
      </c>
      <c r="F1365" s="7563">
        <f t="shared" si="122"/>
        <v>5000000</v>
      </c>
      <c r="G1365" s="6385"/>
      <c r="H1365" s="6385"/>
      <c r="I1365" s="6385" t="s">
        <v>7284</v>
      </c>
      <c r="J1365" s="6385">
        <f>G1365</f>
        <v>0</v>
      </c>
      <c r="K1365" s="6393">
        <f>F1365-J1365</f>
        <v>5000000</v>
      </c>
      <c r="L1365" s="6396"/>
      <c r="M1365" s="6484"/>
      <c r="N1365" s="6484"/>
      <c r="O1365" s="6484"/>
      <c r="P1365" s="386"/>
      <c r="Q1365" s="386"/>
    </row>
    <row r="1366" spans="1:17" s="1659" customFormat="1" ht="30" customHeight="1" x14ac:dyDescent="0.2">
      <c r="A1366" s="7705"/>
      <c r="B1366" s="7653"/>
      <c r="C1366" s="7724"/>
      <c r="D1366" s="7564"/>
      <c r="E1366" s="7660"/>
      <c r="F1366" s="7564"/>
      <c r="G1366" s="6385"/>
      <c r="H1366" s="6385"/>
      <c r="I1366" s="6385" t="s">
        <v>7775</v>
      </c>
      <c r="J1366" s="6385">
        <f>G1366</f>
        <v>0</v>
      </c>
      <c r="K1366" s="6393">
        <f>F1365-J1366</f>
        <v>5000000</v>
      </c>
      <c r="L1366" s="6396"/>
      <c r="M1366" s="6484"/>
      <c r="N1366" s="6484"/>
      <c r="O1366" s="6484"/>
      <c r="P1366" s="386"/>
      <c r="Q1366" s="386"/>
    </row>
    <row r="1367" spans="1:17" s="1659" customFormat="1" ht="30" customHeight="1" x14ac:dyDescent="0.2">
      <c r="A1367" s="6483"/>
      <c r="B1367" s="6431" t="s">
        <v>6524</v>
      </c>
      <c r="C1367" s="6472"/>
      <c r="D1367" s="6385">
        <v>200000000</v>
      </c>
      <c r="E1367" s="6471">
        <v>0.05</v>
      </c>
      <c r="F1367" s="6385">
        <f t="shared" si="122"/>
        <v>10000000</v>
      </c>
      <c r="G1367" s="6385"/>
      <c r="H1367" s="6385"/>
      <c r="I1367" s="6385" t="s">
        <v>7209</v>
      </c>
      <c r="J1367" s="6385">
        <f>G1367</f>
        <v>0</v>
      </c>
      <c r="K1367" s="6385">
        <f>F1367-J1367</f>
        <v>10000000</v>
      </c>
      <c r="L1367" s="6396"/>
      <c r="M1367" s="6484"/>
      <c r="N1367" s="6484"/>
      <c r="O1367" s="6484"/>
      <c r="P1367" s="386"/>
      <c r="Q1367" s="386"/>
    </row>
    <row r="1368" spans="1:17" s="1659" customFormat="1" ht="30" customHeight="1" x14ac:dyDescent="0.2">
      <c r="A1368" s="6429"/>
      <c r="B1368" s="6400" t="s">
        <v>6544</v>
      </c>
      <c r="C1368" s="6434"/>
      <c r="D1368" s="6393">
        <v>316000000</v>
      </c>
      <c r="E1368" s="6402">
        <v>7.0000000000000007E-2</v>
      </c>
      <c r="F1368" s="6393">
        <f t="shared" si="122"/>
        <v>22120000.000000004</v>
      </c>
      <c r="G1368" s="6385"/>
      <c r="H1368" s="6385"/>
      <c r="I1368" s="6385" t="s">
        <v>6545</v>
      </c>
      <c r="J1368" s="6385">
        <f>G1368</f>
        <v>0</v>
      </c>
      <c r="K1368" s="6393">
        <f>F1368-J1368</f>
        <v>22120000.000000004</v>
      </c>
      <c r="L1368" s="6396"/>
      <c r="M1368" s="6484"/>
      <c r="N1368" s="6484"/>
      <c r="O1368" s="6484"/>
      <c r="P1368" s="386"/>
      <c r="Q1368" s="386"/>
    </row>
    <row r="1369" spans="1:17" s="1659" customFormat="1" ht="30" customHeight="1" x14ac:dyDescent="0.2">
      <c r="A1369" s="6427"/>
      <c r="B1369" s="6431" t="s">
        <v>6548</v>
      </c>
      <c r="C1369" s="6472"/>
      <c r="D1369" s="6385">
        <v>40000000</v>
      </c>
      <c r="E1369" s="6471">
        <v>0.05</v>
      </c>
      <c r="F1369" s="6385">
        <f t="shared" si="122"/>
        <v>2000000</v>
      </c>
      <c r="G1369" s="6385"/>
      <c r="H1369" s="6385"/>
      <c r="I1369" s="6385"/>
      <c r="J1369" s="6385">
        <f>G1369</f>
        <v>0</v>
      </c>
      <c r="K1369" s="6385">
        <f>F1369-J1369</f>
        <v>2000000</v>
      </c>
      <c r="L1369" s="6396"/>
      <c r="M1369" s="6484"/>
      <c r="N1369" s="6484"/>
      <c r="O1369" s="6484"/>
      <c r="P1369" s="386"/>
      <c r="Q1369" s="386"/>
    </row>
    <row r="1370" spans="1:17" s="1659" customFormat="1" ht="30" customHeight="1" x14ac:dyDescent="0.2">
      <c r="A1370" s="6429"/>
      <c r="B1370" s="6430" t="s">
        <v>6550</v>
      </c>
      <c r="C1370" s="6456"/>
      <c r="D1370" s="6411">
        <v>60000000</v>
      </c>
      <c r="E1370" s="6421">
        <v>0.05</v>
      </c>
      <c r="F1370" s="6411">
        <f t="shared" si="122"/>
        <v>3000000</v>
      </c>
      <c r="G1370" s="6394"/>
      <c r="H1370" s="6394"/>
      <c r="I1370" s="6394"/>
      <c r="J1370" s="6394"/>
      <c r="K1370" s="6411"/>
      <c r="L1370" s="6559" t="s">
        <v>6551</v>
      </c>
      <c r="M1370" s="6484"/>
      <c r="N1370" s="6484"/>
      <c r="O1370" s="6484"/>
      <c r="P1370" s="386"/>
      <c r="Q1370" s="386"/>
    </row>
    <row r="1371" spans="1:17" s="1659" customFormat="1" ht="30" customHeight="1" x14ac:dyDescent="0.2">
      <c r="A1371" s="6429"/>
      <c r="B1371" s="6400" t="s">
        <v>6574</v>
      </c>
      <c r="C1371" s="6434" t="s">
        <v>1299</v>
      </c>
      <c r="D1371" s="6393">
        <v>50000000</v>
      </c>
      <c r="E1371" s="6402">
        <v>0.05</v>
      </c>
      <c r="F1371" s="6393">
        <f t="shared" si="122"/>
        <v>2500000</v>
      </c>
      <c r="G1371" s="6393"/>
      <c r="H1371" s="6393"/>
      <c r="I1371" s="6443" t="s">
        <v>6575</v>
      </c>
      <c r="J1371" s="6393">
        <f>G1371</f>
        <v>0</v>
      </c>
      <c r="K1371" s="6393">
        <f>F1371-J1371</f>
        <v>2500000</v>
      </c>
      <c r="L1371" s="6396" t="s">
        <v>6576</v>
      </c>
      <c r="M1371" s="6484"/>
      <c r="N1371" s="6484"/>
      <c r="O1371" s="6484"/>
      <c r="P1371" s="386"/>
      <c r="Q1371" s="386"/>
    </row>
    <row r="1372" spans="1:17" s="1659" customFormat="1" ht="30" customHeight="1" x14ac:dyDescent="0.2">
      <c r="A1372" s="6483"/>
      <c r="B1372" s="6431" t="s">
        <v>6585</v>
      </c>
      <c r="C1372" s="6472" t="s">
        <v>372</v>
      </c>
      <c r="D1372" s="6385">
        <v>20000000</v>
      </c>
      <c r="E1372" s="6471">
        <v>0.05</v>
      </c>
      <c r="F1372" s="6385">
        <f t="shared" si="122"/>
        <v>1000000</v>
      </c>
      <c r="G1372" s="6385"/>
      <c r="H1372" s="6385"/>
      <c r="I1372" s="6385" t="s">
        <v>2967</v>
      </c>
      <c r="J1372" s="6385">
        <f>G1372</f>
        <v>0</v>
      </c>
      <c r="K1372" s="6393">
        <f>F1372-J1372</f>
        <v>1000000</v>
      </c>
      <c r="L1372" s="6396" t="s">
        <v>6586</v>
      </c>
      <c r="M1372" s="6484"/>
      <c r="N1372" s="6484"/>
      <c r="O1372" s="6484"/>
      <c r="P1372" s="386"/>
      <c r="Q1372" s="386"/>
    </row>
    <row r="1373" spans="1:17" s="1659" customFormat="1" ht="30" customHeight="1" x14ac:dyDescent="0.2">
      <c r="A1373" s="7703"/>
      <c r="B1373" s="7652" t="s">
        <v>6587</v>
      </c>
      <c r="C1373" s="7723"/>
      <c r="D1373" s="6393">
        <v>44000000</v>
      </c>
      <c r="E1373" s="6402">
        <v>0.05</v>
      </c>
      <c r="F1373" s="6393">
        <f t="shared" si="122"/>
        <v>2200000</v>
      </c>
      <c r="G1373" s="6393"/>
      <c r="H1373" s="6393"/>
      <c r="I1373" s="6443"/>
      <c r="J1373" s="6393"/>
      <c r="K1373" s="6393"/>
      <c r="L1373" s="6396" t="s">
        <v>6588</v>
      </c>
      <c r="M1373" s="6484"/>
      <c r="N1373" s="6484"/>
      <c r="O1373" s="6484"/>
      <c r="P1373" s="386"/>
      <c r="Q1373" s="386"/>
    </row>
    <row r="1374" spans="1:17" s="1659" customFormat="1" ht="30" customHeight="1" x14ac:dyDescent="0.2">
      <c r="A1374" s="7704"/>
      <c r="B1374" s="7665"/>
      <c r="C1374" s="7747"/>
      <c r="D1374" s="7494" t="s">
        <v>7512</v>
      </c>
      <c r="E1374" s="7495"/>
      <c r="F1374" s="7768"/>
      <c r="G1374" s="6385"/>
      <c r="H1374" s="6385"/>
      <c r="I1374" s="6385" t="s">
        <v>815</v>
      </c>
      <c r="J1374" s="7563">
        <f>G1374+G1375+G1376</f>
        <v>0</v>
      </c>
      <c r="K1374" s="7563">
        <f>100000000-J1374</f>
        <v>100000000</v>
      </c>
      <c r="L1374" s="6396"/>
      <c r="M1374" s="6484"/>
      <c r="N1374" s="6484"/>
      <c r="O1374" s="6484"/>
      <c r="P1374" s="386"/>
      <c r="Q1374" s="386"/>
    </row>
    <row r="1375" spans="1:17" s="1659" customFormat="1" ht="30" customHeight="1" x14ac:dyDescent="0.2">
      <c r="A1375" s="7704"/>
      <c r="B1375" s="7665"/>
      <c r="C1375" s="7747"/>
      <c r="D1375" s="7877"/>
      <c r="E1375" s="7524"/>
      <c r="F1375" s="7878"/>
      <c r="G1375" s="6385"/>
      <c r="H1375" s="6385"/>
      <c r="I1375" s="6385" t="s">
        <v>815</v>
      </c>
      <c r="J1375" s="7586"/>
      <c r="K1375" s="7586"/>
      <c r="L1375" s="6396"/>
      <c r="M1375" s="6484"/>
      <c r="N1375" s="6484"/>
      <c r="O1375" s="6484"/>
      <c r="P1375" s="386"/>
      <c r="Q1375" s="386"/>
    </row>
    <row r="1376" spans="1:17" s="1659" customFormat="1" ht="30" customHeight="1" x14ac:dyDescent="0.2">
      <c r="A1376" s="7705"/>
      <c r="B1376" s="7653"/>
      <c r="C1376" s="7724"/>
      <c r="D1376" s="7769"/>
      <c r="E1376" s="7805"/>
      <c r="F1376" s="7770"/>
      <c r="G1376" s="6385"/>
      <c r="H1376" s="6385"/>
      <c r="I1376" s="6385" t="s">
        <v>815</v>
      </c>
      <c r="J1376" s="7564"/>
      <c r="K1376" s="7564"/>
      <c r="L1376" s="6396"/>
      <c r="M1376" s="6484"/>
      <c r="N1376" s="6484"/>
      <c r="O1376" s="6484"/>
      <c r="P1376" s="386"/>
      <c r="Q1376" s="386"/>
    </row>
    <row r="1377" spans="1:17" s="1659" customFormat="1" ht="30" customHeight="1" x14ac:dyDescent="0.2">
      <c r="A1377" s="7703"/>
      <c r="B1377" s="7652" t="s">
        <v>6550</v>
      </c>
      <c r="C1377" s="7723" t="s">
        <v>1652</v>
      </c>
      <c r="D1377" s="6393">
        <v>50000000</v>
      </c>
      <c r="E1377" s="6402">
        <v>0.05</v>
      </c>
      <c r="F1377" s="6393">
        <f t="shared" si="122"/>
        <v>2500000</v>
      </c>
      <c r="G1377" s="7991" t="s">
        <v>6590</v>
      </c>
      <c r="H1377" s="7992"/>
      <c r="I1377" s="7992"/>
      <c r="J1377" s="7993"/>
      <c r="K1377" s="6393"/>
      <c r="L1377" s="6396" t="s">
        <v>6592</v>
      </c>
      <c r="M1377" s="6484"/>
      <c r="N1377" s="6484"/>
      <c r="O1377" s="6484"/>
      <c r="P1377" s="386"/>
      <c r="Q1377" s="386"/>
    </row>
    <row r="1378" spans="1:17" s="1659" customFormat="1" ht="30" customHeight="1" x14ac:dyDescent="0.2">
      <c r="A1378" s="7704"/>
      <c r="B1378" s="7665"/>
      <c r="C1378" s="7747"/>
      <c r="D1378" s="6393">
        <v>10000000</v>
      </c>
      <c r="E1378" s="6402">
        <v>0.05</v>
      </c>
      <c r="F1378" s="6393">
        <f t="shared" si="122"/>
        <v>500000</v>
      </c>
      <c r="G1378" s="7997"/>
      <c r="H1378" s="7998"/>
      <c r="I1378" s="7998"/>
      <c r="J1378" s="7999"/>
      <c r="K1378" s="6393"/>
      <c r="L1378" s="6396" t="s">
        <v>6593</v>
      </c>
      <c r="M1378" s="6484"/>
      <c r="N1378" s="6484"/>
      <c r="O1378" s="6484"/>
      <c r="P1378" s="386"/>
      <c r="Q1378" s="386"/>
    </row>
    <row r="1379" spans="1:17" s="1659" customFormat="1" ht="30" customHeight="1" x14ac:dyDescent="0.2">
      <c r="A1379" s="7705"/>
      <c r="B1379" s="7653"/>
      <c r="C1379" s="7724"/>
      <c r="D1379" s="6393">
        <v>90000000</v>
      </c>
      <c r="E1379" s="6402">
        <v>0.05</v>
      </c>
      <c r="F1379" s="6393">
        <f t="shared" si="122"/>
        <v>4500000</v>
      </c>
      <c r="G1379" s="6385"/>
      <c r="H1379" s="6385"/>
      <c r="I1379" s="6385" t="s">
        <v>6901</v>
      </c>
      <c r="J1379" s="6385">
        <f>G1379</f>
        <v>0</v>
      </c>
      <c r="K1379" s="6393">
        <f>(F1377+F1378+F1379)-J1379</f>
        <v>7500000</v>
      </c>
      <c r="L1379" s="6396" t="s">
        <v>6591</v>
      </c>
      <c r="M1379" s="6484"/>
      <c r="N1379" s="6484"/>
      <c r="O1379" s="6484"/>
      <c r="P1379" s="386"/>
      <c r="Q1379" s="386"/>
    </row>
    <row r="1380" spans="1:17" s="1659" customFormat="1" ht="30" customHeight="1" x14ac:dyDescent="0.2">
      <c r="A1380" s="7703"/>
      <c r="B1380" s="7652" t="s">
        <v>6605</v>
      </c>
      <c r="C1380" s="7723" t="s">
        <v>3007</v>
      </c>
      <c r="D1380" s="7563">
        <v>40000000</v>
      </c>
      <c r="E1380" s="7659">
        <v>0.05</v>
      </c>
      <c r="F1380" s="7563">
        <f t="shared" si="122"/>
        <v>2000000</v>
      </c>
      <c r="G1380" s="7563"/>
      <c r="H1380" s="7846"/>
      <c r="I1380" s="7563" t="s">
        <v>7713</v>
      </c>
      <c r="J1380" s="7563">
        <f>G1380</f>
        <v>0</v>
      </c>
      <c r="K1380" s="7563">
        <f>(F1380+F1382)-J1380</f>
        <v>2150000</v>
      </c>
      <c r="L1380" s="6396" t="s">
        <v>6608</v>
      </c>
      <c r="M1380" s="6484"/>
      <c r="N1380" s="6484"/>
      <c r="O1380" s="6484"/>
      <c r="P1380" s="386"/>
      <c r="Q1380" s="386"/>
    </row>
    <row r="1381" spans="1:17" s="1659" customFormat="1" ht="30" customHeight="1" x14ac:dyDescent="0.2">
      <c r="A1381" s="7704"/>
      <c r="B1381" s="7665"/>
      <c r="C1381" s="7747"/>
      <c r="D1381" s="7564"/>
      <c r="E1381" s="7660"/>
      <c r="F1381" s="7564"/>
      <c r="G1381" s="7586"/>
      <c r="H1381" s="7847"/>
      <c r="I1381" s="7586"/>
      <c r="J1381" s="7586"/>
      <c r="K1381" s="7586"/>
      <c r="L1381" s="6396" t="s">
        <v>6609</v>
      </c>
      <c r="M1381" s="6484"/>
      <c r="N1381" s="6484"/>
      <c r="O1381" s="6484"/>
      <c r="P1381" s="386"/>
      <c r="Q1381" s="386"/>
    </row>
    <row r="1382" spans="1:17" s="1659" customFormat="1" ht="30" customHeight="1" x14ac:dyDescent="0.2">
      <c r="A1382" s="7705"/>
      <c r="B1382" s="7653"/>
      <c r="C1382" s="7724"/>
      <c r="D1382" s="6393">
        <v>3000000</v>
      </c>
      <c r="E1382" s="6402">
        <v>0.05</v>
      </c>
      <c r="F1382" s="6393">
        <f t="shared" si="122"/>
        <v>150000</v>
      </c>
      <c r="G1382" s="7564"/>
      <c r="H1382" s="7848"/>
      <c r="I1382" s="7564"/>
      <c r="J1382" s="7564"/>
      <c r="K1382" s="7564"/>
      <c r="L1382" s="6396" t="s">
        <v>7056</v>
      </c>
      <c r="M1382" s="6484"/>
      <c r="N1382" s="6484"/>
      <c r="O1382" s="6484"/>
      <c r="P1382" s="386"/>
      <c r="Q1382" s="386"/>
    </row>
    <row r="1383" spans="1:17" s="1659" customFormat="1" ht="30" customHeight="1" x14ac:dyDescent="0.2">
      <c r="A1383" s="6483"/>
      <c r="B1383" s="6431" t="s">
        <v>6617</v>
      </c>
      <c r="C1383" s="6472"/>
      <c r="D1383" s="6385">
        <v>200000000</v>
      </c>
      <c r="E1383" s="6471">
        <v>6.5000000000000002E-2</v>
      </c>
      <c r="F1383" s="6385">
        <f t="shared" si="122"/>
        <v>13000000</v>
      </c>
      <c r="G1383" s="6385"/>
      <c r="H1383" s="6385"/>
      <c r="I1383" s="6385" t="s">
        <v>7192</v>
      </c>
      <c r="J1383" s="6385">
        <f>G1383</f>
        <v>0</v>
      </c>
      <c r="K1383" s="6385">
        <f>F1383-J1383</f>
        <v>13000000</v>
      </c>
      <c r="L1383" s="6396" t="s">
        <v>6619</v>
      </c>
      <c r="M1383" s="6484"/>
      <c r="N1383" s="6484"/>
      <c r="O1383" s="6484"/>
      <c r="P1383" s="386"/>
      <c r="Q1383" s="386"/>
    </row>
    <row r="1384" spans="1:17" s="1659" customFormat="1" ht="30" customHeight="1" x14ac:dyDescent="0.2">
      <c r="A1384" s="7703"/>
      <c r="B1384" s="7652" t="s">
        <v>6618</v>
      </c>
      <c r="C1384" s="7723"/>
      <c r="D1384" s="7563">
        <v>100000000</v>
      </c>
      <c r="E1384" s="7659">
        <v>6.5000000000000002E-2</v>
      </c>
      <c r="F1384" s="7563">
        <f t="shared" si="122"/>
        <v>6500000</v>
      </c>
      <c r="G1384" s="6385"/>
      <c r="H1384" s="6385"/>
      <c r="I1384" s="6385" t="s">
        <v>7299</v>
      </c>
      <c r="J1384" s="6385">
        <f>G1384</f>
        <v>0</v>
      </c>
      <c r="K1384" s="6393">
        <f>F1384-J1384</f>
        <v>6500000</v>
      </c>
      <c r="L1384" s="6396" t="s">
        <v>6620</v>
      </c>
      <c r="M1384" s="6484"/>
      <c r="N1384" s="6484"/>
      <c r="O1384" s="6484"/>
      <c r="P1384" s="386"/>
      <c r="Q1384" s="386"/>
    </row>
    <row r="1385" spans="1:17" s="1659" customFormat="1" ht="30" customHeight="1" x14ac:dyDescent="0.2">
      <c r="A1385" s="7705"/>
      <c r="B1385" s="7653"/>
      <c r="C1385" s="7724"/>
      <c r="D1385" s="7564"/>
      <c r="E1385" s="7660"/>
      <c r="F1385" s="7564"/>
      <c r="G1385" s="6393"/>
      <c r="H1385" s="6393"/>
      <c r="I1385" s="6443" t="s">
        <v>7299</v>
      </c>
      <c r="J1385" s="6393">
        <f>G1385</f>
        <v>0</v>
      </c>
      <c r="K1385" s="6393">
        <f>F1384-J1385</f>
        <v>6500000</v>
      </c>
      <c r="L1385" s="6396"/>
      <c r="M1385" s="6484"/>
      <c r="N1385" s="6484"/>
      <c r="O1385" s="6484"/>
      <c r="P1385" s="386"/>
      <c r="Q1385" s="386"/>
    </row>
    <row r="1386" spans="1:17" s="1659" customFormat="1" ht="30" customHeight="1" x14ac:dyDescent="0.2">
      <c r="A1386" s="6429"/>
      <c r="B1386" s="6400" t="s">
        <v>6633</v>
      </c>
      <c r="C1386" s="6434" t="s">
        <v>1306</v>
      </c>
      <c r="D1386" s="6393">
        <v>10000000</v>
      </c>
      <c r="E1386" s="6402">
        <v>7.0000000000000007E-2</v>
      </c>
      <c r="F1386" s="6393">
        <f t="shared" si="122"/>
        <v>700000.00000000012</v>
      </c>
      <c r="G1386" s="6393"/>
      <c r="H1386" s="6393"/>
      <c r="I1386" s="6443" t="s">
        <v>6634</v>
      </c>
      <c r="J1386" s="6393">
        <f>G1386</f>
        <v>0</v>
      </c>
      <c r="K1386" s="6393">
        <f>F1386-J1386</f>
        <v>700000.00000000012</v>
      </c>
      <c r="L1386" s="6396" t="s">
        <v>7189</v>
      </c>
      <c r="M1386" s="6484"/>
      <c r="N1386" s="6484"/>
      <c r="O1386" s="6484"/>
      <c r="P1386" s="386"/>
      <c r="Q1386" s="386"/>
    </row>
    <row r="1387" spans="1:17" s="1659" customFormat="1" ht="30" customHeight="1" x14ac:dyDescent="0.2">
      <c r="A1387" s="6429"/>
      <c r="B1387" s="6400" t="s">
        <v>6650</v>
      </c>
      <c r="C1387" s="6434"/>
      <c r="D1387" s="6393"/>
      <c r="E1387" s="6402"/>
      <c r="F1387" s="6393"/>
      <c r="G1387" s="6385"/>
      <c r="H1387" s="6385"/>
      <c r="I1387" s="6385"/>
      <c r="J1387" s="6385"/>
      <c r="K1387" s="6393"/>
      <c r="L1387" s="6396" t="s">
        <v>6651</v>
      </c>
      <c r="M1387" s="6484"/>
      <c r="N1387" s="6484"/>
      <c r="O1387" s="6484"/>
      <c r="P1387" s="386"/>
      <c r="Q1387" s="386"/>
    </row>
    <row r="1388" spans="1:17" s="1659" customFormat="1" ht="30" customHeight="1" x14ac:dyDescent="0.2">
      <c r="A1388" s="7703"/>
      <c r="B1388" s="7652" t="s">
        <v>6658</v>
      </c>
      <c r="C1388" s="7723" t="s">
        <v>990</v>
      </c>
      <c r="D1388" s="7563">
        <v>65000000</v>
      </c>
      <c r="E1388" s="7659">
        <v>0.05</v>
      </c>
      <c r="F1388" s="7563">
        <f>D1388*E1388</f>
        <v>3250000</v>
      </c>
      <c r="G1388" s="6385"/>
      <c r="H1388" s="6385"/>
      <c r="I1388" s="6385" t="s">
        <v>6694</v>
      </c>
      <c r="J1388" s="6385">
        <f>G1388</f>
        <v>0</v>
      </c>
      <c r="K1388" s="6385">
        <f>F1388-J1388</f>
        <v>3250000</v>
      </c>
      <c r="L1388" s="6488"/>
      <c r="M1388" s="6484"/>
      <c r="N1388" s="6484"/>
      <c r="O1388" s="6484"/>
      <c r="P1388" s="386"/>
      <c r="Q1388" s="386"/>
    </row>
    <row r="1389" spans="1:17" s="1659" customFormat="1" ht="30" customHeight="1" x14ac:dyDescent="0.2">
      <c r="A1389" s="7705"/>
      <c r="B1389" s="7653"/>
      <c r="C1389" s="7724"/>
      <c r="D1389" s="7564"/>
      <c r="E1389" s="7660"/>
      <c r="F1389" s="7564"/>
      <c r="G1389" s="6385"/>
      <c r="H1389" s="6385"/>
      <c r="I1389" s="6385" t="s">
        <v>7745</v>
      </c>
      <c r="J1389" s="6385">
        <f>G1389</f>
        <v>0</v>
      </c>
      <c r="K1389" s="6385">
        <f>F1388-J1389</f>
        <v>3250000</v>
      </c>
      <c r="L1389" s="6488"/>
      <c r="M1389" s="6484"/>
      <c r="N1389" s="6484"/>
      <c r="O1389" s="6484"/>
      <c r="P1389" s="386"/>
      <c r="Q1389" s="386"/>
    </row>
    <row r="1390" spans="1:17" s="1659" customFormat="1" ht="30" customHeight="1" x14ac:dyDescent="0.2">
      <c r="A1390" s="7703"/>
      <c r="B1390" s="7652" t="s">
        <v>6678</v>
      </c>
      <c r="C1390" s="7723"/>
      <c r="D1390" s="7563">
        <v>45000000</v>
      </c>
      <c r="E1390" s="7659">
        <v>0.05</v>
      </c>
      <c r="F1390" s="7563">
        <f>D1390*E1390</f>
        <v>2250000</v>
      </c>
      <c r="G1390" s="7732" t="s">
        <v>6682</v>
      </c>
      <c r="H1390" s="7733"/>
      <c r="I1390" s="7733"/>
      <c r="J1390" s="7734"/>
      <c r="K1390" s="6385"/>
      <c r="L1390" s="6488" t="s">
        <v>6679</v>
      </c>
      <c r="M1390" s="6484"/>
      <c r="N1390" s="6484"/>
      <c r="O1390" s="6484"/>
      <c r="P1390" s="386"/>
      <c r="Q1390" s="386"/>
    </row>
    <row r="1391" spans="1:17" s="1659" customFormat="1" ht="30" customHeight="1" x14ac:dyDescent="0.2">
      <c r="A1391" s="7704"/>
      <c r="B1391" s="7665"/>
      <c r="C1391" s="7747"/>
      <c r="D1391" s="7586"/>
      <c r="E1391" s="7676"/>
      <c r="F1391" s="7586"/>
      <c r="G1391" s="6385"/>
      <c r="H1391" s="6385"/>
      <c r="I1391" s="6385" t="s">
        <v>6775</v>
      </c>
      <c r="J1391" s="6385">
        <f>G1391</f>
        <v>0</v>
      </c>
      <c r="K1391" s="6385">
        <f>14500000-J1391</f>
        <v>14500000</v>
      </c>
      <c r="L1391" s="6488" t="s">
        <v>6680</v>
      </c>
      <c r="M1391" s="6484"/>
      <c r="N1391" s="6484"/>
      <c r="O1391" s="6484"/>
      <c r="P1391" s="386"/>
      <c r="Q1391" s="386"/>
    </row>
    <row r="1392" spans="1:17" s="1659" customFormat="1" ht="30" customHeight="1" x14ac:dyDescent="0.2">
      <c r="A1392" s="7705"/>
      <c r="B1392" s="7653"/>
      <c r="C1392" s="7724"/>
      <c r="D1392" s="7564"/>
      <c r="E1392" s="7660"/>
      <c r="F1392" s="7564"/>
      <c r="G1392" s="6488"/>
      <c r="H1392" s="6488"/>
      <c r="I1392" s="6488"/>
      <c r="J1392" s="6488"/>
      <c r="K1392" s="6385"/>
      <c r="L1392" s="6488" t="s">
        <v>6681</v>
      </c>
      <c r="M1392" s="6484"/>
      <c r="N1392" s="6484"/>
      <c r="O1392" s="6484"/>
      <c r="P1392" s="386"/>
      <c r="Q1392" s="386"/>
    </row>
    <row r="1393" spans="1:17" s="1659" customFormat="1" ht="30" customHeight="1" x14ac:dyDescent="0.2">
      <c r="A1393" s="7703"/>
      <c r="B1393" s="7652" t="s">
        <v>6684</v>
      </c>
      <c r="C1393" s="7723"/>
      <c r="D1393" s="7563">
        <v>100000000</v>
      </c>
      <c r="E1393" s="7659">
        <v>7.0000000000000007E-2</v>
      </c>
      <c r="F1393" s="7563">
        <f>D1393*E1393</f>
        <v>7000000.0000000009</v>
      </c>
      <c r="G1393" s="6385"/>
      <c r="H1393" s="6385"/>
      <c r="I1393" s="6385" t="s">
        <v>2409</v>
      </c>
      <c r="J1393" s="6385">
        <f>G1393</f>
        <v>0</v>
      </c>
      <c r="K1393" s="6385">
        <f>F1393-J1393</f>
        <v>7000000.0000000009</v>
      </c>
      <c r="L1393" s="6396"/>
      <c r="M1393" s="6484"/>
      <c r="N1393" s="6484"/>
      <c r="O1393" s="6484"/>
      <c r="P1393" s="386"/>
      <c r="Q1393" s="386"/>
    </row>
    <row r="1394" spans="1:17" s="1659" customFormat="1" ht="30" customHeight="1" x14ac:dyDescent="0.2">
      <c r="A1394" s="7705"/>
      <c r="B1394" s="7653"/>
      <c r="C1394" s="7724"/>
      <c r="D1394" s="7564"/>
      <c r="E1394" s="7660"/>
      <c r="F1394" s="7564"/>
      <c r="G1394" s="6385"/>
      <c r="H1394" s="6385"/>
      <c r="I1394" s="6385" t="s">
        <v>2409</v>
      </c>
      <c r="J1394" s="6385">
        <f>G1394</f>
        <v>0</v>
      </c>
      <c r="K1394" s="6391">
        <f>F1393-J1394</f>
        <v>7000000.0000000009</v>
      </c>
      <c r="L1394" s="6509"/>
      <c r="M1394" s="6484"/>
      <c r="N1394" s="6484"/>
      <c r="O1394" s="6484"/>
      <c r="P1394" s="386"/>
      <c r="Q1394" s="386"/>
    </row>
    <row r="1395" spans="1:17" s="1659" customFormat="1" ht="30" customHeight="1" x14ac:dyDescent="0.2">
      <c r="A1395" s="7703"/>
      <c r="B1395" s="7652" t="s">
        <v>6710</v>
      </c>
      <c r="C1395" s="7723" t="s">
        <v>1138</v>
      </c>
      <c r="D1395" s="7563">
        <v>100000000</v>
      </c>
      <c r="E1395" s="7659">
        <v>0.05</v>
      </c>
      <c r="F1395" s="7563">
        <f>D1395*E1395</f>
        <v>5000000</v>
      </c>
      <c r="G1395" s="7991" t="s">
        <v>6712</v>
      </c>
      <c r="H1395" s="7992"/>
      <c r="I1395" s="7992"/>
      <c r="J1395" s="7993"/>
      <c r="K1395" s="7563"/>
      <c r="L1395" s="6395" t="s">
        <v>6711</v>
      </c>
      <c r="M1395" s="6484"/>
      <c r="N1395" s="6484"/>
      <c r="O1395" s="6484"/>
      <c r="P1395" s="386"/>
      <c r="Q1395" s="386"/>
    </row>
    <row r="1396" spans="1:17" s="1659" customFormat="1" ht="30" customHeight="1" x14ac:dyDescent="0.2">
      <c r="A1396" s="7704"/>
      <c r="B1396" s="7665"/>
      <c r="C1396" s="7747"/>
      <c r="D1396" s="7586"/>
      <c r="E1396" s="7676"/>
      <c r="F1396" s="7586"/>
      <c r="G1396" s="7997"/>
      <c r="H1396" s="7998"/>
      <c r="I1396" s="7998"/>
      <c r="J1396" s="7999"/>
      <c r="K1396" s="7564"/>
      <c r="L1396" s="6396" t="s">
        <v>6719</v>
      </c>
      <c r="M1396" s="6484"/>
      <c r="N1396" s="6484"/>
      <c r="O1396" s="6484"/>
      <c r="P1396" s="386"/>
      <c r="Q1396" s="386"/>
    </row>
    <row r="1397" spans="1:17" s="1659" customFormat="1" ht="30" customHeight="1" x14ac:dyDescent="0.2">
      <c r="A1397" s="7704"/>
      <c r="B1397" s="7665"/>
      <c r="C1397" s="7747"/>
      <c r="D1397" s="7586"/>
      <c r="E1397" s="7676"/>
      <c r="F1397" s="7586"/>
      <c r="G1397" s="7732" t="s">
        <v>7153</v>
      </c>
      <c r="H1397" s="7733"/>
      <c r="I1397" s="7733"/>
      <c r="J1397" s="7734"/>
      <c r="K1397" s="6393"/>
      <c r="L1397" s="6509"/>
      <c r="M1397" s="6484"/>
      <c r="N1397" s="6484"/>
      <c r="O1397" s="6484"/>
      <c r="P1397" s="386"/>
      <c r="Q1397" s="386"/>
    </row>
    <row r="1398" spans="1:17" s="1659" customFormat="1" ht="30" customHeight="1" x14ac:dyDescent="0.2">
      <c r="A1398" s="7705"/>
      <c r="B1398" s="7653"/>
      <c r="C1398" s="7724"/>
      <c r="D1398" s="7564"/>
      <c r="E1398" s="7660"/>
      <c r="F1398" s="7564"/>
      <c r="G1398" s="6564">
        <v>5000000</v>
      </c>
      <c r="H1398" s="6564" t="s">
        <v>7821</v>
      </c>
      <c r="I1398" s="6564" t="s">
        <v>7822</v>
      </c>
      <c r="J1398" s="6564">
        <f>G1398</f>
        <v>5000000</v>
      </c>
      <c r="K1398" s="6565">
        <f>F1395-J1398</f>
        <v>0</v>
      </c>
      <c r="L1398" s="6582"/>
      <c r="M1398" s="6580"/>
      <c r="N1398" s="6580"/>
      <c r="O1398" s="6580"/>
      <c r="P1398" s="386"/>
      <c r="Q1398" s="386"/>
    </row>
    <row r="1399" spans="1:17" s="1659" customFormat="1" ht="30" customHeight="1" x14ac:dyDescent="0.2">
      <c r="A1399" s="6483"/>
      <c r="B1399" s="6431" t="s">
        <v>6728</v>
      </c>
      <c r="C1399" s="6472"/>
      <c r="D1399" s="6385">
        <v>10000000</v>
      </c>
      <c r="E1399" s="6471">
        <v>0.05</v>
      </c>
      <c r="F1399" s="6385">
        <f>D1399*E1399</f>
        <v>500000</v>
      </c>
      <c r="G1399" s="6385"/>
      <c r="H1399" s="6385"/>
      <c r="I1399" s="6385" t="s">
        <v>7649</v>
      </c>
      <c r="J1399" s="6385">
        <f>G1399</f>
        <v>0</v>
      </c>
      <c r="K1399" s="6385">
        <f>F1399-J1399</f>
        <v>500000</v>
      </c>
      <c r="L1399" s="6395" t="s">
        <v>7084</v>
      </c>
      <c r="M1399" s="6484"/>
      <c r="N1399" s="6484"/>
      <c r="O1399" s="6484"/>
      <c r="P1399" s="386"/>
      <c r="Q1399" s="386"/>
    </row>
    <row r="1400" spans="1:17" s="1659" customFormat="1" ht="30" customHeight="1" x14ac:dyDescent="0.2">
      <c r="A1400" s="7703"/>
      <c r="B1400" s="7652" t="s">
        <v>6743</v>
      </c>
      <c r="C1400" s="7723" t="s">
        <v>6745</v>
      </c>
      <c r="D1400" s="7563">
        <v>35000000</v>
      </c>
      <c r="E1400" s="7659">
        <v>5.7000000000000002E-2</v>
      </c>
      <c r="F1400" s="7563">
        <v>2000000</v>
      </c>
      <c r="G1400" s="6385"/>
      <c r="H1400" s="6385"/>
      <c r="I1400" s="6385" t="s">
        <v>815</v>
      </c>
      <c r="J1400" s="6385">
        <f>G1400</f>
        <v>0</v>
      </c>
      <c r="K1400" s="6385">
        <f>F1400-J1400</f>
        <v>2000000</v>
      </c>
      <c r="L1400" s="6395"/>
      <c r="M1400" s="6484"/>
      <c r="N1400" s="6484"/>
      <c r="O1400" s="6484"/>
      <c r="P1400" s="386"/>
      <c r="Q1400" s="386"/>
    </row>
    <row r="1401" spans="1:17" s="1659" customFormat="1" ht="30" customHeight="1" x14ac:dyDescent="0.2">
      <c r="A1401" s="7705"/>
      <c r="B1401" s="7653"/>
      <c r="C1401" s="7724"/>
      <c r="D1401" s="7564"/>
      <c r="E1401" s="7660"/>
      <c r="F1401" s="7564"/>
      <c r="G1401" s="7732" t="s">
        <v>7804</v>
      </c>
      <c r="H1401" s="7733"/>
      <c r="I1401" s="7733"/>
      <c r="J1401" s="7734"/>
      <c r="K1401" s="6385"/>
      <c r="L1401" s="6395"/>
      <c r="M1401" s="6484"/>
      <c r="N1401" s="6484"/>
      <c r="O1401" s="6484"/>
      <c r="P1401" s="386"/>
      <c r="Q1401" s="386"/>
    </row>
    <row r="1402" spans="1:17" s="1659" customFormat="1" ht="30" customHeight="1" x14ac:dyDescent="0.2">
      <c r="A1402" s="7703"/>
      <c r="B1402" s="7652" t="s">
        <v>6746</v>
      </c>
      <c r="C1402" s="7723"/>
      <c r="D1402" s="7563">
        <v>40000000</v>
      </c>
      <c r="E1402" s="7659">
        <v>5.5E-2</v>
      </c>
      <c r="F1402" s="7563">
        <f>D1402*E1402</f>
        <v>2200000</v>
      </c>
      <c r="G1402" s="6385"/>
      <c r="H1402" s="6385"/>
      <c r="I1402" s="6385" t="s">
        <v>7307</v>
      </c>
      <c r="J1402" s="6385">
        <f>G1402</f>
        <v>0</v>
      </c>
      <c r="K1402" s="6385">
        <f>F1402-J1402</f>
        <v>2200000</v>
      </c>
      <c r="L1402" s="6488"/>
      <c r="M1402" s="6484"/>
      <c r="N1402" s="6484"/>
      <c r="O1402" s="6484"/>
      <c r="P1402" s="386"/>
      <c r="Q1402" s="386"/>
    </row>
    <row r="1403" spans="1:17" s="1659" customFormat="1" ht="30" customHeight="1" x14ac:dyDescent="0.2">
      <c r="A1403" s="7705"/>
      <c r="B1403" s="7653"/>
      <c r="C1403" s="7724"/>
      <c r="D1403" s="7564"/>
      <c r="E1403" s="7660"/>
      <c r="F1403" s="7564"/>
      <c r="G1403" s="6385"/>
      <c r="H1403" s="6385"/>
      <c r="I1403" s="6385" t="s">
        <v>7307</v>
      </c>
      <c r="J1403" s="6385">
        <f>G1403</f>
        <v>0</v>
      </c>
      <c r="K1403" s="6385">
        <f>F1402-J1403</f>
        <v>2200000</v>
      </c>
      <c r="L1403" s="6488"/>
      <c r="M1403" s="6484"/>
      <c r="N1403" s="6484"/>
      <c r="O1403" s="6484"/>
      <c r="P1403" s="386"/>
      <c r="Q1403" s="386"/>
    </row>
    <row r="1404" spans="1:17" s="1659" customFormat="1" ht="30" customHeight="1" x14ac:dyDescent="0.2">
      <c r="A1404" s="7703"/>
      <c r="B1404" s="7652" t="s">
        <v>6803</v>
      </c>
      <c r="C1404" s="7723" t="s">
        <v>1718</v>
      </c>
      <c r="D1404" s="7563">
        <v>40000000</v>
      </c>
      <c r="E1404" s="7659">
        <v>0.05</v>
      </c>
      <c r="F1404" s="7563">
        <f>D1404*E1404</f>
        <v>2000000</v>
      </c>
      <c r="G1404" s="7732" t="s">
        <v>6804</v>
      </c>
      <c r="H1404" s="7733"/>
      <c r="I1404" s="7733"/>
      <c r="J1404" s="7734"/>
      <c r="K1404" s="6385"/>
      <c r="L1404" s="6395" t="s">
        <v>6806</v>
      </c>
      <c r="M1404" s="6484"/>
      <c r="N1404" s="6484"/>
      <c r="O1404" s="6484"/>
      <c r="P1404" s="386"/>
      <c r="Q1404" s="386"/>
    </row>
    <row r="1405" spans="1:17" s="1659" customFormat="1" ht="30" customHeight="1" x14ac:dyDescent="0.2">
      <c r="A1405" s="7705"/>
      <c r="B1405" s="7653"/>
      <c r="C1405" s="7724"/>
      <c r="D1405" s="7564"/>
      <c r="E1405" s="7660"/>
      <c r="F1405" s="7564"/>
      <c r="G1405" s="6385"/>
      <c r="H1405" s="6385"/>
      <c r="I1405" s="6385" t="s">
        <v>7529</v>
      </c>
      <c r="J1405" s="6385">
        <f>G1405</f>
        <v>0</v>
      </c>
      <c r="K1405" s="6385">
        <f>F1404-J1405</f>
        <v>2000000</v>
      </c>
      <c r="L1405" s="6395"/>
      <c r="M1405" s="6484"/>
      <c r="N1405" s="6484"/>
      <c r="O1405" s="6484"/>
      <c r="P1405" s="386"/>
      <c r="Q1405" s="386"/>
    </row>
    <row r="1406" spans="1:17" s="1659" customFormat="1" ht="30" customHeight="1" x14ac:dyDescent="0.2">
      <c r="A1406" s="7703"/>
      <c r="B1406" s="7652" t="s">
        <v>7538</v>
      </c>
      <c r="C1406" s="7723"/>
      <c r="D1406" s="7563">
        <v>100000000</v>
      </c>
      <c r="E1406" s="7659">
        <v>0.05</v>
      </c>
      <c r="F1406" s="7563">
        <f>D1406*E1406</f>
        <v>5000000</v>
      </c>
      <c r="G1406" s="7732" t="s">
        <v>6837</v>
      </c>
      <c r="H1406" s="7733"/>
      <c r="I1406" s="7733"/>
      <c r="J1406" s="7734"/>
      <c r="K1406" s="6385"/>
      <c r="L1406" s="6395" t="s">
        <v>6827</v>
      </c>
      <c r="M1406" s="6484"/>
      <c r="N1406" s="6484"/>
      <c r="O1406" s="6484"/>
      <c r="P1406" s="386"/>
      <c r="Q1406" s="386"/>
    </row>
    <row r="1407" spans="1:17" s="1659" customFormat="1" ht="30" customHeight="1" x14ac:dyDescent="0.2">
      <c r="A1407" s="7705"/>
      <c r="B1407" s="7653"/>
      <c r="C1407" s="7724"/>
      <c r="D1407" s="7564"/>
      <c r="E1407" s="7660"/>
      <c r="F1407" s="7564"/>
      <c r="G1407" s="6385"/>
      <c r="H1407" s="6385"/>
      <c r="I1407" s="6385" t="s">
        <v>7539</v>
      </c>
      <c r="J1407" s="6385">
        <f>G1407</f>
        <v>0</v>
      </c>
      <c r="K1407" s="6385">
        <f>F1406-J1407</f>
        <v>5000000</v>
      </c>
      <c r="L1407" s="6395"/>
      <c r="M1407" s="6484"/>
      <c r="N1407" s="6484"/>
      <c r="O1407" s="6484"/>
      <c r="P1407" s="386"/>
      <c r="Q1407" s="386"/>
    </row>
    <row r="1408" spans="1:17" s="1659" customFormat="1" ht="30" customHeight="1" x14ac:dyDescent="0.2">
      <c r="A1408" s="7703"/>
      <c r="B1408" s="7652" t="s">
        <v>6834</v>
      </c>
      <c r="C1408" s="7723"/>
      <c r="D1408" s="7563">
        <v>200000000</v>
      </c>
      <c r="E1408" s="7659">
        <v>0.05</v>
      </c>
      <c r="F1408" s="7563">
        <f>D1408*E1408</f>
        <v>10000000</v>
      </c>
      <c r="G1408" s="7732" t="s">
        <v>6870</v>
      </c>
      <c r="H1408" s="7733"/>
      <c r="I1408" s="7733"/>
      <c r="J1408" s="7734"/>
      <c r="K1408" s="6385"/>
      <c r="L1408" s="6395" t="s">
        <v>6835</v>
      </c>
      <c r="M1408" s="6484"/>
      <c r="N1408" s="6484"/>
      <c r="O1408" s="6484"/>
      <c r="P1408" s="386"/>
      <c r="Q1408" s="386"/>
    </row>
    <row r="1409" spans="1:17" s="1659" customFormat="1" ht="30" customHeight="1" x14ac:dyDescent="0.2">
      <c r="A1409" s="7705"/>
      <c r="B1409" s="7653"/>
      <c r="C1409" s="7724"/>
      <c r="D1409" s="7564"/>
      <c r="E1409" s="7660"/>
      <c r="F1409" s="7564"/>
      <c r="G1409" s="6385"/>
      <c r="H1409" s="6385"/>
      <c r="I1409" s="6385" t="s">
        <v>3062</v>
      </c>
      <c r="J1409" s="6385">
        <f>G1409</f>
        <v>0</v>
      </c>
      <c r="K1409" s="6385">
        <f>F1408-J1409</f>
        <v>10000000</v>
      </c>
      <c r="L1409" s="6395"/>
      <c r="M1409" s="6484"/>
      <c r="N1409" s="6484"/>
      <c r="O1409" s="6484"/>
      <c r="P1409" s="386"/>
      <c r="Q1409" s="386"/>
    </row>
    <row r="1410" spans="1:17" s="1659" customFormat="1" ht="30" customHeight="1" x14ac:dyDescent="0.2">
      <c r="A1410" s="7703"/>
      <c r="B1410" s="7652" t="s">
        <v>6848</v>
      </c>
      <c r="C1410" s="7723" t="s">
        <v>889</v>
      </c>
      <c r="D1410" s="7563">
        <v>50000000</v>
      </c>
      <c r="E1410" s="7659">
        <v>0.05</v>
      </c>
      <c r="F1410" s="7563">
        <f>D1410*E1410</f>
        <v>2500000</v>
      </c>
      <c r="G1410" s="7732" t="s">
        <v>6849</v>
      </c>
      <c r="H1410" s="7733"/>
      <c r="I1410" s="7733"/>
      <c r="J1410" s="7734"/>
      <c r="K1410" s="6385"/>
      <c r="L1410" s="6395" t="s">
        <v>6880</v>
      </c>
      <c r="M1410" s="6484"/>
      <c r="N1410" s="6484"/>
      <c r="O1410" s="6484"/>
      <c r="P1410" s="386"/>
      <c r="Q1410" s="386"/>
    </row>
    <row r="1411" spans="1:17" s="1659" customFormat="1" ht="30" customHeight="1" x14ac:dyDescent="0.2">
      <c r="A1411" s="7705"/>
      <c r="B1411" s="7653"/>
      <c r="C1411" s="7724"/>
      <c r="D1411" s="7564"/>
      <c r="E1411" s="7660"/>
      <c r="F1411" s="7564"/>
      <c r="G1411" s="6385">
        <v>2500000</v>
      </c>
      <c r="H1411" s="6385" t="s">
        <v>7845</v>
      </c>
      <c r="I1411" s="6385" t="s">
        <v>7435</v>
      </c>
      <c r="J1411" s="6385">
        <f>G1411</f>
        <v>2500000</v>
      </c>
      <c r="K1411" s="6385">
        <f>F1410-J1411</f>
        <v>0</v>
      </c>
      <c r="L1411" s="6395"/>
      <c r="M1411" s="6484"/>
      <c r="N1411" s="6484"/>
      <c r="O1411" s="6484"/>
      <c r="P1411" s="386"/>
      <c r="Q1411" s="386"/>
    </row>
    <row r="1412" spans="1:17" s="1659" customFormat="1" ht="30" customHeight="1" x14ac:dyDescent="0.2">
      <c r="A1412" s="6007"/>
      <c r="B1412" s="6431" t="s">
        <v>6871</v>
      </c>
      <c r="C1412" s="6472"/>
      <c r="D1412" s="6385">
        <v>20000000</v>
      </c>
      <c r="E1412" s="6471">
        <v>0.05</v>
      </c>
      <c r="F1412" s="6385">
        <f>D1412*E1412</f>
        <v>1000000</v>
      </c>
      <c r="G1412" s="7732" t="s">
        <v>6890</v>
      </c>
      <c r="H1412" s="7733"/>
      <c r="I1412" s="7733"/>
      <c r="J1412" s="7734"/>
      <c r="K1412" s="6385"/>
      <c r="L1412" s="6395" t="s">
        <v>6877</v>
      </c>
      <c r="M1412" s="6484"/>
      <c r="N1412" s="6484"/>
      <c r="O1412" s="6484"/>
      <c r="P1412" s="386"/>
      <c r="Q1412" s="386"/>
    </row>
    <row r="1413" spans="1:17" s="1659" customFormat="1" ht="30" customHeight="1" x14ac:dyDescent="0.2">
      <c r="A1413" s="6532"/>
      <c r="B1413" s="6399" t="s">
        <v>7498</v>
      </c>
      <c r="C1413" s="6433"/>
      <c r="D1413" s="6385"/>
      <c r="E1413" s="6471"/>
      <c r="F1413" s="6385"/>
      <c r="G1413" s="6385"/>
      <c r="H1413" s="6385"/>
      <c r="I1413" s="6385" t="s">
        <v>7499</v>
      </c>
      <c r="J1413" s="6385">
        <f>G1413</f>
        <v>0</v>
      </c>
      <c r="K1413" s="6385"/>
      <c r="L1413" s="6395"/>
      <c r="M1413" s="6484"/>
      <c r="N1413" s="6484"/>
      <c r="O1413" s="6484"/>
      <c r="P1413" s="386"/>
      <c r="Q1413" s="386"/>
    </row>
    <row r="1414" spans="1:17" s="1659" customFormat="1" ht="30" customHeight="1" x14ac:dyDescent="0.2">
      <c r="A1414" s="7703"/>
      <c r="B1414" s="7652" t="s">
        <v>6873</v>
      </c>
      <c r="C1414" s="7723"/>
      <c r="D1414" s="7563">
        <v>30000000</v>
      </c>
      <c r="E1414" s="7659">
        <v>0.05</v>
      </c>
      <c r="F1414" s="7563">
        <f>D1414*E1414</f>
        <v>1500000</v>
      </c>
      <c r="G1414" s="7732" t="s">
        <v>7038</v>
      </c>
      <c r="H1414" s="7733"/>
      <c r="I1414" s="7733"/>
      <c r="J1414" s="7734"/>
      <c r="K1414" s="6385"/>
      <c r="L1414" s="6395" t="s">
        <v>6874</v>
      </c>
      <c r="M1414" s="6484"/>
      <c r="N1414" s="6484"/>
      <c r="O1414" s="6484"/>
      <c r="P1414" s="386"/>
      <c r="Q1414" s="386"/>
    </row>
    <row r="1415" spans="1:17" s="1659" customFormat="1" ht="30" customHeight="1" x14ac:dyDescent="0.2">
      <c r="A1415" s="7705"/>
      <c r="B1415" s="7653"/>
      <c r="C1415" s="7724"/>
      <c r="D1415" s="7564"/>
      <c r="E1415" s="7660"/>
      <c r="F1415" s="7564"/>
      <c r="G1415" s="6385"/>
      <c r="H1415" s="6385"/>
      <c r="I1415" s="6385" t="s">
        <v>7449</v>
      </c>
      <c r="J1415" s="6385">
        <f>G1415</f>
        <v>0</v>
      </c>
      <c r="K1415" s="6385">
        <f>F1414-J1415</f>
        <v>1500000</v>
      </c>
      <c r="L1415" s="6395"/>
      <c r="M1415" s="6484"/>
      <c r="N1415" s="6484"/>
      <c r="O1415" s="6484"/>
      <c r="P1415" s="386"/>
      <c r="Q1415" s="386"/>
    </row>
    <row r="1416" spans="1:17" s="1659" customFormat="1" ht="30" customHeight="1" x14ac:dyDescent="0.2">
      <c r="A1416" s="6483"/>
      <c r="B1416" s="6431" t="s">
        <v>6912</v>
      </c>
      <c r="C1416" s="6472"/>
      <c r="D1416" s="6385">
        <v>400000000</v>
      </c>
      <c r="E1416" s="6471"/>
      <c r="F1416" s="6385"/>
      <c r="G1416" s="6422"/>
      <c r="H1416" s="6423"/>
      <c r="I1416" s="6423"/>
      <c r="J1416" s="6424"/>
      <c r="K1416" s="6385"/>
      <c r="L1416" s="6395" t="s">
        <v>6911</v>
      </c>
      <c r="M1416" s="6484"/>
      <c r="N1416" s="6484"/>
      <c r="O1416" s="6484"/>
      <c r="P1416" s="386"/>
      <c r="Q1416" s="386"/>
    </row>
    <row r="1417" spans="1:17" s="1659" customFormat="1" ht="30" customHeight="1" x14ac:dyDescent="0.2">
      <c r="A1417" s="6483"/>
      <c r="B1417" s="6431" t="s">
        <v>6914</v>
      </c>
      <c r="C1417" s="6472"/>
      <c r="D1417" s="6394"/>
      <c r="E1417" s="2519"/>
      <c r="F1417" s="6394"/>
      <c r="G1417" s="6385"/>
      <c r="H1417" s="6385"/>
      <c r="I1417" s="6385" t="s">
        <v>6915</v>
      </c>
      <c r="J1417" s="6385">
        <f>G1417</f>
        <v>0</v>
      </c>
      <c r="K1417" s="6385"/>
      <c r="L1417" s="6395"/>
      <c r="M1417" s="6484"/>
      <c r="N1417" s="6484"/>
      <c r="O1417" s="6484"/>
      <c r="P1417" s="386"/>
      <c r="Q1417" s="386"/>
    </row>
    <row r="1418" spans="1:17" s="1659" customFormat="1" ht="30" customHeight="1" x14ac:dyDescent="0.2">
      <c r="A1418" s="7703"/>
      <c r="B1418" s="7652" t="s">
        <v>6943</v>
      </c>
      <c r="C1418" s="7723"/>
      <c r="D1418" s="7563">
        <v>900000000</v>
      </c>
      <c r="E1418" s="7659">
        <v>7.0000000000000007E-2</v>
      </c>
      <c r="F1418" s="7846">
        <f>D1418*E1418</f>
        <v>63000000.000000007</v>
      </c>
      <c r="G1418" s="7732" t="s">
        <v>7556</v>
      </c>
      <c r="H1418" s="7733"/>
      <c r="I1418" s="7733"/>
      <c r="J1418" s="7734"/>
      <c r="K1418" s="6385"/>
      <c r="L1418" s="6395" t="s">
        <v>6978</v>
      </c>
      <c r="M1418" s="6484"/>
      <c r="N1418" s="6484"/>
      <c r="O1418" s="6484"/>
      <c r="P1418" s="386"/>
      <c r="Q1418" s="386"/>
    </row>
    <row r="1419" spans="1:17" s="1659" customFormat="1" ht="30" customHeight="1" x14ac:dyDescent="0.2">
      <c r="A1419" s="7704"/>
      <c r="B1419" s="7665"/>
      <c r="C1419" s="7747"/>
      <c r="D1419" s="7586"/>
      <c r="E1419" s="7676"/>
      <c r="F1419" s="7847"/>
      <c r="G1419" s="6385">
        <v>7000000</v>
      </c>
      <c r="H1419" s="6385" t="s">
        <v>7864</v>
      </c>
      <c r="I1419" s="6385" t="s">
        <v>7557</v>
      </c>
      <c r="J1419" s="7563">
        <f>G1419+G1420+G1421</f>
        <v>7000000</v>
      </c>
      <c r="K1419" s="7563">
        <f>F1418-J1419</f>
        <v>56000000.000000007</v>
      </c>
      <c r="L1419" s="7563"/>
      <c r="M1419" s="6484"/>
      <c r="N1419" s="6484"/>
      <c r="O1419" s="6484"/>
      <c r="P1419" s="386"/>
      <c r="Q1419" s="386"/>
    </row>
    <row r="1420" spans="1:17" s="1659" customFormat="1" ht="30" customHeight="1" x14ac:dyDescent="0.2">
      <c r="A1420" s="7704"/>
      <c r="B1420" s="7665"/>
      <c r="C1420" s="7747"/>
      <c r="D1420" s="7586"/>
      <c r="E1420" s="7676"/>
      <c r="F1420" s="7847"/>
      <c r="G1420" s="6385"/>
      <c r="H1420" s="6385"/>
      <c r="I1420" s="6385" t="s">
        <v>7526</v>
      </c>
      <c r="J1420" s="7586"/>
      <c r="K1420" s="7586"/>
      <c r="L1420" s="7586"/>
      <c r="M1420" s="6484"/>
      <c r="N1420" s="6484"/>
      <c r="O1420" s="6484"/>
      <c r="P1420" s="386"/>
      <c r="Q1420" s="386"/>
    </row>
    <row r="1421" spans="1:17" s="1659" customFormat="1" ht="30" customHeight="1" x14ac:dyDescent="0.2">
      <c r="A1421" s="7705"/>
      <c r="B1421" s="7653"/>
      <c r="C1421" s="7724"/>
      <c r="D1421" s="7564"/>
      <c r="E1421" s="7660"/>
      <c r="F1421" s="7848"/>
      <c r="G1421" s="6391"/>
      <c r="H1421" s="6391"/>
      <c r="I1421" s="6385" t="s">
        <v>7557</v>
      </c>
      <c r="J1421" s="7564"/>
      <c r="K1421" s="7564"/>
      <c r="L1421" s="7564"/>
      <c r="M1421" s="6484"/>
      <c r="N1421" s="6484"/>
      <c r="O1421" s="6484"/>
      <c r="P1421" s="386"/>
      <c r="Q1421" s="386"/>
    </row>
    <row r="1422" spans="1:17" s="1659" customFormat="1" ht="30" customHeight="1" x14ac:dyDescent="0.2">
      <c r="A1422" s="7703"/>
      <c r="B1422" s="7652" t="s">
        <v>6944</v>
      </c>
      <c r="C1422" s="7723"/>
      <c r="D1422" s="6385">
        <v>14000000</v>
      </c>
      <c r="E1422" s="6471">
        <v>7.0000000000000007E-2</v>
      </c>
      <c r="F1422" s="6385">
        <f>D1422*E1422</f>
        <v>980000.00000000012</v>
      </c>
      <c r="G1422" s="7563"/>
      <c r="H1422" s="7563"/>
      <c r="I1422" s="7563" t="s">
        <v>7446</v>
      </c>
      <c r="J1422" s="7563">
        <f>G1422</f>
        <v>0</v>
      </c>
      <c r="K1422" s="7563">
        <f>(F1422+F1423)-J1422</f>
        <v>2030000</v>
      </c>
      <c r="L1422" s="6395" t="s">
        <v>6945</v>
      </c>
      <c r="M1422" s="6484"/>
      <c r="N1422" s="6484"/>
      <c r="O1422" s="6484"/>
      <c r="P1422" s="386"/>
      <c r="Q1422" s="386"/>
    </row>
    <row r="1423" spans="1:17" s="1659" customFormat="1" ht="30" customHeight="1" x14ac:dyDescent="0.2">
      <c r="A1423" s="7705"/>
      <c r="B1423" s="7653"/>
      <c r="C1423" s="7724"/>
      <c r="D1423" s="6385">
        <v>21000000</v>
      </c>
      <c r="E1423" s="6471">
        <v>0.05</v>
      </c>
      <c r="F1423" s="6385">
        <f>D1423*E1423</f>
        <v>1050000</v>
      </c>
      <c r="G1423" s="7564"/>
      <c r="H1423" s="7564"/>
      <c r="I1423" s="7564"/>
      <c r="J1423" s="7564"/>
      <c r="K1423" s="7564"/>
      <c r="L1423" s="6396" t="s">
        <v>6946</v>
      </c>
      <c r="M1423" s="6484"/>
      <c r="N1423" s="6484"/>
      <c r="O1423" s="6484"/>
      <c r="P1423" s="386"/>
      <c r="Q1423" s="386"/>
    </row>
    <row r="1424" spans="1:17" s="1659" customFormat="1" ht="30" customHeight="1" x14ac:dyDescent="0.2">
      <c r="A1424" s="6483"/>
      <c r="B1424" s="6431" t="s">
        <v>7808</v>
      </c>
      <c r="C1424" s="6472" t="s">
        <v>1172</v>
      </c>
      <c r="D1424" s="6385">
        <v>10000000</v>
      </c>
      <c r="E1424" s="6471">
        <v>0.05</v>
      </c>
      <c r="F1424" s="6385">
        <f>D1424*E1424</f>
        <v>500000</v>
      </c>
      <c r="G1424" s="6385"/>
      <c r="H1424" s="6385"/>
      <c r="I1424" s="6385" t="s">
        <v>7809</v>
      </c>
      <c r="J1424" s="6385">
        <f>G1424</f>
        <v>0</v>
      </c>
      <c r="K1424" s="6385">
        <f>F1424-J1424</f>
        <v>500000</v>
      </c>
      <c r="L1424" s="6395" t="s">
        <v>6948</v>
      </c>
      <c r="M1424" s="6484"/>
      <c r="N1424" s="6484"/>
      <c r="O1424" s="6484"/>
      <c r="P1424" s="386"/>
      <c r="Q1424" s="386"/>
    </row>
    <row r="1425" spans="1:17" s="1659" customFormat="1" ht="30" customHeight="1" x14ac:dyDescent="0.2">
      <c r="A1425" s="6483"/>
      <c r="B1425" s="6431" t="s">
        <v>6949</v>
      </c>
      <c r="C1425" s="6472" t="s">
        <v>1172</v>
      </c>
      <c r="D1425" s="6385">
        <v>7500000</v>
      </c>
      <c r="E1425" s="6471">
        <v>0.05</v>
      </c>
      <c r="F1425" s="6385">
        <f>D1425*E1425</f>
        <v>375000</v>
      </c>
      <c r="G1425" s="6385"/>
      <c r="H1425" s="6385"/>
      <c r="I1425" s="6385" t="s">
        <v>7552</v>
      </c>
      <c r="J1425" s="6385">
        <f>G1425</f>
        <v>0</v>
      </c>
      <c r="K1425" s="6385">
        <f>F1425-J1425</f>
        <v>375000</v>
      </c>
      <c r="L1425" s="6395" t="s">
        <v>6950</v>
      </c>
      <c r="M1425" s="6484"/>
      <c r="N1425" s="6484"/>
      <c r="O1425" s="6484"/>
      <c r="P1425" s="386"/>
      <c r="Q1425" s="386"/>
    </row>
    <row r="1426" spans="1:17" s="1659" customFormat="1" ht="30" customHeight="1" x14ac:dyDescent="0.2">
      <c r="A1426" s="7703"/>
      <c r="B1426" s="7652" t="s">
        <v>6951</v>
      </c>
      <c r="C1426" s="7723"/>
      <c r="D1426" s="7563">
        <v>45000000</v>
      </c>
      <c r="E1426" s="7659">
        <v>0.05</v>
      </c>
      <c r="F1426" s="7563">
        <f>D1426*E1426</f>
        <v>2250000</v>
      </c>
      <c r="G1426" s="7732" t="s">
        <v>6952</v>
      </c>
      <c r="H1426" s="7733"/>
      <c r="I1426" s="7733"/>
      <c r="J1426" s="7734"/>
      <c r="K1426" s="6385"/>
      <c r="L1426" s="6395" t="s">
        <v>6961</v>
      </c>
      <c r="M1426" s="6484"/>
      <c r="N1426" s="6484"/>
      <c r="O1426" s="6484"/>
      <c r="P1426" s="386"/>
      <c r="Q1426" s="386"/>
    </row>
    <row r="1427" spans="1:17" s="1659" customFormat="1" ht="30" customHeight="1" x14ac:dyDescent="0.2">
      <c r="A1427" s="7704"/>
      <c r="B1427" s="7665"/>
      <c r="C1427" s="7747"/>
      <c r="D1427" s="7586"/>
      <c r="E1427" s="7676"/>
      <c r="F1427" s="7586"/>
      <c r="G1427" s="7732" t="s">
        <v>6963</v>
      </c>
      <c r="H1427" s="7733"/>
      <c r="I1427" s="7733"/>
      <c r="J1427" s="7734"/>
      <c r="K1427" s="6385"/>
      <c r="L1427" s="6395"/>
      <c r="M1427" s="6484"/>
      <c r="N1427" s="6484"/>
      <c r="O1427" s="6484"/>
      <c r="P1427" s="386"/>
      <c r="Q1427" s="386"/>
    </row>
    <row r="1428" spans="1:17" s="1659" customFormat="1" ht="30" customHeight="1" x14ac:dyDescent="0.2">
      <c r="A1428" s="7705"/>
      <c r="B1428" s="7653"/>
      <c r="C1428" s="7724"/>
      <c r="D1428" s="7564"/>
      <c r="E1428" s="7660"/>
      <c r="F1428" s="7564"/>
      <c r="G1428" s="6385"/>
      <c r="H1428" s="6385"/>
      <c r="I1428" s="6385" t="s">
        <v>7553</v>
      </c>
      <c r="J1428" s="6385">
        <f>G1428</f>
        <v>0</v>
      </c>
      <c r="K1428" s="6385">
        <f>F1426-J1428</f>
        <v>2250000</v>
      </c>
      <c r="L1428" s="6395"/>
      <c r="M1428" s="6484"/>
      <c r="N1428" s="6484"/>
      <c r="O1428" s="6484"/>
      <c r="P1428" s="386"/>
      <c r="Q1428" s="386"/>
    </row>
    <row r="1429" spans="1:17" s="1659" customFormat="1" ht="30" customHeight="1" x14ac:dyDescent="0.2">
      <c r="A1429" s="7703"/>
      <c r="B1429" s="7652" t="s">
        <v>4489</v>
      </c>
      <c r="C1429" s="7723" t="s">
        <v>1306</v>
      </c>
      <c r="D1429" s="7563">
        <v>480000000</v>
      </c>
      <c r="E1429" s="7659">
        <f>F1429/D1429</f>
        <v>7.2916666666666671E-2</v>
      </c>
      <c r="F1429" s="7563">
        <v>35000000</v>
      </c>
      <c r="G1429" s="7732" t="s">
        <v>6962</v>
      </c>
      <c r="H1429" s="7733"/>
      <c r="I1429" s="7733"/>
      <c r="J1429" s="7734"/>
      <c r="K1429" s="6385"/>
      <c r="L1429" s="6395" t="s">
        <v>6960</v>
      </c>
      <c r="M1429" s="6484"/>
      <c r="N1429" s="6484"/>
      <c r="O1429" s="6484"/>
      <c r="P1429" s="386"/>
      <c r="Q1429" s="386"/>
    </row>
    <row r="1430" spans="1:17" s="1659" customFormat="1" ht="30" customHeight="1" x14ac:dyDescent="0.2">
      <c r="A1430" s="7705"/>
      <c r="B1430" s="7653"/>
      <c r="C1430" s="7724"/>
      <c r="D1430" s="7564"/>
      <c r="E1430" s="7660"/>
      <c r="F1430" s="7564"/>
      <c r="G1430" s="6385"/>
      <c r="H1430" s="6385"/>
      <c r="I1430" s="6385" t="s">
        <v>3729</v>
      </c>
      <c r="J1430" s="6385">
        <f>G1430</f>
        <v>0</v>
      </c>
      <c r="K1430" s="6385">
        <f>F1429-J1430</f>
        <v>35000000</v>
      </c>
      <c r="L1430" s="6395"/>
      <c r="M1430" s="6484"/>
      <c r="N1430" s="6484"/>
      <c r="O1430" s="6484"/>
      <c r="P1430" s="386"/>
      <c r="Q1430" s="386"/>
    </row>
    <row r="1431" spans="1:17" s="1659" customFormat="1" ht="30" customHeight="1" x14ac:dyDescent="0.2">
      <c r="A1431" s="6483"/>
      <c r="B1431" s="5364" t="s">
        <v>6977</v>
      </c>
      <c r="C1431" s="5365"/>
      <c r="D1431" s="5366">
        <v>160000000</v>
      </c>
      <c r="E1431" s="5367">
        <v>0.06</v>
      </c>
      <c r="F1431" s="5366">
        <f>D1431*E1431</f>
        <v>9600000</v>
      </c>
      <c r="G1431" s="7732" t="s">
        <v>6993</v>
      </c>
      <c r="H1431" s="7733"/>
      <c r="I1431" s="7733"/>
      <c r="J1431" s="7734"/>
      <c r="K1431" s="6385"/>
      <c r="L1431" s="6395" t="s">
        <v>6979</v>
      </c>
      <c r="M1431" s="6484"/>
      <c r="N1431" s="6484"/>
      <c r="O1431" s="6484"/>
      <c r="P1431" s="386"/>
      <c r="Q1431" s="386"/>
    </row>
    <row r="1432" spans="1:17" s="1659" customFormat="1" ht="30" customHeight="1" x14ac:dyDescent="0.2">
      <c r="A1432" s="7703"/>
      <c r="B1432" s="7669" t="s">
        <v>6980</v>
      </c>
      <c r="C1432" s="5365"/>
      <c r="D1432" s="5366">
        <v>80000000</v>
      </c>
      <c r="E1432" s="5367">
        <v>0.06</v>
      </c>
      <c r="F1432" s="5366">
        <f>D1432*E1432</f>
        <v>4800000</v>
      </c>
      <c r="G1432" s="7732" t="s">
        <v>6994</v>
      </c>
      <c r="H1432" s="7733"/>
      <c r="I1432" s="7733"/>
      <c r="J1432" s="7734"/>
      <c r="K1432" s="6385"/>
      <c r="L1432" s="6395" t="s">
        <v>6981</v>
      </c>
      <c r="M1432" s="6484"/>
      <c r="N1432" s="6484"/>
      <c r="O1432" s="6484"/>
      <c r="P1432" s="386"/>
      <c r="Q1432" s="386"/>
    </row>
    <row r="1433" spans="1:17" s="1659" customFormat="1" ht="30" customHeight="1" x14ac:dyDescent="0.2">
      <c r="A1433" s="7704"/>
      <c r="B1433" s="8472"/>
      <c r="C1433" s="8478"/>
      <c r="D1433" s="8481">
        <v>500000000</v>
      </c>
      <c r="E1433" s="8484">
        <v>0.06</v>
      </c>
      <c r="F1433" s="8481">
        <f>D1433*E1433</f>
        <v>30000000</v>
      </c>
      <c r="G1433" s="7732" t="s">
        <v>6984</v>
      </c>
      <c r="H1433" s="7733"/>
      <c r="I1433" s="7733"/>
      <c r="J1433" s="7734"/>
      <c r="K1433" s="6385"/>
      <c r="L1433" s="7674" t="s">
        <v>6983</v>
      </c>
      <c r="M1433" s="6484"/>
      <c r="N1433" s="6484"/>
      <c r="O1433" s="6484"/>
      <c r="P1433" s="386"/>
      <c r="Q1433" s="386"/>
    </row>
    <row r="1434" spans="1:17" s="1659" customFormat="1" ht="30" customHeight="1" x14ac:dyDescent="0.2">
      <c r="A1434" s="7704"/>
      <c r="B1434" s="8472"/>
      <c r="C1434" s="8479"/>
      <c r="D1434" s="8482"/>
      <c r="E1434" s="8485"/>
      <c r="F1434" s="8482"/>
      <c r="G1434" s="7732" t="s">
        <v>6985</v>
      </c>
      <c r="H1434" s="7733"/>
      <c r="I1434" s="7733"/>
      <c r="J1434" s="7734"/>
      <c r="K1434" s="6385"/>
      <c r="L1434" s="8186"/>
      <c r="M1434" s="6484"/>
      <c r="N1434" s="6484"/>
      <c r="O1434" s="6484"/>
      <c r="P1434" s="386"/>
      <c r="Q1434" s="386"/>
    </row>
    <row r="1435" spans="1:17" s="1659" customFormat="1" ht="30" customHeight="1" x14ac:dyDescent="0.2">
      <c r="A1435" s="7705"/>
      <c r="B1435" s="7670"/>
      <c r="C1435" s="8480"/>
      <c r="D1435" s="8483"/>
      <c r="E1435" s="8486"/>
      <c r="F1435" s="8483"/>
      <c r="G1435" s="7732" t="s">
        <v>6986</v>
      </c>
      <c r="H1435" s="7733"/>
      <c r="I1435" s="7733"/>
      <c r="J1435" s="7734"/>
      <c r="K1435" s="6385"/>
      <c r="L1435" s="7675"/>
      <c r="M1435" s="6484"/>
      <c r="N1435" s="6484"/>
      <c r="O1435" s="6484"/>
      <c r="P1435" s="386"/>
      <c r="Q1435" s="386"/>
    </row>
    <row r="1436" spans="1:17" s="1659" customFormat="1" ht="30" customHeight="1" x14ac:dyDescent="0.2">
      <c r="A1436" s="7703"/>
      <c r="B1436" s="7669" t="s">
        <v>6971</v>
      </c>
      <c r="C1436" s="8478"/>
      <c r="D1436" s="8481">
        <v>800000000</v>
      </c>
      <c r="E1436" s="8484">
        <v>0.06</v>
      </c>
      <c r="F1436" s="8481">
        <f>D1436*E1436</f>
        <v>48000000</v>
      </c>
      <c r="G1436" s="7732" t="s">
        <v>6986</v>
      </c>
      <c r="H1436" s="7733"/>
      <c r="I1436" s="7733"/>
      <c r="J1436" s="7734"/>
      <c r="K1436" s="6385"/>
      <c r="L1436" s="7674" t="s">
        <v>6982</v>
      </c>
      <c r="M1436" s="6484"/>
      <c r="N1436" s="6484"/>
      <c r="O1436" s="6484"/>
      <c r="P1436" s="386"/>
      <c r="Q1436" s="386"/>
    </row>
    <row r="1437" spans="1:17" s="1659" customFormat="1" ht="30" customHeight="1" x14ac:dyDescent="0.2">
      <c r="A1437" s="7704"/>
      <c r="B1437" s="8472"/>
      <c r="C1437" s="8479"/>
      <c r="D1437" s="8482"/>
      <c r="E1437" s="8485"/>
      <c r="F1437" s="8482"/>
      <c r="G1437" s="7732" t="s">
        <v>6987</v>
      </c>
      <c r="H1437" s="7733"/>
      <c r="I1437" s="7733"/>
      <c r="J1437" s="7734"/>
      <c r="K1437" s="6385"/>
      <c r="L1437" s="8186"/>
      <c r="M1437" s="6484"/>
      <c r="N1437" s="6484"/>
      <c r="O1437" s="6484"/>
      <c r="P1437" s="386"/>
      <c r="Q1437" s="386"/>
    </row>
    <row r="1438" spans="1:17" s="1659" customFormat="1" ht="30" customHeight="1" x14ac:dyDescent="0.2">
      <c r="A1438" s="7704"/>
      <c r="B1438" s="8472"/>
      <c r="C1438" s="8479"/>
      <c r="D1438" s="8483"/>
      <c r="E1438" s="8486"/>
      <c r="F1438" s="8483"/>
      <c r="G1438" s="7732" t="s">
        <v>6988</v>
      </c>
      <c r="H1438" s="7733"/>
      <c r="I1438" s="7733"/>
      <c r="J1438" s="7734"/>
      <c r="K1438" s="6385"/>
      <c r="L1438" s="7675"/>
      <c r="M1438" s="6484"/>
      <c r="N1438" s="6484"/>
      <c r="O1438" s="6484"/>
      <c r="P1438" s="386"/>
      <c r="Q1438" s="386"/>
    </row>
    <row r="1439" spans="1:17" s="1659" customFormat="1" ht="30" customHeight="1" x14ac:dyDescent="0.2">
      <c r="A1439" s="7705"/>
      <c r="B1439" s="7670"/>
      <c r="C1439" s="8480"/>
      <c r="D1439" s="6544">
        <v>200000000</v>
      </c>
      <c r="E1439" s="6545">
        <v>0.06</v>
      </c>
      <c r="F1439" s="6544">
        <f>D1439*E1439</f>
        <v>12000000</v>
      </c>
      <c r="G1439" s="7732" t="s">
        <v>6992</v>
      </c>
      <c r="H1439" s="7733"/>
      <c r="I1439" s="7733"/>
      <c r="J1439" s="7734"/>
      <c r="K1439" s="6385"/>
      <c r="L1439" s="6509" t="s">
        <v>6998</v>
      </c>
      <c r="M1439" s="6484"/>
      <c r="N1439" s="6484"/>
      <c r="O1439" s="6484"/>
      <c r="P1439" s="386"/>
      <c r="Q1439" s="386"/>
    </row>
    <row r="1440" spans="1:17" s="1659" customFormat="1" ht="30" customHeight="1" x14ac:dyDescent="0.2">
      <c r="A1440" s="6483"/>
      <c r="B1440" s="5364" t="s">
        <v>6989</v>
      </c>
      <c r="C1440" s="5365"/>
      <c r="D1440" s="5366">
        <v>300000000</v>
      </c>
      <c r="E1440" s="5367">
        <v>0.06</v>
      </c>
      <c r="F1440" s="5366">
        <f>D1440*E1440</f>
        <v>18000000</v>
      </c>
      <c r="G1440" s="7732" t="s">
        <v>6991</v>
      </c>
      <c r="H1440" s="7733"/>
      <c r="I1440" s="7733"/>
      <c r="J1440" s="7734"/>
      <c r="K1440" s="6385"/>
      <c r="L1440" s="6395" t="s">
        <v>6990</v>
      </c>
      <c r="M1440" s="6484"/>
      <c r="N1440" s="6484"/>
      <c r="O1440" s="6484"/>
      <c r="P1440" s="386"/>
      <c r="Q1440" s="386"/>
    </row>
    <row r="1441" spans="1:17" s="1659" customFormat="1" ht="30" customHeight="1" x14ac:dyDescent="0.2">
      <c r="A1441" s="6483"/>
      <c r="B1441" s="6431" t="s">
        <v>139</v>
      </c>
      <c r="C1441" s="6472"/>
      <c r="D1441" s="6385">
        <v>100000000</v>
      </c>
      <c r="E1441" s="6471">
        <v>7.0000000000000007E-2</v>
      </c>
      <c r="F1441" s="6385">
        <f>D1441*E1441</f>
        <v>7000000.0000000009</v>
      </c>
      <c r="G1441" s="6385"/>
      <c r="H1441" s="6385"/>
      <c r="I1441" s="6385" t="s">
        <v>447</v>
      </c>
      <c r="J1441" s="6385">
        <f>G1441</f>
        <v>0</v>
      </c>
      <c r="K1441" s="6385">
        <f>F1441-J1441</f>
        <v>7000000.0000000009</v>
      </c>
      <c r="L1441" s="6395" t="s">
        <v>7001</v>
      </c>
      <c r="M1441" s="6484"/>
      <c r="N1441" s="6484"/>
      <c r="O1441" s="6484"/>
      <c r="P1441" s="386"/>
      <c r="Q1441" s="386"/>
    </row>
    <row r="1442" spans="1:17" s="1659" customFormat="1" ht="30" customHeight="1" x14ac:dyDescent="0.2">
      <c r="A1442" s="7703"/>
      <c r="B1442" s="7652" t="s">
        <v>7731</v>
      </c>
      <c r="C1442" s="7723"/>
      <c r="D1442" s="7563">
        <v>70000000</v>
      </c>
      <c r="E1442" s="7659"/>
      <c r="F1442" s="7563"/>
      <c r="G1442" s="7732" t="s">
        <v>7129</v>
      </c>
      <c r="H1442" s="7733"/>
      <c r="I1442" s="7733"/>
      <c r="J1442" s="7734"/>
      <c r="K1442" s="6385"/>
      <c r="L1442" s="6395" t="s">
        <v>7026</v>
      </c>
      <c r="M1442" s="6484"/>
      <c r="N1442" s="6484"/>
      <c r="O1442" s="6484"/>
      <c r="P1442" s="386"/>
      <c r="Q1442" s="386"/>
    </row>
    <row r="1443" spans="1:17" s="1659" customFormat="1" ht="30" customHeight="1" x14ac:dyDescent="0.2">
      <c r="A1443" s="7704"/>
      <c r="B1443" s="7665"/>
      <c r="C1443" s="7747"/>
      <c r="D1443" s="7586"/>
      <c r="E1443" s="7676"/>
      <c r="F1443" s="7586"/>
      <c r="G1443" s="7732" t="s">
        <v>7130</v>
      </c>
      <c r="H1443" s="7733"/>
      <c r="I1443" s="7733"/>
      <c r="J1443" s="7734"/>
      <c r="K1443" s="6385"/>
      <c r="L1443" s="6395"/>
      <c r="M1443" s="6484"/>
      <c r="N1443" s="6484"/>
      <c r="O1443" s="6484"/>
      <c r="P1443" s="386"/>
      <c r="Q1443" s="386"/>
    </row>
    <row r="1444" spans="1:17" s="1659" customFormat="1" ht="30" customHeight="1" x14ac:dyDescent="0.2">
      <c r="A1444" s="7705"/>
      <c r="B1444" s="7653"/>
      <c r="C1444" s="7724"/>
      <c r="D1444" s="7564"/>
      <c r="E1444" s="7660"/>
      <c r="F1444" s="7564"/>
      <c r="G1444" s="7732" t="s">
        <v>7131</v>
      </c>
      <c r="H1444" s="7733"/>
      <c r="I1444" s="7733"/>
      <c r="J1444" s="7734"/>
      <c r="K1444" s="6385"/>
      <c r="L1444" s="6395"/>
      <c r="M1444" s="6484"/>
      <c r="N1444" s="6484"/>
      <c r="O1444" s="6484"/>
      <c r="P1444" s="386"/>
      <c r="Q1444" s="386"/>
    </row>
    <row r="1445" spans="1:17" s="1659" customFormat="1" ht="30" customHeight="1" x14ac:dyDescent="0.2">
      <c r="A1445" s="7703"/>
      <c r="B1445" s="7652" t="s">
        <v>7030</v>
      </c>
      <c r="C1445" s="7723"/>
      <c r="D1445" s="7482">
        <v>15000000</v>
      </c>
      <c r="E1445" s="7870">
        <v>0.05</v>
      </c>
      <c r="F1445" s="7482">
        <f>D1445*E1445</f>
        <v>750000</v>
      </c>
      <c r="G1445" s="7732" t="s">
        <v>7032</v>
      </c>
      <c r="H1445" s="7733"/>
      <c r="I1445" s="7733"/>
      <c r="J1445" s="7734"/>
      <c r="K1445" s="6385"/>
      <c r="L1445" s="7674" t="s">
        <v>7031</v>
      </c>
      <c r="M1445" s="6484"/>
      <c r="N1445" s="6484"/>
      <c r="O1445" s="6484"/>
      <c r="P1445" s="386"/>
      <c r="Q1445" s="386"/>
    </row>
    <row r="1446" spans="1:17" s="1659" customFormat="1" ht="30" customHeight="1" x14ac:dyDescent="0.2">
      <c r="A1446" s="7704"/>
      <c r="B1446" s="7665"/>
      <c r="C1446" s="7747"/>
      <c r="D1446" s="7482"/>
      <c r="E1446" s="7870"/>
      <c r="F1446" s="7482"/>
      <c r="G1446" s="7732" t="s">
        <v>7033</v>
      </c>
      <c r="H1446" s="7733"/>
      <c r="I1446" s="7733"/>
      <c r="J1446" s="7734"/>
      <c r="K1446" s="6385"/>
      <c r="L1446" s="7675"/>
      <c r="M1446" s="6484"/>
      <c r="N1446" s="6484"/>
      <c r="O1446" s="6484"/>
      <c r="P1446" s="386"/>
      <c r="Q1446" s="386"/>
    </row>
    <row r="1447" spans="1:17" s="1659" customFormat="1" ht="30" customHeight="1" x14ac:dyDescent="0.2">
      <c r="A1447" s="7705"/>
      <c r="B1447" s="7653"/>
      <c r="C1447" s="7724"/>
      <c r="D1447" s="7482"/>
      <c r="E1447" s="7870"/>
      <c r="F1447" s="7482"/>
      <c r="G1447" s="6385"/>
      <c r="H1447" s="6385"/>
      <c r="I1447" s="6385" t="s">
        <v>7629</v>
      </c>
      <c r="J1447" s="6385">
        <f>G1447</f>
        <v>0</v>
      </c>
      <c r="K1447" s="6385">
        <f>F1445-J1447</f>
        <v>750000</v>
      </c>
      <c r="L1447" s="6396"/>
      <c r="M1447" s="6484"/>
      <c r="N1447" s="6484"/>
      <c r="O1447" s="6484"/>
      <c r="P1447" s="386"/>
      <c r="Q1447" s="386"/>
    </row>
    <row r="1448" spans="1:17" s="1659" customFormat="1" ht="30" customHeight="1" x14ac:dyDescent="0.2">
      <c r="A1448" s="7703"/>
      <c r="B1448" s="7652" t="s">
        <v>3073</v>
      </c>
      <c r="C1448" s="7723"/>
      <c r="D1448" s="7494" t="s">
        <v>7103</v>
      </c>
      <c r="E1448" s="7495"/>
      <c r="F1448" s="7768"/>
      <c r="G1448" s="6394"/>
      <c r="H1448" s="6394"/>
      <c r="I1448" s="6394" t="s">
        <v>7062</v>
      </c>
      <c r="J1448" s="6394">
        <f>G1448</f>
        <v>0</v>
      </c>
      <c r="K1448" s="6385"/>
      <c r="L1448" s="6396" t="s">
        <v>7063</v>
      </c>
      <c r="M1448" s="6484"/>
      <c r="N1448" s="6484"/>
      <c r="O1448" s="6484"/>
      <c r="P1448" s="386"/>
      <c r="Q1448" s="386"/>
    </row>
    <row r="1449" spans="1:17" s="1659" customFormat="1" ht="30" customHeight="1" x14ac:dyDescent="0.2">
      <c r="A1449" s="7705"/>
      <c r="B1449" s="7653"/>
      <c r="C1449" s="7724"/>
      <c r="D1449" s="7769"/>
      <c r="E1449" s="7805"/>
      <c r="F1449" s="7770"/>
      <c r="G1449" s="6385"/>
      <c r="H1449" s="6385"/>
      <c r="I1449" s="6385" t="s">
        <v>7062</v>
      </c>
      <c r="J1449" s="6385">
        <f>G1449</f>
        <v>0</v>
      </c>
      <c r="K1449" s="6385"/>
      <c r="L1449" s="6396"/>
      <c r="M1449" s="6484"/>
      <c r="N1449" s="6484"/>
      <c r="O1449" s="6484"/>
      <c r="P1449" s="386"/>
      <c r="Q1449" s="386"/>
    </row>
    <row r="1450" spans="1:17" s="1659" customFormat="1" ht="30" customHeight="1" x14ac:dyDescent="0.2">
      <c r="A1450" s="6429"/>
      <c r="B1450" s="6400" t="s">
        <v>7110</v>
      </c>
      <c r="C1450" s="6434"/>
      <c r="D1450" s="7470" t="s">
        <v>7109</v>
      </c>
      <c r="E1450" s="7493"/>
      <c r="F1450" s="7510"/>
      <c r="G1450" s="6385"/>
      <c r="H1450" s="6385"/>
      <c r="I1450" s="6385"/>
      <c r="J1450" s="6385"/>
      <c r="K1450" s="6385"/>
      <c r="L1450" s="6396"/>
      <c r="M1450" s="6484"/>
      <c r="N1450" s="6484"/>
      <c r="O1450" s="6484"/>
      <c r="P1450" s="386"/>
      <c r="Q1450" s="386"/>
    </row>
    <row r="1451" spans="1:17" s="1659" customFormat="1" ht="30" customHeight="1" x14ac:dyDescent="0.2">
      <c r="A1451" s="7703"/>
      <c r="B1451" s="7652" t="s">
        <v>7148</v>
      </c>
      <c r="C1451" s="7723"/>
      <c r="D1451" s="7563">
        <v>280000000</v>
      </c>
      <c r="E1451" s="7659">
        <v>0.06</v>
      </c>
      <c r="F1451" s="7563">
        <f>D1451*E1451</f>
        <v>16800000</v>
      </c>
      <c r="G1451" s="7991" t="s">
        <v>7154</v>
      </c>
      <c r="H1451" s="7992"/>
      <c r="I1451" s="7992"/>
      <c r="J1451" s="7993"/>
      <c r="K1451" s="6385"/>
      <c r="L1451" s="6488" t="s">
        <v>7163</v>
      </c>
      <c r="M1451" s="6484"/>
      <c r="N1451" s="6484"/>
      <c r="O1451" s="6484"/>
      <c r="P1451" s="386"/>
      <c r="Q1451" s="386"/>
    </row>
    <row r="1452" spans="1:17" s="1659" customFormat="1" ht="30" customHeight="1" x14ac:dyDescent="0.2">
      <c r="A1452" s="7705"/>
      <c r="B1452" s="7653"/>
      <c r="C1452" s="7724"/>
      <c r="D1452" s="7564"/>
      <c r="E1452" s="7660"/>
      <c r="F1452" s="7564"/>
      <c r="G1452" s="7997"/>
      <c r="H1452" s="7998"/>
      <c r="I1452" s="7998"/>
      <c r="J1452" s="7999"/>
      <c r="K1452" s="6385"/>
      <c r="L1452" s="6396" t="s">
        <v>7164</v>
      </c>
      <c r="M1452" s="6484"/>
      <c r="N1452" s="6484"/>
      <c r="O1452" s="6484"/>
      <c r="P1452" s="386"/>
      <c r="Q1452" s="386"/>
    </row>
    <row r="1453" spans="1:17" s="1659" customFormat="1" ht="30" customHeight="1" x14ac:dyDescent="0.2">
      <c r="A1453" s="6429"/>
      <c r="B1453" s="6400" t="s">
        <v>7159</v>
      </c>
      <c r="C1453" s="6434"/>
      <c r="D1453" s="6385">
        <v>140000000</v>
      </c>
      <c r="E1453" s="6471">
        <v>0.05</v>
      </c>
      <c r="F1453" s="6385">
        <f>D1453*E1453</f>
        <v>7000000</v>
      </c>
      <c r="G1453" s="7732" t="s">
        <v>7160</v>
      </c>
      <c r="H1453" s="7733"/>
      <c r="I1453" s="7733"/>
      <c r="J1453" s="7734"/>
      <c r="K1453" s="6385"/>
      <c r="L1453" s="6488" t="s">
        <v>7161</v>
      </c>
      <c r="M1453" s="6484"/>
      <c r="N1453" s="6484"/>
      <c r="O1453" s="6484"/>
      <c r="P1453" s="386"/>
      <c r="Q1453" s="386"/>
    </row>
    <row r="1454" spans="1:17" s="1659" customFormat="1" ht="30" customHeight="1" x14ac:dyDescent="0.2">
      <c r="A1454" s="7703"/>
      <c r="B1454" s="7652" t="s">
        <v>7182</v>
      </c>
      <c r="C1454" s="7723"/>
      <c r="D1454" s="7357">
        <v>150000000</v>
      </c>
      <c r="E1454" s="7378">
        <v>0.06</v>
      </c>
      <c r="F1454" s="7357">
        <f>D1454*E1454</f>
        <v>9000000</v>
      </c>
      <c r="G1454" s="7732" t="s">
        <v>7368</v>
      </c>
      <c r="H1454" s="7733"/>
      <c r="I1454" s="7733"/>
      <c r="J1454" s="7734"/>
      <c r="K1454" s="6385"/>
      <c r="L1454" s="6072" t="s">
        <v>7183</v>
      </c>
      <c r="M1454" s="6484"/>
      <c r="N1454" s="6484"/>
      <c r="O1454" s="6484"/>
      <c r="P1454" s="386"/>
      <c r="Q1454" s="386"/>
    </row>
    <row r="1455" spans="1:17" s="1659" customFormat="1" ht="30" customHeight="1" x14ac:dyDescent="0.2">
      <c r="A1455" s="7704"/>
      <c r="B1455" s="7665"/>
      <c r="C1455" s="7747"/>
      <c r="D1455" s="7357">
        <v>50000000</v>
      </c>
      <c r="E1455" s="7378"/>
      <c r="F1455" s="7357"/>
      <c r="G1455" s="7732" t="s">
        <v>8481</v>
      </c>
      <c r="H1455" s="7733"/>
      <c r="I1455" s="7733"/>
      <c r="J1455" s="7734"/>
      <c r="K1455" s="6385">
        <f>F1454-J1455</f>
        <v>9000000</v>
      </c>
      <c r="L1455" s="6488"/>
      <c r="M1455" s="6484"/>
      <c r="N1455" s="6484"/>
      <c r="O1455" s="6484"/>
      <c r="P1455" s="386"/>
      <c r="Q1455" s="386"/>
    </row>
    <row r="1456" spans="1:17" s="1659" customFormat="1" ht="30" customHeight="1" x14ac:dyDescent="0.2">
      <c r="A1456" s="7705"/>
      <c r="B1456" s="7653"/>
      <c r="C1456" s="7724"/>
      <c r="D1456" s="7387">
        <v>200000000</v>
      </c>
      <c r="E1456" s="7390">
        <v>7.0000000000000007E-2</v>
      </c>
      <c r="F1456" s="7387">
        <f>D1456*E1456</f>
        <v>14000000.000000002</v>
      </c>
      <c r="G1456" s="7370"/>
      <c r="H1456" s="7371"/>
      <c r="I1456" s="7371"/>
      <c r="J1456" s="7372"/>
      <c r="K1456" s="7357"/>
      <c r="L1456" s="7382" t="s">
        <v>8482</v>
      </c>
      <c r="M1456" s="7381"/>
      <c r="N1456" s="7381"/>
      <c r="O1456" s="7381"/>
      <c r="P1456" s="386"/>
      <c r="Q1456" s="386"/>
    </row>
    <row r="1457" spans="1:17" s="1659" customFormat="1" ht="30" customHeight="1" x14ac:dyDescent="0.2">
      <c r="A1457" s="6429"/>
      <c r="B1457" s="6400" t="s">
        <v>7193</v>
      </c>
      <c r="C1457" s="6434"/>
      <c r="D1457" s="6394"/>
      <c r="E1457" s="2519"/>
      <c r="F1457" s="6394"/>
      <c r="G1457" s="6385"/>
      <c r="H1457" s="6385"/>
      <c r="I1457" s="6385" t="s">
        <v>7194</v>
      </c>
      <c r="J1457" s="6385">
        <f>G1457</f>
        <v>0</v>
      </c>
      <c r="K1457" s="6394"/>
      <c r="L1457" s="6488"/>
      <c r="M1457" s="6484"/>
      <c r="N1457" s="6484"/>
      <c r="O1457" s="6484"/>
      <c r="P1457" s="386"/>
      <c r="Q1457" s="386"/>
    </row>
    <row r="1458" spans="1:17" s="1659" customFormat="1" ht="30" customHeight="1" x14ac:dyDescent="0.2">
      <c r="A1458" s="6429"/>
      <c r="B1458" s="6400" t="s">
        <v>7236</v>
      </c>
      <c r="C1458" s="6434"/>
      <c r="D1458" s="6385">
        <v>22000000</v>
      </c>
      <c r="E1458" s="6471">
        <v>0.05</v>
      </c>
      <c r="F1458" s="6385">
        <f>D1458*E1458</f>
        <v>1100000</v>
      </c>
      <c r="G1458" s="6385"/>
      <c r="H1458" s="6385"/>
      <c r="I1458" s="6385" t="s">
        <v>5470</v>
      </c>
      <c r="J1458" s="6385">
        <f>G1458</f>
        <v>0</v>
      </c>
      <c r="K1458" s="6385">
        <f>F1458-J1458</f>
        <v>1100000</v>
      </c>
      <c r="L1458" s="6488" t="s">
        <v>7264</v>
      </c>
      <c r="M1458" s="6484"/>
      <c r="N1458" s="6484"/>
      <c r="O1458" s="6484"/>
      <c r="P1458" s="386"/>
      <c r="Q1458" s="386"/>
    </row>
    <row r="1459" spans="1:17" s="1659" customFormat="1" ht="30" customHeight="1" x14ac:dyDescent="0.2">
      <c r="A1459" s="6429"/>
      <c r="B1459" s="6400" t="s">
        <v>7341</v>
      </c>
      <c r="C1459" s="6434"/>
      <c r="D1459" s="6385">
        <v>750000000</v>
      </c>
      <c r="E1459" s="6471"/>
      <c r="F1459" s="6385"/>
      <c r="G1459" s="6385">
        <v>30000000</v>
      </c>
      <c r="H1459" s="6385" t="s">
        <v>7864</v>
      </c>
      <c r="I1459" s="6385" t="s">
        <v>7865</v>
      </c>
      <c r="J1459" s="6385">
        <f>G1459</f>
        <v>30000000</v>
      </c>
      <c r="K1459" s="6385"/>
      <c r="L1459" s="6488" t="s">
        <v>7342</v>
      </c>
      <c r="M1459" s="6484"/>
      <c r="N1459" s="6484"/>
      <c r="O1459" s="6484"/>
      <c r="P1459" s="386"/>
      <c r="Q1459" s="386"/>
    </row>
    <row r="1460" spans="1:17" s="1659" customFormat="1" ht="30" customHeight="1" x14ac:dyDescent="0.2">
      <c r="A1460" s="7703"/>
      <c r="B1460" s="7652" t="s">
        <v>7344</v>
      </c>
      <c r="C1460" s="7723"/>
      <c r="D1460" s="6073">
        <v>50000000</v>
      </c>
      <c r="E1460" s="6074">
        <v>5.5E-2</v>
      </c>
      <c r="F1460" s="6073">
        <f>D1460*E1460</f>
        <v>2750000</v>
      </c>
      <c r="G1460" s="7991" t="s">
        <v>7541</v>
      </c>
      <c r="H1460" s="7992"/>
      <c r="I1460" s="7992"/>
      <c r="J1460" s="7993"/>
      <c r="K1460" s="6385"/>
      <c r="L1460" s="6072" t="s">
        <v>7345</v>
      </c>
      <c r="M1460" s="6484"/>
      <c r="N1460" s="6484"/>
      <c r="O1460" s="6484"/>
      <c r="P1460" s="386"/>
      <c r="Q1460" s="386"/>
    </row>
    <row r="1461" spans="1:17" s="1659" customFormat="1" ht="30" customHeight="1" x14ac:dyDescent="0.2">
      <c r="A1461" s="7705"/>
      <c r="B1461" s="7653"/>
      <c r="C1461" s="7724"/>
      <c r="D1461" s="6385">
        <v>80000000</v>
      </c>
      <c r="E1461" s="6471">
        <v>5.5E-2</v>
      </c>
      <c r="F1461" s="6385">
        <f>D1461*E1461</f>
        <v>4400000</v>
      </c>
      <c r="G1461" s="7997"/>
      <c r="H1461" s="7998"/>
      <c r="I1461" s="7998"/>
      <c r="J1461" s="7999"/>
      <c r="K1461" s="6385"/>
      <c r="L1461" s="6075" t="s">
        <v>7542</v>
      </c>
      <c r="M1461" s="6484"/>
      <c r="N1461" s="6484"/>
      <c r="O1461" s="6484"/>
      <c r="P1461" s="386"/>
      <c r="Q1461" s="386"/>
    </row>
    <row r="1462" spans="1:17" s="1659" customFormat="1" ht="30" customHeight="1" x14ac:dyDescent="0.2">
      <c r="A1462" s="6429"/>
      <c r="B1462" s="6400" t="s">
        <v>7357</v>
      </c>
      <c r="C1462" s="6434"/>
      <c r="D1462" s="6385">
        <v>20000000</v>
      </c>
      <c r="E1462" s="6471"/>
      <c r="F1462" s="6385"/>
      <c r="G1462" s="6385"/>
      <c r="H1462" s="6385"/>
      <c r="I1462" s="6385"/>
      <c r="J1462" s="6385"/>
      <c r="K1462" s="6385"/>
      <c r="L1462" s="6488" t="s">
        <v>7358</v>
      </c>
      <c r="M1462" s="6484"/>
      <c r="N1462" s="6484"/>
      <c r="O1462" s="6484"/>
      <c r="P1462" s="386"/>
      <c r="Q1462" s="386"/>
    </row>
    <row r="1463" spans="1:17" s="1659" customFormat="1" ht="30" customHeight="1" x14ac:dyDescent="0.2">
      <c r="A1463" s="7703"/>
      <c r="B1463" s="7652" t="s">
        <v>7362</v>
      </c>
      <c r="C1463" s="7723"/>
      <c r="D1463" s="7563">
        <v>200000000</v>
      </c>
      <c r="E1463" s="7659">
        <v>7.0000000000000007E-2</v>
      </c>
      <c r="F1463" s="7563">
        <f>D1463*E1463</f>
        <v>14000000.000000002</v>
      </c>
      <c r="G1463" s="7732" t="s">
        <v>7363</v>
      </c>
      <c r="H1463" s="7733"/>
      <c r="I1463" s="7733"/>
      <c r="J1463" s="7734"/>
      <c r="K1463" s="6385"/>
      <c r="L1463" s="7674" t="s">
        <v>7365</v>
      </c>
      <c r="M1463" s="6484"/>
      <c r="N1463" s="6484"/>
      <c r="O1463" s="6484"/>
      <c r="P1463" s="386"/>
      <c r="Q1463" s="386"/>
    </row>
    <row r="1464" spans="1:17" s="1659" customFormat="1" ht="30" customHeight="1" x14ac:dyDescent="0.2">
      <c r="A1464" s="7705"/>
      <c r="B1464" s="7653"/>
      <c r="C1464" s="7724"/>
      <c r="D1464" s="7564"/>
      <c r="E1464" s="7660"/>
      <c r="F1464" s="7564"/>
      <c r="G1464" s="7732" t="s">
        <v>7364</v>
      </c>
      <c r="H1464" s="7733"/>
      <c r="I1464" s="7733"/>
      <c r="J1464" s="7734"/>
      <c r="K1464" s="6385"/>
      <c r="L1464" s="7675"/>
      <c r="M1464" s="6484"/>
      <c r="N1464" s="6484"/>
      <c r="O1464" s="6484"/>
      <c r="P1464" s="386"/>
      <c r="Q1464" s="386"/>
    </row>
    <row r="1465" spans="1:17" s="1659" customFormat="1" ht="30" customHeight="1" x14ac:dyDescent="0.2">
      <c r="A1465" s="6429"/>
      <c r="B1465" s="6400" t="s">
        <v>7371</v>
      </c>
      <c r="C1465" s="6434"/>
      <c r="D1465" s="6385">
        <v>12000000</v>
      </c>
      <c r="E1465" s="6471">
        <v>0.05</v>
      </c>
      <c r="F1465" s="6385">
        <f>D1465*E1465</f>
        <v>600000</v>
      </c>
      <c r="G1465" s="7732"/>
      <c r="H1465" s="7733"/>
      <c r="I1465" s="7733"/>
      <c r="J1465" s="7734"/>
      <c r="K1465" s="6385"/>
      <c r="L1465" s="6488" t="s">
        <v>7372</v>
      </c>
      <c r="M1465" s="6484"/>
      <c r="N1465" s="6484"/>
      <c r="O1465" s="6484"/>
      <c r="P1465" s="386"/>
      <c r="Q1465" s="386"/>
    </row>
    <row r="1466" spans="1:17" s="1659" customFormat="1" ht="30" customHeight="1" x14ac:dyDescent="0.2">
      <c r="A1466" s="6429"/>
      <c r="B1466" s="6400" t="s">
        <v>7400</v>
      </c>
      <c r="C1466" s="6434"/>
      <c r="D1466" s="6385">
        <v>10000000</v>
      </c>
      <c r="E1466" s="6471">
        <v>0.05</v>
      </c>
      <c r="F1466" s="6385"/>
      <c r="G1466" s="6385"/>
      <c r="H1466" s="6385"/>
      <c r="I1466" s="6385"/>
      <c r="J1466" s="6385"/>
      <c r="K1466" s="6385"/>
      <c r="L1466" s="6488" t="s">
        <v>7401</v>
      </c>
      <c r="M1466" s="6484"/>
      <c r="N1466" s="6484"/>
      <c r="O1466" s="6484"/>
      <c r="P1466" s="386"/>
      <c r="Q1466" s="386"/>
    </row>
    <row r="1467" spans="1:17" s="1659" customFormat="1" ht="30" customHeight="1" x14ac:dyDescent="0.2">
      <c r="A1467" s="6429"/>
      <c r="B1467" s="6400" t="s">
        <v>7439</v>
      </c>
      <c r="C1467" s="6434"/>
      <c r="D1467" s="6385">
        <v>1500000000</v>
      </c>
      <c r="E1467" s="6471">
        <v>7.0000000000000007E-2</v>
      </c>
      <c r="F1467" s="6385">
        <f>D1467*E1467</f>
        <v>105000000.00000001</v>
      </c>
      <c r="G1467" s="7732" t="s">
        <v>7441</v>
      </c>
      <c r="H1467" s="7733"/>
      <c r="I1467" s="7733"/>
      <c r="J1467" s="7734"/>
      <c r="K1467" s="6385"/>
      <c r="L1467" s="6488" t="s">
        <v>7440</v>
      </c>
      <c r="M1467" s="6484"/>
      <c r="N1467" s="6484"/>
      <c r="O1467" s="6484"/>
      <c r="P1467" s="386"/>
      <c r="Q1467" s="386"/>
    </row>
    <row r="1468" spans="1:17" s="1659" customFormat="1" ht="30" customHeight="1" x14ac:dyDescent="0.2">
      <c r="A1468" s="7703"/>
      <c r="B1468" s="7652" t="s">
        <v>181</v>
      </c>
      <c r="C1468" s="7723" t="s">
        <v>1172</v>
      </c>
      <c r="D1468" s="7563"/>
      <c r="E1468" s="7659"/>
      <c r="F1468" s="7563"/>
      <c r="G1468" s="6385"/>
      <c r="H1468" s="6385"/>
      <c r="I1468" s="6385" t="s">
        <v>7443</v>
      </c>
      <c r="J1468" s="7563">
        <f>G1468+G1469</f>
        <v>0</v>
      </c>
      <c r="K1468" s="7563"/>
      <c r="L1468" s="6488"/>
      <c r="M1468" s="6484"/>
      <c r="N1468" s="6484"/>
      <c r="O1468" s="6484"/>
      <c r="P1468" s="386"/>
      <c r="Q1468" s="386"/>
    </row>
    <row r="1469" spans="1:17" s="1659" customFormat="1" ht="30" customHeight="1" x14ac:dyDescent="0.2">
      <c r="A1469" s="7704"/>
      <c r="B1469" s="7665"/>
      <c r="C1469" s="7724"/>
      <c r="D1469" s="7564"/>
      <c r="E1469" s="7660"/>
      <c r="F1469" s="7564"/>
      <c r="G1469" s="6385"/>
      <c r="H1469" s="6385"/>
      <c r="I1469" s="6385" t="s">
        <v>7443</v>
      </c>
      <c r="J1469" s="7564"/>
      <c r="K1469" s="7564"/>
      <c r="L1469" s="6488"/>
      <c r="M1469" s="6484"/>
      <c r="N1469" s="6484"/>
      <c r="O1469" s="6484"/>
      <c r="P1469" s="386"/>
      <c r="Q1469" s="386"/>
    </row>
    <row r="1470" spans="1:17" s="1659" customFormat="1" ht="30" customHeight="1" x14ac:dyDescent="0.2">
      <c r="A1470" s="7705"/>
      <c r="B1470" s="7653"/>
      <c r="C1470" s="6434" t="s">
        <v>1287</v>
      </c>
      <c r="D1470" s="6385"/>
      <c r="E1470" s="6471"/>
      <c r="F1470" s="6385"/>
      <c r="G1470" s="6385"/>
      <c r="H1470" s="6385"/>
      <c r="I1470" s="6385"/>
      <c r="J1470" s="6385"/>
      <c r="K1470" s="6385"/>
      <c r="L1470" s="6488"/>
      <c r="M1470" s="6484"/>
      <c r="N1470" s="6484"/>
      <c r="O1470" s="6484"/>
      <c r="P1470" s="386"/>
      <c r="Q1470" s="386"/>
    </row>
    <row r="1471" spans="1:17" s="1659" customFormat="1" ht="30" customHeight="1" x14ac:dyDescent="0.2">
      <c r="A1471" s="6429"/>
      <c r="B1471" s="6400" t="s">
        <v>7823</v>
      </c>
      <c r="C1471" s="6434" t="s">
        <v>4223</v>
      </c>
      <c r="D1471" s="6385">
        <v>100000000</v>
      </c>
      <c r="E1471" s="6471">
        <v>7.0000000000000007E-2</v>
      </c>
      <c r="F1471" s="6385">
        <f>D1471*E1471</f>
        <v>7000000.0000000009</v>
      </c>
      <c r="G1471" s="6385">
        <v>1000000</v>
      </c>
      <c r="H1471" s="6385" t="s">
        <v>7821</v>
      </c>
      <c r="I1471" s="6385" t="s">
        <v>7824</v>
      </c>
      <c r="J1471" s="6385">
        <f>G1471</f>
        <v>1000000</v>
      </c>
      <c r="K1471" s="6385">
        <f>F1471-J1471</f>
        <v>6000000.0000000009</v>
      </c>
      <c r="L1471" s="6488" t="s">
        <v>7543</v>
      </c>
      <c r="M1471" s="6484"/>
      <c r="N1471" s="6484"/>
      <c r="O1471" s="6484"/>
      <c r="P1471" s="386"/>
      <c r="Q1471" s="386"/>
    </row>
    <row r="1472" spans="1:17" s="1659" customFormat="1" ht="30" customHeight="1" x14ac:dyDescent="0.2">
      <c r="A1472" s="7703"/>
      <c r="B1472" s="7652" t="s">
        <v>7547</v>
      </c>
      <c r="C1472" s="7723"/>
      <c r="D1472" s="7563">
        <v>500000000</v>
      </c>
      <c r="E1472" s="7659">
        <v>7.0000000000000007E-2</v>
      </c>
      <c r="F1472" s="7563">
        <f>D1472*E1472</f>
        <v>35000000</v>
      </c>
      <c r="G1472" s="7732" t="s">
        <v>7545</v>
      </c>
      <c r="H1472" s="7733"/>
      <c r="I1472" s="7733"/>
      <c r="J1472" s="7734"/>
      <c r="K1472" s="7563"/>
      <c r="L1472" s="7674" t="s">
        <v>7544</v>
      </c>
      <c r="M1472" s="6484"/>
      <c r="N1472" s="6484"/>
      <c r="O1472" s="6484"/>
      <c r="P1472" s="386"/>
      <c r="Q1472" s="386"/>
    </row>
    <row r="1473" spans="1:17" s="1659" customFormat="1" ht="30" customHeight="1" x14ac:dyDescent="0.2">
      <c r="A1473" s="7704"/>
      <c r="B1473" s="7665"/>
      <c r="C1473" s="7747"/>
      <c r="D1473" s="7586"/>
      <c r="E1473" s="7676"/>
      <c r="F1473" s="7586"/>
      <c r="G1473" s="7732" t="s">
        <v>7546</v>
      </c>
      <c r="H1473" s="7733"/>
      <c r="I1473" s="7733"/>
      <c r="J1473" s="7734"/>
      <c r="K1473" s="7586"/>
      <c r="L1473" s="8186"/>
      <c r="M1473" s="6484"/>
      <c r="N1473" s="6484"/>
      <c r="O1473" s="6484"/>
      <c r="P1473" s="386"/>
      <c r="Q1473" s="386"/>
    </row>
    <row r="1474" spans="1:17" s="1659" customFormat="1" ht="30" customHeight="1" x14ac:dyDescent="0.2">
      <c r="A1474" s="7704"/>
      <c r="B1474" s="7665"/>
      <c r="C1474" s="7747"/>
      <c r="D1474" s="7586"/>
      <c r="E1474" s="7676"/>
      <c r="F1474" s="7586"/>
      <c r="G1474" s="7470" t="s">
        <v>7548</v>
      </c>
      <c r="H1474" s="7493"/>
      <c r="I1474" s="7493"/>
      <c r="J1474" s="7510"/>
      <c r="K1474" s="7586"/>
      <c r="L1474" s="8186"/>
      <c r="M1474" s="6484"/>
      <c r="N1474" s="6484"/>
      <c r="O1474" s="6484"/>
      <c r="P1474" s="386"/>
      <c r="Q1474" s="386"/>
    </row>
    <row r="1475" spans="1:17" s="1659" customFormat="1" ht="30" customHeight="1" x14ac:dyDescent="0.2">
      <c r="A1475" s="7705"/>
      <c r="B1475" s="7653"/>
      <c r="C1475" s="7724"/>
      <c r="D1475" s="7564"/>
      <c r="E1475" s="7660"/>
      <c r="F1475" s="7564"/>
      <c r="G1475" s="7732" t="s">
        <v>7549</v>
      </c>
      <c r="H1475" s="7733"/>
      <c r="I1475" s="7733"/>
      <c r="J1475" s="7734"/>
      <c r="K1475" s="7564"/>
      <c r="L1475" s="7675"/>
      <c r="M1475" s="6484"/>
      <c r="N1475" s="6484"/>
      <c r="O1475" s="6484"/>
      <c r="P1475" s="386"/>
      <c r="Q1475" s="386"/>
    </row>
    <row r="1476" spans="1:17" s="1659" customFormat="1" ht="30" customHeight="1" x14ac:dyDescent="0.2">
      <c r="A1476" s="6429"/>
      <c r="B1476" s="6400" t="s">
        <v>7562</v>
      </c>
      <c r="C1476" s="6434"/>
      <c r="D1476" s="6393">
        <v>500000000</v>
      </c>
      <c r="E1476" s="6402"/>
      <c r="F1476" s="6393"/>
      <c r="G1476" s="6422"/>
      <c r="H1476" s="6423"/>
      <c r="I1476" s="6423"/>
      <c r="J1476" s="6424"/>
      <c r="K1476" s="6393"/>
      <c r="L1476" s="6396" t="s">
        <v>7563</v>
      </c>
      <c r="M1476" s="6484"/>
      <c r="N1476" s="6484"/>
      <c r="O1476" s="6484"/>
      <c r="P1476" s="386"/>
      <c r="Q1476" s="386"/>
    </row>
    <row r="1477" spans="1:17" s="1659" customFormat="1" ht="30" customHeight="1" x14ac:dyDescent="0.2">
      <c r="A1477" s="6429"/>
      <c r="B1477" s="6400" t="s">
        <v>7583</v>
      </c>
      <c r="C1477" s="6434"/>
      <c r="D1477" s="6393">
        <v>100000000</v>
      </c>
      <c r="E1477" s="6402"/>
      <c r="F1477" s="6393"/>
      <c r="G1477" s="6422"/>
      <c r="H1477" s="6423"/>
      <c r="I1477" s="6423"/>
      <c r="J1477" s="6424"/>
      <c r="K1477" s="6393"/>
      <c r="L1477" s="6488" t="s">
        <v>7584</v>
      </c>
      <c r="M1477" s="6484"/>
      <c r="N1477" s="6484"/>
      <c r="O1477" s="6484"/>
      <c r="P1477" s="386"/>
      <c r="Q1477" s="386"/>
    </row>
    <row r="1478" spans="1:17" s="1659" customFormat="1" ht="30" customHeight="1" x14ac:dyDescent="0.2">
      <c r="A1478" s="7703"/>
      <c r="B1478" s="7652" t="s">
        <v>3460</v>
      </c>
      <c r="C1478" s="7723"/>
      <c r="D1478" s="7563">
        <v>90000000</v>
      </c>
      <c r="E1478" s="7659">
        <v>7.0000000000000007E-2</v>
      </c>
      <c r="F1478" s="7563">
        <f>D1478*E1478</f>
        <v>6300000.0000000009</v>
      </c>
      <c r="G1478" s="7732" t="s">
        <v>7589</v>
      </c>
      <c r="H1478" s="7733"/>
      <c r="I1478" s="7733"/>
      <c r="J1478" s="7734"/>
      <c r="K1478" s="6393"/>
      <c r="L1478" s="7674" t="s">
        <v>7588</v>
      </c>
      <c r="M1478" s="6484"/>
      <c r="N1478" s="6484"/>
      <c r="O1478" s="6484"/>
      <c r="P1478" s="386"/>
      <c r="Q1478" s="386"/>
    </row>
    <row r="1479" spans="1:17" s="1659" customFormat="1" ht="30" customHeight="1" x14ac:dyDescent="0.2">
      <c r="A1479" s="7705"/>
      <c r="B1479" s="7653"/>
      <c r="C1479" s="7724"/>
      <c r="D1479" s="7564"/>
      <c r="E1479" s="7660"/>
      <c r="F1479" s="7564"/>
      <c r="G1479" s="7732" t="s">
        <v>7590</v>
      </c>
      <c r="H1479" s="7733"/>
      <c r="I1479" s="7733"/>
      <c r="J1479" s="7734"/>
      <c r="K1479" s="6393"/>
      <c r="L1479" s="7675"/>
      <c r="M1479" s="6484"/>
      <c r="N1479" s="6484"/>
      <c r="O1479" s="6484"/>
      <c r="P1479" s="386"/>
      <c r="Q1479" s="386"/>
    </row>
    <row r="1480" spans="1:17" s="1659" customFormat="1" ht="30" customHeight="1" x14ac:dyDescent="0.2">
      <c r="A1480" s="7703"/>
      <c r="B1480" s="7652" t="s">
        <v>7607</v>
      </c>
      <c r="C1480" s="7723"/>
      <c r="D1480" s="7563">
        <v>100000000</v>
      </c>
      <c r="E1480" s="7659"/>
      <c r="F1480" s="7563"/>
      <c r="G1480" s="7732" t="s">
        <v>7610</v>
      </c>
      <c r="H1480" s="7733"/>
      <c r="I1480" s="7733"/>
      <c r="J1480" s="7734"/>
      <c r="K1480" s="6393"/>
      <c r="L1480" s="6395" t="s">
        <v>7609</v>
      </c>
      <c r="M1480" s="6484"/>
      <c r="N1480" s="6484"/>
      <c r="O1480" s="6484"/>
      <c r="P1480" s="386"/>
      <c r="Q1480" s="386"/>
    </row>
    <row r="1481" spans="1:17" s="1659" customFormat="1" ht="30" customHeight="1" x14ac:dyDescent="0.2">
      <c r="A1481" s="7704"/>
      <c r="B1481" s="7665"/>
      <c r="C1481" s="7747"/>
      <c r="D1481" s="7586"/>
      <c r="E1481" s="7676"/>
      <c r="F1481" s="7586"/>
      <c r="G1481" s="7732" t="s">
        <v>7608</v>
      </c>
      <c r="H1481" s="7733"/>
      <c r="I1481" s="7733"/>
      <c r="J1481" s="7734"/>
      <c r="K1481" s="6393"/>
      <c r="L1481" s="6509"/>
      <c r="M1481" s="6484"/>
      <c r="N1481" s="6484"/>
      <c r="O1481" s="6484"/>
      <c r="P1481" s="386"/>
      <c r="Q1481" s="386"/>
    </row>
    <row r="1482" spans="1:17" s="1659" customFormat="1" ht="30" customHeight="1" x14ac:dyDescent="0.2">
      <c r="A1482" s="7704"/>
      <c r="B1482" s="7665"/>
      <c r="C1482" s="7747"/>
      <c r="D1482" s="7586"/>
      <c r="E1482" s="7676"/>
      <c r="F1482" s="7586"/>
      <c r="G1482" s="7732" t="s">
        <v>7704</v>
      </c>
      <c r="H1482" s="7733"/>
      <c r="I1482" s="7733"/>
      <c r="J1482" s="7734"/>
      <c r="K1482" s="6393"/>
      <c r="L1482" s="6509"/>
      <c r="M1482" s="6484"/>
      <c r="N1482" s="6484"/>
      <c r="O1482" s="6484"/>
      <c r="P1482" s="386"/>
      <c r="Q1482" s="386"/>
    </row>
    <row r="1483" spans="1:17" s="1659" customFormat="1" ht="30" customHeight="1" x14ac:dyDescent="0.2">
      <c r="A1483" s="7705"/>
      <c r="B1483" s="7653"/>
      <c r="C1483" s="7724"/>
      <c r="D1483" s="7564"/>
      <c r="E1483" s="7660"/>
      <c r="F1483" s="7564"/>
      <c r="G1483" s="6385"/>
      <c r="H1483" s="6385"/>
      <c r="I1483" s="6385" t="s">
        <v>7705</v>
      </c>
      <c r="J1483" s="6385">
        <f>G1483</f>
        <v>0</v>
      </c>
      <c r="K1483" s="6393"/>
      <c r="L1483" s="6396" t="s">
        <v>7706</v>
      </c>
      <c r="M1483" s="6484"/>
      <c r="N1483" s="6484"/>
      <c r="O1483" s="6484"/>
      <c r="P1483" s="386"/>
      <c r="Q1483" s="386"/>
    </row>
    <row r="1484" spans="1:17" s="1659" customFormat="1" ht="30" customHeight="1" x14ac:dyDescent="0.2">
      <c r="A1484" s="7703"/>
      <c r="B1484" s="7652" t="s">
        <v>7611</v>
      </c>
      <c r="C1484" s="7723"/>
      <c r="D1484" s="7494" t="s">
        <v>7643</v>
      </c>
      <c r="E1484" s="7495"/>
      <c r="F1484" s="7768"/>
      <c r="G1484" s="6385"/>
      <c r="H1484" s="6385"/>
      <c r="I1484" s="6385" t="s">
        <v>7612</v>
      </c>
      <c r="J1484" s="7563">
        <f>G1484+G1485+G1486+G1487</f>
        <v>0</v>
      </c>
      <c r="K1484" s="7563"/>
      <c r="L1484" s="7563"/>
      <c r="M1484" s="6484"/>
      <c r="N1484" s="6484"/>
      <c r="O1484" s="6484"/>
      <c r="P1484" s="386"/>
      <c r="Q1484" s="386"/>
    </row>
    <row r="1485" spans="1:17" s="1659" customFormat="1" ht="30" customHeight="1" x14ac:dyDescent="0.2">
      <c r="A1485" s="7704"/>
      <c r="B1485" s="7665"/>
      <c r="C1485" s="7747"/>
      <c r="D1485" s="7877"/>
      <c r="E1485" s="7524"/>
      <c r="F1485" s="7878"/>
      <c r="G1485" s="6385"/>
      <c r="H1485" s="6385"/>
      <c r="I1485" s="6385" t="s">
        <v>7619</v>
      </c>
      <c r="J1485" s="7586"/>
      <c r="K1485" s="7586"/>
      <c r="L1485" s="7586"/>
      <c r="M1485" s="6484"/>
      <c r="N1485" s="6484"/>
      <c r="O1485" s="6484"/>
      <c r="P1485" s="386"/>
      <c r="Q1485" s="386"/>
    </row>
    <row r="1486" spans="1:17" s="1659" customFormat="1" ht="30" customHeight="1" x14ac:dyDescent="0.2">
      <c r="A1486" s="7704"/>
      <c r="B1486" s="7665"/>
      <c r="C1486" s="7747"/>
      <c r="D1486" s="7877"/>
      <c r="E1486" s="7524"/>
      <c r="F1486" s="7878"/>
      <c r="G1486" s="6385"/>
      <c r="H1486" s="6385"/>
      <c r="I1486" s="6385" t="s">
        <v>7619</v>
      </c>
      <c r="J1486" s="7586"/>
      <c r="K1486" s="7586"/>
      <c r="L1486" s="7586"/>
      <c r="M1486" s="6484"/>
      <c r="N1486" s="6484"/>
      <c r="O1486" s="6484"/>
      <c r="P1486" s="386"/>
      <c r="Q1486" s="386"/>
    </row>
    <row r="1487" spans="1:17" s="1659" customFormat="1" ht="30" customHeight="1" x14ac:dyDescent="0.2">
      <c r="A1487" s="7705"/>
      <c r="B1487" s="7653"/>
      <c r="C1487" s="7724"/>
      <c r="D1487" s="7769"/>
      <c r="E1487" s="7805"/>
      <c r="F1487" s="7770"/>
      <c r="G1487" s="6385"/>
      <c r="H1487" s="6385"/>
      <c r="I1487" s="6385" t="s">
        <v>7619</v>
      </c>
      <c r="J1487" s="7564"/>
      <c r="K1487" s="7564"/>
      <c r="L1487" s="7564"/>
      <c r="M1487" s="6484"/>
      <c r="N1487" s="6484"/>
      <c r="O1487" s="6484"/>
      <c r="P1487" s="386"/>
      <c r="Q1487" s="386"/>
    </row>
    <row r="1488" spans="1:17" s="1659" customFormat="1" ht="30" customHeight="1" x14ac:dyDescent="0.2">
      <c r="A1488" s="6429"/>
      <c r="B1488" s="6400" t="s">
        <v>4116</v>
      </c>
      <c r="C1488" s="6434"/>
      <c r="D1488" s="6393">
        <v>110000000</v>
      </c>
      <c r="E1488" s="6402">
        <v>7.0000000000000007E-2</v>
      </c>
      <c r="F1488" s="6393">
        <f>D1488*E1488</f>
        <v>7700000.0000000009</v>
      </c>
      <c r="G1488" s="7732" t="s">
        <v>7617</v>
      </c>
      <c r="H1488" s="7733"/>
      <c r="I1488" s="7733"/>
      <c r="J1488" s="7734"/>
      <c r="K1488" s="6393"/>
      <c r="L1488" s="6396" t="s">
        <v>7618</v>
      </c>
      <c r="M1488" s="6484"/>
      <c r="N1488" s="6484"/>
      <c r="O1488" s="6484"/>
      <c r="P1488" s="386"/>
      <c r="Q1488" s="386"/>
    </row>
    <row r="1489" spans="1:17" s="1659" customFormat="1" ht="30" customHeight="1" x14ac:dyDescent="0.2">
      <c r="A1489" s="6429"/>
      <c r="B1489" s="6400" t="s">
        <v>7681</v>
      </c>
      <c r="C1489" s="6434" t="s">
        <v>3216</v>
      </c>
      <c r="D1489" s="6393">
        <v>300000000</v>
      </c>
      <c r="E1489" s="6402">
        <v>7.0000000000000007E-2</v>
      </c>
      <c r="F1489" s="6393">
        <f>D1489*E1489</f>
        <v>21000000.000000004</v>
      </c>
      <c r="G1489" s="7732" t="s">
        <v>7682</v>
      </c>
      <c r="H1489" s="7733"/>
      <c r="I1489" s="7733"/>
      <c r="J1489" s="7734"/>
      <c r="K1489" s="6393"/>
      <c r="L1489" s="6396" t="s">
        <v>7683</v>
      </c>
      <c r="M1489" s="6484"/>
      <c r="N1489" s="6484"/>
      <c r="O1489" s="6484"/>
      <c r="P1489" s="386"/>
      <c r="Q1489" s="386"/>
    </row>
    <row r="1490" spans="1:17" s="1659" customFormat="1" ht="30" customHeight="1" x14ac:dyDescent="0.2">
      <c r="A1490" s="6429"/>
      <c r="B1490" s="6400" t="s">
        <v>7686</v>
      </c>
      <c r="C1490" s="6434"/>
      <c r="D1490" s="6393">
        <v>135000000</v>
      </c>
      <c r="E1490" s="6402">
        <v>0.05</v>
      </c>
      <c r="F1490" s="6393">
        <f>D1490*E1490</f>
        <v>6750000</v>
      </c>
      <c r="G1490" s="7732" t="s">
        <v>7689</v>
      </c>
      <c r="H1490" s="7733"/>
      <c r="I1490" s="7733"/>
      <c r="J1490" s="7734"/>
      <c r="K1490" s="6393"/>
      <c r="L1490" s="6396" t="s">
        <v>7687</v>
      </c>
      <c r="M1490" s="6484"/>
      <c r="N1490" s="6484"/>
      <c r="O1490" s="6484"/>
      <c r="P1490" s="386"/>
      <c r="Q1490" s="386"/>
    </row>
    <row r="1491" spans="1:17" s="1659" customFormat="1" ht="30" customHeight="1" x14ac:dyDescent="0.2">
      <c r="A1491" s="7703"/>
      <c r="B1491" s="7652" t="s">
        <v>7690</v>
      </c>
      <c r="C1491" s="7723"/>
      <c r="D1491" s="7563"/>
      <c r="E1491" s="7659"/>
      <c r="F1491" s="7563"/>
      <c r="G1491" s="6385">
        <v>50000000</v>
      </c>
      <c r="H1491" s="6385" t="s">
        <v>7864</v>
      </c>
      <c r="I1491" s="6385" t="s">
        <v>7720</v>
      </c>
      <c r="J1491" s="7768"/>
      <c r="K1491" s="7563"/>
      <c r="L1491" s="7563"/>
      <c r="M1491" s="6484"/>
      <c r="N1491" s="6484"/>
      <c r="O1491" s="6484"/>
      <c r="P1491" s="386"/>
      <c r="Q1491" s="386"/>
    </row>
    <row r="1492" spans="1:17" s="1659" customFormat="1" ht="30" customHeight="1" x14ac:dyDescent="0.2">
      <c r="A1492" s="7704"/>
      <c r="B1492" s="7665"/>
      <c r="C1492" s="7747"/>
      <c r="D1492" s="7586"/>
      <c r="E1492" s="7676"/>
      <c r="F1492" s="7586"/>
      <c r="G1492" s="6385"/>
      <c r="H1492" s="6385"/>
      <c r="I1492" s="6385" t="s">
        <v>7720</v>
      </c>
      <c r="J1492" s="7878"/>
      <c r="K1492" s="7586"/>
      <c r="L1492" s="7586"/>
      <c r="M1492" s="6484"/>
      <c r="N1492" s="6484"/>
      <c r="O1492" s="6484"/>
      <c r="P1492" s="386"/>
      <c r="Q1492" s="386"/>
    </row>
    <row r="1493" spans="1:17" s="1659" customFormat="1" ht="30" customHeight="1" x14ac:dyDescent="0.2">
      <c r="A1493" s="7704"/>
      <c r="B1493" s="7665"/>
      <c r="C1493" s="7747"/>
      <c r="D1493" s="7586"/>
      <c r="E1493" s="7676"/>
      <c r="F1493" s="7586"/>
      <c r="G1493" s="6385"/>
      <c r="H1493" s="6385"/>
      <c r="I1493" s="6488"/>
      <c r="J1493" s="7878"/>
      <c r="K1493" s="7586"/>
      <c r="L1493" s="7586"/>
      <c r="M1493" s="6484"/>
      <c r="N1493" s="6484"/>
      <c r="O1493" s="6484"/>
      <c r="P1493" s="386"/>
      <c r="Q1493" s="386"/>
    </row>
    <row r="1494" spans="1:17" s="1659" customFormat="1" ht="30" customHeight="1" x14ac:dyDescent="0.2">
      <c r="A1494" s="7705"/>
      <c r="B1494" s="7653"/>
      <c r="C1494" s="7724"/>
      <c r="D1494" s="7564"/>
      <c r="E1494" s="7660"/>
      <c r="F1494" s="7564"/>
      <c r="G1494" s="6385"/>
      <c r="H1494" s="6385"/>
      <c r="I1494" s="6488"/>
      <c r="J1494" s="7770"/>
      <c r="K1494" s="7564"/>
      <c r="L1494" s="7564"/>
      <c r="M1494" s="6484"/>
      <c r="N1494" s="6484"/>
      <c r="O1494" s="6484"/>
      <c r="P1494" s="386"/>
      <c r="Q1494" s="386"/>
    </row>
    <row r="1495" spans="1:17" s="1659" customFormat="1" ht="30" customHeight="1" x14ac:dyDescent="0.2">
      <c r="A1495" s="6429"/>
      <c r="B1495" s="6400" t="s">
        <v>7707</v>
      </c>
      <c r="C1495" s="6434" t="s">
        <v>990</v>
      </c>
      <c r="D1495" s="6393">
        <v>100000000</v>
      </c>
      <c r="E1495" s="6402">
        <v>7.0000000000000007E-2</v>
      </c>
      <c r="F1495" s="6393">
        <f>D1495*E1495</f>
        <v>7000000.0000000009</v>
      </c>
      <c r="G1495" s="6385"/>
      <c r="H1495" s="6385"/>
      <c r="I1495" s="6488"/>
      <c r="J1495" s="6444"/>
      <c r="K1495" s="6393"/>
      <c r="L1495" s="6396" t="s">
        <v>7708</v>
      </c>
      <c r="M1495" s="6484"/>
      <c r="N1495" s="6484"/>
      <c r="O1495" s="6484"/>
      <c r="P1495" s="386"/>
      <c r="Q1495" s="386"/>
    </row>
    <row r="1496" spans="1:17" s="1659" customFormat="1" ht="30" customHeight="1" x14ac:dyDescent="0.2">
      <c r="A1496" s="6429"/>
      <c r="B1496" s="6400" t="s">
        <v>7738</v>
      </c>
      <c r="C1496" s="6434"/>
      <c r="D1496" s="6393"/>
      <c r="E1496" s="6402"/>
      <c r="F1496" s="6393"/>
      <c r="G1496" s="6385"/>
      <c r="H1496" s="6385"/>
      <c r="I1496" s="6385" t="s">
        <v>7739</v>
      </c>
      <c r="J1496" s="6444">
        <f>G1496</f>
        <v>0</v>
      </c>
      <c r="K1496" s="6393"/>
      <c r="L1496" s="6393"/>
      <c r="M1496" s="6484"/>
      <c r="N1496" s="6484"/>
      <c r="O1496" s="6484"/>
      <c r="P1496" s="386"/>
      <c r="Q1496" s="386"/>
    </row>
    <row r="1497" spans="1:17" s="1659" customFormat="1" ht="30" customHeight="1" x14ac:dyDescent="0.2">
      <c r="A1497" s="7703"/>
      <c r="B1497" s="7652" t="s">
        <v>7740</v>
      </c>
      <c r="C1497" s="7723" t="s">
        <v>1138</v>
      </c>
      <c r="D1497" s="7563">
        <v>200000000</v>
      </c>
      <c r="E1497" s="8555">
        <v>7.0000000000000007E-2</v>
      </c>
      <c r="F1497" s="7563">
        <f>D1497*E1497</f>
        <v>14000000.000000002</v>
      </c>
      <c r="G1497" s="7732" t="s">
        <v>7742</v>
      </c>
      <c r="H1497" s="7733"/>
      <c r="I1497" s="7733"/>
      <c r="J1497" s="7734"/>
      <c r="K1497" s="6393"/>
      <c r="L1497" s="7674" t="s">
        <v>7741</v>
      </c>
      <c r="M1497" s="6484"/>
      <c r="N1497" s="6484"/>
      <c r="O1497" s="6484"/>
      <c r="P1497" s="386"/>
      <c r="Q1497" s="386"/>
    </row>
    <row r="1498" spans="1:17" s="1659" customFormat="1" ht="30" customHeight="1" x14ac:dyDescent="0.2">
      <c r="A1498" s="7705"/>
      <c r="B1498" s="7653"/>
      <c r="C1498" s="7724"/>
      <c r="D1498" s="7564"/>
      <c r="E1498" s="8556"/>
      <c r="F1498" s="7564"/>
      <c r="G1498" s="7732" t="s">
        <v>7743</v>
      </c>
      <c r="H1498" s="7733"/>
      <c r="I1498" s="7733"/>
      <c r="J1498" s="7734"/>
      <c r="K1498" s="6393"/>
      <c r="L1498" s="7675"/>
      <c r="M1498" s="6484"/>
      <c r="N1498" s="6484"/>
      <c r="O1498" s="6484"/>
      <c r="P1498" s="386"/>
      <c r="Q1498" s="386"/>
    </row>
    <row r="1499" spans="1:17" s="1659" customFormat="1" ht="30" customHeight="1" x14ac:dyDescent="0.2">
      <c r="A1499" s="6429"/>
      <c r="B1499" s="6400" t="s">
        <v>7748</v>
      </c>
      <c r="C1499" s="6434"/>
      <c r="D1499" s="6393">
        <v>100000000</v>
      </c>
      <c r="E1499" s="6556">
        <v>7.0000000000000007E-2</v>
      </c>
      <c r="F1499" s="6393"/>
      <c r="G1499" s="6422"/>
      <c r="H1499" s="6423"/>
      <c r="I1499" s="6423"/>
      <c r="J1499" s="6424"/>
      <c r="K1499" s="6393"/>
      <c r="L1499" s="6396" t="s">
        <v>7749</v>
      </c>
      <c r="M1499" s="6484"/>
      <c r="N1499" s="6484"/>
      <c r="O1499" s="6484"/>
      <c r="P1499" s="386"/>
      <c r="Q1499" s="386"/>
    </row>
    <row r="1500" spans="1:17" s="1659" customFormat="1" ht="30" customHeight="1" x14ac:dyDescent="0.2">
      <c r="A1500" s="6429"/>
      <c r="B1500" s="6400" t="s">
        <v>7762</v>
      </c>
      <c r="C1500" s="6434"/>
      <c r="D1500" s="6393">
        <v>50000000</v>
      </c>
      <c r="E1500" s="6556"/>
      <c r="F1500" s="6393"/>
      <c r="G1500" s="7732" t="s">
        <v>7763</v>
      </c>
      <c r="H1500" s="7733"/>
      <c r="I1500" s="7733"/>
      <c r="J1500" s="7734"/>
      <c r="K1500" s="6393"/>
      <c r="L1500" s="6393"/>
      <c r="M1500" s="6484"/>
      <c r="N1500" s="6484"/>
      <c r="O1500" s="6484"/>
      <c r="P1500" s="386"/>
      <c r="Q1500" s="386"/>
    </row>
    <row r="1501" spans="1:17" s="1659" customFormat="1" ht="30" customHeight="1" x14ac:dyDescent="0.2">
      <c r="A1501" s="7703"/>
      <c r="B1501" s="7652" t="s">
        <v>7764</v>
      </c>
      <c r="C1501" s="7723"/>
      <c r="D1501" s="7563"/>
      <c r="E1501" s="8555"/>
      <c r="F1501" s="7563"/>
      <c r="G1501" s="6385"/>
      <c r="H1501" s="6385"/>
      <c r="I1501" s="6385" t="s">
        <v>7765</v>
      </c>
      <c r="J1501" s="7563">
        <f>G1501+G1502</f>
        <v>0</v>
      </c>
      <c r="K1501" s="7563"/>
      <c r="L1501" s="6393"/>
      <c r="M1501" s="6484"/>
      <c r="N1501" s="6484"/>
      <c r="O1501" s="6484"/>
      <c r="P1501" s="386"/>
      <c r="Q1501" s="386"/>
    </row>
    <row r="1502" spans="1:17" s="1659" customFormat="1" ht="30" customHeight="1" x14ac:dyDescent="0.2">
      <c r="A1502" s="7705"/>
      <c r="B1502" s="7653"/>
      <c r="C1502" s="7724"/>
      <c r="D1502" s="7564"/>
      <c r="E1502" s="8556"/>
      <c r="F1502" s="7564"/>
      <c r="G1502" s="6385"/>
      <c r="H1502" s="6385"/>
      <c r="I1502" s="6385" t="s">
        <v>2451</v>
      </c>
      <c r="J1502" s="7564"/>
      <c r="K1502" s="7564"/>
      <c r="L1502" s="6393"/>
      <c r="M1502" s="6484"/>
      <c r="N1502" s="6484"/>
      <c r="O1502" s="6484"/>
      <c r="P1502" s="386"/>
      <c r="Q1502" s="386"/>
    </row>
    <row r="1503" spans="1:17" s="1659" customFormat="1" ht="30" customHeight="1" x14ac:dyDescent="0.2">
      <c r="A1503" s="7703"/>
      <c r="B1503" s="7652" t="s">
        <v>7770</v>
      </c>
      <c r="C1503" s="7723"/>
      <c r="D1503" s="6393">
        <v>50000000</v>
      </c>
      <c r="E1503" s="6556">
        <v>0.05</v>
      </c>
      <c r="F1503" s="6393">
        <f>D1503*E1503</f>
        <v>2500000</v>
      </c>
      <c r="G1503" s="7732" t="s">
        <v>7773</v>
      </c>
      <c r="H1503" s="7733"/>
      <c r="I1503" s="7733"/>
      <c r="J1503" s="7734"/>
      <c r="K1503" s="6393"/>
      <c r="L1503" s="6396" t="s">
        <v>7771</v>
      </c>
      <c r="M1503" s="6484"/>
      <c r="N1503" s="6484"/>
      <c r="O1503" s="6484"/>
      <c r="P1503" s="386"/>
      <c r="Q1503" s="386"/>
    </row>
    <row r="1504" spans="1:17" s="1659" customFormat="1" ht="30" customHeight="1" x14ac:dyDescent="0.2">
      <c r="A1504" s="7705"/>
      <c r="B1504" s="7653"/>
      <c r="C1504" s="7724"/>
      <c r="D1504" s="6393">
        <v>50000000</v>
      </c>
      <c r="E1504" s="6556">
        <v>7.0000000000000007E-2</v>
      </c>
      <c r="F1504" s="6393">
        <f>D1504*E1504</f>
        <v>3500000.0000000005</v>
      </c>
      <c r="G1504" s="7732" t="s">
        <v>7773</v>
      </c>
      <c r="H1504" s="7733"/>
      <c r="I1504" s="7733"/>
      <c r="J1504" s="7734"/>
      <c r="K1504" s="6393"/>
      <c r="L1504" s="6396" t="s">
        <v>7772</v>
      </c>
      <c r="M1504" s="6484"/>
      <c r="N1504" s="6484"/>
      <c r="O1504" s="6484"/>
      <c r="P1504" s="386"/>
      <c r="Q1504" s="386"/>
    </row>
    <row r="1505" spans="1:17" s="1659" customFormat="1" ht="30" customHeight="1" x14ac:dyDescent="0.2">
      <c r="A1505" s="6429"/>
      <c r="B1505" s="6400" t="s">
        <v>7777</v>
      </c>
      <c r="C1505" s="6434" t="s">
        <v>942</v>
      </c>
      <c r="D1505" s="6393">
        <v>100000000</v>
      </c>
      <c r="E1505" s="6556">
        <v>7.0000000000000007E-2</v>
      </c>
      <c r="F1505" s="6393">
        <f>D1505*E1505</f>
        <v>7000000.0000000009</v>
      </c>
      <c r="G1505" s="6564"/>
      <c r="H1505" s="6564"/>
      <c r="I1505" s="6564"/>
      <c r="J1505" s="6564"/>
      <c r="K1505" s="6393"/>
      <c r="L1505" s="6396" t="s">
        <v>7778</v>
      </c>
      <c r="M1505" s="6484"/>
      <c r="N1505" s="6484"/>
      <c r="O1505" s="6484"/>
      <c r="P1505" s="386"/>
      <c r="Q1505" s="386"/>
    </row>
    <row r="1506" spans="1:17" s="1659" customFormat="1" ht="30" customHeight="1" x14ac:dyDescent="0.2">
      <c r="A1506" s="6429"/>
      <c r="B1506" s="6400" t="s">
        <v>7782</v>
      </c>
      <c r="C1506" s="6434"/>
      <c r="D1506" s="6393">
        <v>200000000</v>
      </c>
      <c r="E1506" s="6556"/>
      <c r="F1506" s="6393"/>
      <c r="G1506" s="6564"/>
      <c r="H1506" s="6564"/>
      <c r="I1506" s="6564"/>
      <c r="J1506" s="6564"/>
      <c r="K1506" s="6393"/>
      <c r="L1506" s="6396" t="s">
        <v>7783</v>
      </c>
      <c r="M1506" s="6484"/>
      <c r="N1506" s="6484"/>
      <c r="O1506" s="6484"/>
      <c r="P1506" s="386"/>
      <c r="Q1506" s="386"/>
    </row>
    <row r="1507" spans="1:17" s="1659" customFormat="1" ht="30" customHeight="1" x14ac:dyDescent="0.2">
      <c r="A1507" s="6429"/>
      <c r="B1507" s="6400" t="s">
        <v>7787</v>
      </c>
      <c r="C1507" s="6434"/>
      <c r="D1507" s="6574"/>
      <c r="E1507" s="6579"/>
      <c r="F1507" s="6574"/>
      <c r="G1507" s="6385"/>
      <c r="H1507" s="6385"/>
      <c r="I1507" s="6385" t="s">
        <v>6572</v>
      </c>
      <c r="J1507" s="6385">
        <f>G1507</f>
        <v>0</v>
      </c>
      <c r="K1507" s="6393"/>
      <c r="L1507" s="6396"/>
      <c r="M1507" s="6484"/>
      <c r="N1507" s="6484"/>
      <c r="O1507" s="6484"/>
      <c r="P1507" s="386"/>
      <c r="Q1507" s="386"/>
    </row>
    <row r="1508" spans="1:17" s="1659" customFormat="1" ht="30" customHeight="1" x14ac:dyDescent="0.2">
      <c r="A1508" s="6573"/>
      <c r="B1508" s="6568" t="s">
        <v>7839</v>
      </c>
      <c r="C1508" s="6576"/>
      <c r="D1508" s="6565">
        <v>100000000</v>
      </c>
      <c r="E1508" s="6588">
        <v>0.06</v>
      </c>
      <c r="F1508" s="6565">
        <f>D1508*E1508</f>
        <v>6000000</v>
      </c>
      <c r="G1508" s="6564"/>
      <c r="H1508" s="6564"/>
      <c r="I1508" s="6564"/>
      <c r="J1508" s="6564"/>
      <c r="K1508" s="6565"/>
      <c r="L1508" s="6575" t="s">
        <v>7840</v>
      </c>
      <c r="M1508" s="6580"/>
      <c r="N1508" s="6580"/>
      <c r="O1508" s="6580"/>
      <c r="P1508" s="386"/>
      <c r="Q1508" s="386"/>
    </row>
    <row r="1509" spans="1:17" s="1659" customFormat="1" ht="30" customHeight="1" x14ac:dyDescent="0.2">
      <c r="A1509" s="6573"/>
      <c r="B1509" s="6568" t="s">
        <v>7855</v>
      </c>
      <c r="C1509" s="6576"/>
      <c r="D1509" s="6599"/>
      <c r="E1509" s="6611"/>
      <c r="F1509" s="6599"/>
      <c r="G1509" s="6564">
        <v>600000</v>
      </c>
      <c r="H1509" s="6564" t="s">
        <v>7845</v>
      </c>
      <c r="I1509" s="6564" t="s">
        <v>7856</v>
      </c>
      <c r="J1509" s="6564">
        <f>G1509</f>
        <v>600000</v>
      </c>
      <c r="K1509" s="6565"/>
      <c r="L1509" s="6575"/>
      <c r="M1509" s="6580"/>
      <c r="N1509" s="6580"/>
      <c r="O1509" s="6580"/>
      <c r="P1509" s="386"/>
      <c r="Q1509" s="386"/>
    </row>
    <row r="1510" spans="1:17" s="1659" customFormat="1" ht="30" customHeight="1" x14ac:dyDescent="0.2">
      <c r="A1510" s="6573"/>
      <c r="B1510" s="6568" t="s">
        <v>7863</v>
      </c>
      <c r="C1510" s="6576"/>
      <c r="D1510" s="6599"/>
      <c r="E1510" s="6611"/>
      <c r="F1510" s="6599"/>
      <c r="G1510" s="6564">
        <v>2000000</v>
      </c>
      <c r="H1510" s="6564" t="s">
        <v>7845</v>
      </c>
      <c r="I1510" s="6564" t="s">
        <v>6797</v>
      </c>
      <c r="J1510" s="6564">
        <f>G1510</f>
        <v>2000000</v>
      </c>
      <c r="K1510" s="6565"/>
      <c r="L1510" s="6575"/>
      <c r="M1510" s="6580"/>
      <c r="N1510" s="6580"/>
      <c r="O1510" s="6580"/>
      <c r="P1510" s="386"/>
      <c r="Q1510" s="386"/>
    </row>
    <row r="1511" spans="1:17" s="1659" customFormat="1" ht="30" customHeight="1" x14ac:dyDescent="0.2">
      <c r="A1511" s="7703"/>
      <c r="B1511" s="7652" t="s">
        <v>7877</v>
      </c>
      <c r="C1511" s="7723" t="s">
        <v>1172</v>
      </c>
      <c r="D1511" s="7563">
        <v>200000000</v>
      </c>
      <c r="E1511" s="8555">
        <v>7.0000000000000007E-2</v>
      </c>
      <c r="F1511" s="7563">
        <f>D1511*E1511</f>
        <v>14000000.000000002</v>
      </c>
      <c r="G1511" s="7732" t="s">
        <v>7878</v>
      </c>
      <c r="H1511" s="7733"/>
      <c r="I1511" s="7733"/>
      <c r="J1511" s="7734"/>
      <c r="K1511" s="7563"/>
      <c r="L1511" s="7674" t="s">
        <v>7879</v>
      </c>
      <c r="M1511" s="6484"/>
      <c r="N1511" s="6484"/>
      <c r="O1511" s="6484"/>
      <c r="P1511" s="386"/>
      <c r="Q1511" s="386"/>
    </row>
    <row r="1512" spans="1:17" s="1659" customFormat="1" ht="30" customHeight="1" x14ac:dyDescent="0.2">
      <c r="A1512" s="7704"/>
      <c r="B1512" s="7665"/>
      <c r="C1512" s="7747"/>
      <c r="D1512" s="7586"/>
      <c r="E1512" s="8577"/>
      <c r="F1512" s="7586"/>
      <c r="G1512" s="7991" t="s">
        <v>7880</v>
      </c>
      <c r="H1512" s="7992"/>
      <c r="I1512" s="7992"/>
      <c r="J1512" s="7993"/>
      <c r="K1512" s="7586"/>
      <c r="L1512" s="8186"/>
      <c r="M1512" s="6621"/>
      <c r="N1512" s="6621"/>
      <c r="O1512" s="6621"/>
      <c r="P1512" s="386"/>
      <c r="Q1512" s="386"/>
    </row>
    <row r="1513" spans="1:17" s="1659" customFormat="1" ht="30" customHeight="1" x14ac:dyDescent="0.2">
      <c r="A1513" s="7705"/>
      <c r="B1513" s="7653"/>
      <c r="C1513" s="7724"/>
      <c r="D1513" s="7564"/>
      <c r="E1513" s="8556"/>
      <c r="F1513" s="7564"/>
      <c r="G1513" s="7997"/>
      <c r="H1513" s="7998"/>
      <c r="I1513" s="7998"/>
      <c r="J1513" s="7999"/>
      <c r="K1513" s="7564"/>
      <c r="L1513" s="6594" t="s">
        <v>7882</v>
      </c>
      <c r="M1513" s="6621"/>
      <c r="N1513" s="6621"/>
      <c r="O1513" s="6621"/>
      <c r="P1513" s="386"/>
      <c r="Q1513" s="386"/>
    </row>
    <row r="1514" spans="1:17" s="1659" customFormat="1" ht="30" customHeight="1" x14ac:dyDescent="0.2">
      <c r="A1514" s="7703"/>
      <c r="B1514" s="7652" t="s">
        <v>7889</v>
      </c>
      <c r="C1514" s="7723"/>
      <c r="D1514" s="6593">
        <v>100000000</v>
      </c>
      <c r="E1514" s="6633">
        <v>7.0000000000000007E-2</v>
      </c>
      <c r="F1514" s="6593">
        <f>D1514*E1514</f>
        <v>7000000.0000000009</v>
      </c>
      <c r="G1514" s="7732" t="s">
        <v>7890</v>
      </c>
      <c r="H1514" s="7733"/>
      <c r="I1514" s="7733"/>
      <c r="J1514" s="7734"/>
      <c r="K1514" s="7563"/>
      <c r="L1514" s="6594" t="s">
        <v>7891</v>
      </c>
      <c r="M1514" s="6621"/>
      <c r="N1514" s="6621"/>
      <c r="O1514" s="6621"/>
      <c r="P1514" s="386"/>
      <c r="Q1514" s="386"/>
    </row>
    <row r="1515" spans="1:17" s="1659" customFormat="1" ht="30" customHeight="1" x14ac:dyDescent="0.2">
      <c r="A1515" s="7705"/>
      <c r="B1515" s="7653"/>
      <c r="C1515" s="7724"/>
      <c r="D1515" s="6593">
        <v>35000000</v>
      </c>
      <c r="E1515" s="6633">
        <v>7.0000000000000007E-2</v>
      </c>
      <c r="F1515" s="6593">
        <v>3000000</v>
      </c>
      <c r="G1515" s="6590"/>
      <c r="H1515" s="6590"/>
      <c r="I1515" s="6590"/>
      <c r="J1515" s="6590"/>
      <c r="K1515" s="7564"/>
      <c r="L1515" s="6594" t="s">
        <v>7892</v>
      </c>
      <c r="M1515" s="6621"/>
      <c r="N1515" s="6621"/>
      <c r="O1515" s="6621"/>
      <c r="P1515" s="386"/>
      <c r="Q1515" s="386"/>
    </row>
    <row r="1516" spans="1:17" s="1659" customFormat="1" ht="30" customHeight="1" x14ac:dyDescent="0.2">
      <c r="A1516" s="6607"/>
      <c r="B1516" s="6596" t="s">
        <v>7900</v>
      </c>
      <c r="C1516" s="6610" t="s">
        <v>1172</v>
      </c>
      <c r="D1516" s="6593">
        <v>150000000</v>
      </c>
      <c r="E1516" s="6633">
        <v>7.0000000000000007E-2</v>
      </c>
      <c r="F1516" s="6593">
        <f>D1516*E1516</f>
        <v>10500000.000000002</v>
      </c>
      <c r="G1516" s="7470" t="s">
        <v>7901</v>
      </c>
      <c r="H1516" s="7493"/>
      <c r="I1516" s="7493"/>
      <c r="J1516" s="7510"/>
      <c r="K1516" s="6593"/>
      <c r="L1516" s="6594" t="s">
        <v>7902</v>
      </c>
      <c r="M1516" s="6621"/>
      <c r="N1516" s="6621"/>
      <c r="O1516" s="6621"/>
      <c r="P1516" s="386"/>
      <c r="Q1516" s="386"/>
    </row>
    <row r="1517" spans="1:17" s="1659" customFormat="1" ht="30" customHeight="1" x14ac:dyDescent="0.2">
      <c r="A1517" s="7703"/>
      <c r="B1517" s="7652" t="s">
        <v>7903</v>
      </c>
      <c r="C1517" s="7723"/>
      <c r="D1517" s="7563">
        <v>100000000</v>
      </c>
      <c r="E1517" s="8555">
        <v>7.0000000000000007E-2</v>
      </c>
      <c r="F1517" s="7563">
        <f>D1517*E1517</f>
        <v>7000000.0000000009</v>
      </c>
      <c r="G1517" s="7732" t="s">
        <v>7905</v>
      </c>
      <c r="H1517" s="7733"/>
      <c r="I1517" s="7733"/>
      <c r="J1517" s="7734"/>
      <c r="K1517" s="6593"/>
      <c r="L1517" s="6594" t="s">
        <v>7904</v>
      </c>
      <c r="M1517" s="6621"/>
      <c r="N1517" s="6621"/>
      <c r="O1517" s="6621"/>
      <c r="P1517" s="386"/>
      <c r="Q1517" s="386"/>
    </row>
    <row r="1518" spans="1:17" s="1659" customFormat="1" ht="30" customHeight="1" x14ac:dyDescent="0.2">
      <c r="A1518" s="7704"/>
      <c r="B1518" s="7665"/>
      <c r="C1518" s="7747"/>
      <c r="D1518" s="7586"/>
      <c r="E1518" s="8577"/>
      <c r="F1518" s="7586"/>
      <c r="G1518" s="7732" t="s">
        <v>7906</v>
      </c>
      <c r="H1518" s="7733"/>
      <c r="I1518" s="7733"/>
      <c r="J1518" s="7734"/>
      <c r="K1518" s="6593"/>
      <c r="L1518" s="6594"/>
      <c r="M1518" s="6621"/>
      <c r="N1518" s="6621"/>
      <c r="O1518" s="6621"/>
      <c r="P1518" s="386"/>
      <c r="Q1518" s="386"/>
    </row>
    <row r="1519" spans="1:17" s="1659" customFormat="1" ht="30" customHeight="1" x14ac:dyDescent="0.2">
      <c r="A1519" s="7705"/>
      <c r="B1519" s="7653"/>
      <c r="C1519" s="7724"/>
      <c r="D1519" s="7564"/>
      <c r="E1519" s="8556"/>
      <c r="F1519" s="7564"/>
      <c r="G1519" s="7732" t="s">
        <v>7907</v>
      </c>
      <c r="H1519" s="7733"/>
      <c r="I1519" s="7733"/>
      <c r="J1519" s="7734"/>
      <c r="K1519" s="6593"/>
      <c r="L1519" s="6594"/>
      <c r="M1519" s="6621"/>
      <c r="N1519" s="6621"/>
      <c r="O1519" s="6621"/>
      <c r="P1519" s="386"/>
      <c r="Q1519" s="386"/>
    </row>
    <row r="1520" spans="1:17" s="1659" customFormat="1" ht="30" customHeight="1" x14ac:dyDescent="0.2">
      <c r="A1520" s="6607"/>
      <c r="B1520" s="6596" t="s">
        <v>7912</v>
      </c>
      <c r="C1520" s="6610"/>
      <c r="D1520" s="6599"/>
      <c r="E1520" s="6611"/>
      <c r="F1520" s="6599"/>
      <c r="G1520" s="6590">
        <v>1000000</v>
      </c>
      <c r="H1520" s="6590" t="s">
        <v>7864</v>
      </c>
      <c r="I1520" s="6590" t="s">
        <v>7913</v>
      </c>
      <c r="J1520" s="6590"/>
      <c r="K1520" s="6593"/>
      <c r="L1520" s="6594"/>
      <c r="M1520" s="6621"/>
      <c r="N1520" s="6621"/>
      <c r="O1520" s="6621"/>
      <c r="P1520" s="386"/>
      <c r="Q1520" s="386"/>
    </row>
    <row r="1521" spans="1:17" s="1659" customFormat="1" ht="30" customHeight="1" x14ac:dyDescent="0.2">
      <c r="A1521" s="6607"/>
      <c r="B1521" s="6596"/>
      <c r="C1521" s="6610"/>
      <c r="D1521" s="6593"/>
      <c r="E1521" s="6633"/>
      <c r="F1521" s="6593"/>
      <c r="G1521" s="6604"/>
      <c r="H1521" s="6605"/>
      <c r="I1521" s="6605"/>
      <c r="J1521" s="6606"/>
      <c r="K1521" s="6593"/>
      <c r="L1521" s="6594"/>
      <c r="M1521" s="6621"/>
      <c r="N1521" s="6621"/>
      <c r="O1521" s="6621"/>
      <c r="P1521" s="386"/>
      <c r="Q1521" s="386"/>
    </row>
    <row r="1522" spans="1:17" s="1659" customFormat="1" ht="30" customHeight="1" x14ac:dyDescent="0.2">
      <c r="A1522" s="6483"/>
      <c r="B1522" s="6431"/>
      <c r="C1522" s="6472"/>
      <c r="D1522" s="6590"/>
      <c r="E1522" s="6615"/>
      <c r="F1522" s="6590"/>
      <c r="G1522" s="6488"/>
      <c r="H1522" s="6488"/>
      <c r="I1522" s="6488"/>
      <c r="J1522" s="6488"/>
      <c r="K1522" s="6385"/>
      <c r="L1522" s="6488"/>
      <c r="M1522" s="6484"/>
      <c r="N1522" s="6484"/>
      <c r="O1522" s="6484"/>
      <c r="P1522" s="386"/>
      <c r="Q1522" s="386"/>
    </row>
    <row r="1523" spans="1:17" ht="30" customHeight="1" x14ac:dyDescent="0.2">
      <c r="A1523" s="8013"/>
      <c r="B1523" s="8014"/>
      <c r="C1523" s="1031"/>
      <c r="D1523" s="6515"/>
      <c r="E1523" s="6402"/>
      <c r="F1523" s="6393"/>
      <c r="G1523" s="6393"/>
      <c r="H1523" s="6393"/>
      <c r="I1523" s="6512"/>
      <c r="J1523" s="6393"/>
      <c r="K1523" s="6393"/>
      <c r="L1523" s="6400"/>
    </row>
  </sheetData>
  <mergeCells count="2655">
    <mergeCell ref="L28:L29"/>
    <mergeCell ref="D1395:D1398"/>
    <mergeCell ref="E1395:E1398"/>
    <mergeCell ref="F1395:F1398"/>
    <mergeCell ref="G1315:I1315"/>
    <mergeCell ref="G829:J829"/>
    <mergeCell ref="A28:A29"/>
    <mergeCell ref="B28:B29"/>
    <mergeCell ref="C28:C29"/>
    <mergeCell ref="G28:G29"/>
    <mergeCell ref="H28:H29"/>
    <mergeCell ref="G22:J22"/>
    <mergeCell ref="J33:J34"/>
    <mergeCell ref="K33:K34"/>
    <mergeCell ref="A35:A38"/>
    <mergeCell ref="B35:B38"/>
    <mergeCell ref="C35:C38"/>
    <mergeCell ref="D35:D36"/>
    <mergeCell ref="F25:F27"/>
    <mergeCell ref="G23:G27"/>
    <mergeCell ref="H23:H27"/>
    <mergeCell ref="I23:I27"/>
    <mergeCell ref="A33:A34"/>
    <mergeCell ref="B33:B34"/>
    <mergeCell ref="C33:C34"/>
    <mergeCell ref="G33:G34"/>
    <mergeCell ref="H33:H34"/>
    <mergeCell ref="I33:I34"/>
    <mergeCell ref="I28:I29"/>
    <mergeCell ref="J28:J29"/>
    <mergeCell ref="K28:K29"/>
    <mergeCell ref="A30:A31"/>
    <mergeCell ref="B30:B31"/>
    <mergeCell ref="C30:C31"/>
    <mergeCell ref="H8:H9"/>
    <mergeCell ref="I8:I9"/>
    <mergeCell ref="A12:A19"/>
    <mergeCell ref="B12:B19"/>
    <mergeCell ref="C12:C19"/>
    <mergeCell ref="G12:J13"/>
    <mergeCell ref="G14:J14"/>
    <mergeCell ref="G15:J15"/>
    <mergeCell ref="G16:J16"/>
    <mergeCell ref="G17:J17"/>
    <mergeCell ref="J3:J4"/>
    <mergeCell ref="K3:K4"/>
    <mergeCell ref="A6:A9"/>
    <mergeCell ref="B6:B9"/>
    <mergeCell ref="C6:C9"/>
    <mergeCell ref="D6:D9"/>
    <mergeCell ref="E6:E9"/>
    <mergeCell ref="F6:F9"/>
    <mergeCell ref="J6:J8"/>
    <mergeCell ref="K6:K8"/>
    <mergeCell ref="A3:A4"/>
    <mergeCell ref="B3:B4"/>
    <mergeCell ref="C3:C4"/>
    <mergeCell ref="G3:G4"/>
    <mergeCell ref="H3:H4"/>
    <mergeCell ref="I3:I4"/>
    <mergeCell ref="J23:J27"/>
    <mergeCell ref="K23:K27"/>
    <mergeCell ref="A25:A27"/>
    <mergeCell ref="B25:B27"/>
    <mergeCell ref="C25:C27"/>
    <mergeCell ref="D25:D27"/>
    <mergeCell ref="E25:E27"/>
    <mergeCell ref="J20:J21"/>
    <mergeCell ref="K20:K21"/>
    <mergeCell ref="D21:D22"/>
    <mergeCell ref="E21:E22"/>
    <mergeCell ref="F21:F22"/>
    <mergeCell ref="G18:J18"/>
    <mergeCell ref="A20:A23"/>
    <mergeCell ref="B20:B23"/>
    <mergeCell ref="C20:C22"/>
    <mergeCell ref="L35:L36"/>
    <mergeCell ref="D37:D38"/>
    <mergeCell ref="E37:E38"/>
    <mergeCell ref="F37:F38"/>
    <mergeCell ref="A42:A44"/>
    <mergeCell ref="B42:B44"/>
    <mergeCell ref="C42:C44"/>
    <mergeCell ref="E42:E43"/>
    <mergeCell ref="F42:F43"/>
    <mergeCell ref="G42:G44"/>
    <mergeCell ref="G35:G36"/>
    <mergeCell ref="H35:H36"/>
    <mergeCell ref="I35:I36"/>
    <mergeCell ref="E35:E36"/>
    <mergeCell ref="F35:F36"/>
    <mergeCell ref="J35:J36"/>
    <mergeCell ref="K35:K36"/>
    <mergeCell ref="H42:H44"/>
    <mergeCell ref="I42:I44"/>
    <mergeCell ref="J42:J44"/>
    <mergeCell ref="K42:K44"/>
    <mergeCell ref="L47:L49"/>
    <mergeCell ref="G48:J48"/>
    <mergeCell ref="G49:J49"/>
    <mergeCell ref="A52:A56"/>
    <mergeCell ref="B52:B56"/>
    <mergeCell ref="C52:C56"/>
    <mergeCell ref="D52:D53"/>
    <mergeCell ref="E52:E53"/>
    <mergeCell ref="F52:F53"/>
    <mergeCell ref="G54:J54"/>
    <mergeCell ref="J45:J46"/>
    <mergeCell ref="K45:K46"/>
    <mergeCell ref="A47:A49"/>
    <mergeCell ref="B47:B49"/>
    <mergeCell ref="C47:C49"/>
    <mergeCell ref="D47:D49"/>
    <mergeCell ref="E47:E49"/>
    <mergeCell ref="F47:F49"/>
    <mergeCell ref="G47:J47"/>
    <mergeCell ref="K47:K49"/>
    <mergeCell ref="A45:A46"/>
    <mergeCell ref="B45:B46"/>
    <mergeCell ref="C45:C46"/>
    <mergeCell ref="D45:D46"/>
    <mergeCell ref="E45:E46"/>
    <mergeCell ref="F45:F46"/>
    <mergeCell ref="L58:L60"/>
    <mergeCell ref="G59:J59"/>
    <mergeCell ref="G60:J60"/>
    <mergeCell ref="A61:A62"/>
    <mergeCell ref="B61:B62"/>
    <mergeCell ref="C61:C62"/>
    <mergeCell ref="D61:D62"/>
    <mergeCell ref="E61:E62"/>
    <mergeCell ref="F61:F62"/>
    <mergeCell ref="J61:J62"/>
    <mergeCell ref="G55:J55"/>
    <mergeCell ref="A58:A60"/>
    <mergeCell ref="B58:B60"/>
    <mergeCell ref="C58:C60"/>
    <mergeCell ref="D58:D60"/>
    <mergeCell ref="E58:E60"/>
    <mergeCell ref="F58:F60"/>
    <mergeCell ref="G58:J58"/>
    <mergeCell ref="L75:L78"/>
    <mergeCell ref="G77:G78"/>
    <mergeCell ref="H77:H78"/>
    <mergeCell ref="I77:I78"/>
    <mergeCell ref="C79:C80"/>
    <mergeCell ref="A68:A70"/>
    <mergeCell ref="B68:B70"/>
    <mergeCell ref="G69:J69"/>
    <mergeCell ref="C71:C73"/>
    <mergeCell ref="L71:L72"/>
    <mergeCell ref="A72:A73"/>
    <mergeCell ref="B72:B73"/>
    <mergeCell ref="G72:J72"/>
    <mergeCell ref="K61:K62"/>
    <mergeCell ref="A64:A67"/>
    <mergeCell ref="B64:B67"/>
    <mergeCell ref="C64:C67"/>
    <mergeCell ref="D64:D67"/>
    <mergeCell ref="E64:E67"/>
    <mergeCell ref="F64:F67"/>
    <mergeCell ref="J65:J67"/>
    <mergeCell ref="K65:K67"/>
    <mergeCell ref="J79:J80"/>
    <mergeCell ref="K79:K80"/>
    <mergeCell ref="A83:A84"/>
    <mergeCell ref="B83:B84"/>
    <mergeCell ref="C83:C84"/>
    <mergeCell ref="D83:D84"/>
    <mergeCell ref="E83:E84"/>
    <mergeCell ref="F83:F84"/>
    <mergeCell ref="D79:D80"/>
    <mergeCell ref="E79:E80"/>
    <mergeCell ref="F79:F80"/>
    <mergeCell ref="G79:G80"/>
    <mergeCell ref="H79:H80"/>
    <mergeCell ref="I79:I80"/>
    <mergeCell ref="A75:A80"/>
    <mergeCell ref="B75:B80"/>
    <mergeCell ref="C75:C77"/>
    <mergeCell ref="J75:J78"/>
    <mergeCell ref="K75:K78"/>
    <mergeCell ref="F98:F100"/>
    <mergeCell ref="G98:J98"/>
    <mergeCell ref="J99:J100"/>
    <mergeCell ref="K99:K100"/>
    <mergeCell ref="D94:D97"/>
    <mergeCell ref="E94:E97"/>
    <mergeCell ref="F94:F97"/>
    <mergeCell ref="J94:J97"/>
    <mergeCell ref="K94:K97"/>
    <mergeCell ref="A98:A100"/>
    <mergeCell ref="B98:B100"/>
    <mergeCell ref="C98:C100"/>
    <mergeCell ref="D98:D100"/>
    <mergeCell ref="E98:E100"/>
    <mergeCell ref="A85:A86"/>
    <mergeCell ref="B85:B86"/>
    <mergeCell ref="C85:C86"/>
    <mergeCell ref="A94:A97"/>
    <mergeCell ref="B94:B97"/>
    <mergeCell ref="C94:C97"/>
    <mergeCell ref="G86:J86"/>
    <mergeCell ref="J117:J118"/>
    <mergeCell ref="L108:L111"/>
    <mergeCell ref="D110:E111"/>
    <mergeCell ref="F110:F111"/>
    <mergeCell ref="C112:C116"/>
    <mergeCell ref="D112:D113"/>
    <mergeCell ref="E112:E113"/>
    <mergeCell ref="F112:F113"/>
    <mergeCell ref="J112:J116"/>
    <mergeCell ref="L106:L107"/>
    <mergeCell ref="A108:A116"/>
    <mergeCell ref="B108:B116"/>
    <mergeCell ref="C108:C111"/>
    <mergeCell ref="D108:D109"/>
    <mergeCell ref="E108:E109"/>
    <mergeCell ref="F108:F109"/>
    <mergeCell ref="G108:I108"/>
    <mergeCell ref="J108:J111"/>
    <mergeCell ref="K108:K111"/>
    <mergeCell ref="A106:A107"/>
    <mergeCell ref="B106:B107"/>
    <mergeCell ref="C106:C107"/>
    <mergeCell ref="G106:G107"/>
    <mergeCell ref="H106:H107"/>
    <mergeCell ref="I106:I107"/>
    <mergeCell ref="J106:J107"/>
    <mergeCell ref="K106:K107"/>
    <mergeCell ref="K112:K116"/>
    <mergeCell ref="D114:E116"/>
    <mergeCell ref="F114:F116"/>
    <mergeCell ref="L122:L126"/>
    <mergeCell ref="C127:C129"/>
    <mergeCell ref="D127:D129"/>
    <mergeCell ref="E127:E129"/>
    <mergeCell ref="F127:F129"/>
    <mergeCell ref="L127:L129"/>
    <mergeCell ref="L119:L121"/>
    <mergeCell ref="A122:A135"/>
    <mergeCell ref="B122:B135"/>
    <mergeCell ref="C122:C126"/>
    <mergeCell ref="D122:D126"/>
    <mergeCell ref="E122:E126"/>
    <mergeCell ref="F122:F126"/>
    <mergeCell ref="G122:I122"/>
    <mergeCell ref="J122:J126"/>
    <mergeCell ref="K122:K126"/>
    <mergeCell ref="K117:K118"/>
    <mergeCell ref="L117:L118"/>
    <mergeCell ref="A119:A121"/>
    <mergeCell ref="B119:B121"/>
    <mergeCell ref="C119:C121"/>
    <mergeCell ref="G119:G120"/>
    <mergeCell ref="H119:H120"/>
    <mergeCell ref="I119:I120"/>
    <mergeCell ref="J119:J121"/>
    <mergeCell ref="K119:K121"/>
    <mergeCell ref="A117:A118"/>
    <mergeCell ref="B117:B118"/>
    <mergeCell ref="C117:C118"/>
    <mergeCell ref="G117:G118"/>
    <mergeCell ref="H117:H118"/>
    <mergeCell ref="I117:I118"/>
    <mergeCell ref="H139:H140"/>
    <mergeCell ref="I139:I140"/>
    <mergeCell ref="J139:J140"/>
    <mergeCell ref="K139:K140"/>
    <mergeCell ref="L139:L140"/>
    <mergeCell ref="A141:A142"/>
    <mergeCell ref="B141:B142"/>
    <mergeCell ref="C141:C142"/>
    <mergeCell ref="G141:G142"/>
    <mergeCell ref="H141:H142"/>
    <mergeCell ref="A136:A137"/>
    <mergeCell ref="B136:B137"/>
    <mergeCell ref="A139:A140"/>
    <mergeCell ref="B139:B140"/>
    <mergeCell ref="C139:C140"/>
    <mergeCell ref="G139:G140"/>
    <mergeCell ref="L130:L132"/>
    <mergeCell ref="C133:C135"/>
    <mergeCell ref="D133:D135"/>
    <mergeCell ref="E133:E135"/>
    <mergeCell ref="F133:F135"/>
    <mergeCell ref="J133:J135"/>
    <mergeCell ref="K133:K135"/>
    <mergeCell ref="L133:L135"/>
    <mergeCell ref="C130:C132"/>
    <mergeCell ref="D130:D132"/>
    <mergeCell ref="E130:E132"/>
    <mergeCell ref="F130:F132"/>
    <mergeCell ref="J130:J132"/>
    <mergeCell ref="K130:K132"/>
    <mergeCell ref="J143:J146"/>
    <mergeCell ref="K143:K146"/>
    <mergeCell ref="G147:J147"/>
    <mergeCell ref="A151:A158"/>
    <mergeCell ref="B151:B158"/>
    <mergeCell ref="C151:C158"/>
    <mergeCell ref="D152:F155"/>
    <mergeCell ref="G152:J152"/>
    <mergeCell ref="K152:K154"/>
    <mergeCell ref="G153:J153"/>
    <mergeCell ref="I141:I142"/>
    <mergeCell ref="J141:J142"/>
    <mergeCell ref="K141:K142"/>
    <mergeCell ref="L141:L142"/>
    <mergeCell ref="A143:A146"/>
    <mergeCell ref="B143:B146"/>
    <mergeCell ref="C143:C146"/>
    <mergeCell ref="G143:G146"/>
    <mergeCell ref="H143:H146"/>
    <mergeCell ref="I143:I146"/>
    <mergeCell ref="I164:I167"/>
    <mergeCell ref="J164:J167"/>
    <mergeCell ref="K164:K167"/>
    <mergeCell ref="G168:J168"/>
    <mergeCell ref="G169:G170"/>
    <mergeCell ref="H169:H170"/>
    <mergeCell ref="I169:I170"/>
    <mergeCell ref="J169:J170"/>
    <mergeCell ref="K169:K170"/>
    <mergeCell ref="D163:F163"/>
    <mergeCell ref="A164:A172"/>
    <mergeCell ref="B164:B172"/>
    <mergeCell ref="C164:C172"/>
    <mergeCell ref="G164:G167"/>
    <mergeCell ref="H164:H167"/>
    <mergeCell ref="G154:J154"/>
    <mergeCell ref="G155:J155"/>
    <mergeCell ref="D156:F157"/>
    <mergeCell ref="D158:F158"/>
    <mergeCell ref="A161:A162"/>
    <mergeCell ref="B161:B162"/>
    <mergeCell ref="C161:C162"/>
    <mergeCell ref="L174:L176"/>
    <mergeCell ref="G177:G180"/>
    <mergeCell ref="H177:H180"/>
    <mergeCell ref="I177:I180"/>
    <mergeCell ref="A174:A180"/>
    <mergeCell ref="B174:B180"/>
    <mergeCell ref="C174:C180"/>
    <mergeCell ref="G174:G176"/>
    <mergeCell ref="H174:H176"/>
    <mergeCell ref="I174:I176"/>
    <mergeCell ref="D179:D180"/>
    <mergeCell ref="E179:E180"/>
    <mergeCell ref="F179:F180"/>
    <mergeCell ref="L169:L170"/>
    <mergeCell ref="G171:G172"/>
    <mergeCell ref="H171:H172"/>
    <mergeCell ref="I171:I172"/>
    <mergeCell ref="J171:J172"/>
    <mergeCell ref="K171:K172"/>
    <mergeCell ref="J183:J185"/>
    <mergeCell ref="K183:K185"/>
    <mergeCell ref="A186:A188"/>
    <mergeCell ref="B186:B188"/>
    <mergeCell ref="C186:C188"/>
    <mergeCell ref="D186:D188"/>
    <mergeCell ref="E186:E188"/>
    <mergeCell ref="F186:F188"/>
    <mergeCell ref="J186:J188"/>
    <mergeCell ref="K186:K188"/>
    <mergeCell ref="A183:A185"/>
    <mergeCell ref="B183:B185"/>
    <mergeCell ref="C183:C185"/>
    <mergeCell ref="G183:G185"/>
    <mergeCell ref="H183:H185"/>
    <mergeCell ref="I183:I185"/>
    <mergeCell ref="J174:J180"/>
    <mergeCell ref="K174:K180"/>
    <mergeCell ref="A209:A211"/>
    <mergeCell ref="B209:B211"/>
    <mergeCell ref="C209:C211"/>
    <mergeCell ref="G210:J210"/>
    <mergeCell ref="G211:J211"/>
    <mergeCell ref="K195:K197"/>
    <mergeCell ref="L195:L197"/>
    <mergeCell ref="A204:A208"/>
    <mergeCell ref="B204:B208"/>
    <mergeCell ref="C204:C208"/>
    <mergeCell ref="D204:D206"/>
    <mergeCell ref="E204:E206"/>
    <mergeCell ref="F204:F206"/>
    <mergeCell ref="L186:L188"/>
    <mergeCell ref="A190:A192"/>
    <mergeCell ref="B190:B192"/>
    <mergeCell ref="C190:C192"/>
    <mergeCell ref="G190:G192"/>
    <mergeCell ref="H190:H192"/>
    <mergeCell ref="I190:I192"/>
    <mergeCell ref="J190:J192"/>
    <mergeCell ref="K190:K192"/>
    <mergeCell ref="A195:A198"/>
    <mergeCell ref="B195:B198"/>
    <mergeCell ref="C195:C198"/>
    <mergeCell ref="G198:J198"/>
    <mergeCell ref="G217:J217"/>
    <mergeCell ref="A221:A226"/>
    <mergeCell ref="B221:B226"/>
    <mergeCell ref="C221:C226"/>
    <mergeCell ref="G221:G226"/>
    <mergeCell ref="H221:H226"/>
    <mergeCell ref="I221:I226"/>
    <mergeCell ref="J221:J226"/>
    <mergeCell ref="G213:J213"/>
    <mergeCell ref="L213:L214"/>
    <mergeCell ref="G214:J214"/>
    <mergeCell ref="A216:A218"/>
    <mergeCell ref="B216:B218"/>
    <mergeCell ref="C216:C217"/>
    <mergeCell ref="D216:D217"/>
    <mergeCell ref="E216:E217"/>
    <mergeCell ref="F216:F217"/>
    <mergeCell ref="G216:J216"/>
    <mergeCell ref="D213:D214"/>
    <mergeCell ref="E213:E214"/>
    <mergeCell ref="F213:F214"/>
    <mergeCell ref="J233:J235"/>
    <mergeCell ref="K233:K235"/>
    <mergeCell ref="L233:L235"/>
    <mergeCell ref="D236:D238"/>
    <mergeCell ref="E236:E238"/>
    <mergeCell ref="F236:F238"/>
    <mergeCell ref="G236:J236"/>
    <mergeCell ref="G237:J237"/>
    <mergeCell ref="G238:J238"/>
    <mergeCell ref="A233:A238"/>
    <mergeCell ref="B233:B238"/>
    <mergeCell ref="C233:C238"/>
    <mergeCell ref="G233:G235"/>
    <mergeCell ref="H233:H235"/>
    <mergeCell ref="I233:I235"/>
    <mergeCell ref="K221:K226"/>
    <mergeCell ref="D223:E223"/>
    <mergeCell ref="A227:A232"/>
    <mergeCell ref="B227:B232"/>
    <mergeCell ref="C227:C232"/>
    <mergeCell ref="G227:J229"/>
    <mergeCell ref="K227:K229"/>
    <mergeCell ref="J251:J252"/>
    <mergeCell ref="K251:K252"/>
    <mergeCell ref="A253:A258"/>
    <mergeCell ref="B253:B258"/>
    <mergeCell ref="C253:C258"/>
    <mergeCell ref="D253:D254"/>
    <mergeCell ref="E253:E254"/>
    <mergeCell ref="F253:F254"/>
    <mergeCell ref="G253:G254"/>
    <mergeCell ref="H253:H254"/>
    <mergeCell ref="A251:A252"/>
    <mergeCell ref="B251:B252"/>
    <mergeCell ref="C251:C252"/>
    <mergeCell ref="G251:G252"/>
    <mergeCell ref="H251:H252"/>
    <mergeCell ref="I251:I252"/>
    <mergeCell ref="J239:J242"/>
    <mergeCell ref="K239:K242"/>
    <mergeCell ref="C243:C245"/>
    <mergeCell ref="G243:G244"/>
    <mergeCell ref="H243:H244"/>
    <mergeCell ref="I243:I244"/>
    <mergeCell ref="J243:J245"/>
    <mergeCell ref="K243:K245"/>
    <mergeCell ref="A239:A245"/>
    <mergeCell ref="B239:B245"/>
    <mergeCell ref="C239:C242"/>
    <mergeCell ref="G239:G242"/>
    <mergeCell ref="H239:H242"/>
    <mergeCell ref="I239:I242"/>
    <mergeCell ref="K261:K262"/>
    <mergeCell ref="C268:C272"/>
    <mergeCell ref="G268:G270"/>
    <mergeCell ref="H268:H270"/>
    <mergeCell ref="I268:I270"/>
    <mergeCell ref="J268:J270"/>
    <mergeCell ref="K268:K270"/>
    <mergeCell ref="I253:I254"/>
    <mergeCell ref="J253:J254"/>
    <mergeCell ref="K253:K254"/>
    <mergeCell ref="A261:A263"/>
    <mergeCell ref="B261:B263"/>
    <mergeCell ref="C261:C263"/>
    <mergeCell ref="D261:D263"/>
    <mergeCell ref="E261:E263"/>
    <mergeCell ref="F261:F263"/>
    <mergeCell ref="J261:J262"/>
    <mergeCell ref="G276:G277"/>
    <mergeCell ref="H276:H277"/>
    <mergeCell ref="I276:I277"/>
    <mergeCell ref="J276:J277"/>
    <mergeCell ref="K276:K277"/>
    <mergeCell ref="A278:A279"/>
    <mergeCell ref="B278:B279"/>
    <mergeCell ref="C278:C279"/>
    <mergeCell ref="A276:A277"/>
    <mergeCell ref="B276:B277"/>
    <mergeCell ref="C276:C277"/>
    <mergeCell ref="D276:D277"/>
    <mergeCell ref="E276:E277"/>
    <mergeCell ref="F276:F277"/>
    <mergeCell ref="A269:A272"/>
    <mergeCell ref="B269:B272"/>
    <mergeCell ref="G271:J271"/>
    <mergeCell ref="G272:J272"/>
    <mergeCell ref="A274:A275"/>
    <mergeCell ref="B274:B275"/>
    <mergeCell ref="C274:C275"/>
    <mergeCell ref="K287:K290"/>
    <mergeCell ref="A293:A294"/>
    <mergeCell ref="B293:B294"/>
    <mergeCell ref="C293:C294"/>
    <mergeCell ref="D293:D294"/>
    <mergeCell ref="E293:E294"/>
    <mergeCell ref="F293:F294"/>
    <mergeCell ref="J293:J294"/>
    <mergeCell ref="K293:K294"/>
    <mergeCell ref="J280:J282"/>
    <mergeCell ref="K280:K282"/>
    <mergeCell ref="G283:J283"/>
    <mergeCell ref="A285:A291"/>
    <mergeCell ref="B285:B291"/>
    <mergeCell ref="C287:C291"/>
    <mergeCell ref="D287:D291"/>
    <mergeCell ref="E287:E291"/>
    <mergeCell ref="F287:F291"/>
    <mergeCell ref="J287:J290"/>
    <mergeCell ref="A280:A283"/>
    <mergeCell ref="B280:B283"/>
    <mergeCell ref="C280:C283"/>
    <mergeCell ref="G280:G282"/>
    <mergeCell ref="H280:H282"/>
    <mergeCell ref="I280:I282"/>
    <mergeCell ref="A300:A301"/>
    <mergeCell ref="B300:B301"/>
    <mergeCell ref="C300:C301"/>
    <mergeCell ref="D300:D301"/>
    <mergeCell ref="E300:E301"/>
    <mergeCell ref="F300:F301"/>
    <mergeCell ref="J295:J296"/>
    <mergeCell ref="K295:K296"/>
    <mergeCell ref="A298:A299"/>
    <mergeCell ref="B298:B299"/>
    <mergeCell ref="C298:C299"/>
    <mergeCell ref="D298:D299"/>
    <mergeCell ref="E298:E299"/>
    <mergeCell ref="F298:F299"/>
    <mergeCell ref="A295:A296"/>
    <mergeCell ref="B295:B296"/>
    <mergeCell ref="C295:C296"/>
    <mergeCell ref="D295:D296"/>
    <mergeCell ref="E295:E296"/>
    <mergeCell ref="F295:F296"/>
    <mergeCell ref="A308:A309"/>
    <mergeCell ref="B308:B309"/>
    <mergeCell ref="A312:A313"/>
    <mergeCell ref="B312:B313"/>
    <mergeCell ref="C312:C313"/>
    <mergeCell ref="G312:G313"/>
    <mergeCell ref="J302:J303"/>
    <mergeCell ref="K302:K303"/>
    <mergeCell ref="A304:A305"/>
    <mergeCell ref="B304:B305"/>
    <mergeCell ref="C304:C305"/>
    <mergeCell ref="D304:D305"/>
    <mergeCell ref="E304:E305"/>
    <mergeCell ref="F304:F305"/>
    <mergeCell ref="J304:J305"/>
    <mergeCell ref="K304:K305"/>
    <mergeCell ref="A302:A303"/>
    <mergeCell ref="B302:B303"/>
    <mergeCell ref="C302:C303"/>
    <mergeCell ref="D302:D303"/>
    <mergeCell ref="E302:E303"/>
    <mergeCell ref="F302:F303"/>
    <mergeCell ref="F314:F316"/>
    <mergeCell ref="J314:J316"/>
    <mergeCell ref="K314:K316"/>
    <mergeCell ref="A321:A327"/>
    <mergeCell ref="B321:B327"/>
    <mergeCell ref="C321:C327"/>
    <mergeCell ref="D321:D327"/>
    <mergeCell ref="E321:E327"/>
    <mergeCell ref="F321:F327"/>
    <mergeCell ref="J321:J322"/>
    <mergeCell ref="H312:H313"/>
    <mergeCell ref="I312:I313"/>
    <mergeCell ref="J312:J313"/>
    <mergeCell ref="K312:K313"/>
    <mergeCell ref="L312:L313"/>
    <mergeCell ref="A314:A316"/>
    <mergeCell ref="B314:B316"/>
    <mergeCell ref="C314:C316"/>
    <mergeCell ref="D314:D316"/>
    <mergeCell ref="E314:E316"/>
    <mergeCell ref="J335:J336"/>
    <mergeCell ref="K335:K336"/>
    <mergeCell ref="A338:A339"/>
    <mergeCell ref="B338:B339"/>
    <mergeCell ref="C338:C339"/>
    <mergeCell ref="G339:J339"/>
    <mergeCell ref="A335:A336"/>
    <mergeCell ref="B335:B336"/>
    <mergeCell ref="C335:C336"/>
    <mergeCell ref="G335:G336"/>
    <mergeCell ref="H335:H336"/>
    <mergeCell ref="I335:I336"/>
    <mergeCell ref="K321:K322"/>
    <mergeCell ref="J323:J327"/>
    <mergeCell ref="K323:K327"/>
    <mergeCell ref="A330:A331"/>
    <mergeCell ref="B330:B331"/>
    <mergeCell ref="C330:C331"/>
    <mergeCell ref="D330:F331"/>
    <mergeCell ref="J348:J350"/>
    <mergeCell ref="K348:K350"/>
    <mergeCell ref="A351:A352"/>
    <mergeCell ref="B351:B352"/>
    <mergeCell ref="C351:C352"/>
    <mergeCell ref="A348:A350"/>
    <mergeCell ref="B348:B350"/>
    <mergeCell ref="C348:C350"/>
    <mergeCell ref="G348:G350"/>
    <mergeCell ref="H348:H350"/>
    <mergeCell ref="I348:I350"/>
    <mergeCell ref="J341:J342"/>
    <mergeCell ref="K341:K342"/>
    <mergeCell ref="A344:A345"/>
    <mergeCell ref="B344:B345"/>
    <mergeCell ref="C344:C345"/>
    <mergeCell ref="D344:D345"/>
    <mergeCell ref="E344:E345"/>
    <mergeCell ref="F344:F345"/>
    <mergeCell ref="A341:A342"/>
    <mergeCell ref="B341:B342"/>
    <mergeCell ref="C341:C342"/>
    <mergeCell ref="D341:D342"/>
    <mergeCell ref="E341:E342"/>
    <mergeCell ref="F341:F342"/>
    <mergeCell ref="A363:A364"/>
    <mergeCell ref="B363:B364"/>
    <mergeCell ref="C363:C364"/>
    <mergeCell ref="D364:F364"/>
    <mergeCell ref="A365:A367"/>
    <mergeCell ref="B365:B367"/>
    <mergeCell ref="C365:C367"/>
    <mergeCell ref="I356:I358"/>
    <mergeCell ref="J356:J358"/>
    <mergeCell ref="K356:K358"/>
    <mergeCell ref="A361:A362"/>
    <mergeCell ref="B361:B362"/>
    <mergeCell ref="C361:C362"/>
    <mergeCell ref="D361:D362"/>
    <mergeCell ref="E361:E362"/>
    <mergeCell ref="F361:F362"/>
    <mergeCell ref="A356:A358"/>
    <mergeCell ref="B356:B358"/>
    <mergeCell ref="C356:C358"/>
    <mergeCell ref="G356:G358"/>
    <mergeCell ref="H356:H358"/>
    <mergeCell ref="L368:P368"/>
    <mergeCell ref="A370:A372"/>
    <mergeCell ref="B370:B372"/>
    <mergeCell ref="C370:C372"/>
    <mergeCell ref="D370:D372"/>
    <mergeCell ref="E370:E372"/>
    <mergeCell ref="F370:F372"/>
    <mergeCell ref="J371:J372"/>
    <mergeCell ref="K371:K372"/>
    <mergeCell ref="L371:L372"/>
    <mergeCell ref="G366:K366"/>
    <mergeCell ref="A368:A369"/>
    <mergeCell ref="B368:B369"/>
    <mergeCell ref="C368:C369"/>
    <mergeCell ref="D368:D369"/>
    <mergeCell ref="E368:E369"/>
    <mergeCell ref="F368:F369"/>
    <mergeCell ref="A387:A388"/>
    <mergeCell ref="B387:B388"/>
    <mergeCell ref="C387:C388"/>
    <mergeCell ref="D387:D388"/>
    <mergeCell ref="E387:E388"/>
    <mergeCell ref="F387:F388"/>
    <mergeCell ref="G377:J377"/>
    <mergeCell ref="G378:J378"/>
    <mergeCell ref="D379:F379"/>
    <mergeCell ref="D380:F384"/>
    <mergeCell ref="A385:A386"/>
    <mergeCell ref="B385:B386"/>
    <mergeCell ref="C385:C386"/>
    <mergeCell ref="D385:D386"/>
    <mergeCell ref="E385:E386"/>
    <mergeCell ref="F385:F386"/>
    <mergeCell ref="A375:A376"/>
    <mergeCell ref="B375:B376"/>
    <mergeCell ref="C375:C376"/>
    <mergeCell ref="D376:F376"/>
    <mergeCell ref="A377:A384"/>
    <mergeCell ref="B377:B384"/>
    <mergeCell ref="C377:C384"/>
    <mergeCell ref="A400:A401"/>
    <mergeCell ref="B400:B401"/>
    <mergeCell ref="C400:C401"/>
    <mergeCell ref="D400:D401"/>
    <mergeCell ref="E400:E401"/>
    <mergeCell ref="F400:F401"/>
    <mergeCell ref="L392:L395"/>
    <mergeCell ref="J393:J395"/>
    <mergeCell ref="K393:K395"/>
    <mergeCell ref="C396:C398"/>
    <mergeCell ref="D396:F397"/>
    <mergeCell ref="G398:J398"/>
    <mergeCell ref="J389:J390"/>
    <mergeCell ref="K389:K390"/>
    <mergeCell ref="A392:A398"/>
    <mergeCell ref="B392:B398"/>
    <mergeCell ref="C392:C395"/>
    <mergeCell ref="D392:D395"/>
    <mergeCell ref="E392:E395"/>
    <mergeCell ref="F392:F395"/>
    <mergeCell ref="G392:J392"/>
    <mergeCell ref="A389:A390"/>
    <mergeCell ref="B389:B390"/>
    <mergeCell ref="C389:C390"/>
    <mergeCell ref="G389:G390"/>
    <mergeCell ref="H389:H390"/>
    <mergeCell ref="I389:I390"/>
    <mergeCell ref="A407:A408"/>
    <mergeCell ref="B407:B408"/>
    <mergeCell ref="C407:C408"/>
    <mergeCell ref="D407:D408"/>
    <mergeCell ref="E407:E408"/>
    <mergeCell ref="F407:F408"/>
    <mergeCell ref="A405:A406"/>
    <mergeCell ref="B405:B406"/>
    <mergeCell ref="C405:C406"/>
    <mergeCell ref="D405:D406"/>
    <mergeCell ref="E405:E406"/>
    <mergeCell ref="F405:F406"/>
    <mergeCell ref="A403:A404"/>
    <mergeCell ref="B403:B404"/>
    <mergeCell ref="C403:C404"/>
    <mergeCell ref="D403:D404"/>
    <mergeCell ref="E403:E404"/>
    <mergeCell ref="F403:F404"/>
    <mergeCell ref="L414:L415"/>
    <mergeCell ref="G416:G418"/>
    <mergeCell ref="H416:H418"/>
    <mergeCell ref="I416:I418"/>
    <mergeCell ref="A419:A431"/>
    <mergeCell ref="B419:B421"/>
    <mergeCell ref="C419:C421"/>
    <mergeCell ref="D419:D421"/>
    <mergeCell ref="E419:E421"/>
    <mergeCell ref="F419:F421"/>
    <mergeCell ref="K411:K412"/>
    <mergeCell ref="L411:L412"/>
    <mergeCell ref="A414:A418"/>
    <mergeCell ref="B414:B418"/>
    <mergeCell ref="C414:C418"/>
    <mergeCell ref="G414:G415"/>
    <mergeCell ref="H414:H415"/>
    <mergeCell ref="I414:I415"/>
    <mergeCell ref="J414:J418"/>
    <mergeCell ref="K414:K418"/>
    <mergeCell ref="A411:A413"/>
    <mergeCell ref="B411:B413"/>
    <mergeCell ref="G411:G412"/>
    <mergeCell ref="H411:H412"/>
    <mergeCell ref="I411:I412"/>
    <mergeCell ref="J411:J412"/>
    <mergeCell ref="A437:A438"/>
    <mergeCell ref="B437:B438"/>
    <mergeCell ref="C437:C438"/>
    <mergeCell ref="D437:D438"/>
    <mergeCell ref="E437:E438"/>
    <mergeCell ref="F437:F438"/>
    <mergeCell ref="A435:A436"/>
    <mergeCell ref="B435:B436"/>
    <mergeCell ref="C435:C436"/>
    <mergeCell ref="D435:D436"/>
    <mergeCell ref="E435:E436"/>
    <mergeCell ref="F435:F436"/>
    <mergeCell ref="D426:F426"/>
    <mergeCell ref="B427:B428"/>
    <mergeCell ref="D427:F427"/>
    <mergeCell ref="D428:F428"/>
    <mergeCell ref="A432:A433"/>
    <mergeCell ref="B432:B433"/>
    <mergeCell ref="C432:C433"/>
    <mergeCell ref="A446:A447"/>
    <mergeCell ref="B446:B447"/>
    <mergeCell ref="C446:C447"/>
    <mergeCell ref="D446:D447"/>
    <mergeCell ref="E446:E447"/>
    <mergeCell ref="F446:F447"/>
    <mergeCell ref="A443:A445"/>
    <mergeCell ref="B443:B445"/>
    <mergeCell ref="C443:C444"/>
    <mergeCell ref="D443:D444"/>
    <mergeCell ref="E443:E444"/>
    <mergeCell ref="F443:F444"/>
    <mergeCell ref="J439:J440"/>
    <mergeCell ref="K439:K440"/>
    <mergeCell ref="L439:L440"/>
    <mergeCell ref="G441:G442"/>
    <mergeCell ref="H441:H442"/>
    <mergeCell ref="I441:I442"/>
    <mergeCell ref="J441:J442"/>
    <mergeCell ref="K441:K442"/>
    <mergeCell ref="L441:L442"/>
    <mergeCell ref="A439:A442"/>
    <mergeCell ref="B439:B442"/>
    <mergeCell ref="C439:C442"/>
    <mergeCell ref="G439:G440"/>
    <mergeCell ref="H439:H440"/>
    <mergeCell ref="I439:I440"/>
    <mergeCell ref="A456:A457"/>
    <mergeCell ref="B456:B457"/>
    <mergeCell ref="C456:C457"/>
    <mergeCell ref="D456:D457"/>
    <mergeCell ref="E456:E457"/>
    <mergeCell ref="F456:F457"/>
    <mergeCell ref="A454:A455"/>
    <mergeCell ref="B454:B455"/>
    <mergeCell ref="C454:C455"/>
    <mergeCell ref="D454:D455"/>
    <mergeCell ref="E454:E455"/>
    <mergeCell ref="F454:F455"/>
    <mergeCell ref="G448:J448"/>
    <mergeCell ref="J450:J451"/>
    <mergeCell ref="K450:K451"/>
    <mergeCell ref="L450:L451"/>
    <mergeCell ref="A452:A453"/>
    <mergeCell ref="B452:B453"/>
    <mergeCell ref="C452:C453"/>
    <mergeCell ref="D452:D453"/>
    <mergeCell ref="E452:E453"/>
    <mergeCell ref="F452:F453"/>
    <mergeCell ref="A448:A451"/>
    <mergeCell ref="B448:B451"/>
    <mergeCell ref="C448:C451"/>
    <mergeCell ref="D448:D451"/>
    <mergeCell ref="E448:E451"/>
    <mergeCell ref="F448:F451"/>
    <mergeCell ref="D463:D464"/>
    <mergeCell ref="E463:E464"/>
    <mergeCell ref="F463:F464"/>
    <mergeCell ref="C465:C466"/>
    <mergeCell ref="G465:G466"/>
    <mergeCell ref="H465:H466"/>
    <mergeCell ref="A461:A462"/>
    <mergeCell ref="B461:B462"/>
    <mergeCell ref="C461:C462"/>
    <mergeCell ref="A463:A464"/>
    <mergeCell ref="B463:B464"/>
    <mergeCell ref="C463:C464"/>
    <mergeCell ref="A458:A460"/>
    <mergeCell ref="B458:B460"/>
    <mergeCell ref="C458:C460"/>
    <mergeCell ref="D458:D460"/>
    <mergeCell ref="E458:E460"/>
    <mergeCell ref="F458:F460"/>
    <mergeCell ref="K467:K468"/>
    <mergeCell ref="A469:A472"/>
    <mergeCell ref="B469:B472"/>
    <mergeCell ref="C469:C472"/>
    <mergeCell ref="G469:G470"/>
    <mergeCell ref="H469:H470"/>
    <mergeCell ref="I469:I470"/>
    <mergeCell ref="J469:J470"/>
    <mergeCell ref="K469:K470"/>
    <mergeCell ref="D471:D472"/>
    <mergeCell ref="I465:I466"/>
    <mergeCell ref="J465:J466"/>
    <mergeCell ref="K465:K466"/>
    <mergeCell ref="A467:A468"/>
    <mergeCell ref="B467:B468"/>
    <mergeCell ref="C467:C468"/>
    <mergeCell ref="G467:G468"/>
    <mergeCell ref="H467:H468"/>
    <mergeCell ref="I467:I468"/>
    <mergeCell ref="J467:J468"/>
    <mergeCell ref="J479:J480"/>
    <mergeCell ref="K479:K480"/>
    <mergeCell ref="A482:A483"/>
    <mergeCell ref="B482:B483"/>
    <mergeCell ref="C482:C483"/>
    <mergeCell ref="D482:D483"/>
    <mergeCell ref="E482:E483"/>
    <mergeCell ref="F482:F483"/>
    <mergeCell ref="J482:J483"/>
    <mergeCell ref="K482:K483"/>
    <mergeCell ref="E471:E472"/>
    <mergeCell ref="F471:F472"/>
    <mergeCell ref="G471:J471"/>
    <mergeCell ref="G472:J472"/>
    <mergeCell ref="A479:A480"/>
    <mergeCell ref="B479:B480"/>
    <mergeCell ref="C479:C480"/>
    <mergeCell ref="D479:D480"/>
    <mergeCell ref="E479:E480"/>
    <mergeCell ref="F479:F480"/>
    <mergeCell ref="L496:L497"/>
    <mergeCell ref="A499:A500"/>
    <mergeCell ref="B499:B500"/>
    <mergeCell ref="C499:C500"/>
    <mergeCell ref="G499:J499"/>
    <mergeCell ref="J485:J486"/>
    <mergeCell ref="K485:K486"/>
    <mergeCell ref="G487:J487"/>
    <mergeCell ref="L487:L488"/>
    <mergeCell ref="G488:J488"/>
    <mergeCell ref="A496:A497"/>
    <mergeCell ref="C496:C497"/>
    <mergeCell ref="G496:G497"/>
    <mergeCell ref="H496:H497"/>
    <mergeCell ref="I496:I497"/>
    <mergeCell ref="A485:A489"/>
    <mergeCell ref="B485:B489"/>
    <mergeCell ref="C485:C489"/>
    <mergeCell ref="G485:G486"/>
    <mergeCell ref="H485:H486"/>
    <mergeCell ref="I485:I486"/>
    <mergeCell ref="D509:D510"/>
    <mergeCell ref="E509:E510"/>
    <mergeCell ref="F509:F510"/>
    <mergeCell ref="J509:J510"/>
    <mergeCell ref="K509:K510"/>
    <mergeCell ref="A511:A512"/>
    <mergeCell ref="B511:B512"/>
    <mergeCell ref="C511:C512"/>
    <mergeCell ref="G511:G512"/>
    <mergeCell ref="H511:H512"/>
    <mergeCell ref="A502:A503"/>
    <mergeCell ref="B502:B503"/>
    <mergeCell ref="C502:C503"/>
    <mergeCell ref="A509:A510"/>
    <mergeCell ref="B509:B510"/>
    <mergeCell ref="C509:C510"/>
    <mergeCell ref="J496:J497"/>
    <mergeCell ref="K496:K497"/>
    <mergeCell ref="J513:J515"/>
    <mergeCell ref="K513:K515"/>
    <mergeCell ref="A517:A524"/>
    <mergeCell ref="B517:B524"/>
    <mergeCell ref="C517:C524"/>
    <mergeCell ref="G517:G524"/>
    <mergeCell ref="H517:H524"/>
    <mergeCell ref="I517:I524"/>
    <mergeCell ref="J517:J524"/>
    <mergeCell ref="K517:K524"/>
    <mergeCell ref="I511:I512"/>
    <mergeCell ref="J511:J512"/>
    <mergeCell ref="K511:K512"/>
    <mergeCell ref="L511:L512"/>
    <mergeCell ref="A513:A516"/>
    <mergeCell ref="B513:B516"/>
    <mergeCell ref="C513:C516"/>
    <mergeCell ref="G513:G515"/>
    <mergeCell ref="H513:H515"/>
    <mergeCell ref="I513:I515"/>
    <mergeCell ref="G528:G529"/>
    <mergeCell ref="H528:H529"/>
    <mergeCell ref="I528:I529"/>
    <mergeCell ref="J528:J529"/>
    <mergeCell ref="K528:K529"/>
    <mergeCell ref="L528:L529"/>
    <mergeCell ref="I525:I527"/>
    <mergeCell ref="J525:J527"/>
    <mergeCell ref="K525:K527"/>
    <mergeCell ref="L525:L527"/>
    <mergeCell ref="A528:A529"/>
    <mergeCell ref="B528:B529"/>
    <mergeCell ref="C528:C529"/>
    <mergeCell ref="D528:D529"/>
    <mergeCell ref="E528:E529"/>
    <mergeCell ref="F528:F529"/>
    <mergeCell ref="D522:F523"/>
    <mergeCell ref="A525:A527"/>
    <mergeCell ref="B525:B527"/>
    <mergeCell ref="C525:C527"/>
    <mergeCell ref="G525:G527"/>
    <mergeCell ref="H525:H527"/>
    <mergeCell ref="K539:K540"/>
    <mergeCell ref="G542:G543"/>
    <mergeCell ref="H542:H543"/>
    <mergeCell ref="I542:I543"/>
    <mergeCell ref="J542:J543"/>
    <mergeCell ref="K542:K543"/>
    <mergeCell ref="I536:I538"/>
    <mergeCell ref="J536:J538"/>
    <mergeCell ref="K536:K538"/>
    <mergeCell ref="A539:A540"/>
    <mergeCell ref="B539:B540"/>
    <mergeCell ref="C539:C540"/>
    <mergeCell ref="G539:G540"/>
    <mergeCell ref="H539:H540"/>
    <mergeCell ref="I539:I540"/>
    <mergeCell ref="J539:J540"/>
    <mergeCell ref="J533:J535"/>
    <mergeCell ref="K533:K535"/>
    <mergeCell ref="D534:D535"/>
    <mergeCell ref="E534:E535"/>
    <mergeCell ref="F534:F535"/>
    <mergeCell ref="A536:A538"/>
    <mergeCell ref="B536:B538"/>
    <mergeCell ref="C536:C538"/>
    <mergeCell ref="G536:G538"/>
    <mergeCell ref="H536:H538"/>
    <mergeCell ref="A533:A535"/>
    <mergeCell ref="B533:B535"/>
    <mergeCell ref="C533:C535"/>
    <mergeCell ref="G533:G535"/>
    <mergeCell ref="H533:H535"/>
    <mergeCell ref="I533:I535"/>
    <mergeCell ref="K547:K548"/>
    <mergeCell ref="A551:A552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L542:L543"/>
    <mergeCell ref="A544:A545"/>
    <mergeCell ref="C544:C545"/>
    <mergeCell ref="A547:A548"/>
    <mergeCell ref="B547:B548"/>
    <mergeCell ref="C547:C548"/>
    <mergeCell ref="D547:D548"/>
    <mergeCell ref="E547:E548"/>
    <mergeCell ref="F547:F548"/>
    <mergeCell ref="J547:J548"/>
    <mergeCell ref="G567:J569"/>
    <mergeCell ref="K567:K569"/>
    <mergeCell ref="L567:L569"/>
    <mergeCell ref="D568:F568"/>
    <mergeCell ref="G570:J571"/>
    <mergeCell ref="K570:K571"/>
    <mergeCell ref="L561:L563"/>
    <mergeCell ref="D562:E562"/>
    <mergeCell ref="D563:E563"/>
    <mergeCell ref="A564:A571"/>
    <mergeCell ref="B564:B571"/>
    <mergeCell ref="C564:C571"/>
    <mergeCell ref="G564:J566"/>
    <mergeCell ref="K564:K566"/>
    <mergeCell ref="L564:L566"/>
    <mergeCell ref="D566:E566"/>
    <mergeCell ref="J551:J552"/>
    <mergeCell ref="K551:K552"/>
    <mergeCell ref="A557:A563"/>
    <mergeCell ref="B557:B563"/>
    <mergeCell ref="C557:C563"/>
    <mergeCell ref="G557:J560"/>
    <mergeCell ref="K557:K560"/>
    <mergeCell ref="D560:E560"/>
    <mergeCell ref="G561:J563"/>
    <mergeCell ref="K561:K563"/>
    <mergeCell ref="J586:J587"/>
    <mergeCell ref="K586:K587"/>
    <mergeCell ref="A589:A590"/>
    <mergeCell ref="B589:B590"/>
    <mergeCell ref="C589:C590"/>
    <mergeCell ref="A595:A596"/>
    <mergeCell ref="B595:B596"/>
    <mergeCell ref="C595:C596"/>
    <mergeCell ref="D595:D596"/>
    <mergeCell ref="E595:E596"/>
    <mergeCell ref="A586:A587"/>
    <mergeCell ref="B586:B587"/>
    <mergeCell ref="C586:C587"/>
    <mergeCell ref="D586:D587"/>
    <mergeCell ref="E586:E587"/>
    <mergeCell ref="F586:F587"/>
    <mergeCell ref="A573:A574"/>
    <mergeCell ref="B573:B574"/>
    <mergeCell ref="C573:C574"/>
    <mergeCell ref="G574:J574"/>
    <mergeCell ref="A582:A584"/>
    <mergeCell ref="B582:B584"/>
    <mergeCell ref="C582:C584"/>
    <mergeCell ref="G583:J583"/>
    <mergeCell ref="J602:J603"/>
    <mergeCell ref="K602:K603"/>
    <mergeCell ref="L602:L603"/>
    <mergeCell ref="A604:A605"/>
    <mergeCell ref="B604:B605"/>
    <mergeCell ref="C604:C605"/>
    <mergeCell ref="D604:D605"/>
    <mergeCell ref="E604:E605"/>
    <mergeCell ref="F604:F605"/>
    <mergeCell ref="A601:A603"/>
    <mergeCell ref="B601:B603"/>
    <mergeCell ref="C601:C603"/>
    <mergeCell ref="D601:D603"/>
    <mergeCell ref="E601:E603"/>
    <mergeCell ref="F601:F603"/>
    <mergeCell ref="F595:F596"/>
    <mergeCell ref="A599:A600"/>
    <mergeCell ref="B599:B600"/>
    <mergeCell ref="C599:C600"/>
    <mergeCell ref="D599:D600"/>
    <mergeCell ref="E599:E600"/>
    <mergeCell ref="F599:F600"/>
    <mergeCell ref="G614:J614"/>
    <mergeCell ref="G615:J615"/>
    <mergeCell ref="G616:J616"/>
    <mergeCell ref="G617:J617"/>
    <mergeCell ref="G618:J618"/>
    <mergeCell ref="D610:D614"/>
    <mergeCell ref="E610:E614"/>
    <mergeCell ref="F610:F614"/>
    <mergeCell ref="G610:J610"/>
    <mergeCell ref="G611:J611"/>
    <mergeCell ref="G612:J612"/>
    <mergeCell ref="A606:A607"/>
    <mergeCell ref="B606:B607"/>
    <mergeCell ref="C606:C607"/>
    <mergeCell ref="D606:D607"/>
    <mergeCell ref="E606:E607"/>
    <mergeCell ref="F606:F607"/>
    <mergeCell ref="G642:J642"/>
    <mergeCell ref="C643:C644"/>
    <mergeCell ref="D643:D644"/>
    <mergeCell ref="E643:E644"/>
    <mergeCell ref="F643:F644"/>
    <mergeCell ref="J643:J644"/>
    <mergeCell ref="K643:K644"/>
    <mergeCell ref="G634:J634"/>
    <mergeCell ref="G635:J635"/>
    <mergeCell ref="A636:A644"/>
    <mergeCell ref="B636:B644"/>
    <mergeCell ref="C636:C642"/>
    <mergeCell ref="D636:D640"/>
    <mergeCell ref="E636:E640"/>
    <mergeCell ref="F636:F640"/>
    <mergeCell ref="A608:A635"/>
    <mergeCell ref="B608:B635"/>
    <mergeCell ref="C608:C635"/>
    <mergeCell ref="G609:J609"/>
    <mergeCell ref="G624:J624"/>
    <mergeCell ref="G625:J625"/>
    <mergeCell ref="G626:J626"/>
    <mergeCell ref="D627:F631"/>
    <mergeCell ref="G627:J627"/>
    <mergeCell ref="G632:J632"/>
    <mergeCell ref="G619:J619"/>
    <mergeCell ref="G620:J620"/>
    <mergeCell ref="D621:F621"/>
    <mergeCell ref="G621:J621"/>
    <mergeCell ref="G622:J622"/>
    <mergeCell ref="G623:J623"/>
    <mergeCell ref="G613:J613"/>
    <mergeCell ref="J654:J655"/>
    <mergeCell ref="K654:K655"/>
    <mergeCell ref="A658:A660"/>
    <mergeCell ref="B658:B660"/>
    <mergeCell ref="C658:C660"/>
    <mergeCell ref="J658:J660"/>
    <mergeCell ref="K658:K660"/>
    <mergeCell ref="D660:E660"/>
    <mergeCell ref="A654:A655"/>
    <mergeCell ref="B654:B655"/>
    <mergeCell ref="C654:C655"/>
    <mergeCell ref="G654:G655"/>
    <mergeCell ref="H654:H655"/>
    <mergeCell ref="I654:I655"/>
    <mergeCell ref="J646:J647"/>
    <mergeCell ref="K646:K647"/>
    <mergeCell ref="A650:A651"/>
    <mergeCell ref="B650:B651"/>
    <mergeCell ref="C650:C651"/>
    <mergeCell ref="G650:G651"/>
    <mergeCell ref="H650:H651"/>
    <mergeCell ref="I650:I651"/>
    <mergeCell ref="J650:J651"/>
    <mergeCell ref="K650:K651"/>
    <mergeCell ref="A646:A647"/>
    <mergeCell ref="B646:B647"/>
    <mergeCell ref="C646:C647"/>
    <mergeCell ref="D646:D647"/>
    <mergeCell ref="E646:E647"/>
    <mergeCell ref="F646:F647"/>
    <mergeCell ref="I666:I667"/>
    <mergeCell ref="J666:J667"/>
    <mergeCell ref="K666:K667"/>
    <mergeCell ref="G668:J668"/>
    <mergeCell ref="G669:J669"/>
    <mergeCell ref="A672:A674"/>
    <mergeCell ref="B672:B674"/>
    <mergeCell ref="C672:C674"/>
    <mergeCell ref="G672:G674"/>
    <mergeCell ref="H672:H674"/>
    <mergeCell ref="J661:J662"/>
    <mergeCell ref="K661:K662"/>
    <mergeCell ref="G663:J663"/>
    <mergeCell ref="K663:K665"/>
    <mergeCell ref="G664:J664"/>
    <mergeCell ref="A666:A670"/>
    <mergeCell ref="B666:B670"/>
    <mergeCell ref="C666:C670"/>
    <mergeCell ref="G666:G667"/>
    <mergeCell ref="H666:H667"/>
    <mergeCell ref="A661:A665"/>
    <mergeCell ref="B661:B665"/>
    <mergeCell ref="C661:C665"/>
    <mergeCell ref="G661:G662"/>
    <mergeCell ref="H661:H662"/>
    <mergeCell ref="I661:I662"/>
    <mergeCell ref="K677:K678"/>
    <mergeCell ref="A679:A680"/>
    <mergeCell ref="B679:B680"/>
    <mergeCell ref="C679:C680"/>
    <mergeCell ref="D679:D680"/>
    <mergeCell ref="E679:E680"/>
    <mergeCell ref="F679:F680"/>
    <mergeCell ref="J679:J680"/>
    <mergeCell ref="K679:K680"/>
    <mergeCell ref="I672:I674"/>
    <mergeCell ref="J672:J674"/>
    <mergeCell ref="K672:K674"/>
    <mergeCell ref="A677:A678"/>
    <mergeCell ref="B677:B678"/>
    <mergeCell ref="C677:C678"/>
    <mergeCell ref="D677:D678"/>
    <mergeCell ref="E677:E678"/>
    <mergeCell ref="F677:F678"/>
    <mergeCell ref="J677:J678"/>
    <mergeCell ref="J688:J689"/>
    <mergeCell ref="K688:K689"/>
    <mergeCell ref="L688:L689"/>
    <mergeCell ref="A691:A698"/>
    <mergeCell ref="B691:B698"/>
    <mergeCell ref="C691:C698"/>
    <mergeCell ref="G691:G697"/>
    <mergeCell ref="H691:H697"/>
    <mergeCell ref="I691:I697"/>
    <mergeCell ref="J691:J697"/>
    <mergeCell ref="A688:A689"/>
    <mergeCell ref="B688:B689"/>
    <mergeCell ref="C688:C689"/>
    <mergeCell ref="G688:G689"/>
    <mergeCell ref="H688:H689"/>
    <mergeCell ref="I688:I689"/>
    <mergeCell ref="L679:L680"/>
    <mergeCell ref="A682:A686"/>
    <mergeCell ref="B682:B686"/>
    <mergeCell ref="C682:C686"/>
    <mergeCell ref="G683:J683"/>
    <mergeCell ref="L683:L685"/>
    <mergeCell ref="G684:J684"/>
    <mergeCell ref="G685:J685"/>
    <mergeCell ref="D706:E706"/>
    <mergeCell ref="G707:K707"/>
    <mergeCell ref="G708:K708"/>
    <mergeCell ref="G709:K709"/>
    <mergeCell ref="G710:K710"/>
    <mergeCell ref="D711:E711"/>
    <mergeCell ref="G711:K711"/>
    <mergeCell ref="K691:K697"/>
    <mergeCell ref="G698:J698"/>
    <mergeCell ref="A700:A739"/>
    <mergeCell ref="B700:B739"/>
    <mergeCell ref="C700:C739"/>
    <mergeCell ref="G701:K701"/>
    <mergeCell ref="G702:K702"/>
    <mergeCell ref="G703:K703"/>
    <mergeCell ref="G704:K704"/>
    <mergeCell ref="G705:K705"/>
    <mergeCell ref="G717:K717"/>
    <mergeCell ref="G718:K718"/>
    <mergeCell ref="G719:K719"/>
    <mergeCell ref="G720:K720"/>
    <mergeCell ref="D721:E723"/>
    <mergeCell ref="F721:F723"/>
    <mergeCell ref="G721:K721"/>
    <mergeCell ref="H722:H723"/>
    <mergeCell ref="I722:I723"/>
    <mergeCell ref="J722:J723"/>
    <mergeCell ref="G712:K712"/>
    <mergeCell ref="G713:K713"/>
    <mergeCell ref="D714:E714"/>
    <mergeCell ref="G714:K714"/>
    <mergeCell ref="G715:K715"/>
    <mergeCell ref="D716:E716"/>
    <mergeCell ref="G716:K716"/>
    <mergeCell ref="K735:K739"/>
    <mergeCell ref="A741:A742"/>
    <mergeCell ref="B741:B742"/>
    <mergeCell ref="C741:C742"/>
    <mergeCell ref="D741:D742"/>
    <mergeCell ref="E741:E742"/>
    <mergeCell ref="F741:F742"/>
    <mergeCell ref="G729:K729"/>
    <mergeCell ref="G730:K730"/>
    <mergeCell ref="G731:K731"/>
    <mergeCell ref="D732:E732"/>
    <mergeCell ref="G733:J733"/>
    <mergeCell ref="G734:K734"/>
    <mergeCell ref="K722:K723"/>
    <mergeCell ref="G724:K724"/>
    <mergeCell ref="G725:K725"/>
    <mergeCell ref="G726:K726"/>
    <mergeCell ref="G727:K727"/>
    <mergeCell ref="G728:K728"/>
    <mergeCell ref="E754:F754"/>
    <mergeCell ref="A755:A756"/>
    <mergeCell ref="B755:B756"/>
    <mergeCell ref="C755:C756"/>
    <mergeCell ref="G755:J755"/>
    <mergeCell ref="G756:J758"/>
    <mergeCell ref="A757:A758"/>
    <mergeCell ref="B757:B758"/>
    <mergeCell ref="C757:C758"/>
    <mergeCell ref="D757:D758"/>
    <mergeCell ref="A749:A750"/>
    <mergeCell ref="B749:B750"/>
    <mergeCell ref="C749:C750"/>
    <mergeCell ref="D749:D750"/>
    <mergeCell ref="E749:E750"/>
    <mergeCell ref="F749:F750"/>
    <mergeCell ref="D735:E739"/>
    <mergeCell ref="F735:F739"/>
    <mergeCell ref="J735:J739"/>
    <mergeCell ref="J769:J771"/>
    <mergeCell ref="K769:K771"/>
    <mergeCell ref="L769:L770"/>
    <mergeCell ref="G770:G771"/>
    <mergeCell ref="H770:H771"/>
    <mergeCell ref="I770:I771"/>
    <mergeCell ref="A764:A765"/>
    <mergeCell ref="B764:B765"/>
    <mergeCell ref="C764:C765"/>
    <mergeCell ref="A769:A771"/>
    <mergeCell ref="B769:B771"/>
    <mergeCell ref="C769:C771"/>
    <mergeCell ref="E757:E758"/>
    <mergeCell ref="F757:F758"/>
    <mergeCell ref="K757:K758"/>
    <mergeCell ref="G759:J759"/>
    <mergeCell ref="A761:A763"/>
    <mergeCell ref="B761:B763"/>
    <mergeCell ref="J788:J789"/>
    <mergeCell ref="K788:K789"/>
    <mergeCell ref="A790:A794"/>
    <mergeCell ref="B790:B794"/>
    <mergeCell ref="C790:C794"/>
    <mergeCell ref="D791:F793"/>
    <mergeCell ref="J791:J793"/>
    <mergeCell ref="K791:K793"/>
    <mergeCell ref="A788:A789"/>
    <mergeCell ref="B788:B789"/>
    <mergeCell ref="C788:C789"/>
    <mergeCell ref="G788:G789"/>
    <mergeCell ref="H788:H789"/>
    <mergeCell ref="I788:I789"/>
    <mergeCell ref="A772:A785"/>
    <mergeCell ref="B772:B785"/>
    <mergeCell ref="G779:G780"/>
    <mergeCell ref="H779:I780"/>
    <mergeCell ref="C779:C785"/>
    <mergeCell ref="D779:D785"/>
    <mergeCell ref="E779:E785"/>
    <mergeCell ref="F779:F785"/>
    <mergeCell ref="J779:J785"/>
    <mergeCell ref="K779:K785"/>
    <mergeCell ref="G772:I773"/>
    <mergeCell ref="J772:J778"/>
    <mergeCell ref="K772:K778"/>
    <mergeCell ref="C772:C778"/>
    <mergeCell ref="D772:D778"/>
    <mergeCell ref="E772:E778"/>
    <mergeCell ref="F772:F778"/>
    <mergeCell ref="G802:G804"/>
    <mergeCell ref="H802:H804"/>
    <mergeCell ref="I802:I804"/>
    <mergeCell ref="J802:J804"/>
    <mergeCell ref="K802:K804"/>
    <mergeCell ref="A805:A808"/>
    <mergeCell ref="B805:B808"/>
    <mergeCell ref="C805:C808"/>
    <mergeCell ref="G805:G806"/>
    <mergeCell ref="H805:H806"/>
    <mergeCell ref="A802:A804"/>
    <mergeCell ref="B802:B804"/>
    <mergeCell ref="C802:C804"/>
    <mergeCell ref="D802:D804"/>
    <mergeCell ref="E802:E804"/>
    <mergeCell ref="F802:F804"/>
    <mergeCell ref="J796:J797"/>
    <mergeCell ref="K796:K797"/>
    <mergeCell ref="A800:A801"/>
    <mergeCell ref="B800:B801"/>
    <mergeCell ref="C800:C801"/>
    <mergeCell ref="D800:D801"/>
    <mergeCell ref="E800:E801"/>
    <mergeCell ref="F800:F801"/>
    <mergeCell ref="J800:J801"/>
    <mergeCell ref="K800:K801"/>
    <mergeCell ref="A796:A797"/>
    <mergeCell ref="B796:B797"/>
    <mergeCell ref="C796:C797"/>
    <mergeCell ref="G796:G797"/>
    <mergeCell ref="H796:H797"/>
    <mergeCell ref="I796:I797"/>
    <mergeCell ref="A809:A810"/>
    <mergeCell ref="B809:B810"/>
    <mergeCell ref="G810:J810"/>
    <mergeCell ref="A812:A817"/>
    <mergeCell ref="B812:B817"/>
    <mergeCell ref="C812:C817"/>
    <mergeCell ref="G813:J813"/>
    <mergeCell ref="G814:J814"/>
    <mergeCell ref="G815:J815"/>
    <mergeCell ref="G816:J816"/>
    <mergeCell ref="I805:I806"/>
    <mergeCell ref="J805:J806"/>
    <mergeCell ref="K805:K806"/>
    <mergeCell ref="G807:G808"/>
    <mergeCell ref="H807:H808"/>
    <mergeCell ref="I807:I808"/>
    <mergeCell ref="J807:J808"/>
    <mergeCell ref="K807:K808"/>
    <mergeCell ref="L821:L823"/>
    <mergeCell ref="G822:J822"/>
    <mergeCell ref="G823:J823"/>
    <mergeCell ref="A825:A829"/>
    <mergeCell ref="B825:B829"/>
    <mergeCell ref="C825:C829"/>
    <mergeCell ref="D825:D829"/>
    <mergeCell ref="E825:E829"/>
    <mergeCell ref="F825:F829"/>
    <mergeCell ref="J825:J828"/>
    <mergeCell ref="J819:J820"/>
    <mergeCell ref="K819:K820"/>
    <mergeCell ref="D821:D823"/>
    <mergeCell ref="E821:E823"/>
    <mergeCell ref="F821:F823"/>
    <mergeCell ref="G821:J821"/>
    <mergeCell ref="A819:A823"/>
    <mergeCell ref="B819:B823"/>
    <mergeCell ref="C819:C823"/>
    <mergeCell ref="G819:G820"/>
    <mergeCell ref="H819:H820"/>
    <mergeCell ref="I819:I820"/>
    <mergeCell ref="G841:J841"/>
    <mergeCell ref="G842:J842"/>
    <mergeCell ref="G843:J843"/>
    <mergeCell ref="D844:D845"/>
    <mergeCell ref="E844:E845"/>
    <mergeCell ref="F844:F845"/>
    <mergeCell ref="G844:G845"/>
    <mergeCell ref="H844:H845"/>
    <mergeCell ref="I844:I845"/>
    <mergeCell ref="J844:J845"/>
    <mergeCell ref="K825:K828"/>
    <mergeCell ref="L825:L827"/>
    <mergeCell ref="A838:A846"/>
    <mergeCell ref="B838:B846"/>
    <mergeCell ref="C838:C846"/>
    <mergeCell ref="G838:G840"/>
    <mergeCell ref="H838:H840"/>
    <mergeCell ref="I838:I840"/>
    <mergeCell ref="J838:J840"/>
    <mergeCell ref="K838:K840"/>
    <mergeCell ref="A853:A856"/>
    <mergeCell ref="B853:B856"/>
    <mergeCell ref="C853:C856"/>
    <mergeCell ref="G854:J854"/>
    <mergeCell ref="L854:L856"/>
    <mergeCell ref="G855:J855"/>
    <mergeCell ref="G856:J856"/>
    <mergeCell ref="A851:A852"/>
    <mergeCell ref="B851:B852"/>
    <mergeCell ref="C851:C852"/>
    <mergeCell ref="D851:D852"/>
    <mergeCell ref="E851:E852"/>
    <mergeCell ref="F851:F852"/>
    <mergeCell ref="G846:J846"/>
    <mergeCell ref="A847:A849"/>
    <mergeCell ref="B847:B849"/>
    <mergeCell ref="C847:C849"/>
    <mergeCell ref="D848:F848"/>
    <mergeCell ref="D849:F849"/>
    <mergeCell ref="J868:J872"/>
    <mergeCell ref="K868:K872"/>
    <mergeCell ref="A873:A874"/>
    <mergeCell ref="B873:B874"/>
    <mergeCell ref="C873:C874"/>
    <mergeCell ref="D873:D874"/>
    <mergeCell ref="E873:E874"/>
    <mergeCell ref="F873:F874"/>
    <mergeCell ref="D868:D872"/>
    <mergeCell ref="E868:E872"/>
    <mergeCell ref="F868:F872"/>
    <mergeCell ref="J857:J859"/>
    <mergeCell ref="K857:K859"/>
    <mergeCell ref="A862:A872"/>
    <mergeCell ref="C862:C866"/>
    <mergeCell ref="G862:G867"/>
    <mergeCell ref="H862:H867"/>
    <mergeCell ref="I862:I867"/>
    <mergeCell ref="J862:J867"/>
    <mergeCell ref="B868:B872"/>
    <mergeCell ref="C868:C872"/>
    <mergeCell ref="A857:A859"/>
    <mergeCell ref="B857:B859"/>
    <mergeCell ref="C857:C859"/>
    <mergeCell ref="D857:D859"/>
    <mergeCell ref="E857:E859"/>
    <mergeCell ref="F857:F859"/>
    <mergeCell ref="J887:J888"/>
    <mergeCell ref="K887:K888"/>
    <mergeCell ref="L887:L888"/>
    <mergeCell ref="A890:A891"/>
    <mergeCell ref="B890:B891"/>
    <mergeCell ref="C890:C891"/>
    <mergeCell ref="G890:G891"/>
    <mergeCell ref="H890:H891"/>
    <mergeCell ref="I890:I891"/>
    <mergeCell ref="J890:J891"/>
    <mergeCell ref="A886:A889"/>
    <mergeCell ref="B886:B889"/>
    <mergeCell ref="C887:C888"/>
    <mergeCell ref="D887:D888"/>
    <mergeCell ref="E887:E888"/>
    <mergeCell ref="F887:F888"/>
    <mergeCell ref="J876:J877"/>
    <mergeCell ref="K876:K877"/>
    <mergeCell ref="L876:L877"/>
    <mergeCell ref="A883:A885"/>
    <mergeCell ref="B883:B885"/>
    <mergeCell ref="C883:C885"/>
    <mergeCell ref="D883:D885"/>
    <mergeCell ref="E883:E885"/>
    <mergeCell ref="F883:F885"/>
    <mergeCell ref="L883:O883"/>
    <mergeCell ref="A876:A877"/>
    <mergeCell ref="B876:B877"/>
    <mergeCell ref="C876:C877"/>
    <mergeCell ref="G876:G877"/>
    <mergeCell ref="H876:H877"/>
    <mergeCell ref="I876:I877"/>
    <mergeCell ref="J894:J895"/>
    <mergeCell ref="K894:K895"/>
    <mergeCell ref="A896:A897"/>
    <mergeCell ref="B896:B897"/>
    <mergeCell ref="C896:C897"/>
    <mergeCell ref="G896:G897"/>
    <mergeCell ref="H896:H897"/>
    <mergeCell ref="I896:I897"/>
    <mergeCell ref="J896:J897"/>
    <mergeCell ref="K896:K897"/>
    <mergeCell ref="A894:A895"/>
    <mergeCell ref="B894:B895"/>
    <mergeCell ref="C894:C895"/>
    <mergeCell ref="G894:G895"/>
    <mergeCell ref="H894:H895"/>
    <mergeCell ref="I894:I895"/>
    <mergeCell ref="K890:K891"/>
    <mergeCell ref="A892:A893"/>
    <mergeCell ref="B892:B893"/>
    <mergeCell ref="C892:C893"/>
    <mergeCell ref="G892:G893"/>
    <mergeCell ref="H892:H893"/>
    <mergeCell ref="I892:I893"/>
    <mergeCell ref="J892:J893"/>
    <mergeCell ref="K892:K893"/>
    <mergeCell ref="G910:J910"/>
    <mergeCell ref="G911:G912"/>
    <mergeCell ref="H911:H912"/>
    <mergeCell ref="I911:I912"/>
    <mergeCell ref="J911:J912"/>
    <mergeCell ref="K911:K912"/>
    <mergeCell ref="D907:D908"/>
    <mergeCell ref="E907:E908"/>
    <mergeCell ref="F907:F908"/>
    <mergeCell ref="G907:J907"/>
    <mergeCell ref="G908:J908"/>
    <mergeCell ref="G909:J909"/>
    <mergeCell ref="J898:J899"/>
    <mergeCell ref="K898:K899"/>
    <mergeCell ref="A900:A910"/>
    <mergeCell ref="B900:B910"/>
    <mergeCell ref="C900:C910"/>
    <mergeCell ref="G901:J901"/>
    <mergeCell ref="G903:J903"/>
    <mergeCell ref="G904:J904"/>
    <mergeCell ref="G905:J905"/>
    <mergeCell ref="G906:J906"/>
    <mergeCell ref="A898:A899"/>
    <mergeCell ref="B898:B899"/>
    <mergeCell ref="C898:C899"/>
    <mergeCell ref="G898:G899"/>
    <mergeCell ref="H898:H899"/>
    <mergeCell ref="I898:I899"/>
    <mergeCell ref="A917:A920"/>
    <mergeCell ref="B917:B920"/>
    <mergeCell ref="C917:C920"/>
    <mergeCell ref="D917:D918"/>
    <mergeCell ref="E917:E918"/>
    <mergeCell ref="F917:F918"/>
    <mergeCell ref="G917:G919"/>
    <mergeCell ref="G920:J920"/>
    <mergeCell ref="A914:A915"/>
    <mergeCell ref="B914:B915"/>
    <mergeCell ref="C914:C915"/>
    <mergeCell ref="H916:H919"/>
    <mergeCell ref="I916:I919"/>
    <mergeCell ref="J916:J919"/>
    <mergeCell ref="L911:L912"/>
    <mergeCell ref="A912:A913"/>
    <mergeCell ref="B912:B913"/>
    <mergeCell ref="C912:C913"/>
    <mergeCell ref="D912:D913"/>
    <mergeCell ref="E912:E913"/>
    <mergeCell ref="F912:F913"/>
    <mergeCell ref="L935:L936"/>
    <mergeCell ref="D937:E937"/>
    <mergeCell ref="G937:J937"/>
    <mergeCell ref="G938:J938"/>
    <mergeCell ref="K938:K941"/>
    <mergeCell ref="D939:E941"/>
    <mergeCell ref="F939:F941"/>
    <mergeCell ref="G939:J939"/>
    <mergeCell ref="D929:E929"/>
    <mergeCell ref="D930:E930"/>
    <mergeCell ref="D931:E931"/>
    <mergeCell ref="D932:E932"/>
    <mergeCell ref="D933:E933"/>
    <mergeCell ref="G934:J934"/>
    <mergeCell ref="G928:J933"/>
    <mergeCell ref="K928:K933"/>
    <mergeCell ref="K916:K919"/>
    <mergeCell ref="L951:O951"/>
    <mergeCell ref="A975:A976"/>
    <mergeCell ref="B975:B976"/>
    <mergeCell ref="C975:C976"/>
    <mergeCell ref="D975:D976"/>
    <mergeCell ref="E975:E976"/>
    <mergeCell ref="F975:F976"/>
    <mergeCell ref="L976:L977"/>
    <mergeCell ref="K944:K947"/>
    <mergeCell ref="G945:J945"/>
    <mergeCell ref="J946:J947"/>
    <mergeCell ref="D948:F948"/>
    <mergeCell ref="D949:E949"/>
    <mergeCell ref="G949:J950"/>
    <mergeCell ref="K949:K950"/>
    <mergeCell ref="D950:E950"/>
    <mergeCell ref="A922:A973"/>
    <mergeCell ref="B922:B973"/>
    <mergeCell ref="C922:C973"/>
    <mergeCell ref="G922:J924"/>
    <mergeCell ref="K922:K924"/>
    <mergeCell ref="G925:J927"/>
    <mergeCell ref="K925:K927"/>
    <mergeCell ref="D928:E928"/>
    <mergeCell ref="G941:J941"/>
    <mergeCell ref="G942:J942"/>
    <mergeCell ref="D943:E943"/>
    <mergeCell ref="G943:J943"/>
    <mergeCell ref="D944:F947"/>
    <mergeCell ref="G944:J944"/>
    <mergeCell ref="D935:E935"/>
    <mergeCell ref="K935:K936"/>
    <mergeCell ref="A994:A995"/>
    <mergeCell ref="B994:B995"/>
    <mergeCell ref="C994:C995"/>
    <mergeCell ref="D994:D995"/>
    <mergeCell ref="E994:E995"/>
    <mergeCell ref="F994:F995"/>
    <mergeCell ref="J982:J983"/>
    <mergeCell ref="K982:K983"/>
    <mergeCell ref="G989:G991"/>
    <mergeCell ref="H989:H991"/>
    <mergeCell ref="I989:I991"/>
    <mergeCell ref="J989:J991"/>
    <mergeCell ref="K989:K991"/>
    <mergeCell ref="A982:A983"/>
    <mergeCell ref="B982:B983"/>
    <mergeCell ref="C982:C983"/>
    <mergeCell ref="D982:D983"/>
    <mergeCell ref="E982:E983"/>
    <mergeCell ref="F982:F983"/>
    <mergeCell ref="A1004:A1005"/>
    <mergeCell ref="B1004:B1005"/>
    <mergeCell ref="C1004:C1005"/>
    <mergeCell ref="D1004:D1005"/>
    <mergeCell ref="E1004:E1005"/>
    <mergeCell ref="F1004:F1005"/>
    <mergeCell ref="E999:E1000"/>
    <mergeCell ref="F999:F1000"/>
    <mergeCell ref="A1001:A1002"/>
    <mergeCell ref="B1001:B1002"/>
    <mergeCell ref="C1001:C1002"/>
    <mergeCell ref="D1001:D1002"/>
    <mergeCell ref="E1001:E1002"/>
    <mergeCell ref="F1001:F1002"/>
    <mergeCell ref="A997:A998"/>
    <mergeCell ref="B997:B998"/>
    <mergeCell ref="A999:A1000"/>
    <mergeCell ref="B999:B1000"/>
    <mergeCell ref="C999:C1000"/>
    <mergeCell ref="D999:D1000"/>
    <mergeCell ref="A1019:A1020"/>
    <mergeCell ref="B1019:B1020"/>
    <mergeCell ref="C1019:C1020"/>
    <mergeCell ref="D1019:D1020"/>
    <mergeCell ref="E1019:E1020"/>
    <mergeCell ref="F1019:F1020"/>
    <mergeCell ref="K1013:K1016"/>
    <mergeCell ref="L1013:L1016"/>
    <mergeCell ref="A1017:A1018"/>
    <mergeCell ref="B1017:B1018"/>
    <mergeCell ref="C1017:C1018"/>
    <mergeCell ref="D1017:D1018"/>
    <mergeCell ref="E1017:E1018"/>
    <mergeCell ref="F1017:F1018"/>
    <mergeCell ref="J1010:J1012"/>
    <mergeCell ref="K1010:K1012"/>
    <mergeCell ref="L1010:L1012"/>
    <mergeCell ref="D1013:D1016"/>
    <mergeCell ref="E1013:E1016"/>
    <mergeCell ref="F1013:F1016"/>
    <mergeCell ref="G1013:G1016"/>
    <mergeCell ref="H1013:H1016"/>
    <mergeCell ref="I1013:I1016"/>
    <mergeCell ref="J1013:J1016"/>
    <mergeCell ref="A1010:A1016"/>
    <mergeCell ref="B1010:B1016"/>
    <mergeCell ref="C1010:C1016"/>
    <mergeCell ref="G1010:G1012"/>
    <mergeCell ref="H1010:H1012"/>
    <mergeCell ref="I1010:I1012"/>
    <mergeCell ref="J1028:J1029"/>
    <mergeCell ref="K1028:K1029"/>
    <mergeCell ref="L1028:L1029"/>
    <mergeCell ref="J1030:J1031"/>
    <mergeCell ref="K1030:K1031"/>
    <mergeCell ref="L1030:L1031"/>
    <mergeCell ref="A1028:A1031"/>
    <mergeCell ref="B1028:B1031"/>
    <mergeCell ref="C1028:C1031"/>
    <mergeCell ref="G1028:G1029"/>
    <mergeCell ref="H1028:H1029"/>
    <mergeCell ref="I1028:I1029"/>
    <mergeCell ref="G1021:J1022"/>
    <mergeCell ref="K1021:K1022"/>
    <mergeCell ref="A1026:A1027"/>
    <mergeCell ref="B1026:B1027"/>
    <mergeCell ref="C1026:C1027"/>
    <mergeCell ref="D1026:D1027"/>
    <mergeCell ref="E1026:E1027"/>
    <mergeCell ref="F1026:F1027"/>
    <mergeCell ref="A1021:A1024"/>
    <mergeCell ref="B1021:B1024"/>
    <mergeCell ref="C1021:C1024"/>
    <mergeCell ref="D1021:D1022"/>
    <mergeCell ref="E1021:E1022"/>
    <mergeCell ref="F1021:F1022"/>
    <mergeCell ref="A1042:A1043"/>
    <mergeCell ref="B1042:B1043"/>
    <mergeCell ref="C1042:C1043"/>
    <mergeCell ref="D1042:D1043"/>
    <mergeCell ref="E1042:E1043"/>
    <mergeCell ref="F1042:F1043"/>
    <mergeCell ref="A1036:A1041"/>
    <mergeCell ref="B1036:B1041"/>
    <mergeCell ref="C1036:C1041"/>
    <mergeCell ref="D1036:F1041"/>
    <mergeCell ref="G1036:J1037"/>
    <mergeCell ref="K1036:K1037"/>
    <mergeCell ref="G1038:J1039"/>
    <mergeCell ref="G1040:J1040"/>
    <mergeCell ref="G1041:J1041"/>
    <mergeCell ref="A1032:A1033"/>
    <mergeCell ref="B1032:B1033"/>
    <mergeCell ref="C1032:C1033"/>
    <mergeCell ref="D1032:D1033"/>
    <mergeCell ref="E1032:E1033"/>
    <mergeCell ref="F1032:F1033"/>
    <mergeCell ref="A1050:A1051"/>
    <mergeCell ref="B1050:B1051"/>
    <mergeCell ref="C1050:C1051"/>
    <mergeCell ref="D1050:D1051"/>
    <mergeCell ref="E1050:E1051"/>
    <mergeCell ref="F1050:F1051"/>
    <mergeCell ref="A1046:A1047"/>
    <mergeCell ref="B1046:B1047"/>
    <mergeCell ref="C1046:C1047"/>
    <mergeCell ref="D1046:D1047"/>
    <mergeCell ref="E1046:E1047"/>
    <mergeCell ref="F1046:F1047"/>
    <mergeCell ref="A1044:A1045"/>
    <mergeCell ref="B1044:B1045"/>
    <mergeCell ref="C1044:C1045"/>
    <mergeCell ref="D1044:D1045"/>
    <mergeCell ref="E1044:E1045"/>
    <mergeCell ref="F1044:F1045"/>
    <mergeCell ref="J1063:J1064"/>
    <mergeCell ref="K1063:K1064"/>
    <mergeCell ref="A1066:A1074"/>
    <mergeCell ref="B1066:B1074"/>
    <mergeCell ref="C1066:C1074"/>
    <mergeCell ref="D1066:D1068"/>
    <mergeCell ref="E1066:E1068"/>
    <mergeCell ref="F1066:F1068"/>
    <mergeCell ref="G1066:J1066"/>
    <mergeCell ref="G1067:J1067"/>
    <mergeCell ref="A1063:A1064"/>
    <mergeCell ref="B1063:B1064"/>
    <mergeCell ref="C1063:C1064"/>
    <mergeCell ref="G1063:G1064"/>
    <mergeCell ref="H1063:H1064"/>
    <mergeCell ref="I1063:I1064"/>
    <mergeCell ref="J1056:J1058"/>
    <mergeCell ref="K1056:K1058"/>
    <mergeCell ref="C1059:C1062"/>
    <mergeCell ref="D1059:D1062"/>
    <mergeCell ref="E1059:E1062"/>
    <mergeCell ref="F1059:F1062"/>
    <mergeCell ref="J1059:J1061"/>
    <mergeCell ref="K1059:K1061"/>
    <mergeCell ref="H1061:H1062"/>
    <mergeCell ref="I1061:I1062"/>
    <mergeCell ref="A1056:A1062"/>
    <mergeCell ref="B1056:B1062"/>
    <mergeCell ref="C1056:C1058"/>
    <mergeCell ref="D1056:D1058"/>
    <mergeCell ref="E1056:E1058"/>
    <mergeCell ref="F1056:F1058"/>
    <mergeCell ref="F1081:F1082"/>
    <mergeCell ref="G1081:G1083"/>
    <mergeCell ref="H1081:H1083"/>
    <mergeCell ref="I1081:I1083"/>
    <mergeCell ref="J1081:J1085"/>
    <mergeCell ref="K1081:K1085"/>
    <mergeCell ref="G1084:G1085"/>
    <mergeCell ref="H1084:H1085"/>
    <mergeCell ref="I1084:I1085"/>
    <mergeCell ref="G1068:J1068"/>
    <mergeCell ref="G1069:J1069"/>
    <mergeCell ref="G1070:J1070"/>
    <mergeCell ref="G1071:J1071"/>
    <mergeCell ref="G1072:J1072"/>
    <mergeCell ref="A1081:A1085"/>
    <mergeCell ref="B1081:B1085"/>
    <mergeCell ref="C1081:C1085"/>
    <mergeCell ref="D1081:D1082"/>
    <mergeCell ref="E1081:E1082"/>
    <mergeCell ref="A1096:A1098"/>
    <mergeCell ref="B1096:B1098"/>
    <mergeCell ref="C1096:C1098"/>
    <mergeCell ref="A1103:A1106"/>
    <mergeCell ref="B1103:B1106"/>
    <mergeCell ref="C1103:C1106"/>
    <mergeCell ref="F1091:F1092"/>
    <mergeCell ref="J1091:J1092"/>
    <mergeCell ref="K1091:K1092"/>
    <mergeCell ref="A1094:A1095"/>
    <mergeCell ref="B1094:B1095"/>
    <mergeCell ref="C1094:C1095"/>
    <mergeCell ref="D1094:D1095"/>
    <mergeCell ref="E1094:E1095"/>
    <mergeCell ref="F1094:F1095"/>
    <mergeCell ref="A1087:A1089"/>
    <mergeCell ref="B1087:B1089"/>
    <mergeCell ref="C1087:C1089"/>
    <mergeCell ref="G1087:J1087"/>
    <mergeCell ref="G1088:J1088"/>
    <mergeCell ref="A1091:A1093"/>
    <mergeCell ref="B1091:B1093"/>
    <mergeCell ref="C1091:C1093"/>
    <mergeCell ref="D1091:D1092"/>
    <mergeCell ref="E1091:E1092"/>
    <mergeCell ref="A1107:A1108"/>
    <mergeCell ref="B1107:B1108"/>
    <mergeCell ref="C1107:C1108"/>
    <mergeCell ref="D1107:D1108"/>
    <mergeCell ref="E1107:E1108"/>
    <mergeCell ref="F1107:F1108"/>
    <mergeCell ref="G1105:G1106"/>
    <mergeCell ref="H1105:H1106"/>
    <mergeCell ref="I1105:I1106"/>
    <mergeCell ref="J1105:J1106"/>
    <mergeCell ref="K1105:K1106"/>
    <mergeCell ref="L1105:L1106"/>
    <mergeCell ref="G1103:G1104"/>
    <mergeCell ref="H1103:H1104"/>
    <mergeCell ref="I1103:I1104"/>
    <mergeCell ref="J1103:J1104"/>
    <mergeCell ref="K1103:K1104"/>
    <mergeCell ref="L1103:L1104"/>
    <mergeCell ref="K1112:K1113"/>
    <mergeCell ref="A1114:A1119"/>
    <mergeCell ref="B1114:B1119"/>
    <mergeCell ref="D1116:F1119"/>
    <mergeCell ref="J1116:J1119"/>
    <mergeCell ref="K1116:K1119"/>
    <mergeCell ref="J1110:J1111"/>
    <mergeCell ref="K1110:K1111"/>
    <mergeCell ref="L1110:L1111"/>
    <mergeCell ref="A1112:A1113"/>
    <mergeCell ref="B1112:B1113"/>
    <mergeCell ref="C1112:C1113"/>
    <mergeCell ref="G1112:G1113"/>
    <mergeCell ref="H1112:H1113"/>
    <mergeCell ref="I1112:I1113"/>
    <mergeCell ref="J1112:J1113"/>
    <mergeCell ref="A1109:A1111"/>
    <mergeCell ref="B1109:B1111"/>
    <mergeCell ref="C1109:C1111"/>
    <mergeCell ref="D1109:D1111"/>
    <mergeCell ref="E1109:E1111"/>
    <mergeCell ref="F1109:F1111"/>
    <mergeCell ref="G1129:J1129"/>
    <mergeCell ref="A1133:A1134"/>
    <mergeCell ref="B1133:B1134"/>
    <mergeCell ref="C1133:C1134"/>
    <mergeCell ref="L1139:O1139"/>
    <mergeCell ref="A1140:A1141"/>
    <mergeCell ref="B1140:B1141"/>
    <mergeCell ref="C1140:C1141"/>
    <mergeCell ref="D1140:D1141"/>
    <mergeCell ref="E1140:E1141"/>
    <mergeCell ref="G1125:G1127"/>
    <mergeCell ref="H1125:H1127"/>
    <mergeCell ref="I1125:I1127"/>
    <mergeCell ref="J1125:J1127"/>
    <mergeCell ref="K1125:K1127"/>
    <mergeCell ref="G1128:J1128"/>
    <mergeCell ref="A1123:A1124"/>
    <mergeCell ref="B1123:B1124"/>
    <mergeCell ref="C1123:C1124"/>
    <mergeCell ref="A1125:A1130"/>
    <mergeCell ref="B1125:B1130"/>
    <mergeCell ref="C1125:C1130"/>
    <mergeCell ref="J1152:J1153"/>
    <mergeCell ref="K1152:K1153"/>
    <mergeCell ref="L1152:L1153"/>
    <mergeCell ref="A1157:A1158"/>
    <mergeCell ref="B1157:B1158"/>
    <mergeCell ref="C1157:C1158"/>
    <mergeCell ref="G1157:G1158"/>
    <mergeCell ref="H1157:H1158"/>
    <mergeCell ref="I1157:I1158"/>
    <mergeCell ref="J1157:J1158"/>
    <mergeCell ref="A1151:A1153"/>
    <mergeCell ref="B1151:B1153"/>
    <mergeCell ref="C1151:C1153"/>
    <mergeCell ref="D1151:D1153"/>
    <mergeCell ref="E1151:E1153"/>
    <mergeCell ref="F1151:F1153"/>
    <mergeCell ref="F1140:F1141"/>
    <mergeCell ref="L1140:O1140"/>
    <mergeCell ref="A1147:A1148"/>
    <mergeCell ref="B1147:B1148"/>
    <mergeCell ref="C1147:C1148"/>
    <mergeCell ref="D1147:D1148"/>
    <mergeCell ref="E1147:E1148"/>
    <mergeCell ref="F1147:F1148"/>
    <mergeCell ref="J1171:J1172"/>
    <mergeCell ref="K1171:K1172"/>
    <mergeCell ref="A1173:A1176"/>
    <mergeCell ref="B1173:B1176"/>
    <mergeCell ref="C1173:C1176"/>
    <mergeCell ref="G1173:G1174"/>
    <mergeCell ref="H1173:H1174"/>
    <mergeCell ref="I1173:I1174"/>
    <mergeCell ref="A1171:A1172"/>
    <mergeCell ref="B1171:B1172"/>
    <mergeCell ref="C1171:C1172"/>
    <mergeCell ref="G1171:G1172"/>
    <mergeCell ref="H1171:H1172"/>
    <mergeCell ref="I1171:I1172"/>
    <mergeCell ref="K1157:K1158"/>
    <mergeCell ref="A1164:A1167"/>
    <mergeCell ref="B1164:B1167"/>
    <mergeCell ref="C1164:C1167"/>
    <mergeCell ref="G1164:J1164"/>
    <mergeCell ref="G1165:J1165"/>
    <mergeCell ref="G1166:J1166"/>
    <mergeCell ref="F1183:F1184"/>
    <mergeCell ref="G1183:G1184"/>
    <mergeCell ref="H1183:H1184"/>
    <mergeCell ref="I1183:I1184"/>
    <mergeCell ref="J1183:J1184"/>
    <mergeCell ref="K1183:K1184"/>
    <mergeCell ref="J1177:J1179"/>
    <mergeCell ref="K1177:K1179"/>
    <mergeCell ref="A1180:A1182"/>
    <mergeCell ref="B1180:B1182"/>
    <mergeCell ref="G1182:J1182"/>
    <mergeCell ref="A1183:A1184"/>
    <mergeCell ref="B1183:B1184"/>
    <mergeCell ref="C1183:C1184"/>
    <mergeCell ref="D1183:D1184"/>
    <mergeCell ref="E1183:E1184"/>
    <mergeCell ref="A1177:A1179"/>
    <mergeCell ref="B1177:B1179"/>
    <mergeCell ref="C1177:C1179"/>
    <mergeCell ref="G1177:G1179"/>
    <mergeCell ref="H1177:H1179"/>
    <mergeCell ref="I1177:I1179"/>
    <mergeCell ref="A1190:A1191"/>
    <mergeCell ref="B1190:B1191"/>
    <mergeCell ref="C1190:C1191"/>
    <mergeCell ref="D1190:D1191"/>
    <mergeCell ref="E1190:E1191"/>
    <mergeCell ref="F1190:F1191"/>
    <mergeCell ref="J1185:J1186"/>
    <mergeCell ref="K1185:K1186"/>
    <mergeCell ref="A1188:A1189"/>
    <mergeCell ref="B1188:B1189"/>
    <mergeCell ref="C1188:C1189"/>
    <mergeCell ref="D1188:D1189"/>
    <mergeCell ref="E1188:E1189"/>
    <mergeCell ref="F1188:F1189"/>
    <mergeCell ref="A1185:A1186"/>
    <mergeCell ref="B1185:B1186"/>
    <mergeCell ref="C1185:C1186"/>
    <mergeCell ref="G1185:G1186"/>
    <mergeCell ref="H1185:H1186"/>
    <mergeCell ref="I1185:I1186"/>
    <mergeCell ref="A1206:A1207"/>
    <mergeCell ref="B1206:B1207"/>
    <mergeCell ref="C1206:C1207"/>
    <mergeCell ref="D1206:D1207"/>
    <mergeCell ref="E1206:E1207"/>
    <mergeCell ref="F1206:F1207"/>
    <mergeCell ref="A1199:A1200"/>
    <mergeCell ref="B1199:B1200"/>
    <mergeCell ref="C1199:C1200"/>
    <mergeCell ref="D1200:F1200"/>
    <mergeCell ref="A1202:A1203"/>
    <mergeCell ref="B1202:B1203"/>
    <mergeCell ref="C1202:C1203"/>
    <mergeCell ref="D1202:D1203"/>
    <mergeCell ref="E1202:E1203"/>
    <mergeCell ref="F1202:F1203"/>
    <mergeCell ref="A1194:A1195"/>
    <mergeCell ref="B1194:B1195"/>
    <mergeCell ref="C1194:C1195"/>
    <mergeCell ref="D1194:D1195"/>
    <mergeCell ref="E1194:E1195"/>
    <mergeCell ref="F1194:F1195"/>
    <mergeCell ref="K1224:K1226"/>
    <mergeCell ref="L1225:L1226"/>
    <mergeCell ref="C1227:C1229"/>
    <mergeCell ref="D1227:D1229"/>
    <mergeCell ref="E1227:E1229"/>
    <mergeCell ref="F1227:F1229"/>
    <mergeCell ref="J1227:J1229"/>
    <mergeCell ref="K1227:K1229"/>
    <mergeCell ref="L1227:L1229"/>
    <mergeCell ref="A1224:A1229"/>
    <mergeCell ref="B1224:B1229"/>
    <mergeCell ref="C1224:C1226"/>
    <mergeCell ref="D1224:D1226"/>
    <mergeCell ref="E1224:E1226"/>
    <mergeCell ref="F1224:F1226"/>
    <mergeCell ref="J1215:J1216"/>
    <mergeCell ref="K1215:K1216"/>
    <mergeCell ref="A1222:A1223"/>
    <mergeCell ref="B1222:B1223"/>
    <mergeCell ref="C1222:C1223"/>
    <mergeCell ref="D1222:D1223"/>
    <mergeCell ref="E1222:E1223"/>
    <mergeCell ref="F1222:F1223"/>
    <mergeCell ref="A1215:A1216"/>
    <mergeCell ref="B1215:B1216"/>
    <mergeCell ref="C1215:C1216"/>
    <mergeCell ref="D1215:D1216"/>
    <mergeCell ref="E1215:E1216"/>
    <mergeCell ref="F1215:F1216"/>
    <mergeCell ref="G1233:J1233"/>
    <mergeCell ref="G1234:J1234"/>
    <mergeCell ref="G1235:J1235"/>
    <mergeCell ref="G1236:J1236"/>
    <mergeCell ref="A1245:A1246"/>
    <mergeCell ref="B1245:B1246"/>
    <mergeCell ref="C1245:C1246"/>
    <mergeCell ref="D1245:D1246"/>
    <mergeCell ref="E1245:E1246"/>
    <mergeCell ref="F1245:F1246"/>
    <mergeCell ref="A1230:A1231"/>
    <mergeCell ref="B1230:B1231"/>
    <mergeCell ref="C1230:C1231"/>
    <mergeCell ref="A1232:A1236"/>
    <mergeCell ref="B1232:B1236"/>
    <mergeCell ref="C1232:C1236"/>
    <mergeCell ref="J1224:J1226"/>
    <mergeCell ref="F1253:F1254"/>
    <mergeCell ref="D1255:F1256"/>
    <mergeCell ref="J1255:J1257"/>
    <mergeCell ref="K1255:K1257"/>
    <mergeCell ref="L1255:L1257"/>
    <mergeCell ref="A1259:A1261"/>
    <mergeCell ref="B1259:B1261"/>
    <mergeCell ref="C1259:C1261"/>
    <mergeCell ref="J1245:J1246"/>
    <mergeCell ref="K1245:K1246"/>
    <mergeCell ref="L1245:L1246"/>
    <mergeCell ref="G1250:J1250"/>
    <mergeCell ref="G1252:J1252"/>
    <mergeCell ref="A1253:A1257"/>
    <mergeCell ref="B1253:B1257"/>
    <mergeCell ref="C1253:C1257"/>
    <mergeCell ref="D1253:D1254"/>
    <mergeCell ref="E1253:E1254"/>
    <mergeCell ref="J1269:J1270"/>
    <mergeCell ref="K1269:K1270"/>
    <mergeCell ref="A1273:A1274"/>
    <mergeCell ref="B1273:B1274"/>
    <mergeCell ref="C1273:C1274"/>
    <mergeCell ref="D1273:D1274"/>
    <mergeCell ref="E1273:E1274"/>
    <mergeCell ref="F1273:F1274"/>
    <mergeCell ref="G1267:J1267"/>
    <mergeCell ref="A1269:A1270"/>
    <mergeCell ref="B1269:B1270"/>
    <mergeCell ref="C1269:C1270"/>
    <mergeCell ref="D1269:D1270"/>
    <mergeCell ref="E1269:E1270"/>
    <mergeCell ref="F1269:F1270"/>
    <mergeCell ref="G1269:G1270"/>
    <mergeCell ref="H1269:H1270"/>
    <mergeCell ref="I1269:I1270"/>
    <mergeCell ref="A1267:A1268"/>
    <mergeCell ref="B1267:B1268"/>
    <mergeCell ref="C1267:C1268"/>
    <mergeCell ref="D1267:D1268"/>
    <mergeCell ref="E1267:E1268"/>
    <mergeCell ref="F1267:F1268"/>
    <mergeCell ref="F1277:F1278"/>
    <mergeCell ref="G1277:J1277"/>
    <mergeCell ref="L1277:L1278"/>
    <mergeCell ref="G1278:J1278"/>
    <mergeCell ref="A1279:A1282"/>
    <mergeCell ref="B1279:B1282"/>
    <mergeCell ref="C1279:C1282"/>
    <mergeCell ref="G1280:K1280"/>
    <mergeCell ref="G1281:K1281"/>
    <mergeCell ref="G1275:G1276"/>
    <mergeCell ref="H1275:H1276"/>
    <mergeCell ref="I1275:I1276"/>
    <mergeCell ref="J1275:J1276"/>
    <mergeCell ref="K1275:K1276"/>
    <mergeCell ref="A1277:A1278"/>
    <mergeCell ref="B1277:B1278"/>
    <mergeCell ref="C1277:C1278"/>
    <mergeCell ref="D1277:D1278"/>
    <mergeCell ref="E1277:E1278"/>
    <mergeCell ref="A1290:A1291"/>
    <mergeCell ref="B1290:B1291"/>
    <mergeCell ref="A1292:A1294"/>
    <mergeCell ref="B1292:B1294"/>
    <mergeCell ref="C1292:C1294"/>
    <mergeCell ref="D1292:D1293"/>
    <mergeCell ref="G1283:K1283"/>
    <mergeCell ref="G1285:K1285"/>
    <mergeCell ref="A1286:A1287"/>
    <mergeCell ref="B1286:B1287"/>
    <mergeCell ref="C1286:C1287"/>
    <mergeCell ref="K1286:K1287"/>
    <mergeCell ref="A1283:A1284"/>
    <mergeCell ref="B1283:B1284"/>
    <mergeCell ref="C1283:C1284"/>
    <mergeCell ref="D1283:D1284"/>
    <mergeCell ref="E1283:E1284"/>
    <mergeCell ref="F1283:F1284"/>
    <mergeCell ref="G1310:J1310"/>
    <mergeCell ref="G1311:J1311"/>
    <mergeCell ref="G1312:J1312"/>
    <mergeCell ref="G1313:J1313"/>
    <mergeCell ref="A1304:A1305"/>
    <mergeCell ref="B1304:B1305"/>
    <mergeCell ref="C1304:C1305"/>
    <mergeCell ref="D1304:D1305"/>
    <mergeCell ref="E1304:E1305"/>
    <mergeCell ref="F1304:F1305"/>
    <mergeCell ref="E1292:E1293"/>
    <mergeCell ref="F1292:F1293"/>
    <mergeCell ref="G1293:J1293"/>
    <mergeCell ref="A1295:A1297"/>
    <mergeCell ref="B1295:B1297"/>
    <mergeCell ref="C1295:C1297"/>
    <mergeCell ref="G1296:J1296"/>
    <mergeCell ref="J1329:J1330"/>
    <mergeCell ref="K1329:K1330"/>
    <mergeCell ref="A1334:A1347"/>
    <mergeCell ref="B1334:B1346"/>
    <mergeCell ref="C1334:C1347"/>
    <mergeCell ref="D1334:D1335"/>
    <mergeCell ref="E1334:E1335"/>
    <mergeCell ref="F1334:F1335"/>
    <mergeCell ref="G1334:J1334"/>
    <mergeCell ref="D1336:D1347"/>
    <mergeCell ref="G1326:J1326"/>
    <mergeCell ref="A1329:A1330"/>
    <mergeCell ref="B1329:B1330"/>
    <mergeCell ref="C1329:C1330"/>
    <mergeCell ref="G1329:G1330"/>
    <mergeCell ref="H1329:H1330"/>
    <mergeCell ref="I1329:I1330"/>
    <mergeCell ref="F1349:F1351"/>
    <mergeCell ref="J1349:J1351"/>
    <mergeCell ref="K1349:K1351"/>
    <mergeCell ref="G1352:J1352"/>
    <mergeCell ref="A1362:A1363"/>
    <mergeCell ref="B1362:B1363"/>
    <mergeCell ref="C1362:C1363"/>
    <mergeCell ref="D1362:D1363"/>
    <mergeCell ref="E1362:E1363"/>
    <mergeCell ref="F1362:F1363"/>
    <mergeCell ref="G1344:J1344"/>
    <mergeCell ref="G1345:J1345"/>
    <mergeCell ref="G1346:J1346"/>
    <mergeCell ref="G1347:J1347"/>
    <mergeCell ref="A1348:A1351"/>
    <mergeCell ref="B1348:B1351"/>
    <mergeCell ref="C1348:C1351"/>
    <mergeCell ref="G1348:J1348"/>
    <mergeCell ref="D1349:D1351"/>
    <mergeCell ref="E1349:E1351"/>
    <mergeCell ref="E1336:E1347"/>
    <mergeCell ref="F1336:F1347"/>
    <mergeCell ref="G1336:J1336"/>
    <mergeCell ref="G1337:J1337"/>
    <mergeCell ref="G1338:J1338"/>
    <mergeCell ref="G1339:J1339"/>
    <mergeCell ref="G1340:J1340"/>
    <mergeCell ref="G1341:J1341"/>
    <mergeCell ref="G1342:J1342"/>
    <mergeCell ref="G1343:J1343"/>
    <mergeCell ref="A1377:A1379"/>
    <mergeCell ref="B1377:B1379"/>
    <mergeCell ref="C1377:C1379"/>
    <mergeCell ref="G1377:J1378"/>
    <mergeCell ref="A1380:A1382"/>
    <mergeCell ref="B1380:B1382"/>
    <mergeCell ref="C1380:C1382"/>
    <mergeCell ref="D1380:D1381"/>
    <mergeCell ref="E1380:E1381"/>
    <mergeCell ref="F1380:F1381"/>
    <mergeCell ref="A1373:A1376"/>
    <mergeCell ref="B1373:B1376"/>
    <mergeCell ref="C1373:C1376"/>
    <mergeCell ref="D1374:F1376"/>
    <mergeCell ref="J1374:J1376"/>
    <mergeCell ref="K1374:K1376"/>
    <mergeCell ref="A1365:A1366"/>
    <mergeCell ref="B1365:B1366"/>
    <mergeCell ref="C1365:C1366"/>
    <mergeCell ref="D1365:D1366"/>
    <mergeCell ref="E1365:E1366"/>
    <mergeCell ref="F1365:F1366"/>
    <mergeCell ref="F1384:F1385"/>
    <mergeCell ref="A1388:A1389"/>
    <mergeCell ref="B1388:B1389"/>
    <mergeCell ref="C1388:C1389"/>
    <mergeCell ref="D1388:D1389"/>
    <mergeCell ref="E1388:E1389"/>
    <mergeCell ref="F1388:F1389"/>
    <mergeCell ref="G1380:G1382"/>
    <mergeCell ref="H1380:H1382"/>
    <mergeCell ref="I1380:I1382"/>
    <mergeCell ref="J1380:J1382"/>
    <mergeCell ref="K1380:K1382"/>
    <mergeCell ref="A1384:A1385"/>
    <mergeCell ref="B1384:B1385"/>
    <mergeCell ref="C1384:C1385"/>
    <mergeCell ref="D1384:D1385"/>
    <mergeCell ref="E1384:E1385"/>
    <mergeCell ref="G1395:J1396"/>
    <mergeCell ref="K1395:K1396"/>
    <mergeCell ref="G1397:J1397"/>
    <mergeCell ref="A1400:A1401"/>
    <mergeCell ref="B1400:B1401"/>
    <mergeCell ref="C1400:C1401"/>
    <mergeCell ref="D1400:D1401"/>
    <mergeCell ref="E1400:E1401"/>
    <mergeCell ref="F1400:F1401"/>
    <mergeCell ref="G1401:J1401"/>
    <mergeCell ref="G1390:J1390"/>
    <mergeCell ref="A1393:A1394"/>
    <mergeCell ref="B1393:B1394"/>
    <mergeCell ref="C1393:C1394"/>
    <mergeCell ref="D1393:D1394"/>
    <mergeCell ref="E1393:E1394"/>
    <mergeCell ref="F1393:F1394"/>
    <mergeCell ref="A1390:A1392"/>
    <mergeCell ref="B1390:B1392"/>
    <mergeCell ref="C1390:C1392"/>
    <mergeCell ref="D1390:D1392"/>
    <mergeCell ref="E1390:E1392"/>
    <mergeCell ref="F1390:F1392"/>
    <mergeCell ref="A1395:A1398"/>
    <mergeCell ref="B1395:B1398"/>
    <mergeCell ref="C1395:C1398"/>
    <mergeCell ref="G1404:J1404"/>
    <mergeCell ref="A1406:A1407"/>
    <mergeCell ref="B1406:B1407"/>
    <mergeCell ref="C1406:C1407"/>
    <mergeCell ref="D1406:D1407"/>
    <mergeCell ref="E1406:E1407"/>
    <mergeCell ref="F1406:F1407"/>
    <mergeCell ref="G1406:J1406"/>
    <mergeCell ref="A1404:A1405"/>
    <mergeCell ref="B1404:B1405"/>
    <mergeCell ref="C1404:C1405"/>
    <mergeCell ref="D1404:D1405"/>
    <mergeCell ref="E1404:E1405"/>
    <mergeCell ref="F1404:F1405"/>
    <mergeCell ref="A1402:A1403"/>
    <mergeCell ref="B1402:B1403"/>
    <mergeCell ref="C1402:C1403"/>
    <mergeCell ref="D1402:D1403"/>
    <mergeCell ref="E1402:E1403"/>
    <mergeCell ref="F1402:F1403"/>
    <mergeCell ref="G1412:J1412"/>
    <mergeCell ref="A1414:A1415"/>
    <mergeCell ref="B1414:B1415"/>
    <mergeCell ref="C1414:C1415"/>
    <mergeCell ref="D1414:D1415"/>
    <mergeCell ref="E1414:E1415"/>
    <mergeCell ref="F1414:F1415"/>
    <mergeCell ref="G1414:J1414"/>
    <mergeCell ref="G1408:J1408"/>
    <mergeCell ref="A1410:A1411"/>
    <mergeCell ref="B1410:B1411"/>
    <mergeCell ref="C1410:C1411"/>
    <mergeCell ref="D1410:D1411"/>
    <mergeCell ref="E1410:E1411"/>
    <mergeCell ref="F1410:F1411"/>
    <mergeCell ref="G1410:J1410"/>
    <mergeCell ref="A1408:A1409"/>
    <mergeCell ref="B1408:B1409"/>
    <mergeCell ref="C1408:C1409"/>
    <mergeCell ref="D1408:D1409"/>
    <mergeCell ref="E1408:E1409"/>
    <mergeCell ref="F1408:F1409"/>
    <mergeCell ref="J1422:J1423"/>
    <mergeCell ref="K1422:K1423"/>
    <mergeCell ref="A1426:A1428"/>
    <mergeCell ref="B1426:B1428"/>
    <mergeCell ref="C1426:C1428"/>
    <mergeCell ref="D1426:D1428"/>
    <mergeCell ref="E1426:E1428"/>
    <mergeCell ref="F1426:F1428"/>
    <mergeCell ref="G1426:J1426"/>
    <mergeCell ref="G1427:J1427"/>
    <mergeCell ref="G1418:J1418"/>
    <mergeCell ref="J1419:J1421"/>
    <mergeCell ref="K1419:K1421"/>
    <mergeCell ref="L1419:L1421"/>
    <mergeCell ref="A1422:A1423"/>
    <mergeCell ref="B1422:B1423"/>
    <mergeCell ref="C1422:C1423"/>
    <mergeCell ref="G1422:G1423"/>
    <mergeCell ref="H1422:H1423"/>
    <mergeCell ref="I1422:I1423"/>
    <mergeCell ref="A1418:A1421"/>
    <mergeCell ref="B1418:B1421"/>
    <mergeCell ref="C1418:C1421"/>
    <mergeCell ref="D1418:D1421"/>
    <mergeCell ref="E1418:E1421"/>
    <mergeCell ref="F1418:F1421"/>
    <mergeCell ref="G1434:J1434"/>
    <mergeCell ref="G1435:J1435"/>
    <mergeCell ref="A1436:A1439"/>
    <mergeCell ref="B1436:B1439"/>
    <mergeCell ref="C1436:C1439"/>
    <mergeCell ref="D1436:D1438"/>
    <mergeCell ref="E1436:E1438"/>
    <mergeCell ref="F1436:F1438"/>
    <mergeCell ref="G1436:J1436"/>
    <mergeCell ref="G1429:J1429"/>
    <mergeCell ref="G1431:J1431"/>
    <mergeCell ref="A1432:A1435"/>
    <mergeCell ref="B1432:B1435"/>
    <mergeCell ref="G1432:J1432"/>
    <mergeCell ref="C1433:C1435"/>
    <mergeCell ref="D1433:D1435"/>
    <mergeCell ref="E1433:E1435"/>
    <mergeCell ref="F1433:F1435"/>
    <mergeCell ref="G1433:J1433"/>
    <mergeCell ref="A1429:A1430"/>
    <mergeCell ref="B1429:B1430"/>
    <mergeCell ref="C1429:C1430"/>
    <mergeCell ref="D1429:D1430"/>
    <mergeCell ref="E1429:E1430"/>
    <mergeCell ref="F1429:F1430"/>
    <mergeCell ref="A1448:A1449"/>
    <mergeCell ref="B1448:B1449"/>
    <mergeCell ref="C1448:C1449"/>
    <mergeCell ref="D1448:F1449"/>
    <mergeCell ref="F1442:F1444"/>
    <mergeCell ref="G1442:J1442"/>
    <mergeCell ref="G1443:J1443"/>
    <mergeCell ref="G1444:J1444"/>
    <mergeCell ref="A1445:A1447"/>
    <mergeCell ref="B1445:B1447"/>
    <mergeCell ref="C1445:C1447"/>
    <mergeCell ref="D1445:D1447"/>
    <mergeCell ref="E1445:E1447"/>
    <mergeCell ref="F1445:F1447"/>
    <mergeCell ref="L1436:L1438"/>
    <mergeCell ref="G1437:J1437"/>
    <mergeCell ref="G1438:J1438"/>
    <mergeCell ref="G1439:J1439"/>
    <mergeCell ref="G1440:J1440"/>
    <mergeCell ref="A1442:A1444"/>
    <mergeCell ref="B1442:B1444"/>
    <mergeCell ref="C1442:C1444"/>
    <mergeCell ref="D1442:D1444"/>
    <mergeCell ref="E1442:E1444"/>
    <mergeCell ref="A1460:A1461"/>
    <mergeCell ref="B1460:B1461"/>
    <mergeCell ref="C1460:C1461"/>
    <mergeCell ref="G1460:J1461"/>
    <mergeCell ref="A1463:A1464"/>
    <mergeCell ref="B1463:B1464"/>
    <mergeCell ref="C1463:C1464"/>
    <mergeCell ref="D1463:D1464"/>
    <mergeCell ref="E1463:E1464"/>
    <mergeCell ref="F1463:F1464"/>
    <mergeCell ref="G1451:J1452"/>
    <mergeCell ref="G1453:J1453"/>
    <mergeCell ref="G1454:J1454"/>
    <mergeCell ref="D1450:F1450"/>
    <mergeCell ref="A1451:A1452"/>
    <mergeCell ref="B1451:B1452"/>
    <mergeCell ref="C1451:C1452"/>
    <mergeCell ref="D1451:D1452"/>
    <mergeCell ref="E1451:E1452"/>
    <mergeCell ref="F1451:F1452"/>
    <mergeCell ref="B1454:B1456"/>
    <mergeCell ref="A1454:A1456"/>
    <mergeCell ref="C1454:C1456"/>
    <mergeCell ref="A1480:A1483"/>
    <mergeCell ref="B1480:B1483"/>
    <mergeCell ref="C1480:C1483"/>
    <mergeCell ref="D1480:D1483"/>
    <mergeCell ref="E1480:E1483"/>
    <mergeCell ref="F1480:F1483"/>
    <mergeCell ref="K1472:K1475"/>
    <mergeCell ref="L1472:L1475"/>
    <mergeCell ref="G1473:J1473"/>
    <mergeCell ref="G1474:J1474"/>
    <mergeCell ref="G1475:J1475"/>
    <mergeCell ref="A1478:A1479"/>
    <mergeCell ref="B1478:B1479"/>
    <mergeCell ref="C1478:C1479"/>
    <mergeCell ref="D1478:D1479"/>
    <mergeCell ref="E1478:E1479"/>
    <mergeCell ref="F1468:F1469"/>
    <mergeCell ref="J1468:J1469"/>
    <mergeCell ref="K1468:K1469"/>
    <mergeCell ref="A1472:A1475"/>
    <mergeCell ref="B1472:B1475"/>
    <mergeCell ref="C1472:C1475"/>
    <mergeCell ref="D1472:D1475"/>
    <mergeCell ref="E1472:E1475"/>
    <mergeCell ref="F1472:F1475"/>
    <mergeCell ref="G1472:J1472"/>
    <mergeCell ref="A1468:A1470"/>
    <mergeCell ref="B1468:B1470"/>
    <mergeCell ref="C1468:C1469"/>
    <mergeCell ref="D1468:D1469"/>
    <mergeCell ref="E1468:E1469"/>
    <mergeCell ref="G1480:J1480"/>
    <mergeCell ref="A1497:A1498"/>
    <mergeCell ref="B1497:B1498"/>
    <mergeCell ref="C1497:C1498"/>
    <mergeCell ref="D1497:D1498"/>
    <mergeCell ref="E1497:E1498"/>
    <mergeCell ref="F1497:F1498"/>
    <mergeCell ref="K1484:K1487"/>
    <mergeCell ref="L1484:L1487"/>
    <mergeCell ref="G1488:J1488"/>
    <mergeCell ref="G1489:J1489"/>
    <mergeCell ref="G1490:J1490"/>
    <mergeCell ref="A1491:A1494"/>
    <mergeCell ref="B1491:B1494"/>
    <mergeCell ref="C1491:C1494"/>
    <mergeCell ref="D1491:D1494"/>
    <mergeCell ref="E1491:E1494"/>
    <mergeCell ref="A1484:A1487"/>
    <mergeCell ref="B1484:B1487"/>
    <mergeCell ref="C1484:C1487"/>
    <mergeCell ref="D1484:F1487"/>
    <mergeCell ref="J1484:J1487"/>
    <mergeCell ref="F1491:F1494"/>
    <mergeCell ref="J1491:J1494"/>
    <mergeCell ref="K1491:K1494"/>
    <mergeCell ref="A1523:B1523"/>
    <mergeCell ref="J1501:J1502"/>
    <mergeCell ref="K1501:K1502"/>
    <mergeCell ref="A1503:A1504"/>
    <mergeCell ref="B1503:B1504"/>
    <mergeCell ref="C1503:C1504"/>
    <mergeCell ref="G1503:J1503"/>
    <mergeCell ref="G1504:J1504"/>
    <mergeCell ref="G1497:J1497"/>
    <mergeCell ref="L1497:L1498"/>
    <mergeCell ref="G1498:J1498"/>
    <mergeCell ref="G1500:J1500"/>
    <mergeCell ref="A1501:A1502"/>
    <mergeCell ref="B1501:B1502"/>
    <mergeCell ref="C1501:C1502"/>
    <mergeCell ref="D1501:D1502"/>
    <mergeCell ref="E1501:E1502"/>
    <mergeCell ref="F1501:F1502"/>
    <mergeCell ref="G1511:J1511"/>
    <mergeCell ref="G1512:J1513"/>
    <mergeCell ref="F1511:F1513"/>
    <mergeCell ref="E1511:E1513"/>
    <mergeCell ref="D1511:D1513"/>
    <mergeCell ref="C1511:C1513"/>
    <mergeCell ref="B1511:B1513"/>
    <mergeCell ref="A1511:A1513"/>
    <mergeCell ref="K1511:K1513"/>
    <mergeCell ref="L1511:L1512"/>
    <mergeCell ref="G1514:J1514"/>
    <mergeCell ref="B1514:B1515"/>
    <mergeCell ref="A1514:A1515"/>
    <mergeCell ref="C1514:C1515"/>
    <mergeCell ref="L989:L990"/>
    <mergeCell ref="A1321:A1325"/>
    <mergeCell ref="B1321:B1325"/>
    <mergeCell ref="C1321:C1325"/>
    <mergeCell ref="D1321:D1325"/>
    <mergeCell ref="E1321:E1325"/>
    <mergeCell ref="F1321:F1325"/>
    <mergeCell ref="A1319:A1320"/>
    <mergeCell ref="B1319:B1320"/>
    <mergeCell ref="C1319:C1320"/>
    <mergeCell ref="D1319:D1320"/>
    <mergeCell ref="E1319:E1320"/>
    <mergeCell ref="F1319:F1320"/>
    <mergeCell ref="L1315:L1316"/>
    <mergeCell ref="D1317:D1318"/>
    <mergeCell ref="E1317:E1318"/>
    <mergeCell ref="F1317:F1318"/>
    <mergeCell ref="J1317:J1318"/>
    <mergeCell ref="K1317:K1318"/>
    <mergeCell ref="L1317:L1318"/>
    <mergeCell ref="D1314:D1316"/>
    <mergeCell ref="E1314:E1316"/>
    <mergeCell ref="F1314:F1316"/>
    <mergeCell ref="G1314:J1314"/>
    <mergeCell ref="J1315:J1316"/>
    <mergeCell ref="K1315:K1316"/>
    <mergeCell ref="A1307:A1318"/>
    <mergeCell ref="B1307:B1318"/>
    <mergeCell ref="C1307:C1318"/>
    <mergeCell ref="G1307:K1307"/>
    <mergeCell ref="G1308:J1308"/>
    <mergeCell ref="G1309:J1309"/>
    <mergeCell ref="G1481:J1481"/>
    <mergeCell ref="G1482:J1482"/>
    <mergeCell ref="F1478:F1479"/>
    <mergeCell ref="L183:L185"/>
    <mergeCell ref="G1116:I1116"/>
    <mergeCell ref="L1116:L1119"/>
    <mergeCell ref="J204:J208"/>
    <mergeCell ref="K204:K208"/>
    <mergeCell ref="J1321:J1325"/>
    <mergeCell ref="K1321:K1325"/>
    <mergeCell ref="J637:J640"/>
    <mergeCell ref="G636:K636"/>
    <mergeCell ref="K637:K640"/>
    <mergeCell ref="L637:L640"/>
    <mergeCell ref="G195:J197"/>
    <mergeCell ref="L1491:L1494"/>
    <mergeCell ref="G1478:J1478"/>
    <mergeCell ref="L1478:L1479"/>
    <mergeCell ref="G1479:J1479"/>
    <mergeCell ref="G1463:J1463"/>
    <mergeCell ref="L1463:L1464"/>
    <mergeCell ref="G1464:J1464"/>
    <mergeCell ref="G1465:J1465"/>
    <mergeCell ref="G1467:J1467"/>
    <mergeCell ref="G1445:J1445"/>
    <mergeCell ref="L1445:L1446"/>
    <mergeCell ref="G1446:J1446"/>
    <mergeCell ref="L1433:L1435"/>
    <mergeCell ref="J1173:J1174"/>
    <mergeCell ref="K1173:K1175"/>
    <mergeCell ref="G1175:J1175"/>
    <mergeCell ref="G1455:J1455"/>
    <mergeCell ref="K1514:K1515"/>
    <mergeCell ref="A212:A215"/>
    <mergeCell ref="B212:B215"/>
    <mergeCell ref="C212:C215"/>
    <mergeCell ref="G215:J215"/>
    <mergeCell ref="G1516:J1516"/>
    <mergeCell ref="G1517:J1517"/>
    <mergeCell ref="G1518:J1518"/>
    <mergeCell ref="G1519:J1519"/>
    <mergeCell ref="F1517:F1519"/>
    <mergeCell ref="E1517:E1519"/>
    <mergeCell ref="D1517:D1519"/>
    <mergeCell ref="C1517:C1519"/>
    <mergeCell ref="B1517:B1519"/>
    <mergeCell ref="A1517:A1519"/>
    <mergeCell ref="B989:B992"/>
    <mergeCell ref="A989:A992"/>
    <mergeCell ref="C989:C992"/>
    <mergeCell ref="A798:A799"/>
    <mergeCell ref="B798:B799"/>
    <mergeCell ref="C798:C799"/>
    <mergeCell ref="D799:F799"/>
    <mergeCell ref="A328:A329"/>
    <mergeCell ref="B328:B329"/>
    <mergeCell ref="C328:C329"/>
    <mergeCell ref="D951:F955"/>
    <mergeCell ref="J951:J954"/>
    <mergeCell ref="K951:K954"/>
    <mergeCell ref="G955:J956"/>
    <mergeCell ref="K955:K956"/>
    <mergeCell ref="G957:J958"/>
    <mergeCell ref="K957:K958"/>
    <mergeCell ref="G969:J969"/>
    <mergeCell ref="D970:E970"/>
    <mergeCell ref="G970:J970"/>
    <mergeCell ref="D972:E972"/>
    <mergeCell ref="D971:E971"/>
    <mergeCell ref="G971:J971"/>
    <mergeCell ref="G972:J972"/>
    <mergeCell ref="D959:F959"/>
    <mergeCell ref="D960:F961"/>
    <mergeCell ref="G960:G961"/>
    <mergeCell ref="H960:H961"/>
    <mergeCell ref="I960:I961"/>
    <mergeCell ref="J960:J961"/>
    <mergeCell ref="K960:K961"/>
    <mergeCell ref="G962:J962"/>
    <mergeCell ref="D963:E963"/>
    <mergeCell ref="G963:J963"/>
    <mergeCell ref="D964:E964"/>
    <mergeCell ref="G964:J964"/>
    <mergeCell ref="D965:E965"/>
    <mergeCell ref="G966:J966"/>
    <mergeCell ref="G967:J967"/>
    <mergeCell ref="D968:F968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3"/>
  <sheetViews>
    <sheetView rightToLeft="1" tabSelected="1" zoomScale="60" zoomScaleNormal="60" workbookViewId="0">
      <selection activeCell="F14" sqref="F1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6779"/>
      <c r="B2" s="6778" t="s">
        <v>5751</v>
      </c>
      <c r="C2" s="6684" t="s">
        <v>1300</v>
      </c>
      <c r="D2" s="6643">
        <v>6000000</v>
      </c>
      <c r="E2" s="6705">
        <v>7.0000000000000007E-2</v>
      </c>
      <c r="F2" s="6643">
        <v>450000</v>
      </c>
      <c r="G2" s="6643">
        <v>450000</v>
      </c>
      <c r="H2" s="6643" t="s">
        <v>8164</v>
      </c>
      <c r="I2" s="24" t="s">
        <v>8169</v>
      </c>
      <c r="J2" s="6643">
        <f>G2</f>
        <v>450000</v>
      </c>
      <c r="K2" s="6643">
        <f>F2-J2</f>
        <v>0</v>
      </c>
      <c r="L2" s="180"/>
    </row>
    <row r="3" spans="1:12" ht="30" customHeight="1" x14ac:dyDescent="0.2">
      <c r="A3" s="8309"/>
      <c r="B3" s="8307" t="s">
        <v>5752</v>
      </c>
      <c r="C3" s="7723" t="s">
        <v>1300</v>
      </c>
      <c r="D3" s="6643">
        <v>5000000</v>
      </c>
      <c r="E3" s="6705">
        <v>7.0000000000000007E-2</v>
      </c>
      <c r="F3" s="6643">
        <f t="shared" ref="F3:F4" si="0">D3*E3</f>
        <v>350000.00000000006</v>
      </c>
      <c r="G3" s="7563">
        <v>700000</v>
      </c>
      <c r="H3" s="7563" t="s">
        <v>8164</v>
      </c>
      <c r="I3" s="7561" t="s">
        <v>6405</v>
      </c>
      <c r="J3" s="7563">
        <f>G3</f>
        <v>700000</v>
      </c>
      <c r="K3" s="7563">
        <f>(F3+F4)-J3</f>
        <v>0</v>
      </c>
      <c r="L3" s="736"/>
    </row>
    <row r="4" spans="1:12" ht="30" customHeight="1" x14ac:dyDescent="0.2">
      <c r="A4" s="8310"/>
      <c r="B4" s="8308"/>
      <c r="C4" s="7724"/>
      <c r="D4" s="6643">
        <v>5000000</v>
      </c>
      <c r="E4" s="6705">
        <v>7.0000000000000007E-2</v>
      </c>
      <c r="F4" s="6643">
        <f t="shared" si="0"/>
        <v>350000.00000000006</v>
      </c>
      <c r="G4" s="7564"/>
      <c r="H4" s="7564"/>
      <c r="I4" s="7562"/>
      <c r="J4" s="7564"/>
      <c r="K4" s="7564"/>
      <c r="L4" s="736"/>
    </row>
    <row r="5" spans="1:12" ht="30" customHeight="1" x14ac:dyDescent="0.2">
      <c r="A5" s="7654">
        <v>3</v>
      </c>
      <c r="B5" s="7652" t="s">
        <v>285</v>
      </c>
      <c r="C5" s="7723" t="s">
        <v>359</v>
      </c>
      <c r="D5" s="6643">
        <v>36000000</v>
      </c>
      <c r="E5" s="6705">
        <v>7.0000000000000007E-2</v>
      </c>
      <c r="F5" s="6643">
        <v>2500000</v>
      </c>
      <c r="G5" s="6643"/>
      <c r="H5" s="6643"/>
      <c r="I5" s="24" t="s">
        <v>2026</v>
      </c>
      <c r="J5" s="6643">
        <f>G5</f>
        <v>0</v>
      </c>
      <c r="K5" s="6643">
        <f>F5-J5</f>
        <v>2500000</v>
      </c>
      <c r="L5" s="6844" t="s">
        <v>7952</v>
      </c>
    </row>
    <row r="6" spans="1:12" ht="30" customHeight="1" x14ac:dyDescent="0.2">
      <c r="A6" s="7655"/>
      <c r="B6" s="7653"/>
      <c r="C6" s="7724"/>
      <c r="D6" s="6849">
        <v>50000000</v>
      </c>
      <c r="E6" s="6845">
        <v>7.0000000000000007E-2</v>
      </c>
      <c r="F6" s="6849">
        <f>D6*E6</f>
        <v>3500000.0000000005</v>
      </c>
      <c r="G6" s="6826"/>
      <c r="H6" s="6826"/>
      <c r="I6" s="24"/>
      <c r="J6" s="6825"/>
      <c r="K6" s="6825"/>
      <c r="L6" s="6844" t="s">
        <v>7951</v>
      </c>
    </row>
    <row r="7" spans="1:12" ht="30" customHeight="1" x14ac:dyDescent="0.2">
      <c r="A7" s="7654">
        <v>4</v>
      </c>
      <c r="B7" s="7652" t="s">
        <v>310</v>
      </c>
      <c r="C7" s="7723" t="s">
        <v>2644</v>
      </c>
      <c r="D7" s="7677">
        <v>800000000</v>
      </c>
      <c r="E7" s="7691">
        <v>6.7000000000000004E-2</v>
      </c>
      <c r="F7" s="7677">
        <f>D7*E7</f>
        <v>53600000</v>
      </c>
      <c r="G7" s="6986">
        <v>10000000</v>
      </c>
      <c r="H7" s="6986" t="s">
        <v>8111</v>
      </c>
      <c r="I7" s="6986" t="s">
        <v>2719</v>
      </c>
      <c r="J7" s="6986">
        <f t="shared" ref="J7:J12" si="1">G7</f>
        <v>10000000</v>
      </c>
      <c r="K7" s="6986"/>
      <c r="L7" s="637"/>
    </row>
    <row r="8" spans="1:12" ht="30" customHeight="1" x14ac:dyDescent="0.2">
      <c r="A8" s="7656"/>
      <c r="B8" s="7665"/>
      <c r="C8" s="7747"/>
      <c r="D8" s="7690"/>
      <c r="E8" s="7692"/>
      <c r="F8" s="7690"/>
      <c r="G8" s="6986">
        <v>15000000</v>
      </c>
      <c r="H8" s="6986" t="s">
        <v>8186</v>
      </c>
      <c r="I8" s="6986" t="s">
        <v>7317</v>
      </c>
      <c r="J8" s="6986">
        <f t="shared" si="1"/>
        <v>15000000</v>
      </c>
      <c r="K8" s="6986"/>
      <c r="L8" s="3734" t="s">
        <v>7615</v>
      </c>
    </row>
    <row r="9" spans="1:12" ht="30" customHeight="1" x14ac:dyDescent="0.2">
      <c r="A9" s="7656"/>
      <c r="B9" s="7665"/>
      <c r="C9" s="7747"/>
      <c r="D9" s="7690"/>
      <c r="E9" s="7692"/>
      <c r="F9" s="7690"/>
      <c r="G9" s="6986">
        <v>15000000</v>
      </c>
      <c r="H9" s="6986" t="s">
        <v>8240</v>
      </c>
      <c r="I9" s="7056" t="s">
        <v>7317</v>
      </c>
      <c r="J9" s="6986">
        <f t="shared" si="1"/>
        <v>15000000</v>
      </c>
      <c r="K9" s="6986"/>
      <c r="L9" s="3734"/>
    </row>
    <row r="10" spans="1:12" ht="30" customHeight="1" x14ac:dyDescent="0.2">
      <c r="A10" s="7656"/>
      <c r="B10" s="7665"/>
      <c r="C10" s="7747"/>
      <c r="D10" s="7690"/>
      <c r="E10" s="7692"/>
      <c r="F10" s="7690"/>
      <c r="G10" s="7157">
        <v>6000000</v>
      </c>
      <c r="H10" s="7157" t="s">
        <v>3880</v>
      </c>
      <c r="I10" s="7157" t="s">
        <v>7317</v>
      </c>
      <c r="J10" s="7157">
        <f t="shared" si="1"/>
        <v>6000000</v>
      </c>
      <c r="K10" s="7157"/>
      <c r="L10" s="3734"/>
    </row>
    <row r="11" spans="1:12" ht="30" customHeight="1" x14ac:dyDescent="0.2">
      <c r="A11" s="7656"/>
      <c r="B11" s="7665"/>
      <c r="C11" s="7747"/>
      <c r="D11" s="7690"/>
      <c r="E11" s="7692"/>
      <c r="F11" s="7690"/>
      <c r="G11" s="7157">
        <v>10000000</v>
      </c>
      <c r="H11" s="7157" t="s">
        <v>8316</v>
      </c>
      <c r="I11" s="7157" t="s">
        <v>7317</v>
      </c>
      <c r="J11" s="7157">
        <f t="shared" si="1"/>
        <v>10000000</v>
      </c>
      <c r="K11" s="7157"/>
      <c r="L11" s="3734"/>
    </row>
    <row r="12" spans="1:12" ht="30" customHeight="1" x14ac:dyDescent="0.2">
      <c r="A12" s="7656"/>
      <c r="B12" s="7665"/>
      <c r="C12" s="7747"/>
      <c r="D12" s="7690"/>
      <c r="E12" s="7692"/>
      <c r="F12" s="7690"/>
      <c r="G12" s="7157">
        <v>7600000</v>
      </c>
      <c r="H12" s="7157" t="s">
        <v>8316</v>
      </c>
      <c r="I12" s="7157" t="s">
        <v>7317</v>
      </c>
      <c r="J12" s="7157">
        <f t="shared" si="1"/>
        <v>7600000</v>
      </c>
      <c r="K12" s="7157"/>
      <c r="L12" s="3734"/>
    </row>
    <row r="13" spans="1:12" ht="30" customHeight="1" x14ac:dyDescent="0.2">
      <c r="A13" s="7655"/>
      <c r="B13" s="7653"/>
      <c r="C13" s="7724"/>
      <c r="D13" s="7678"/>
      <c r="E13" s="7693"/>
      <c r="F13" s="7678"/>
      <c r="G13" s="6986"/>
      <c r="H13" s="6986"/>
      <c r="I13" s="6986"/>
      <c r="J13" s="6986"/>
      <c r="K13" s="6986"/>
      <c r="L13" s="29"/>
    </row>
    <row r="14" spans="1:12" ht="30" customHeight="1" x14ac:dyDescent="0.2">
      <c r="A14" s="6653">
        <v>6</v>
      </c>
      <c r="B14" s="6711" t="s">
        <v>407</v>
      </c>
      <c r="C14" s="6683"/>
      <c r="D14" s="6643">
        <v>15000000</v>
      </c>
      <c r="E14" s="6705">
        <v>0.05</v>
      </c>
      <c r="F14" s="6643">
        <f t="shared" ref="F14:F35" si="2">D14*E14</f>
        <v>750000</v>
      </c>
      <c r="G14" s="6643"/>
      <c r="H14" s="6643"/>
      <c r="I14" s="24"/>
      <c r="J14" s="6643">
        <f t="shared" ref="J14:J15" si="3">G14</f>
        <v>0</v>
      </c>
      <c r="K14" s="6643">
        <f t="shared" ref="K14:K15" si="4">F14-J14</f>
        <v>750000</v>
      </c>
      <c r="L14" s="637"/>
    </row>
    <row r="15" spans="1:12" ht="30" customHeight="1" x14ac:dyDescent="0.2">
      <c r="A15" s="6653">
        <v>7</v>
      </c>
      <c r="B15" s="19" t="s">
        <v>102</v>
      </c>
      <c r="C15" s="6710" t="s">
        <v>889</v>
      </c>
      <c r="D15" s="6643">
        <v>45000000</v>
      </c>
      <c r="E15" s="6705">
        <v>0.05</v>
      </c>
      <c r="F15" s="6643">
        <f t="shared" si="2"/>
        <v>2250000</v>
      </c>
      <c r="G15" s="6643">
        <v>2250000</v>
      </c>
      <c r="H15" s="6643" t="s">
        <v>7974</v>
      </c>
      <c r="I15" s="6796" t="s">
        <v>6225</v>
      </c>
      <c r="J15" s="6643">
        <f t="shared" si="3"/>
        <v>2250000</v>
      </c>
      <c r="K15" s="6643">
        <f t="shared" si="4"/>
        <v>0</v>
      </c>
      <c r="L15" s="736"/>
    </row>
    <row r="16" spans="1:12" ht="30" customHeight="1" x14ac:dyDescent="0.2">
      <c r="A16" s="7654"/>
      <c r="B16" s="7652" t="s">
        <v>349</v>
      </c>
      <c r="C16" s="7723" t="s">
        <v>1287</v>
      </c>
      <c r="D16" s="6643">
        <v>650000000</v>
      </c>
      <c r="E16" s="6649">
        <v>0.06</v>
      </c>
      <c r="F16" s="6643">
        <f t="shared" si="2"/>
        <v>39000000</v>
      </c>
      <c r="G16" s="7991" t="s">
        <v>7406</v>
      </c>
      <c r="H16" s="7992"/>
      <c r="I16" s="7992"/>
      <c r="J16" s="7993"/>
      <c r="K16" s="6643">
        <f>F16-J16</f>
        <v>39000000</v>
      </c>
      <c r="L16" s="6742" t="s">
        <v>5261</v>
      </c>
    </row>
    <row r="17" spans="1:12" ht="30" customHeight="1" x14ac:dyDescent="0.2">
      <c r="A17" s="7656"/>
      <c r="B17" s="7665"/>
      <c r="C17" s="7747"/>
      <c r="D17" s="6643">
        <v>39000000</v>
      </c>
      <c r="E17" s="6649"/>
      <c r="F17" s="6643"/>
      <c r="G17" s="7997"/>
      <c r="H17" s="7998"/>
      <c r="I17" s="7998"/>
      <c r="J17" s="7999"/>
      <c r="K17" s="6643"/>
      <c r="L17" s="6726"/>
    </row>
    <row r="18" spans="1:12" ht="30" customHeight="1" x14ac:dyDescent="0.2">
      <c r="A18" s="7656"/>
      <c r="B18" s="7665"/>
      <c r="C18" s="7747"/>
      <c r="D18" s="6643">
        <v>50000000</v>
      </c>
      <c r="E18" s="6649"/>
      <c r="F18" s="6643"/>
      <c r="G18" s="7732" t="s">
        <v>7407</v>
      </c>
      <c r="H18" s="7733"/>
      <c r="I18" s="7733"/>
      <c r="J18" s="7734"/>
      <c r="K18" s="6643"/>
      <c r="L18" s="6726" t="s">
        <v>7411</v>
      </c>
    </row>
    <row r="19" spans="1:12" ht="30" customHeight="1" x14ac:dyDescent="0.2">
      <c r="A19" s="7656"/>
      <c r="B19" s="7665"/>
      <c r="C19" s="7747"/>
      <c r="D19" s="6643">
        <v>50000000</v>
      </c>
      <c r="E19" s="6649"/>
      <c r="F19" s="6643"/>
      <c r="G19" s="7732" t="s">
        <v>7408</v>
      </c>
      <c r="H19" s="7733"/>
      <c r="I19" s="7733"/>
      <c r="J19" s="7734"/>
      <c r="K19" s="6643"/>
      <c r="L19" s="6726" t="s">
        <v>7410</v>
      </c>
    </row>
    <row r="20" spans="1:12" ht="30" customHeight="1" x14ac:dyDescent="0.2">
      <c r="A20" s="7656"/>
      <c r="B20" s="7665"/>
      <c r="C20" s="7747"/>
      <c r="D20" s="6643">
        <v>100000000</v>
      </c>
      <c r="E20" s="6649"/>
      <c r="F20" s="6643"/>
      <c r="G20" s="7732" t="s">
        <v>7412</v>
      </c>
      <c r="H20" s="7733"/>
      <c r="I20" s="7733"/>
      <c r="J20" s="7734"/>
      <c r="K20" s="6643"/>
      <c r="L20" s="6726" t="s">
        <v>7409</v>
      </c>
    </row>
    <row r="21" spans="1:12" ht="30" customHeight="1" x14ac:dyDescent="0.2">
      <c r="A21" s="7656"/>
      <c r="B21" s="7665"/>
      <c r="C21" s="7747"/>
      <c r="D21" s="6643">
        <v>50000000</v>
      </c>
      <c r="E21" s="6649"/>
      <c r="F21" s="6643"/>
      <c r="G21" s="7732" t="s">
        <v>7413</v>
      </c>
      <c r="H21" s="7733"/>
      <c r="I21" s="7733"/>
      <c r="J21" s="7734"/>
      <c r="K21" s="6643"/>
      <c r="L21" s="6726" t="s">
        <v>7410</v>
      </c>
    </row>
    <row r="22" spans="1:12" ht="30" customHeight="1" x14ac:dyDescent="0.2">
      <c r="A22" s="7656"/>
      <c r="B22" s="7665"/>
      <c r="C22" s="7747"/>
      <c r="D22" s="6643">
        <v>61000000</v>
      </c>
      <c r="E22" s="6649"/>
      <c r="F22" s="6643"/>
      <c r="G22" s="7732" t="s">
        <v>7414</v>
      </c>
      <c r="H22" s="7733"/>
      <c r="I22" s="7733"/>
      <c r="J22" s="7734"/>
      <c r="K22" s="6643"/>
      <c r="L22" s="6726" t="s">
        <v>7410</v>
      </c>
    </row>
    <row r="23" spans="1:12" ht="30" customHeight="1" x14ac:dyDescent="0.2">
      <c r="A23" s="7655"/>
      <c r="B23" s="7653"/>
      <c r="C23" s="7724"/>
      <c r="D23" s="6752">
        <f>SUM(D16:D22)</f>
        <v>1000000000</v>
      </c>
      <c r="E23" s="6754"/>
      <c r="F23" s="6752"/>
      <c r="G23" s="6735"/>
      <c r="H23" s="6736"/>
      <c r="I23" s="6736"/>
      <c r="J23" s="6737"/>
      <c r="K23" s="6643"/>
      <c r="L23" s="6726" t="s">
        <v>7415</v>
      </c>
    </row>
    <row r="24" spans="1:12" ht="30" customHeight="1" x14ac:dyDescent="0.2">
      <c r="A24" s="7879">
        <v>10</v>
      </c>
      <c r="B24" s="7717" t="s">
        <v>999</v>
      </c>
      <c r="C24" s="7723" t="s">
        <v>1796</v>
      </c>
      <c r="D24" s="6643">
        <v>180000000</v>
      </c>
      <c r="E24" s="6705">
        <v>7.0000000000000007E-2</v>
      </c>
      <c r="F24" s="6643">
        <f t="shared" si="2"/>
        <v>12600000.000000002</v>
      </c>
      <c r="G24" s="6643"/>
      <c r="H24" s="6643"/>
      <c r="I24" s="24" t="s">
        <v>7527</v>
      </c>
      <c r="J24" s="7563">
        <f>G24+G25</f>
        <v>0</v>
      </c>
      <c r="K24" s="7482"/>
      <c r="L24" s="180"/>
    </row>
    <row r="25" spans="1:12" ht="30" customHeight="1" x14ac:dyDescent="0.2">
      <c r="A25" s="7879"/>
      <c r="B25" s="7717"/>
      <c r="C25" s="7747"/>
      <c r="D25" s="7563">
        <v>50000000</v>
      </c>
      <c r="E25" s="7659">
        <v>0.08</v>
      </c>
      <c r="F25" s="7563">
        <f>D25*E25</f>
        <v>4000000</v>
      </c>
      <c r="G25" s="6642"/>
      <c r="H25" s="6642"/>
      <c r="I25" s="24" t="s">
        <v>7527</v>
      </c>
      <c r="J25" s="7564"/>
      <c r="K25" s="7482"/>
      <c r="L25" s="6671" t="s">
        <v>7737</v>
      </c>
    </row>
    <row r="26" spans="1:12" ht="30" customHeight="1" x14ac:dyDescent="0.2">
      <c r="A26" s="7879"/>
      <c r="B26" s="7717"/>
      <c r="C26" s="7724"/>
      <c r="D26" s="7564"/>
      <c r="E26" s="7660"/>
      <c r="F26" s="7564"/>
      <c r="G26" s="8000" t="s">
        <v>7664</v>
      </c>
      <c r="H26" s="8000"/>
      <c r="I26" s="8000"/>
      <c r="J26" s="8000"/>
      <c r="K26" s="6642"/>
      <c r="L26" s="6671" t="s">
        <v>7663</v>
      </c>
    </row>
    <row r="27" spans="1:12" ht="30" customHeight="1" x14ac:dyDescent="0.2">
      <c r="A27" s="7879"/>
      <c r="B27" s="7717"/>
      <c r="C27" s="6710" t="s">
        <v>371</v>
      </c>
      <c r="D27" s="6635">
        <v>60000000</v>
      </c>
      <c r="E27" s="6705">
        <v>7.0000000000000007E-2</v>
      </c>
      <c r="F27" s="6635">
        <f>D27*E27</f>
        <v>4200000</v>
      </c>
      <c r="G27" s="7563">
        <v>7350000</v>
      </c>
      <c r="H27" s="7563" t="s">
        <v>8111</v>
      </c>
      <c r="I27" s="7657" t="s">
        <v>6399</v>
      </c>
      <c r="J27" s="7563">
        <f>G27</f>
        <v>7350000</v>
      </c>
      <c r="K27" s="7563">
        <f>(F27+F28+F29)-J27</f>
        <v>0</v>
      </c>
      <c r="L27" s="180"/>
    </row>
    <row r="28" spans="1:12" ht="30" customHeight="1" x14ac:dyDescent="0.2">
      <c r="A28" s="6655"/>
      <c r="B28" s="6651" t="s">
        <v>5565</v>
      </c>
      <c r="C28" s="6710" t="s">
        <v>371</v>
      </c>
      <c r="D28" s="6641">
        <v>25000000</v>
      </c>
      <c r="E28" s="6647">
        <v>7.0000000000000007E-2</v>
      </c>
      <c r="F28" s="6641">
        <f>D28*E28</f>
        <v>1750000.0000000002</v>
      </c>
      <c r="G28" s="7586"/>
      <c r="H28" s="7586"/>
      <c r="I28" s="7664"/>
      <c r="J28" s="7586"/>
      <c r="K28" s="7586"/>
      <c r="L28" s="180"/>
    </row>
    <row r="29" spans="1:12" ht="30" customHeight="1" x14ac:dyDescent="0.2">
      <c r="A29" s="7879"/>
      <c r="B29" s="7717" t="s">
        <v>7135</v>
      </c>
      <c r="C29" s="7873" t="s">
        <v>371</v>
      </c>
      <c r="D29" s="7482">
        <v>20000000</v>
      </c>
      <c r="E29" s="7870">
        <v>7.0000000000000007E-2</v>
      </c>
      <c r="F29" s="7482">
        <f>D29*E29</f>
        <v>1400000.0000000002</v>
      </c>
      <c r="G29" s="7586"/>
      <c r="H29" s="7586"/>
      <c r="I29" s="7664"/>
      <c r="J29" s="7586"/>
      <c r="K29" s="7586"/>
      <c r="L29" s="736" t="s">
        <v>7136</v>
      </c>
    </row>
    <row r="30" spans="1:12" ht="30" customHeight="1" x14ac:dyDescent="0.2">
      <c r="A30" s="7879"/>
      <c r="B30" s="7717"/>
      <c r="C30" s="7873"/>
      <c r="D30" s="7482"/>
      <c r="E30" s="7870"/>
      <c r="F30" s="7482"/>
      <c r="G30" s="7586"/>
      <c r="H30" s="7586"/>
      <c r="I30" s="7664"/>
      <c r="J30" s="7586"/>
      <c r="K30" s="7586"/>
      <c r="L30" s="736" t="s">
        <v>7137</v>
      </c>
    </row>
    <row r="31" spans="1:12" ht="30" customHeight="1" x14ac:dyDescent="0.2">
      <c r="A31" s="7879"/>
      <c r="B31" s="7717"/>
      <c r="C31" s="7873"/>
      <c r="D31" s="7482"/>
      <c r="E31" s="7870"/>
      <c r="F31" s="7482"/>
      <c r="G31" s="7564"/>
      <c r="H31" s="7564"/>
      <c r="I31" s="7658"/>
      <c r="J31" s="7564"/>
      <c r="K31" s="7564"/>
      <c r="L31" s="736" t="s">
        <v>7297</v>
      </c>
    </row>
    <row r="32" spans="1:12" ht="30" customHeight="1" x14ac:dyDescent="0.2">
      <c r="A32" s="7164"/>
      <c r="B32" s="7171" t="s">
        <v>8466</v>
      </c>
      <c r="C32" s="7176"/>
      <c r="D32" s="7157">
        <v>25000000</v>
      </c>
      <c r="E32" s="7182"/>
      <c r="F32" s="7157"/>
      <c r="G32" s="7991" t="s">
        <v>8327</v>
      </c>
      <c r="H32" s="7992"/>
      <c r="I32" s="7992"/>
      <c r="J32" s="7993"/>
      <c r="K32" s="7160"/>
      <c r="L32" s="7170" t="s">
        <v>8328</v>
      </c>
    </row>
    <row r="33" spans="1:12" ht="30" customHeight="1" x14ac:dyDescent="0.2">
      <c r="A33" s="7361"/>
      <c r="B33" s="7360" t="s">
        <v>8465</v>
      </c>
      <c r="C33" s="7369"/>
      <c r="D33" s="7357">
        <v>200000000</v>
      </c>
      <c r="E33" s="7378"/>
      <c r="F33" s="7357"/>
      <c r="G33" s="7991" t="s">
        <v>8468</v>
      </c>
      <c r="H33" s="7992"/>
      <c r="I33" s="7992"/>
      <c r="J33" s="7993"/>
      <c r="K33" s="7357"/>
      <c r="L33" s="7367" t="s">
        <v>8467</v>
      </c>
    </row>
    <row r="34" spans="1:12" ht="30" customHeight="1" x14ac:dyDescent="0.2">
      <c r="A34" s="7661">
        <v>11</v>
      </c>
      <c r="B34" s="7652" t="s">
        <v>393</v>
      </c>
      <c r="C34" s="7723" t="s">
        <v>359</v>
      </c>
      <c r="D34" s="2548">
        <v>15000000</v>
      </c>
      <c r="E34" s="2549">
        <v>7.0000000000000007E-2</v>
      </c>
      <c r="F34" s="2548">
        <f t="shared" si="2"/>
        <v>1050000</v>
      </c>
      <c r="G34" s="8410" t="s">
        <v>8135</v>
      </c>
      <c r="H34" s="8411"/>
      <c r="I34" s="8411"/>
      <c r="J34" s="8412"/>
      <c r="K34" s="233"/>
      <c r="L34" s="7354" t="s">
        <v>8134</v>
      </c>
    </row>
    <row r="35" spans="1:12" ht="30" customHeight="1" x14ac:dyDescent="0.2">
      <c r="A35" s="7662"/>
      <c r="B35" s="7665"/>
      <c r="C35" s="7747"/>
      <c r="D35" s="8145">
        <v>5000000</v>
      </c>
      <c r="E35" s="8590">
        <v>0.05</v>
      </c>
      <c r="F35" s="8145">
        <f t="shared" si="2"/>
        <v>250000</v>
      </c>
      <c r="G35" s="7238">
        <v>1300000</v>
      </c>
      <c r="H35" s="7238" t="s">
        <v>5200</v>
      </c>
      <c r="I35" s="52" t="s">
        <v>8350</v>
      </c>
      <c r="J35" s="7238">
        <f>G35</f>
        <v>1300000</v>
      </c>
      <c r="K35" s="7238">
        <f>(F34+F35)-J35</f>
        <v>0</v>
      </c>
      <c r="L35" s="7354"/>
    </row>
    <row r="36" spans="1:12" ht="30" customHeight="1" x14ac:dyDescent="0.2">
      <c r="A36" s="7663"/>
      <c r="B36" s="7653"/>
      <c r="C36" s="7724"/>
      <c r="D36" s="8147"/>
      <c r="E36" s="8591"/>
      <c r="F36" s="8147"/>
      <c r="G36" s="7296">
        <v>1300000</v>
      </c>
      <c r="H36" s="7296" t="s">
        <v>8398</v>
      </c>
      <c r="I36" s="52" t="s">
        <v>2460</v>
      </c>
      <c r="J36" s="7296">
        <f>G36</f>
        <v>1300000</v>
      </c>
      <c r="K36" s="7296">
        <f>(F34+F35)-J36</f>
        <v>0</v>
      </c>
      <c r="L36" s="4241"/>
    </row>
    <row r="37" spans="1:12" ht="30" customHeight="1" x14ac:dyDescent="0.2">
      <c r="A37" s="7654">
        <v>12</v>
      </c>
      <c r="B37" s="7652" t="s">
        <v>399</v>
      </c>
      <c r="C37" s="7723" t="s">
        <v>1172</v>
      </c>
      <c r="D37" s="6643">
        <v>75000000</v>
      </c>
      <c r="E37" s="6649">
        <f>F37/D37</f>
        <v>5.3333333333333337E-2</v>
      </c>
      <c r="F37" s="6643">
        <v>4000000</v>
      </c>
      <c r="G37" s="6643">
        <v>4000000</v>
      </c>
      <c r="H37" s="6643" t="s">
        <v>6460</v>
      </c>
      <c r="I37" s="52" t="s">
        <v>3728</v>
      </c>
      <c r="J37" s="6643">
        <f>G37</f>
        <v>4000000</v>
      </c>
      <c r="K37" s="6643">
        <f>F37-J37</f>
        <v>0</v>
      </c>
      <c r="L37" s="6671"/>
    </row>
    <row r="38" spans="1:12" ht="30" customHeight="1" x14ac:dyDescent="0.2">
      <c r="A38" s="7655"/>
      <c r="B38" s="7653"/>
      <c r="C38" s="7724"/>
      <c r="D38" s="6643">
        <v>10000000</v>
      </c>
      <c r="E38" s="6649"/>
      <c r="F38" s="6643"/>
      <c r="G38" s="6635"/>
      <c r="H38" s="6635"/>
      <c r="I38" s="6635"/>
      <c r="J38" s="6635"/>
      <c r="K38" s="6643"/>
      <c r="L38" s="6671" t="s">
        <v>7144</v>
      </c>
    </row>
    <row r="39" spans="1:12" ht="30" customHeight="1" x14ac:dyDescent="0.2">
      <c r="A39" s="6708"/>
      <c r="B39" s="19" t="s">
        <v>420</v>
      </c>
      <c r="C39" s="6710" t="s">
        <v>359</v>
      </c>
      <c r="D39" s="6635">
        <v>100000000</v>
      </c>
      <c r="E39" s="6705">
        <v>7.0000000000000007E-2</v>
      </c>
      <c r="F39" s="6635">
        <f t="shared" ref="F39:F51" si="5">D39*E39</f>
        <v>7000000.0000000009</v>
      </c>
      <c r="G39" s="1455"/>
      <c r="H39" s="1455"/>
      <c r="I39" s="1455" t="s">
        <v>1946</v>
      </c>
      <c r="J39" s="6635">
        <f>G39</f>
        <v>0</v>
      </c>
      <c r="K39" s="6635">
        <f>F39-J39</f>
        <v>7000000.0000000009</v>
      </c>
      <c r="L39" s="6742"/>
    </row>
    <row r="40" spans="1:12" ht="30" customHeight="1" x14ac:dyDescent="0.2">
      <c r="A40" s="7654">
        <v>14</v>
      </c>
      <c r="B40" s="7652" t="s">
        <v>428</v>
      </c>
      <c r="C40" s="7723" t="s">
        <v>1300</v>
      </c>
      <c r="D40" s="6643">
        <v>150000000</v>
      </c>
      <c r="E40" s="6649">
        <v>0.04</v>
      </c>
      <c r="F40" s="6643">
        <f t="shared" si="5"/>
        <v>6000000</v>
      </c>
      <c r="G40" s="7563">
        <v>12000000</v>
      </c>
      <c r="H40" s="7563" t="s">
        <v>8164</v>
      </c>
      <c r="I40" s="7762" t="s">
        <v>4061</v>
      </c>
      <c r="J40" s="7563">
        <f t="shared" ref="J40:J50" si="6">G40</f>
        <v>12000000</v>
      </c>
      <c r="K40" s="7563"/>
      <c r="L40" s="6667"/>
    </row>
    <row r="41" spans="1:12" ht="30" customHeight="1" x14ac:dyDescent="0.2">
      <c r="A41" s="7655"/>
      <c r="B41" s="7653"/>
      <c r="C41" s="7724"/>
      <c r="D41" s="6643">
        <v>200000000</v>
      </c>
      <c r="E41" s="6649"/>
      <c r="F41" s="6643"/>
      <c r="G41" s="7564"/>
      <c r="H41" s="7564"/>
      <c r="I41" s="7763"/>
      <c r="J41" s="7564"/>
      <c r="K41" s="7564"/>
      <c r="L41" s="6671" t="s">
        <v>7355</v>
      </c>
    </row>
    <row r="42" spans="1:12" ht="30" customHeight="1" x14ac:dyDescent="0.2">
      <c r="A42" s="7654"/>
      <c r="B42" s="7652" t="s">
        <v>4726</v>
      </c>
      <c r="C42" s="7723" t="s">
        <v>1138</v>
      </c>
      <c r="D42" s="7563">
        <v>350000000</v>
      </c>
      <c r="E42" s="7659">
        <v>7.0000000000000007E-2</v>
      </c>
      <c r="F42" s="7563">
        <f t="shared" si="5"/>
        <v>24500000.000000004</v>
      </c>
      <c r="G42" s="7292">
        <v>14500000</v>
      </c>
      <c r="H42" s="7292" t="s">
        <v>8111</v>
      </c>
      <c r="I42" s="7340" t="s">
        <v>4814</v>
      </c>
      <c r="J42" s="7563">
        <f>G42+G43</f>
        <v>24500000</v>
      </c>
      <c r="K42" s="7563">
        <f>F42-J42</f>
        <v>0</v>
      </c>
      <c r="L42" s="7713"/>
    </row>
    <row r="43" spans="1:12" ht="30" customHeight="1" x14ac:dyDescent="0.2">
      <c r="A43" s="7656"/>
      <c r="B43" s="7665"/>
      <c r="C43" s="7747"/>
      <c r="D43" s="7564"/>
      <c r="E43" s="7660"/>
      <c r="F43" s="7564"/>
      <c r="G43" s="7292">
        <v>10000000</v>
      </c>
      <c r="H43" s="7292" t="s">
        <v>8424</v>
      </c>
      <c r="I43" s="7340" t="s">
        <v>4814</v>
      </c>
      <c r="J43" s="7564"/>
      <c r="K43" s="7564"/>
      <c r="L43" s="7714"/>
    </row>
    <row r="44" spans="1:12" ht="30" customHeight="1" x14ac:dyDescent="0.2">
      <c r="A44" s="7656"/>
      <c r="B44" s="7665"/>
      <c r="C44" s="7747"/>
      <c r="D44" s="7563">
        <v>350000000</v>
      </c>
      <c r="E44" s="7659">
        <v>7.0000000000000007E-2</v>
      </c>
      <c r="F44" s="7563">
        <f>D44*E44</f>
        <v>24500000.000000004</v>
      </c>
      <c r="G44" s="6643"/>
      <c r="H44" s="6643"/>
      <c r="I44" s="64"/>
      <c r="J44" s="6643"/>
      <c r="K44" s="6643"/>
      <c r="L44" s="6671" t="s">
        <v>7677</v>
      </c>
    </row>
    <row r="45" spans="1:12" ht="30" customHeight="1" x14ac:dyDescent="0.2">
      <c r="A45" s="7655"/>
      <c r="B45" s="7653"/>
      <c r="C45" s="7724"/>
      <c r="D45" s="7564"/>
      <c r="E45" s="7660"/>
      <c r="F45" s="7564"/>
      <c r="G45" s="6643"/>
      <c r="H45" s="6643"/>
      <c r="I45" s="64"/>
      <c r="J45" s="6643"/>
      <c r="K45" s="6643"/>
      <c r="L45" s="6671" t="s">
        <v>7678</v>
      </c>
    </row>
    <row r="46" spans="1:12" ht="30" customHeight="1" x14ac:dyDescent="0.2">
      <c r="A46" s="7654">
        <v>15</v>
      </c>
      <c r="B46" s="7652" t="s">
        <v>436</v>
      </c>
      <c r="C46" s="7723" t="s">
        <v>1300</v>
      </c>
      <c r="D46" s="7563">
        <v>100000000</v>
      </c>
      <c r="E46" s="7659">
        <v>0.05</v>
      </c>
      <c r="F46" s="7563">
        <f t="shared" si="5"/>
        <v>5000000</v>
      </c>
      <c r="G46" s="6635">
        <v>25000000</v>
      </c>
      <c r="H46" s="6635" t="s">
        <v>8267</v>
      </c>
      <c r="I46" s="6747" t="s">
        <v>7630</v>
      </c>
      <c r="J46" s="6635">
        <f>G46</f>
        <v>25000000</v>
      </c>
      <c r="K46" s="6635">
        <f>F46-J46</f>
        <v>-20000000</v>
      </c>
      <c r="L46" s="6671"/>
    </row>
    <row r="47" spans="1:12" ht="30" customHeight="1" x14ac:dyDescent="0.2">
      <c r="A47" s="7656"/>
      <c r="B47" s="7665"/>
      <c r="C47" s="7747"/>
      <c r="D47" s="7586"/>
      <c r="E47" s="7676"/>
      <c r="F47" s="7586"/>
      <c r="G47" s="7232">
        <v>20000000</v>
      </c>
      <c r="H47" s="7232" t="s">
        <v>8363</v>
      </c>
      <c r="I47" s="7282" t="s">
        <v>7630</v>
      </c>
      <c r="J47" s="7232">
        <f>G47</f>
        <v>20000000</v>
      </c>
      <c r="K47" s="7232"/>
      <c r="L47" s="7257"/>
    </row>
    <row r="48" spans="1:12" ht="30" customHeight="1" x14ac:dyDescent="0.2">
      <c r="A48" s="7656"/>
      <c r="B48" s="7665"/>
      <c r="C48" s="7747"/>
      <c r="D48" s="7586"/>
      <c r="E48" s="7676"/>
      <c r="F48" s="7586"/>
      <c r="G48" s="7357">
        <v>20000000</v>
      </c>
      <c r="H48" s="7357" t="s">
        <v>8367</v>
      </c>
      <c r="I48" s="7385" t="s">
        <v>7630</v>
      </c>
      <c r="J48" s="7357">
        <f>G48</f>
        <v>20000000</v>
      </c>
      <c r="K48" s="7357"/>
      <c r="L48" s="7367"/>
    </row>
    <row r="49" spans="1:14" ht="30" customHeight="1" x14ac:dyDescent="0.2">
      <c r="A49" s="7655"/>
      <c r="B49" s="7653"/>
      <c r="C49" s="7724"/>
      <c r="D49" s="7564"/>
      <c r="E49" s="7660"/>
      <c r="F49" s="7564"/>
      <c r="G49" s="7232">
        <v>20000000</v>
      </c>
      <c r="H49" s="7232" t="s">
        <v>8464</v>
      </c>
      <c r="I49" s="7282" t="s">
        <v>7630</v>
      </c>
      <c r="J49" s="7232">
        <f>G49</f>
        <v>20000000</v>
      </c>
      <c r="K49" s="7232"/>
      <c r="L49" s="7257"/>
    </row>
    <row r="50" spans="1:14" ht="30" customHeight="1" x14ac:dyDescent="0.2">
      <c r="A50" s="6708">
        <v>16</v>
      </c>
      <c r="B50" s="19" t="s">
        <v>487</v>
      </c>
      <c r="C50" s="6710" t="s">
        <v>889</v>
      </c>
      <c r="D50" s="6635">
        <v>80000000</v>
      </c>
      <c r="E50" s="6705">
        <v>0.04</v>
      </c>
      <c r="F50" s="6635">
        <f t="shared" si="5"/>
        <v>3200000</v>
      </c>
      <c r="G50" s="6635">
        <v>3200000</v>
      </c>
      <c r="H50" s="6635" t="s">
        <v>8186</v>
      </c>
      <c r="I50" s="6747" t="s">
        <v>4000</v>
      </c>
      <c r="J50" s="6635">
        <f t="shared" si="6"/>
        <v>3200000</v>
      </c>
      <c r="K50" s="6635">
        <f t="shared" ref="K50" si="7">F50-J50</f>
        <v>0</v>
      </c>
      <c r="L50" s="6761"/>
    </row>
    <row r="51" spans="1:14" ht="30" customHeight="1" x14ac:dyDescent="0.2">
      <c r="A51" s="6708">
        <v>17</v>
      </c>
      <c r="B51" s="6665" t="s">
        <v>747</v>
      </c>
      <c r="C51" s="6710" t="s">
        <v>1289</v>
      </c>
      <c r="D51" s="6643">
        <v>150000000</v>
      </c>
      <c r="E51" s="6649">
        <v>0.06</v>
      </c>
      <c r="F51" s="6643">
        <f t="shared" si="5"/>
        <v>9000000</v>
      </c>
      <c r="G51" s="6641">
        <v>12000000</v>
      </c>
      <c r="H51" s="6641" t="s">
        <v>8398</v>
      </c>
      <c r="I51" s="6696" t="s">
        <v>3208</v>
      </c>
      <c r="J51" s="6641">
        <f>G51</f>
        <v>12000000</v>
      </c>
      <c r="K51" s="6641">
        <f>F51-J51</f>
        <v>-3000000</v>
      </c>
      <c r="L51" s="6667"/>
    </row>
    <row r="52" spans="1:14" ht="30" customHeight="1" x14ac:dyDescent="0.2">
      <c r="A52" s="7879">
        <v>19</v>
      </c>
      <c r="B52" s="7652" t="s">
        <v>560</v>
      </c>
      <c r="C52" s="7723" t="s">
        <v>1300</v>
      </c>
      <c r="D52" s="6643">
        <v>50000000</v>
      </c>
      <c r="E52" s="7659">
        <f>F52/(D52+D53)</f>
        <v>0.05</v>
      </c>
      <c r="F52" s="7563">
        <v>3250000</v>
      </c>
      <c r="G52" s="7563">
        <v>4750000</v>
      </c>
      <c r="H52" s="7563" t="s">
        <v>8267</v>
      </c>
      <c r="I52" s="7762" t="s">
        <v>4401</v>
      </c>
      <c r="J52" s="7563">
        <f t="shared" ref="J52" si="8">G52</f>
        <v>4750000</v>
      </c>
      <c r="K52" s="7563">
        <f>(F52+F54)-G52</f>
        <v>0</v>
      </c>
      <c r="L52" s="6726"/>
    </row>
    <row r="53" spans="1:14" ht="30" customHeight="1" x14ac:dyDescent="0.2">
      <c r="A53" s="7879"/>
      <c r="B53" s="7665"/>
      <c r="C53" s="7747"/>
      <c r="D53" s="6643">
        <v>15000000</v>
      </c>
      <c r="E53" s="7660"/>
      <c r="F53" s="7564"/>
      <c r="G53" s="7586"/>
      <c r="H53" s="7586"/>
      <c r="I53" s="8114"/>
      <c r="J53" s="7586"/>
      <c r="K53" s="7586"/>
      <c r="L53" s="6726"/>
    </row>
    <row r="54" spans="1:14" ht="30" customHeight="1" x14ac:dyDescent="0.2">
      <c r="A54" s="7879"/>
      <c r="B54" s="7653"/>
      <c r="C54" s="7724"/>
      <c r="D54" s="6643">
        <v>30000000</v>
      </c>
      <c r="E54" s="6649">
        <v>0.05</v>
      </c>
      <c r="F54" s="6643">
        <f>E54*D54</f>
        <v>1500000</v>
      </c>
      <c r="G54" s="7564"/>
      <c r="H54" s="7564"/>
      <c r="I54" s="7763"/>
      <c r="J54" s="7564"/>
      <c r="K54" s="7564"/>
      <c r="L54" s="6726"/>
    </row>
    <row r="55" spans="1:14" ht="30" customHeight="1" x14ac:dyDescent="0.2">
      <c r="A55" s="7115">
        <v>22</v>
      </c>
      <c r="B55" s="7116" t="s">
        <v>658</v>
      </c>
      <c r="C55" s="7131" t="s">
        <v>1287</v>
      </c>
      <c r="D55" s="7112">
        <v>300000000</v>
      </c>
      <c r="E55" s="7119">
        <v>7.0000000000000007E-2</v>
      </c>
      <c r="F55" s="7112">
        <f>D55*E55</f>
        <v>21000000.000000004</v>
      </c>
      <c r="G55" s="6643">
        <v>21000000</v>
      </c>
      <c r="H55" s="6643" t="s">
        <v>8247</v>
      </c>
      <c r="I55" s="6643" t="s">
        <v>7624</v>
      </c>
      <c r="J55" s="7112">
        <f>G55</f>
        <v>21000000</v>
      </c>
      <c r="K55" s="7112">
        <f>F55-J55</f>
        <v>0</v>
      </c>
      <c r="L55" s="6742"/>
    </row>
    <row r="56" spans="1:14" ht="30" customHeight="1" x14ac:dyDescent="0.2">
      <c r="A56" s="7654"/>
      <c r="B56" s="7652" t="s">
        <v>7576</v>
      </c>
      <c r="C56" s="7723"/>
      <c r="D56" s="7563">
        <v>91000000</v>
      </c>
      <c r="E56" s="7659">
        <v>0.06</v>
      </c>
      <c r="F56" s="7563">
        <v>5500000</v>
      </c>
      <c r="G56" s="7470" t="s">
        <v>7578</v>
      </c>
      <c r="H56" s="7493"/>
      <c r="I56" s="7493"/>
      <c r="J56" s="7510"/>
      <c r="K56" s="7563"/>
      <c r="L56" s="7713" t="s">
        <v>7577</v>
      </c>
    </row>
    <row r="57" spans="1:14" ht="30" customHeight="1" x14ac:dyDescent="0.2">
      <c r="A57" s="7656"/>
      <c r="B57" s="7665"/>
      <c r="C57" s="7747"/>
      <c r="D57" s="7586"/>
      <c r="E57" s="7676"/>
      <c r="F57" s="7586"/>
      <c r="G57" s="7732" t="s">
        <v>7579</v>
      </c>
      <c r="H57" s="7733"/>
      <c r="I57" s="7733"/>
      <c r="J57" s="7734"/>
      <c r="K57" s="7586"/>
      <c r="L57" s="7797"/>
    </row>
    <row r="58" spans="1:14" ht="30" customHeight="1" x14ac:dyDescent="0.2">
      <c r="A58" s="7656"/>
      <c r="B58" s="7665"/>
      <c r="C58" s="7747"/>
      <c r="D58" s="7586"/>
      <c r="E58" s="7676"/>
      <c r="F58" s="7586"/>
      <c r="G58" s="7732" t="s">
        <v>7580</v>
      </c>
      <c r="H58" s="7733"/>
      <c r="I58" s="7733"/>
      <c r="J58" s="7734"/>
      <c r="K58" s="7564"/>
      <c r="L58" s="7714"/>
    </row>
    <row r="59" spans="1:14" ht="30" customHeight="1" x14ac:dyDescent="0.2">
      <c r="A59" s="7655"/>
      <c r="B59" s="7653"/>
      <c r="C59" s="7724"/>
      <c r="D59" s="7564"/>
      <c r="E59" s="7660"/>
      <c r="F59" s="7564"/>
      <c r="G59" s="7086">
        <v>5500000</v>
      </c>
      <c r="H59" s="7086" t="s">
        <v>8247</v>
      </c>
      <c r="I59" s="7086" t="s">
        <v>3331</v>
      </c>
      <c r="J59" s="7086">
        <f>G59</f>
        <v>5500000</v>
      </c>
      <c r="K59" s="7089">
        <f>F56-J59</f>
        <v>0</v>
      </c>
      <c r="L59" s="7090"/>
    </row>
    <row r="60" spans="1:14" ht="30" customHeight="1" x14ac:dyDescent="0.2">
      <c r="A60" s="6708">
        <v>23</v>
      </c>
      <c r="B60" s="19" t="s">
        <v>2121</v>
      </c>
      <c r="C60" s="6710" t="s">
        <v>3390</v>
      </c>
      <c r="D60" s="6643">
        <v>150000000</v>
      </c>
      <c r="E60" s="6649">
        <v>7.0000000000000007E-2</v>
      </c>
      <c r="F60" s="6643">
        <f>D60*E60</f>
        <v>10500000.000000002</v>
      </c>
      <c r="G60" s="6635"/>
      <c r="H60" s="6635"/>
      <c r="I60" s="6747" t="s">
        <v>3704</v>
      </c>
      <c r="J60" s="6635">
        <f>G60</f>
        <v>0</v>
      </c>
      <c r="K60" s="6635">
        <f>F60-J60</f>
        <v>10500000.000000002</v>
      </c>
      <c r="L60" s="736"/>
    </row>
    <row r="61" spans="1:14" ht="30" customHeight="1" x14ac:dyDescent="0.2">
      <c r="A61" s="6708"/>
      <c r="B61" s="19" t="s">
        <v>3618</v>
      </c>
      <c r="C61" s="6710" t="s">
        <v>3390</v>
      </c>
      <c r="D61" s="6643">
        <v>70000000</v>
      </c>
      <c r="E61" s="6649">
        <v>0.06</v>
      </c>
      <c r="F61" s="6643">
        <f>D61*E61</f>
        <v>4200000</v>
      </c>
      <c r="G61" s="6635"/>
      <c r="H61" s="6635"/>
      <c r="I61" s="6747" t="s">
        <v>7732</v>
      </c>
      <c r="J61" s="6635">
        <f>G61</f>
        <v>0</v>
      </c>
      <c r="K61" s="6635">
        <f>F61-J61</f>
        <v>4200000</v>
      </c>
      <c r="L61" s="29"/>
    </row>
    <row r="62" spans="1:14" ht="30" customHeight="1" x14ac:dyDescent="0.2">
      <c r="A62" s="7654">
        <v>25</v>
      </c>
      <c r="B62" s="7652" t="s">
        <v>718</v>
      </c>
      <c r="C62" s="7723" t="s">
        <v>1296</v>
      </c>
      <c r="D62" s="7563">
        <v>60000000</v>
      </c>
      <c r="E62" s="7659">
        <v>5.8000000000000003E-2</v>
      </c>
      <c r="F62" s="7563">
        <v>3500000</v>
      </c>
      <c r="G62" s="6641"/>
      <c r="H62" s="6641"/>
      <c r="I62" s="6696" t="s">
        <v>4135</v>
      </c>
      <c r="J62" s="6641">
        <f>G62</f>
        <v>0</v>
      </c>
      <c r="K62" s="6641">
        <f>F62-J62</f>
        <v>3500000</v>
      </c>
      <c r="L62" s="6671"/>
      <c r="M62" s="366"/>
      <c r="N62" s="366"/>
    </row>
    <row r="63" spans="1:14" ht="30" customHeight="1" x14ac:dyDescent="0.2">
      <c r="A63" s="7656"/>
      <c r="B63" s="7665"/>
      <c r="C63" s="7747"/>
      <c r="D63" s="7564"/>
      <c r="E63" s="7660"/>
      <c r="F63" s="7564"/>
      <c r="G63" s="6635"/>
      <c r="H63" s="6635"/>
      <c r="I63" s="6747" t="s">
        <v>4135</v>
      </c>
      <c r="J63" s="6635">
        <f>G63</f>
        <v>0</v>
      </c>
      <c r="K63" s="6641">
        <f>F62-J63</f>
        <v>3500000</v>
      </c>
      <c r="L63" s="6671"/>
      <c r="M63" s="366"/>
      <c r="N63" s="366"/>
    </row>
    <row r="64" spans="1:14" ht="30" customHeight="1" x14ac:dyDescent="0.2">
      <c r="A64" s="7656"/>
      <c r="B64" s="7665"/>
      <c r="C64" s="7747"/>
      <c r="D64" s="6641">
        <v>10000000</v>
      </c>
      <c r="E64" s="6647"/>
      <c r="F64" s="6641"/>
      <c r="G64" s="7732" t="s">
        <v>7349</v>
      </c>
      <c r="H64" s="7733"/>
      <c r="I64" s="7733"/>
      <c r="J64" s="7734"/>
      <c r="K64" s="6641"/>
      <c r="L64" s="6671"/>
      <c r="M64" s="366"/>
      <c r="N64" s="366"/>
    </row>
    <row r="65" spans="1:14" ht="30" customHeight="1" x14ac:dyDescent="0.2">
      <c r="A65" s="7656"/>
      <c r="B65" s="7665"/>
      <c r="C65" s="7747"/>
      <c r="D65" s="6641">
        <v>10000000</v>
      </c>
      <c r="E65" s="6647"/>
      <c r="F65" s="6641"/>
      <c r="G65" s="7732" t="s">
        <v>7350</v>
      </c>
      <c r="H65" s="7733"/>
      <c r="I65" s="7733"/>
      <c r="J65" s="7734"/>
      <c r="K65" s="6641"/>
      <c r="L65" s="6671"/>
      <c r="M65" s="366"/>
      <c r="N65" s="366"/>
    </row>
    <row r="66" spans="1:14" ht="30" customHeight="1" x14ac:dyDescent="0.2">
      <c r="A66" s="7656"/>
      <c r="B66" s="7665"/>
      <c r="C66" s="7747"/>
      <c r="D66" s="6678">
        <f>SUM(D62:D65)</f>
        <v>80000000</v>
      </c>
      <c r="E66" s="6676">
        <v>7.0000000000000007E-2</v>
      </c>
      <c r="F66" s="6678">
        <f>D66*E66</f>
        <v>5600000.0000000009</v>
      </c>
      <c r="G66" s="6672"/>
      <c r="H66" s="6673"/>
      <c r="I66" s="6673"/>
      <c r="J66" s="6674"/>
      <c r="K66" s="6641"/>
      <c r="L66" s="6671" t="s">
        <v>7560</v>
      </c>
      <c r="M66" s="366"/>
      <c r="N66" s="366"/>
    </row>
    <row r="67" spans="1:14" ht="30" customHeight="1" x14ac:dyDescent="0.2">
      <c r="A67" s="7655"/>
      <c r="B67" s="7653"/>
      <c r="C67" s="7724"/>
      <c r="D67" s="6887">
        <v>90000000</v>
      </c>
      <c r="E67" s="6886">
        <v>7.0000000000000007E-2</v>
      </c>
      <c r="F67" s="6887">
        <f>D67*E67</f>
        <v>6300000.0000000009</v>
      </c>
      <c r="G67" s="7732" t="s">
        <v>8018</v>
      </c>
      <c r="H67" s="7733"/>
      <c r="I67" s="7733"/>
      <c r="J67" s="7734"/>
      <c r="K67" s="6875"/>
      <c r="L67" s="6883"/>
      <c r="M67" s="366"/>
      <c r="N67" s="366"/>
    </row>
    <row r="68" spans="1:14" ht="30" customHeight="1" x14ac:dyDescent="0.2">
      <c r="A68" s="7654"/>
      <c r="B68" s="7652" t="s">
        <v>718</v>
      </c>
      <c r="C68" s="7723" t="s">
        <v>3390</v>
      </c>
      <c r="D68" s="7563">
        <v>105000000</v>
      </c>
      <c r="E68" s="7659">
        <v>7.0000000000000007E-2</v>
      </c>
      <c r="F68" s="7563">
        <f>D68*E68</f>
        <v>7350000.0000000009</v>
      </c>
      <c r="G68" s="7732" t="s">
        <v>8016</v>
      </c>
      <c r="H68" s="7733"/>
      <c r="I68" s="7733"/>
      <c r="J68" s="7734"/>
      <c r="K68" s="6875"/>
      <c r="L68" s="6883"/>
      <c r="M68" s="366"/>
      <c r="N68" s="366"/>
    </row>
    <row r="69" spans="1:14" ht="30" customHeight="1" x14ac:dyDescent="0.2">
      <c r="A69" s="7655"/>
      <c r="B69" s="7653"/>
      <c r="C69" s="7724"/>
      <c r="D69" s="7564"/>
      <c r="E69" s="7660"/>
      <c r="F69" s="7564"/>
      <c r="G69" s="7732" t="s">
        <v>8017</v>
      </c>
      <c r="H69" s="7733"/>
      <c r="I69" s="7733"/>
      <c r="J69" s="7734"/>
      <c r="K69" s="6875"/>
      <c r="L69" s="6883" t="s">
        <v>8015</v>
      </c>
      <c r="M69" s="366"/>
      <c r="N69" s="366"/>
    </row>
    <row r="70" spans="1:14" ht="30" customHeight="1" x14ac:dyDescent="0.2">
      <c r="A70" s="6708"/>
      <c r="B70" s="6665" t="s">
        <v>6215</v>
      </c>
      <c r="C70" s="6710"/>
      <c r="D70" s="6635">
        <v>30000000</v>
      </c>
      <c r="E70" s="6705">
        <v>0.05</v>
      </c>
      <c r="F70" s="6635">
        <f>D70*E70</f>
        <v>1500000</v>
      </c>
      <c r="G70" s="7111">
        <v>1500000</v>
      </c>
      <c r="H70" s="7111" t="s">
        <v>8073</v>
      </c>
      <c r="I70" s="7111" t="s">
        <v>7475</v>
      </c>
      <c r="J70" s="7111">
        <f>G70</f>
        <v>1500000</v>
      </c>
      <c r="K70" s="6635">
        <f>F70-J70</f>
        <v>0</v>
      </c>
      <c r="L70" s="6742"/>
      <c r="M70" s="366"/>
      <c r="N70" s="366"/>
    </row>
    <row r="71" spans="1:14" ht="30" customHeight="1" x14ac:dyDescent="0.2">
      <c r="A71" s="7654"/>
      <c r="B71" s="7652" t="s">
        <v>7351</v>
      </c>
      <c r="C71" s="7723"/>
      <c r="D71" s="7563">
        <v>30000000</v>
      </c>
      <c r="E71" s="7659">
        <v>7.0000000000000007E-2</v>
      </c>
      <c r="F71" s="7563">
        <f>D71*E71</f>
        <v>2100000</v>
      </c>
      <c r="G71" s="7732" t="s">
        <v>7352</v>
      </c>
      <c r="H71" s="7733"/>
      <c r="I71" s="7733"/>
      <c r="J71" s="7734"/>
      <c r="K71" s="6635"/>
      <c r="L71" s="7713" t="s">
        <v>7561</v>
      </c>
      <c r="M71" s="366"/>
      <c r="N71" s="366"/>
    </row>
    <row r="72" spans="1:14" ht="30" customHeight="1" x14ac:dyDescent="0.2">
      <c r="A72" s="7656"/>
      <c r="B72" s="7665"/>
      <c r="C72" s="7747"/>
      <c r="D72" s="7586"/>
      <c r="E72" s="7676"/>
      <c r="F72" s="7586"/>
      <c r="G72" s="7732" t="s">
        <v>7353</v>
      </c>
      <c r="H72" s="7733"/>
      <c r="I72" s="7733"/>
      <c r="J72" s="7734"/>
      <c r="K72" s="6635"/>
      <c r="L72" s="7797"/>
      <c r="M72" s="366"/>
      <c r="N72" s="366"/>
    </row>
    <row r="73" spans="1:14" ht="30" customHeight="1" x14ac:dyDescent="0.2">
      <c r="A73" s="7656"/>
      <c r="B73" s="7665"/>
      <c r="C73" s="7747"/>
      <c r="D73" s="7586"/>
      <c r="E73" s="7676"/>
      <c r="F73" s="7586"/>
      <c r="G73" s="7732" t="s">
        <v>7354</v>
      </c>
      <c r="H73" s="7733"/>
      <c r="I73" s="7733"/>
      <c r="J73" s="7734"/>
      <c r="K73" s="6635"/>
      <c r="L73" s="7714"/>
      <c r="M73" s="366"/>
      <c r="N73" s="366"/>
    </row>
    <row r="74" spans="1:14" ht="30" customHeight="1" x14ac:dyDescent="0.2">
      <c r="A74" s="7655"/>
      <c r="B74" s="7653"/>
      <c r="C74" s="7724"/>
      <c r="D74" s="7564"/>
      <c r="E74" s="7660"/>
      <c r="F74" s="7564"/>
      <c r="G74" s="7111">
        <v>2100000</v>
      </c>
      <c r="H74" s="7111" t="s">
        <v>8267</v>
      </c>
      <c r="I74" s="7111" t="s">
        <v>8276</v>
      </c>
      <c r="J74" s="7111">
        <f>G74</f>
        <v>2100000</v>
      </c>
      <c r="K74" s="7112">
        <f>F71-J74</f>
        <v>0</v>
      </c>
      <c r="L74" s="7138"/>
      <c r="M74" s="366"/>
      <c r="N74" s="366"/>
    </row>
    <row r="75" spans="1:14" ht="30" customHeight="1" x14ac:dyDescent="0.2">
      <c r="A75" s="7661"/>
      <c r="B75" s="7652" t="s">
        <v>803</v>
      </c>
      <c r="C75" s="7723" t="s">
        <v>359</v>
      </c>
      <c r="D75" s="7563">
        <v>700000000</v>
      </c>
      <c r="E75" s="7659">
        <v>0.05</v>
      </c>
      <c r="F75" s="7563">
        <f t="shared" ref="F75:F96" si="9">D75*E75</f>
        <v>35000000</v>
      </c>
      <c r="G75" s="6643">
        <v>8000000</v>
      </c>
      <c r="H75" s="6643" t="s">
        <v>3808</v>
      </c>
      <c r="I75" s="6643" t="s">
        <v>3156</v>
      </c>
      <c r="J75" s="7563">
        <f>G75+G77+G76+G78</f>
        <v>43000000</v>
      </c>
      <c r="K75" s="7563">
        <f>F75-J75</f>
        <v>-8000000</v>
      </c>
      <c r="L75" s="8651"/>
      <c r="M75" s="366"/>
      <c r="N75" s="366"/>
    </row>
    <row r="76" spans="1:14" ht="30" customHeight="1" x14ac:dyDescent="0.2">
      <c r="A76" s="7662"/>
      <c r="B76" s="7665"/>
      <c r="C76" s="7747"/>
      <c r="D76" s="7586"/>
      <c r="E76" s="7676"/>
      <c r="F76" s="7586"/>
      <c r="G76" s="7232">
        <v>3000000</v>
      </c>
      <c r="H76" s="7232" t="s">
        <v>8073</v>
      </c>
      <c r="I76" s="7232" t="s">
        <v>8084</v>
      </c>
      <c r="J76" s="7586"/>
      <c r="K76" s="7586"/>
      <c r="L76" s="8652"/>
      <c r="M76" s="366"/>
      <c r="N76" s="366"/>
    </row>
    <row r="77" spans="1:14" ht="30" customHeight="1" x14ac:dyDescent="0.2">
      <c r="A77" s="7662"/>
      <c r="B77" s="7665"/>
      <c r="C77" s="7747"/>
      <c r="D77" s="7586"/>
      <c r="E77" s="7676"/>
      <c r="F77" s="7586"/>
      <c r="G77" s="7232">
        <v>16000000</v>
      </c>
      <c r="H77" s="7232" t="s">
        <v>5200</v>
      </c>
      <c r="I77" s="7232" t="s">
        <v>8084</v>
      </c>
      <c r="J77" s="7586"/>
      <c r="K77" s="7586"/>
      <c r="L77" s="8652"/>
      <c r="M77" s="366"/>
      <c r="N77" s="366"/>
    </row>
    <row r="78" spans="1:14" ht="30" customHeight="1" x14ac:dyDescent="0.2">
      <c r="A78" s="7663"/>
      <c r="B78" s="7653"/>
      <c r="C78" s="7724"/>
      <c r="D78" s="7564"/>
      <c r="E78" s="7660"/>
      <c r="F78" s="7564"/>
      <c r="G78" s="7292">
        <v>16000000</v>
      </c>
      <c r="H78" s="7292" t="s">
        <v>8398</v>
      </c>
      <c r="I78" s="7292" t="s">
        <v>3156</v>
      </c>
      <c r="J78" s="7564"/>
      <c r="K78" s="7564"/>
      <c r="L78" s="8653"/>
      <c r="M78" s="366"/>
      <c r="N78" s="366"/>
    </row>
    <row r="79" spans="1:14" ht="30" customHeight="1" x14ac:dyDescent="0.2">
      <c r="A79" s="7654">
        <v>27</v>
      </c>
      <c r="B79" s="7652" t="s">
        <v>807</v>
      </c>
      <c r="C79" s="7723" t="s">
        <v>1299</v>
      </c>
      <c r="D79" s="7563">
        <v>650000000</v>
      </c>
      <c r="E79" s="7659">
        <v>7.0000000000000007E-2</v>
      </c>
      <c r="F79" s="7563">
        <f t="shared" si="9"/>
        <v>45500000.000000007</v>
      </c>
      <c r="G79" s="8128" t="s">
        <v>8297</v>
      </c>
      <c r="H79" s="8129"/>
      <c r="I79" s="8129"/>
      <c r="J79" s="8129"/>
      <c r="K79" s="8130"/>
      <c r="L79" s="736"/>
      <c r="M79" s="366"/>
      <c r="N79" s="366"/>
    </row>
    <row r="80" spans="1:14" ht="30" customHeight="1" x14ac:dyDescent="0.2">
      <c r="A80" s="7655"/>
      <c r="B80" s="7653"/>
      <c r="C80" s="7724"/>
      <c r="D80" s="7564"/>
      <c r="E80" s="7660"/>
      <c r="F80" s="7564"/>
      <c r="G80" s="8128" t="s">
        <v>8349</v>
      </c>
      <c r="H80" s="8129"/>
      <c r="I80" s="8129"/>
      <c r="J80" s="8129"/>
      <c r="K80" s="8130"/>
      <c r="L80" s="736"/>
      <c r="M80" s="366"/>
      <c r="N80" s="366"/>
    </row>
    <row r="81" spans="1:14" ht="30" customHeight="1" x14ac:dyDescent="0.2">
      <c r="A81" s="7654"/>
      <c r="B81" s="7717" t="s">
        <v>3369</v>
      </c>
      <c r="C81" s="7873" t="s">
        <v>1299</v>
      </c>
      <c r="D81" s="7482">
        <v>700000000</v>
      </c>
      <c r="E81" s="7870">
        <v>0.06</v>
      </c>
      <c r="F81" s="7482">
        <f t="shared" si="9"/>
        <v>42000000</v>
      </c>
      <c r="G81" s="6635"/>
      <c r="H81" s="6635"/>
      <c r="I81" s="6635"/>
      <c r="J81" s="6635"/>
      <c r="K81" s="6635"/>
      <c r="L81" s="736" t="s">
        <v>5196</v>
      </c>
      <c r="M81" s="366"/>
      <c r="N81" s="366"/>
    </row>
    <row r="82" spans="1:14" ht="30" customHeight="1" x14ac:dyDescent="0.2">
      <c r="A82" s="7656"/>
      <c r="B82" s="7717"/>
      <c r="C82" s="7873"/>
      <c r="D82" s="7482"/>
      <c r="E82" s="7870"/>
      <c r="F82" s="7482"/>
      <c r="G82" s="7020">
        <v>8000000</v>
      </c>
      <c r="H82" s="7020" t="s">
        <v>8186</v>
      </c>
      <c r="I82" s="7020" t="s">
        <v>3238</v>
      </c>
      <c r="J82" s="7563">
        <f>G82+G83+G84</f>
        <v>43000000</v>
      </c>
      <c r="K82" s="7563">
        <f>F81-J82</f>
        <v>-1000000</v>
      </c>
      <c r="L82" s="180"/>
      <c r="M82" s="366"/>
      <c r="N82" s="366"/>
    </row>
    <row r="83" spans="1:14" ht="30" customHeight="1" x14ac:dyDescent="0.2">
      <c r="A83" s="7656"/>
      <c r="B83" s="7717"/>
      <c r="C83" s="7873"/>
      <c r="D83" s="7482"/>
      <c r="E83" s="7870"/>
      <c r="F83" s="7482"/>
      <c r="G83" s="6635">
        <v>15000000</v>
      </c>
      <c r="H83" s="6635" t="s">
        <v>8240</v>
      </c>
      <c r="I83" s="6635" t="s">
        <v>7620</v>
      </c>
      <c r="J83" s="7586"/>
      <c r="K83" s="7586"/>
      <c r="L83" s="180"/>
      <c r="M83" s="366"/>
      <c r="N83" s="366"/>
    </row>
    <row r="84" spans="1:14" ht="30" customHeight="1" x14ac:dyDescent="0.2">
      <c r="A84" s="7655"/>
      <c r="B84" s="7717"/>
      <c r="C84" s="7873"/>
      <c r="D84" s="7482"/>
      <c r="E84" s="7870"/>
      <c r="F84" s="7482"/>
      <c r="G84" s="6635">
        <v>20000000</v>
      </c>
      <c r="H84" s="6635" t="s">
        <v>3880</v>
      </c>
      <c r="I84" s="6635" t="s">
        <v>7620</v>
      </c>
      <c r="J84" s="7564"/>
      <c r="K84" s="7564"/>
      <c r="L84" s="180"/>
      <c r="M84" s="366"/>
      <c r="N84" s="366"/>
    </row>
    <row r="85" spans="1:14" ht="30" customHeight="1" x14ac:dyDescent="0.2">
      <c r="A85" s="7654">
        <v>29</v>
      </c>
      <c r="B85" s="7665" t="s">
        <v>839</v>
      </c>
      <c r="C85" s="7723" t="s">
        <v>1306</v>
      </c>
      <c r="D85" s="7563">
        <v>42000000</v>
      </c>
      <c r="E85" s="7659">
        <v>7.0000000000000007E-2</v>
      </c>
      <c r="F85" s="7563">
        <f t="shared" si="9"/>
        <v>2940000.0000000005</v>
      </c>
      <c r="G85" s="7482">
        <v>2940000</v>
      </c>
      <c r="H85" s="7482" t="s">
        <v>5200</v>
      </c>
      <c r="I85" s="7762" t="s">
        <v>5851</v>
      </c>
      <c r="J85" s="7563">
        <f t="shared" ref="J85:J91" si="10">G85</f>
        <v>2940000</v>
      </c>
      <c r="K85" s="7563">
        <f t="shared" ref="K85:K91" si="11">F85-J85</f>
        <v>0</v>
      </c>
      <c r="L85" s="6026" t="s">
        <v>7106</v>
      </c>
      <c r="M85" s="366"/>
      <c r="N85" s="366"/>
    </row>
    <row r="86" spans="1:14" ht="30" customHeight="1" x14ac:dyDescent="0.2">
      <c r="A86" s="7656"/>
      <c r="B86" s="7665"/>
      <c r="C86" s="7747"/>
      <c r="D86" s="7586"/>
      <c r="E86" s="7676"/>
      <c r="F86" s="7586"/>
      <c r="G86" s="7482"/>
      <c r="H86" s="7482"/>
      <c r="I86" s="8114"/>
      <c r="J86" s="7586"/>
      <c r="K86" s="7586"/>
      <c r="L86" s="6026" t="s">
        <v>7480</v>
      </c>
      <c r="M86" s="366"/>
      <c r="N86" s="366"/>
    </row>
    <row r="87" spans="1:14" ht="30" customHeight="1" x14ac:dyDescent="0.2">
      <c r="A87" s="7655"/>
      <c r="B87" s="7653"/>
      <c r="C87" s="7724"/>
      <c r="D87" s="7564"/>
      <c r="E87" s="7660"/>
      <c r="F87" s="7564"/>
      <c r="G87" s="7482"/>
      <c r="H87" s="7482"/>
      <c r="I87" s="7763"/>
      <c r="J87" s="7564"/>
      <c r="K87" s="7564"/>
      <c r="L87" s="6027" t="s">
        <v>7481</v>
      </c>
      <c r="M87" s="366"/>
      <c r="N87" s="366"/>
    </row>
    <row r="88" spans="1:14" s="1539" customFormat="1" ht="30" customHeight="1" x14ac:dyDescent="0.2">
      <c r="A88" s="6708">
        <v>30</v>
      </c>
      <c r="B88" s="6665" t="s">
        <v>843</v>
      </c>
      <c r="C88" s="7723" t="s">
        <v>1107</v>
      </c>
      <c r="D88" s="6635">
        <v>40000000</v>
      </c>
      <c r="E88" s="6705">
        <v>0.05</v>
      </c>
      <c r="F88" s="6635">
        <f t="shared" si="9"/>
        <v>2000000</v>
      </c>
      <c r="G88" s="6635"/>
      <c r="H88" s="6635"/>
      <c r="I88" s="6747" t="s">
        <v>7208</v>
      </c>
      <c r="J88" s="6635">
        <f>G88</f>
        <v>0</v>
      </c>
      <c r="K88" s="6635">
        <f>F88-J88</f>
        <v>2000000</v>
      </c>
      <c r="L88" s="7713" t="s">
        <v>7489</v>
      </c>
      <c r="M88" s="9"/>
      <c r="N88" s="9"/>
    </row>
    <row r="89" spans="1:14" s="184" customFormat="1" ht="30" customHeight="1" x14ac:dyDescent="0.2">
      <c r="A89" s="7654"/>
      <c r="B89" s="7652" t="s">
        <v>3006</v>
      </c>
      <c r="C89" s="7747"/>
      <c r="D89" s="6635">
        <v>50000000</v>
      </c>
      <c r="E89" s="6705"/>
      <c r="F89" s="6635"/>
      <c r="G89" s="7732" t="s">
        <v>7057</v>
      </c>
      <c r="H89" s="7733"/>
      <c r="I89" s="7733"/>
      <c r="J89" s="7734"/>
      <c r="K89" s="6641"/>
      <c r="L89" s="7714"/>
      <c r="M89" s="1659"/>
      <c r="N89" s="1659"/>
    </row>
    <row r="90" spans="1:14" s="184" customFormat="1" ht="30" customHeight="1" x14ac:dyDescent="0.2">
      <c r="A90" s="7655"/>
      <c r="B90" s="7653"/>
      <c r="C90" s="7724"/>
      <c r="D90" s="6769">
        <v>90000000</v>
      </c>
      <c r="E90" s="6789">
        <v>7.0000000000000007E-2</v>
      </c>
      <c r="F90" s="6769">
        <f>D90*E90</f>
        <v>6300000.0000000009</v>
      </c>
      <c r="G90" s="6635">
        <v>6300000</v>
      </c>
      <c r="H90" s="6635" t="s">
        <v>5200</v>
      </c>
      <c r="I90" s="6635" t="s">
        <v>3343</v>
      </c>
      <c r="J90" s="6635">
        <f>G90</f>
        <v>6300000</v>
      </c>
      <c r="K90" s="6641">
        <f>F90-J90</f>
        <v>0</v>
      </c>
      <c r="L90" s="6726" t="s">
        <v>7694</v>
      </c>
      <c r="M90" s="1659"/>
      <c r="N90" s="1659"/>
    </row>
    <row r="91" spans="1:14" ht="30" customHeight="1" x14ac:dyDescent="0.2">
      <c r="A91" s="6653">
        <v>31</v>
      </c>
      <c r="B91" s="6711" t="s">
        <v>915</v>
      </c>
      <c r="C91" s="6683" t="s">
        <v>1107</v>
      </c>
      <c r="D91" s="6635">
        <v>100000000</v>
      </c>
      <c r="E91" s="6705">
        <v>7.0000000000000007E-2</v>
      </c>
      <c r="F91" s="6635">
        <f t="shared" si="9"/>
        <v>7000000.0000000009</v>
      </c>
      <c r="G91" s="6643">
        <v>7000000</v>
      </c>
      <c r="H91" s="6693" t="s">
        <v>3808</v>
      </c>
      <c r="I91" s="64" t="s">
        <v>3195</v>
      </c>
      <c r="J91" s="6641">
        <f t="shared" si="10"/>
        <v>7000000</v>
      </c>
      <c r="K91" s="6641">
        <f t="shared" si="11"/>
        <v>0</v>
      </c>
      <c r="L91" s="6666"/>
      <c r="M91" s="366"/>
      <c r="N91" s="366"/>
    </row>
    <row r="92" spans="1:14" ht="30" customHeight="1" x14ac:dyDescent="0.2">
      <c r="A92" s="7654">
        <v>32</v>
      </c>
      <c r="B92" s="7652" t="s">
        <v>982</v>
      </c>
      <c r="C92" s="7873" t="s">
        <v>1306</v>
      </c>
      <c r="D92" s="6643">
        <v>100000000</v>
      </c>
      <c r="E92" s="6649">
        <v>0.05</v>
      </c>
      <c r="F92" s="6643">
        <f t="shared" si="9"/>
        <v>5000000</v>
      </c>
      <c r="G92" s="6635">
        <v>4300000</v>
      </c>
      <c r="H92" s="6635" t="s">
        <v>7974</v>
      </c>
      <c r="I92" s="6747" t="s">
        <v>7724</v>
      </c>
      <c r="J92" s="7203">
        <f>G92</f>
        <v>4300000</v>
      </c>
      <c r="K92" s="233"/>
      <c r="L92" s="7679"/>
      <c r="M92" s="366"/>
      <c r="N92" s="366"/>
    </row>
    <row r="93" spans="1:14" ht="30" customHeight="1" x14ac:dyDescent="0.2">
      <c r="A93" s="7656"/>
      <c r="B93" s="7665"/>
      <c r="C93" s="7873"/>
      <c r="D93" s="6643">
        <v>35000000</v>
      </c>
      <c r="E93" s="6649">
        <v>7.0000000000000007E-2</v>
      </c>
      <c r="F93" s="6643">
        <f t="shared" si="9"/>
        <v>2450000.0000000005</v>
      </c>
      <c r="G93" s="744">
        <v>6600000</v>
      </c>
      <c r="H93" s="744" t="s">
        <v>8215</v>
      </c>
      <c r="I93" s="7104" t="s">
        <v>8231</v>
      </c>
      <c r="J93" s="7203">
        <f>G94</f>
        <v>8850000</v>
      </c>
      <c r="K93" s="7203"/>
      <c r="L93" s="7801"/>
      <c r="M93" s="366"/>
      <c r="N93" s="366"/>
    </row>
    <row r="94" spans="1:14" ht="30" customHeight="1" x14ac:dyDescent="0.2">
      <c r="A94" s="7656"/>
      <c r="B94" s="7665"/>
      <c r="C94" s="7873"/>
      <c r="D94" s="6635">
        <v>20000000</v>
      </c>
      <c r="E94" s="6705">
        <v>7.0000000000000007E-2</v>
      </c>
      <c r="F94" s="6635">
        <f t="shared" si="9"/>
        <v>1400000.0000000002</v>
      </c>
      <c r="G94" s="7203">
        <v>8850000</v>
      </c>
      <c r="H94" s="7203" t="s">
        <v>8339</v>
      </c>
      <c r="I94" s="7228" t="s">
        <v>2377</v>
      </c>
      <c r="J94" s="7203">
        <f>G94</f>
        <v>8850000</v>
      </c>
      <c r="K94" s="7203">
        <f>(F92+F93+F94)-J94</f>
        <v>0</v>
      </c>
      <c r="L94" s="7801"/>
      <c r="M94" s="1662"/>
      <c r="N94" s="1604"/>
    </row>
    <row r="95" spans="1:14" ht="30" customHeight="1" x14ac:dyDescent="0.2">
      <c r="A95" s="7656"/>
      <c r="B95" s="7665"/>
      <c r="C95" s="6684" t="s">
        <v>1306</v>
      </c>
      <c r="D95" s="6643">
        <v>200000000</v>
      </c>
      <c r="E95" s="6649">
        <v>6.5000000000000002E-2</v>
      </c>
      <c r="F95" s="6643">
        <f t="shared" si="9"/>
        <v>13000000</v>
      </c>
      <c r="G95" s="7296">
        <v>13000000</v>
      </c>
      <c r="H95" s="7296" t="s">
        <v>8245</v>
      </c>
      <c r="I95" s="7321" t="s">
        <v>2377</v>
      </c>
      <c r="J95" s="7292">
        <f>G95</f>
        <v>13000000</v>
      </c>
      <c r="K95" s="7292">
        <f>F95-J95</f>
        <v>0</v>
      </c>
      <c r="L95" s="7680"/>
      <c r="M95" s="248"/>
      <c r="N95" s="248"/>
    </row>
    <row r="96" spans="1:14" ht="30" customHeight="1" x14ac:dyDescent="0.2">
      <c r="A96" s="7656"/>
      <c r="B96" s="7665"/>
      <c r="C96" s="7873" t="s">
        <v>371</v>
      </c>
      <c r="D96" s="7563">
        <v>180000000</v>
      </c>
      <c r="E96" s="7659">
        <v>6.5000000000000002E-2</v>
      </c>
      <c r="F96" s="7563">
        <f t="shared" si="9"/>
        <v>11700000</v>
      </c>
      <c r="G96" s="7563">
        <v>11700000</v>
      </c>
      <c r="H96" s="7563" t="s">
        <v>8164</v>
      </c>
      <c r="I96" s="7762" t="s">
        <v>2377</v>
      </c>
      <c r="J96" s="7563">
        <f>G96+G97</f>
        <v>11700000</v>
      </c>
      <c r="K96" s="7563">
        <f>F96-J96</f>
        <v>0</v>
      </c>
      <c r="L96" s="227"/>
      <c r="M96" s="248"/>
      <c r="N96" s="248"/>
    </row>
    <row r="97" spans="1:14" ht="30" customHeight="1" x14ac:dyDescent="0.2">
      <c r="A97" s="7656"/>
      <c r="B97" s="7665"/>
      <c r="C97" s="7873"/>
      <c r="D97" s="7564"/>
      <c r="E97" s="7660"/>
      <c r="F97" s="7564"/>
      <c r="G97" s="7564"/>
      <c r="H97" s="7564"/>
      <c r="I97" s="7763"/>
      <c r="J97" s="7564"/>
      <c r="K97" s="7564"/>
      <c r="L97" s="7"/>
      <c r="M97" s="248"/>
      <c r="N97" s="248"/>
    </row>
    <row r="98" spans="1:14" ht="30" customHeight="1" x14ac:dyDescent="0.2">
      <c r="A98" s="6708">
        <v>33</v>
      </c>
      <c r="B98" s="6665" t="s">
        <v>993</v>
      </c>
      <c r="C98" s="6684" t="s">
        <v>1287</v>
      </c>
      <c r="D98" s="6643">
        <v>63580000</v>
      </c>
      <c r="E98" s="6649">
        <v>7.0000000000000007E-2</v>
      </c>
      <c r="F98" s="6643">
        <v>4450000</v>
      </c>
      <c r="G98" s="6643">
        <v>4450000</v>
      </c>
      <c r="H98" s="6643" t="s">
        <v>8240</v>
      </c>
      <c r="I98" s="64" t="s">
        <v>2986</v>
      </c>
      <c r="J98" s="6643">
        <f>G98</f>
        <v>4450000</v>
      </c>
      <c r="K98" s="6643">
        <f t="shared" ref="K98:K110" si="12">F98-J98</f>
        <v>0</v>
      </c>
      <c r="L98" s="6671"/>
      <c r="M98" s="366"/>
      <c r="N98" s="366"/>
    </row>
    <row r="99" spans="1:14" ht="30" customHeight="1" x14ac:dyDescent="0.2">
      <c r="A99" s="6655">
        <v>34</v>
      </c>
      <c r="B99" s="6651" t="s">
        <v>1110</v>
      </c>
      <c r="C99" s="6684" t="s">
        <v>1306</v>
      </c>
      <c r="D99" s="6643">
        <v>20000000</v>
      </c>
      <c r="E99" s="6649">
        <v>0.04</v>
      </c>
      <c r="F99" s="6643">
        <f t="shared" ref="F99:F102" si="13">D99*E99</f>
        <v>800000</v>
      </c>
      <c r="G99" s="6643"/>
      <c r="H99" s="6643"/>
      <c r="I99" s="64" t="s">
        <v>1112</v>
      </c>
      <c r="J99" s="6643">
        <f>G99</f>
        <v>0</v>
      </c>
      <c r="K99" s="6643">
        <f t="shared" si="12"/>
        <v>800000</v>
      </c>
      <c r="L99" s="6671"/>
      <c r="M99" s="366"/>
      <c r="N99" s="366"/>
    </row>
    <row r="100" spans="1:14" ht="30" customHeight="1" x14ac:dyDescent="0.2">
      <c r="A100" s="7654">
        <v>35</v>
      </c>
      <c r="B100" s="7652" t="s">
        <v>1150</v>
      </c>
      <c r="C100" s="7723" t="s">
        <v>1138</v>
      </c>
      <c r="D100" s="7563">
        <v>175000000</v>
      </c>
      <c r="E100" s="7659">
        <v>0.06</v>
      </c>
      <c r="F100" s="7563">
        <f t="shared" si="13"/>
        <v>10500000</v>
      </c>
      <c r="G100" s="6635">
        <v>10500000</v>
      </c>
      <c r="H100" s="6635" t="s">
        <v>3808</v>
      </c>
      <c r="I100" s="6635" t="s">
        <v>1720</v>
      </c>
      <c r="J100" s="6635">
        <f>G100</f>
        <v>10500000</v>
      </c>
      <c r="K100" s="6635">
        <f>F100-J100</f>
        <v>0</v>
      </c>
      <c r="L100" s="6742"/>
      <c r="M100" s="366"/>
      <c r="N100" s="366"/>
    </row>
    <row r="101" spans="1:14" ht="30" customHeight="1" x14ac:dyDescent="0.2">
      <c r="A101" s="7655"/>
      <c r="B101" s="7653"/>
      <c r="C101" s="7724"/>
      <c r="D101" s="7564"/>
      <c r="E101" s="7660"/>
      <c r="F101" s="7564"/>
      <c r="G101" s="6635"/>
      <c r="H101" s="6635"/>
      <c r="I101" s="6635" t="s">
        <v>1720</v>
      </c>
      <c r="J101" s="6635">
        <f>G101</f>
        <v>0</v>
      </c>
      <c r="K101" s="6635">
        <f>F100-J101</f>
        <v>10500000</v>
      </c>
      <c r="L101" s="6742"/>
      <c r="M101" s="366"/>
      <c r="N101" s="366"/>
    </row>
    <row r="102" spans="1:14" ht="30" customHeight="1" x14ac:dyDescent="0.2">
      <c r="A102" s="7654">
        <v>36</v>
      </c>
      <c r="B102" s="7652" t="s">
        <v>3370</v>
      </c>
      <c r="C102" s="7723" t="s">
        <v>1081</v>
      </c>
      <c r="D102" s="6635">
        <v>350000000</v>
      </c>
      <c r="E102" s="6705">
        <v>7.0000000000000007E-2</v>
      </c>
      <c r="F102" s="6635">
        <f t="shared" si="13"/>
        <v>24500000.000000004</v>
      </c>
      <c r="G102" s="6635"/>
      <c r="H102" s="6635"/>
      <c r="I102" s="6793" t="s">
        <v>4264</v>
      </c>
      <c r="J102" s="6635">
        <f>G102</f>
        <v>0</v>
      </c>
      <c r="K102" s="6635">
        <f>F102-J102</f>
        <v>24500000.000000004</v>
      </c>
      <c r="L102" s="6742"/>
      <c r="M102" s="366"/>
      <c r="N102" s="366"/>
    </row>
    <row r="103" spans="1:14" ht="30" customHeight="1" x14ac:dyDescent="0.2">
      <c r="A103" s="7656"/>
      <c r="B103" s="7665"/>
      <c r="C103" s="7747"/>
      <c r="D103" s="7563">
        <v>140000000</v>
      </c>
      <c r="E103" s="7659">
        <v>7.0000000000000007E-2</v>
      </c>
      <c r="F103" s="7563">
        <f>D103*E103</f>
        <v>9800000.0000000019</v>
      </c>
      <c r="G103" s="7991" t="s">
        <v>7953</v>
      </c>
      <c r="H103" s="7992"/>
      <c r="I103" s="7992"/>
      <c r="J103" s="7993"/>
      <c r="K103" s="6635" t="e">
        <f>#REF!-J103</f>
        <v>#REF!</v>
      </c>
      <c r="L103" s="6742" t="s">
        <v>7935</v>
      </c>
      <c r="M103" s="366"/>
      <c r="N103" s="366"/>
    </row>
    <row r="104" spans="1:14" ht="30" customHeight="1" x14ac:dyDescent="0.2">
      <c r="A104" s="7655"/>
      <c r="B104" s="7653"/>
      <c r="C104" s="7724"/>
      <c r="D104" s="7564"/>
      <c r="E104" s="7660"/>
      <c r="F104" s="7564"/>
      <c r="G104" s="7997"/>
      <c r="H104" s="7998"/>
      <c r="I104" s="7998"/>
      <c r="J104" s="7999"/>
      <c r="K104" s="6811"/>
      <c r="L104" s="6815"/>
      <c r="M104" s="366"/>
      <c r="N104" s="366"/>
    </row>
    <row r="105" spans="1:14" ht="30" customHeight="1" x14ac:dyDescent="0.2">
      <c r="A105" s="6655"/>
      <c r="B105" s="6652" t="s">
        <v>4965</v>
      </c>
      <c r="C105" s="6684" t="s">
        <v>3216</v>
      </c>
      <c r="D105" s="6643">
        <v>20000000</v>
      </c>
      <c r="E105" s="6649">
        <v>0.05</v>
      </c>
      <c r="F105" s="6643">
        <f>D105*E105</f>
        <v>1000000</v>
      </c>
      <c r="G105" s="6643">
        <v>1000000</v>
      </c>
      <c r="H105" s="6643" t="s">
        <v>8247</v>
      </c>
      <c r="I105" s="6693" t="s">
        <v>6580</v>
      </c>
      <c r="J105" s="6643">
        <f>G105</f>
        <v>1000000</v>
      </c>
      <c r="K105" s="6643">
        <f>F105-J105</f>
        <v>0</v>
      </c>
      <c r="L105" s="6671"/>
      <c r="M105" s="366"/>
      <c r="N105" s="366"/>
    </row>
    <row r="106" spans="1:14" ht="30" customHeight="1" x14ac:dyDescent="0.2">
      <c r="A106" s="6655">
        <v>38</v>
      </c>
      <c r="B106" s="6650" t="s">
        <v>1254</v>
      </c>
      <c r="C106" s="6684"/>
      <c r="D106" s="298"/>
      <c r="E106" s="299"/>
      <c r="F106" s="298"/>
      <c r="G106" s="6643"/>
      <c r="H106" s="6643"/>
      <c r="I106" s="64"/>
      <c r="J106" s="6643"/>
      <c r="K106" s="6664">
        <f t="shared" si="12"/>
        <v>0</v>
      </c>
      <c r="L106" s="6671"/>
    </row>
    <row r="107" spans="1:14" ht="30" customHeight="1" x14ac:dyDescent="0.2">
      <c r="A107" s="7654">
        <v>39</v>
      </c>
      <c r="B107" s="7652" t="s">
        <v>1213</v>
      </c>
      <c r="C107" s="7723" t="s">
        <v>4105</v>
      </c>
      <c r="D107" s="7924">
        <v>100000000</v>
      </c>
      <c r="E107" s="8553">
        <v>0.05</v>
      </c>
      <c r="F107" s="7924">
        <f>D107*E107</f>
        <v>5000000</v>
      </c>
      <c r="G107" s="6643">
        <v>10000000</v>
      </c>
      <c r="H107" s="6643" t="s">
        <v>7987</v>
      </c>
      <c r="I107" s="64" t="s">
        <v>3926</v>
      </c>
      <c r="J107" s="7563">
        <f>G107+G108</f>
        <v>13000000</v>
      </c>
      <c r="K107" s="7563"/>
      <c r="L107" s="6671"/>
    </row>
    <row r="108" spans="1:14" ht="30" customHeight="1" x14ac:dyDescent="0.2">
      <c r="A108" s="7655"/>
      <c r="B108" s="7653"/>
      <c r="C108" s="7724"/>
      <c r="D108" s="7925"/>
      <c r="E108" s="8554"/>
      <c r="F108" s="7925"/>
      <c r="G108" s="6989">
        <v>3000000</v>
      </c>
      <c r="H108" s="6989" t="s">
        <v>8111</v>
      </c>
      <c r="I108" s="64" t="s">
        <v>6530</v>
      </c>
      <c r="J108" s="7564"/>
      <c r="K108" s="7564"/>
      <c r="L108" s="6999"/>
    </row>
    <row r="109" spans="1:14" ht="30" customHeight="1" x14ac:dyDescent="0.2">
      <c r="A109" s="6655">
        <v>40</v>
      </c>
      <c r="B109" s="6650" t="s">
        <v>1265</v>
      </c>
      <c r="C109" s="6684" t="s">
        <v>1289</v>
      </c>
      <c r="D109" s="6728">
        <v>16000000</v>
      </c>
      <c r="E109" s="6804">
        <v>0.05</v>
      </c>
      <c r="F109" s="6728">
        <f>D109*E109</f>
        <v>800000</v>
      </c>
      <c r="G109" s="6643">
        <v>800000</v>
      </c>
      <c r="H109" s="6643" t="s">
        <v>3808</v>
      </c>
      <c r="I109" s="64" t="s">
        <v>3149</v>
      </c>
      <c r="J109" s="6643">
        <f>G109</f>
        <v>800000</v>
      </c>
      <c r="K109" s="6643">
        <f t="shared" si="12"/>
        <v>0</v>
      </c>
      <c r="L109" s="6671"/>
    </row>
    <row r="110" spans="1:14" ht="30" customHeight="1" x14ac:dyDescent="0.2">
      <c r="A110" s="6655">
        <v>41</v>
      </c>
      <c r="B110" s="6650" t="s">
        <v>1285</v>
      </c>
      <c r="C110" s="6684"/>
      <c r="D110" s="298"/>
      <c r="E110" s="299"/>
      <c r="F110" s="298"/>
      <c r="G110" s="6643"/>
      <c r="H110" s="6643"/>
      <c r="I110" s="64"/>
      <c r="J110" s="6643"/>
      <c r="K110" s="6664">
        <f t="shared" si="12"/>
        <v>0</v>
      </c>
      <c r="L110" s="6671"/>
    </row>
    <row r="111" spans="1:14" ht="30" customHeight="1" x14ac:dyDescent="0.2">
      <c r="A111" s="6655">
        <v>42</v>
      </c>
      <c r="B111" s="6711" t="s">
        <v>183</v>
      </c>
      <c r="C111" s="6684"/>
      <c r="D111" s="6643">
        <v>110000000</v>
      </c>
      <c r="E111" s="6705">
        <v>5.5E-2</v>
      </c>
      <c r="F111" s="6643">
        <f t="shared" ref="F111:F323" si="14">D111*E111</f>
        <v>6050000</v>
      </c>
      <c r="G111" s="6635">
        <v>6050000</v>
      </c>
      <c r="H111" s="6730" t="s">
        <v>8111</v>
      </c>
      <c r="I111" s="6730" t="s">
        <v>2820</v>
      </c>
      <c r="J111" s="6635">
        <f>G111</f>
        <v>6050000</v>
      </c>
      <c r="K111" s="6635">
        <f>F111-J111</f>
        <v>0</v>
      </c>
      <c r="L111" s="6697"/>
    </row>
    <row r="112" spans="1:14" ht="30" customHeight="1" x14ac:dyDescent="0.2">
      <c r="A112" s="6655">
        <v>44</v>
      </c>
      <c r="B112" s="6665" t="s">
        <v>184</v>
      </c>
      <c r="C112" s="6684" t="s">
        <v>889</v>
      </c>
      <c r="D112" s="6643">
        <v>150000000</v>
      </c>
      <c r="E112" s="6705">
        <v>0.05</v>
      </c>
      <c r="F112" s="6643">
        <f t="shared" si="14"/>
        <v>7500000</v>
      </c>
      <c r="G112" s="6643"/>
      <c r="H112" s="6643"/>
      <c r="I112" s="6643" t="s">
        <v>1339</v>
      </c>
      <c r="J112" s="6643">
        <f>G112</f>
        <v>0</v>
      </c>
      <c r="K112" s="6643">
        <f>F112-J112</f>
        <v>7500000</v>
      </c>
      <c r="L112" s="6665"/>
    </row>
    <row r="113" spans="1:12" ht="30" customHeight="1" x14ac:dyDescent="0.2">
      <c r="A113" s="7654">
        <v>45</v>
      </c>
      <c r="B113" s="7652" t="s">
        <v>185</v>
      </c>
      <c r="C113" s="7723" t="s">
        <v>1295</v>
      </c>
      <c r="D113" s="7563">
        <v>2270000000</v>
      </c>
      <c r="E113" s="7659">
        <v>7.0000000000000007E-2</v>
      </c>
      <c r="F113" s="7563">
        <f>D113*E113</f>
        <v>158900000.00000003</v>
      </c>
      <c r="G113" s="6635">
        <v>4150000</v>
      </c>
      <c r="H113" s="6635" t="s">
        <v>8215</v>
      </c>
      <c r="I113" s="6635" t="s">
        <v>8218</v>
      </c>
      <c r="J113" s="7482">
        <f>G113+G114+G116+G115</f>
        <v>4150000</v>
      </c>
      <c r="K113" s="7482">
        <f>F113-J113</f>
        <v>154750000.00000003</v>
      </c>
      <c r="L113" s="6780"/>
    </row>
    <row r="114" spans="1:12" ht="30" customHeight="1" x14ac:dyDescent="0.2">
      <c r="A114" s="7656"/>
      <c r="B114" s="7665"/>
      <c r="C114" s="7747"/>
      <c r="D114" s="7586"/>
      <c r="E114" s="7676"/>
      <c r="F114" s="7586"/>
      <c r="G114" s="6641"/>
      <c r="H114" s="6641"/>
      <c r="I114" s="6641" t="s">
        <v>2696</v>
      </c>
      <c r="J114" s="7482"/>
      <c r="K114" s="7482"/>
      <c r="L114" s="6780"/>
    </row>
    <row r="115" spans="1:12" ht="30" customHeight="1" x14ac:dyDescent="0.2">
      <c r="A115" s="7656"/>
      <c r="B115" s="7665"/>
      <c r="C115" s="7747"/>
      <c r="D115" s="7586"/>
      <c r="E115" s="7676"/>
      <c r="F115" s="7586"/>
      <c r="G115" s="6641"/>
      <c r="H115" s="6641"/>
      <c r="I115" s="6641" t="s">
        <v>2696</v>
      </c>
      <c r="J115" s="7482"/>
      <c r="K115" s="7482"/>
      <c r="L115" s="6780"/>
    </row>
    <row r="116" spans="1:12" ht="30" customHeight="1" x14ac:dyDescent="0.2">
      <c r="A116" s="7656"/>
      <c r="B116" s="7665"/>
      <c r="C116" s="7747"/>
      <c r="D116" s="7564"/>
      <c r="E116" s="7660"/>
      <c r="F116" s="7564"/>
      <c r="G116" s="6641"/>
      <c r="H116" s="6641"/>
      <c r="I116" s="6641" t="s">
        <v>2696</v>
      </c>
      <c r="J116" s="7482"/>
      <c r="K116" s="7482"/>
      <c r="L116" s="6780"/>
    </row>
    <row r="117" spans="1:12" ht="30" customHeight="1" x14ac:dyDescent="0.2">
      <c r="A117" s="7655"/>
      <c r="B117" s="7653"/>
      <c r="C117" s="7724"/>
      <c r="D117" s="6825">
        <v>50000000</v>
      </c>
      <c r="E117" s="6828"/>
      <c r="F117" s="6825"/>
      <c r="G117" s="7732" t="s">
        <v>7959</v>
      </c>
      <c r="H117" s="7733"/>
      <c r="I117" s="7733"/>
      <c r="J117" s="7734"/>
      <c r="K117" s="6826"/>
      <c r="L117" s="6848" t="s">
        <v>7958</v>
      </c>
    </row>
    <row r="118" spans="1:12" ht="30" customHeight="1" x14ac:dyDescent="0.2">
      <c r="A118" s="7654">
        <v>46</v>
      </c>
      <c r="B118" s="7652" t="s">
        <v>186</v>
      </c>
      <c r="C118" s="7723" t="s">
        <v>4105</v>
      </c>
      <c r="D118" s="7482">
        <v>1240000000</v>
      </c>
      <c r="E118" s="7870">
        <v>0.09</v>
      </c>
      <c r="F118" s="7778">
        <f>D118*E118</f>
        <v>111600000</v>
      </c>
      <c r="G118" s="7954" t="s">
        <v>6929</v>
      </c>
      <c r="H118" s="7955"/>
      <c r="I118" s="7955"/>
      <c r="J118" s="7956"/>
      <c r="K118" s="7"/>
      <c r="L118" s="6720"/>
    </row>
    <row r="119" spans="1:12" ht="30" customHeight="1" x14ac:dyDescent="0.2">
      <c r="A119" s="7656"/>
      <c r="B119" s="7665"/>
      <c r="C119" s="7747"/>
      <c r="D119" s="7482"/>
      <c r="E119" s="7870"/>
      <c r="F119" s="7778"/>
      <c r="G119" s="6635">
        <v>30000000</v>
      </c>
      <c r="H119" s="6635" t="s">
        <v>3808</v>
      </c>
      <c r="I119" s="6729" t="s">
        <v>1076</v>
      </c>
      <c r="J119" s="7563">
        <f>G119+G120+G121+G122+G123+G124+G125+G126+G127+G127</f>
        <v>204000000</v>
      </c>
      <c r="K119" s="7563"/>
      <c r="L119" s="6720"/>
    </row>
    <row r="120" spans="1:12" ht="30" customHeight="1" x14ac:dyDescent="0.2">
      <c r="A120" s="7656"/>
      <c r="B120" s="7665"/>
      <c r="C120" s="7747"/>
      <c r="D120" s="7482"/>
      <c r="E120" s="7870"/>
      <c r="F120" s="7778"/>
      <c r="G120" s="6635">
        <v>20000000</v>
      </c>
      <c r="H120" s="6635" t="s">
        <v>7945</v>
      </c>
      <c r="I120" s="6729" t="s">
        <v>1076</v>
      </c>
      <c r="J120" s="7586"/>
      <c r="K120" s="7586"/>
      <c r="L120" s="6720"/>
    </row>
    <row r="121" spans="1:12" ht="30" customHeight="1" x14ac:dyDescent="0.2">
      <c r="A121" s="7656"/>
      <c r="B121" s="7665"/>
      <c r="C121" s="7747"/>
      <c r="D121" s="7482"/>
      <c r="E121" s="7870"/>
      <c r="F121" s="7778"/>
      <c r="G121" s="6851">
        <v>20000000</v>
      </c>
      <c r="H121" s="6851" t="s">
        <v>7968</v>
      </c>
      <c r="I121" s="6868" t="s">
        <v>1076</v>
      </c>
      <c r="J121" s="7586"/>
      <c r="K121" s="7586"/>
      <c r="L121" s="6863"/>
    </row>
    <row r="122" spans="1:12" ht="30" customHeight="1" x14ac:dyDescent="0.2">
      <c r="A122" s="7656"/>
      <c r="B122" s="7665"/>
      <c r="C122" s="7747"/>
      <c r="D122" s="7482"/>
      <c r="E122" s="7870"/>
      <c r="F122" s="7778"/>
      <c r="G122" s="6851">
        <v>20000000</v>
      </c>
      <c r="H122" s="6851" t="s">
        <v>7979</v>
      </c>
      <c r="I122" s="6868" t="s">
        <v>1076</v>
      </c>
      <c r="J122" s="7586"/>
      <c r="K122" s="7586"/>
      <c r="L122" s="6863"/>
    </row>
    <row r="123" spans="1:12" ht="30" customHeight="1" x14ac:dyDescent="0.2">
      <c r="A123" s="7656"/>
      <c r="B123" s="7665"/>
      <c r="C123" s="7747"/>
      <c r="D123" s="7482"/>
      <c r="E123" s="7870"/>
      <c r="F123" s="7778"/>
      <c r="G123" s="6914">
        <v>10000000</v>
      </c>
      <c r="H123" s="6914" t="s">
        <v>6460</v>
      </c>
      <c r="I123" s="6935" t="s">
        <v>1076</v>
      </c>
      <c r="J123" s="7586"/>
      <c r="K123" s="7586"/>
      <c r="L123" s="6932"/>
    </row>
    <row r="124" spans="1:12" ht="30" customHeight="1" x14ac:dyDescent="0.2">
      <c r="A124" s="7656"/>
      <c r="B124" s="7665"/>
      <c r="C124" s="7747"/>
      <c r="D124" s="7482"/>
      <c r="E124" s="7870"/>
      <c r="F124" s="7778"/>
      <c r="G124" s="7020">
        <v>54000000</v>
      </c>
      <c r="H124" s="7020" t="s">
        <v>8164</v>
      </c>
      <c r="I124" s="7045" t="s">
        <v>1076</v>
      </c>
      <c r="J124" s="7586"/>
      <c r="K124" s="7586"/>
      <c r="L124" s="7043"/>
    </row>
    <row r="125" spans="1:12" ht="30" customHeight="1" x14ac:dyDescent="0.2">
      <c r="A125" s="7656"/>
      <c r="B125" s="7665"/>
      <c r="C125" s="7747"/>
      <c r="D125" s="7482"/>
      <c r="E125" s="7870"/>
      <c r="F125" s="7778"/>
      <c r="G125" s="7056">
        <v>30000000</v>
      </c>
      <c r="H125" s="7056" t="s">
        <v>8215</v>
      </c>
      <c r="I125" s="7080" t="s">
        <v>7234</v>
      </c>
      <c r="J125" s="7586"/>
      <c r="K125" s="7586"/>
      <c r="L125" s="7072"/>
    </row>
    <row r="126" spans="1:12" ht="30" customHeight="1" x14ac:dyDescent="0.2">
      <c r="A126" s="7656"/>
      <c r="B126" s="7665"/>
      <c r="C126" s="7747"/>
      <c r="D126" s="7482"/>
      <c r="E126" s="7870"/>
      <c r="F126" s="7778"/>
      <c r="G126" s="7056">
        <v>20000000</v>
      </c>
      <c r="H126" s="7056" t="s">
        <v>8247</v>
      </c>
      <c r="I126" s="7080" t="s">
        <v>7234</v>
      </c>
      <c r="J126" s="7586"/>
      <c r="K126" s="7586"/>
      <c r="L126" s="7072"/>
    </row>
    <row r="127" spans="1:12" ht="30" customHeight="1" x14ac:dyDescent="0.2">
      <c r="A127" s="7656"/>
      <c r="B127" s="7665"/>
      <c r="C127" s="7747"/>
      <c r="D127" s="7482"/>
      <c r="E127" s="7870"/>
      <c r="F127" s="7778"/>
      <c r="G127" s="7056"/>
      <c r="H127" s="7056"/>
      <c r="I127" s="7080"/>
      <c r="J127" s="7564"/>
      <c r="K127" s="7564"/>
      <c r="L127" s="7072"/>
    </row>
    <row r="128" spans="1:12" ht="30" customHeight="1" x14ac:dyDescent="0.2">
      <c r="A128" s="7656"/>
      <c r="B128" s="7665"/>
      <c r="C128" s="7747"/>
      <c r="D128" s="7991" t="s">
        <v>8178</v>
      </c>
      <c r="E128" s="7992"/>
      <c r="F128" s="7993"/>
      <c r="G128" s="7020"/>
      <c r="H128" s="7020"/>
      <c r="I128" s="7045"/>
      <c r="J128" s="7022"/>
      <c r="K128" s="7022"/>
      <c r="L128" s="7043"/>
    </row>
    <row r="129" spans="1:12" ht="30" customHeight="1" x14ac:dyDescent="0.2">
      <c r="A129" s="7656"/>
      <c r="B129" s="7665"/>
      <c r="C129" s="7747"/>
      <c r="D129" s="7997"/>
      <c r="E129" s="7998"/>
      <c r="F129" s="7999"/>
      <c r="G129" s="7020"/>
      <c r="H129" s="7020"/>
      <c r="I129" s="7045"/>
      <c r="J129" s="7022"/>
      <c r="K129" s="7022"/>
      <c r="L129" s="7043"/>
    </row>
    <row r="130" spans="1:12" ht="30" customHeight="1" x14ac:dyDescent="0.2">
      <c r="A130" s="7656"/>
      <c r="B130" s="7665"/>
      <c r="C130" s="7747"/>
      <c r="D130" s="7991" t="s">
        <v>8274</v>
      </c>
      <c r="E130" s="7992"/>
      <c r="F130" s="7993"/>
      <c r="G130" s="7111"/>
      <c r="H130" s="7111"/>
      <c r="I130" s="7150"/>
      <c r="J130" s="7114"/>
      <c r="K130" s="7114"/>
      <c r="L130" s="7139"/>
    </row>
    <row r="131" spans="1:12" ht="30" customHeight="1" x14ac:dyDescent="0.2">
      <c r="A131" s="7655"/>
      <c r="B131" s="7653"/>
      <c r="C131" s="7724"/>
      <c r="D131" s="7997"/>
      <c r="E131" s="7998"/>
      <c r="F131" s="7999"/>
      <c r="G131" s="7020"/>
      <c r="H131" s="7020"/>
      <c r="I131" s="7045"/>
      <c r="J131" s="7022"/>
      <c r="K131" s="7022"/>
      <c r="L131" s="7043"/>
    </row>
    <row r="132" spans="1:12" ht="30" customHeight="1" x14ac:dyDescent="0.2">
      <c r="A132" s="7654">
        <v>47</v>
      </c>
      <c r="B132" s="7652" t="s">
        <v>187</v>
      </c>
      <c r="C132" s="7723" t="s">
        <v>1080</v>
      </c>
      <c r="D132" s="6874">
        <v>20000000</v>
      </c>
      <c r="E132" s="6705">
        <v>0.05</v>
      </c>
      <c r="F132" s="6635">
        <f t="shared" si="14"/>
        <v>1000000</v>
      </c>
      <c r="G132" s="6635">
        <v>10000000</v>
      </c>
      <c r="H132" s="6635" t="s">
        <v>7987</v>
      </c>
      <c r="I132" s="6729" t="s">
        <v>4309</v>
      </c>
      <c r="J132" s="6635">
        <f t="shared" ref="J132:J143" si="15">G132</f>
        <v>10000000</v>
      </c>
      <c r="K132" s="6635">
        <f>F132-J132</f>
        <v>-9000000</v>
      </c>
      <c r="L132" s="6792"/>
    </row>
    <row r="133" spans="1:12" ht="30" customHeight="1" x14ac:dyDescent="0.2">
      <c r="A133" s="7656"/>
      <c r="B133" s="7665"/>
      <c r="C133" s="7747"/>
      <c r="D133" s="7563">
        <v>20000000</v>
      </c>
      <c r="E133" s="7659">
        <v>0.06</v>
      </c>
      <c r="F133" s="7563">
        <f>D133*E133</f>
        <v>1200000</v>
      </c>
      <c r="G133" s="6874">
        <v>1200000</v>
      </c>
      <c r="H133" s="6874" t="s">
        <v>7987</v>
      </c>
      <c r="I133" s="6894" t="s">
        <v>4309</v>
      </c>
      <c r="J133" s="6874">
        <f>G133</f>
        <v>1200000</v>
      </c>
      <c r="K133" s="6874">
        <f>F133-J133</f>
        <v>0</v>
      </c>
      <c r="L133" s="6896"/>
    </row>
    <row r="134" spans="1:12" ht="30" customHeight="1" x14ac:dyDescent="0.2">
      <c r="A134" s="7655"/>
      <c r="B134" s="7653"/>
      <c r="C134" s="7724"/>
      <c r="D134" s="7564"/>
      <c r="E134" s="7660"/>
      <c r="F134" s="7564"/>
      <c r="G134" s="6961">
        <v>1200000</v>
      </c>
      <c r="H134" s="6961" t="s">
        <v>8111</v>
      </c>
      <c r="I134" s="6976" t="s">
        <v>4309</v>
      </c>
      <c r="J134" s="6961">
        <f>G134</f>
        <v>1200000</v>
      </c>
      <c r="K134" s="6961">
        <f>F133-J134</f>
        <v>0</v>
      </c>
      <c r="L134" s="6983"/>
    </row>
    <row r="135" spans="1:12" ht="30" customHeight="1" x14ac:dyDescent="0.2">
      <c r="A135" s="6708">
        <v>48</v>
      </c>
      <c r="B135" s="6665" t="s">
        <v>1615</v>
      </c>
      <c r="C135" s="6710" t="s">
        <v>2849</v>
      </c>
      <c r="D135" s="6635">
        <v>400000000</v>
      </c>
      <c r="E135" s="6705">
        <v>0.06</v>
      </c>
      <c r="F135" s="6635">
        <f>D135*E135</f>
        <v>24000000</v>
      </c>
      <c r="G135" s="6635">
        <v>24000000</v>
      </c>
      <c r="H135" s="6635" t="s">
        <v>8267</v>
      </c>
      <c r="I135" s="6729" t="s">
        <v>6419</v>
      </c>
      <c r="J135" s="6635">
        <f t="shared" si="15"/>
        <v>24000000</v>
      </c>
      <c r="K135" s="6793">
        <f>F135-J135</f>
        <v>0</v>
      </c>
      <c r="L135" s="6742"/>
    </row>
    <row r="136" spans="1:12" ht="30" customHeight="1" x14ac:dyDescent="0.2">
      <c r="A136" s="7654">
        <v>49</v>
      </c>
      <c r="B136" s="7652" t="s">
        <v>189</v>
      </c>
      <c r="C136" s="7723" t="s">
        <v>1295</v>
      </c>
      <c r="D136" s="6635">
        <v>230000000</v>
      </c>
      <c r="E136" s="6705">
        <v>0.05</v>
      </c>
      <c r="F136" s="6635">
        <f t="shared" si="14"/>
        <v>11500000</v>
      </c>
      <c r="G136" s="6635">
        <v>11500000</v>
      </c>
      <c r="H136" s="6635" t="s">
        <v>4919</v>
      </c>
      <c r="I136" s="6715" t="s">
        <v>1052</v>
      </c>
      <c r="J136" s="6635">
        <f t="shared" si="15"/>
        <v>11500000</v>
      </c>
      <c r="K136" s="6635">
        <f>F136-J136</f>
        <v>0</v>
      </c>
      <c r="L136" s="6780" t="s">
        <v>8020</v>
      </c>
    </row>
    <row r="137" spans="1:12" ht="30" customHeight="1" x14ac:dyDescent="0.2">
      <c r="A137" s="7656"/>
      <c r="B137" s="7665"/>
      <c r="C137" s="7747"/>
      <c r="D137" s="6898">
        <v>180000000</v>
      </c>
      <c r="E137" s="6902">
        <v>0.06</v>
      </c>
      <c r="F137" s="6898">
        <f t="shared" si="14"/>
        <v>10800000</v>
      </c>
      <c r="G137" s="7218">
        <v>20000000</v>
      </c>
      <c r="H137" s="6898" t="s">
        <v>8247</v>
      </c>
      <c r="I137" s="6904" t="s">
        <v>1052</v>
      </c>
      <c r="J137" s="6898">
        <f t="shared" si="15"/>
        <v>20000000</v>
      </c>
      <c r="K137" s="6898">
        <f>F137-J137</f>
        <v>-9200000</v>
      </c>
      <c r="L137" s="6911" t="s">
        <v>8019</v>
      </c>
    </row>
    <row r="138" spans="1:12" ht="30" customHeight="1" x14ac:dyDescent="0.2">
      <c r="A138" s="7656"/>
      <c r="B138" s="7665"/>
      <c r="C138" s="7747"/>
      <c r="D138" s="7218"/>
      <c r="E138" s="7219"/>
      <c r="F138" s="7218"/>
      <c r="G138" s="7218">
        <v>10000000</v>
      </c>
      <c r="H138" s="7206" t="s">
        <v>8339</v>
      </c>
      <c r="I138" s="7215" t="s">
        <v>1052</v>
      </c>
      <c r="J138" s="7206">
        <f t="shared" si="15"/>
        <v>10000000</v>
      </c>
      <c r="K138" s="7206"/>
      <c r="L138" s="7229"/>
    </row>
    <row r="139" spans="1:12" ht="30" customHeight="1" x14ac:dyDescent="0.2">
      <c r="A139" s="7655"/>
      <c r="B139" s="7653"/>
      <c r="C139" s="7724"/>
      <c r="D139" s="7251"/>
      <c r="E139" s="7253"/>
      <c r="F139" s="7251"/>
      <c r="G139" s="7251">
        <v>20000000</v>
      </c>
      <c r="H139" s="7236" t="s">
        <v>5200</v>
      </c>
      <c r="I139" s="7245" t="s">
        <v>8360</v>
      </c>
      <c r="J139" s="7236">
        <f t="shared" si="15"/>
        <v>20000000</v>
      </c>
      <c r="K139" s="7236"/>
      <c r="L139" s="7288" t="s">
        <v>8361</v>
      </c>
    </row>
    <row r="140" spans="1:12" ht="30" customHeight="1" x14ac:dyDescent="0.2">
      <c r="A140" s="6653">
        <v>50</v>
      </c>
      <c r="B140" s="6711" t="s">
        <v>190</v>
      </c>
      <c r="C140" s="6683" t="s">
        <v>889</v>
      </c>
      <c r="D140" s="6641">
        <v>350000000</v>
      </c>
      <c r="E140" s="6647">
        <v>0.05</v>
      </c>
      <c r="F140" s="6641">
        <f t="shared" si="14"/>
        <v>17500000</v>
      </c>
      <c r="G140" s="6641">
        <v>17500000</v>
      </c>
      <c r="H140" s="6641" t="s">
        <v>3808</v>
      </c>
      <c r="I140" s="6641" t="s">
        <v>1054</v>
      </c>
      <c r="J140" s="6641">
        <f t="shared" si="15"/>
        <v>17500000</v>
      </c>
      <c r="K140" s="6641">
        <f>F140-J140</f>
        <v>0</v>
      </c>
      <c r="L140" s="6742"/>
    </row>
    <row r="141" spans="1:12" ht="30" customHeight="1" x14ac:dyDescent="0.2">
      <c r="A141" s="7654">
        <v>51</v>
      </c>
      <c r="B141" s="7652" t="s">
        <v>191</v>
      </c>
      <c r="C141" s="7723" t="s">
        <v>889</v>
      </c>
      <c r="D141" s="7563">
        <v>260000000</v>
      </c>
      <c r="E141" s="7659">
        <f>F141/D141</f>
        <v>5.5769230769230772E-2</v>
      </c>
      <c r="F141" s="7563">
        <v>14500000</v>
      </c>
      <c r="G141" s="6635">
        <v>4500000</v>
      </c>
      <c r="H141" s="6635" t="s">
        <v>7974</v>
      </c>
      <c r="I141" s="6635" t="s">
        <v>3500</v>
      </c>
      <c r="J141" s="7563">
        <f>G141+G142</f>
        <v>14500000</v>
      </c>
      <c r="K141" s="7563">
        <f>F141-J141</f>
        <v>0</v>
      </c>
      <c r="L141" s="1388"/>
    </row>
    <row r="142" spans="1:12" ht="30" customHeight="1" x14ac:dyDescent="0.2">
      <c r="A142" s="7655"/>
      <c r="B142" s="7653"/>
      <c r="C142" s="7724"/>
      <c r="D142" s="7564"/>
      <c r="E142" s="7660"/>
      <c r="F142" s="7564"/>
      <c r="G142" s="6916">
        <v>10000000</v>
      </c>
      <c r="H142" s="6916" t="s">
        <v>6460</v>
      </c>
      <c r="I142" s="6916" t="s">
        <v>8040</v>
      </c>
      <c r="J142" s="7564"/>
      <c r="K142" s="7564"/>
      <c r="L142" s="6940" t="s">
        <v>8041</v>
      </c>
    </row>
    <row r="143" spans="1:12" ht="30" customHeight="1" x14ac:dyDescent="0.2">
      <c r="A143" s="8123"/>
      <c r="B143" s="7652" t="s">
        <v>192</v>
      </c>
      <c r="C143" s="7723" t="s">
        <v>889</v>
      </c>
      <c r="D143" s="6641">
        <v>100000000</v>
      </c>
      <c r="E143" s="6647">
        <v>7.0000000000000007E-2</v>
      </c>
      <c r="F143" s="6641">
        <f>D143*E143</f>
        <v>7000000.0000000009</v>
      </c>
      <c r="G143" s="7563">
        <v>13300000</v>
      </c>
      <c r="H143" s="7563" t="s">
        <v>8215</v>
      </c>
      <c r="I143" s="7563" t="s">
        <v>2540</v>
      </c>
      <c r="J143" s="7563">
        <f t="shared" si="15"/>
        <v>13300000</v>
      </c>
      <c r="K143" s="7563">
        <f>(F143+F144)-J143</f>
        <v>-3800000</v>
      </c>
      <c r="L143" s="7757"/>
    </row>
    <row r="144" spans="1:12" ht="30" customHeight="1" x14ac:dyDescent="0.2">
      <c r="A144" s="8124"/>
      <c r="B144" s="7653"/>
      <c r="C144" s="7724"/>
      <c r="D144" s="6641">
        <v>50000000</v>
      </c>
      <c r="E144" s="6647">
        <v>0.05</v>
      </c>
      <c r="F144" s="6641">
        <f>D144*E144</f>
        <v>2500000</v>
      </c>
      <c r="G144" s="7586"/>
      <c r="H144" s="7586"/>
      <c r="I144" s="7586"/>
      <c r="J144" s="7586"/>
      <c r="K144" s="7586"/>
      <c r="L144" s="8037"/>
    </row>
    <row r="145" spans="1:12" ht="30" customHeight="1" x14ac:dyDescent="0.2">
      <c r="A145" s="7654"/>
      <c r="B145" s="7703" t="s">
        <v>193</v>
      </c>
      <c r="C145" s="7873" t="s">
        <v>1287</v>
      </c>
      <c r="D145" s="7482">
        <v>1050000000</v>
      </c>
      <c r="E145" s="7870">
        <v>7.0000000000000007E-2</v>
      </c>
      <c r="F145" s="7482">
        <f>D145*E145</f>
        <v>73500000</v>
      </c>
      <c r="G145" s="6824">
        <v>5000000</v>
      </c>
      <c r="H145" s="6824" t="s">
        <v>7945</v>
      </c>
      <c r="I145" s="6824" t="s">
        <v>6520</v>
      </c>
      <c r="J145" s="7020">
        <f>G145</f>
        <v>5000000</v>
      </c>
      <c r="K145" s="7020"/>
      <c r="L145" s="8494"/>
    </row>
    <row r="146" spans="1:12" ht="30" customHeight="1" x14ac:dyDescent="0.2">
      <c r="A146" s="7656"/>
      <c r="B146" s="7704"/>
      <c r="C146" s="7873"/>
      <c r="D146" s="7482"/>
      <c r="E146" s="7870"/>
      <c r="F146" s="7482"/>
      <c r="G146" s="6635">
        <v>7000000</v>
      </c>
      <c r="H146" s="6635" t="s">
        <v>8164</v>
      </c>
      <c r="I146" s="7020" t="s">
        <v>6520</v>
      </c>
      <c r="J146" s="7020">
        <f>G146</f>
        <v>7000000</v>
      </c>
      <c r="K146" s="7020"/>
      <c r="L146" s="8494"/>
    </row>
    <row r="147" spans="1:12" ht="30" customHeight="1" x14ac:dyDescent="0.2">
      <c r="A147" s="7656"/>
      <c r="B147" s="7704"/>
      <c r="C147" s="7873"/>
      <c r="D147" s="7482" t="s">
        <v>6087</v>
      </c>
      <c r="E147" s="7482"/>
      <c r="F147" s="7482">
        <v>2000000</v>
      </c>
      <c r="G147" s="6635">
        <v>10000000</v>
      </c>
      <c r="H147" s="6635" t="s">
        <v>8247</v>
      </c>
      <c r="I147" s="6635" t="s">
        <v>8252</v>
      </c>
      <c r="J147" s="7020">
        <f>G147</f>
        <v>10000000</v>
      </c>
      <c r="K147" s="7020"/>
      <c r="L147" s="8494"/>
    </row>
    <row r="148" spans="1:12" ht="30" customHeight="1" x14ac:dyDescent="0.2">
      <c r="A148" s="7656"/>
      <c r="B148" s="7704"/>
      <c r="C148" s="7873"/>
      <c r="D148" s="7482"/>
      <c r="E148" s="7482"/>
      <c r="F148" s="7482"/>
      <c r="G148" s="7295">
        <v>10000000</v>
      </c>
      <c r="H148" s="7318" t="s">
        <v>5200</v>
      </c>
      <c r="I148" s="7292" t="s">
        <v>8252</v>
      </c>
      <c r="J148" s="7292">
        <f>G148</f>
        <v>10000000</v>
      </c>
      <c r="K148" s="7292"/>
      <c r="L148" s="8494"/>
    </row>
    <row r="149" spans="1:12" ht="30" customHeight="1" x14ac:dyDescent="0.2">
      <c r="A149" s="7656"/>
      <c r="B149" s="7704"/>
      <c r="C149" s="7873"/>
      <c r="D149" s="7482"/>
      <c r="E149" s="7482"/>
      <c r="F149" s="7482"/>
      <c r="G149" s="6641">
        <v>15000000</v>
      </c>
      <c r="H149" s="6685" t="s">
        <v>8398</v>
      </c>
      <c r="I149" s="7232" t="s">
        <v>8252</v>
      </c>
      <c r="J149" s="7020">
        <f>G149</f>
        <v>15000000</v>
      </c>
      <c r="K149" s="7020"/>
      <c r="L149" s="8494"/>
    </row>
    <row r="150" spans="1:12" ht="30" customHeight="1" x14ac:dyDescent="0.2">
      <c r="A150" s="7656"/>
      <c r="B150" s="7704"/>
      <c r="C150" s="7873" t="s">
        <v>1287</v>
      </c>
      <c r="D150" s="7482">
        <v>1050000000</v>
      </c>
      <c r="E150" s="7870">
        <v>7.0000000000000007E-2</v>
      </c>
      <c r="F150" s="7482">
        <f>D150*E150</f>
        <v>73500000</v>
      </c>
      <c r="G150" s="6641"/>
      <c r="H150" s="6685"/>
      <c r="I150" s="6635"/>
      <c r="J150" s="7563">
        <f>G150+G151+G152+G154+G153</f>
        <v>0</v>
      </c>
      <c r="K150" s="7563">
        <f>(F150+F152)-J150</f>
        <v>75500000</v>
      </c>
      <c r="L150" s="6746"/>
    </row>
    <row r="151" spans="1:12" ht="30" customHeight="1" x14ac:dyDescent="0.2">
      <c r="A151" s="7656"/>
      <c r="B151" s="7704"/>
      <c r="C151" s="7873"/>
      <c r="D151" s="7482"/>
      <c r="E151" s="7870"/>
      <c r="F151" s="7482"/>
      <c r="G151" s="6641"/>
      <c r="H151" s="6685"/>
      <c r="I151" s="6635" t="s">
        <v>6520</v>
      </c>
      <c r="J151" s="7586"/>
      <c r="K151" s="7586"/>
      <c r="L151" s="6746"/>
    </row>
    <row r="152" spans="1:12" ht="30" customHeight="1" x14ac:dyDescent="0.2">
      <c r="A152" s="7656"/>
      <c r="B152" s="7704"/>
      <c r="C152" s="7873"/>
      <c r="D152" s="7482" t="s">
        <v>6087</v>
      </c>
      <c r="E152" s="7482"/>
      <c r="F152" s="7482">
        <v>2000000</v>
      </c>
      <c r="G152" s="6641"/>
      <c r="H152" s="6685"/>
      <c r="I152" s="6635" t="s">
        <v>6520</v>
      </c>
      <c r="J152" s="7586"/>
      <c r="K152" s="7586"/>
      <c r="L152" s="6746"/>
    </row>
    <row r="153" spans="1:12" ht="30" customHeight="1" x14ac:dyDescent="0.2">
      <c r="A153" s="7656"/>
      <c r="B153" s="7704"/>
      <c r="C153" s="7873"/>
      <c r="D153" s="7482"/>
      <c r="E153" s="7482"/>
      <c r="F153" s="7482"/>
      <c r="G153" s="6641"/>
      <c r="H153" s="6685"/>
      <c r="I153" s="6635" t="s">
        <v>6520</v>
      </c>
      <c r="J153" s="7586"/>
      <c r="K153" s="7586"/>
      <c r="L153" s="6746"/>
    </row>
    <row r="154" spans="1:12" ht="30" customHeight="1" x14ac:dyDescent="0.2">
      <c r="A154" s="7655"/>
      <c r="B154" s="7705"/>
      <c r="C154" s="7873"/>
      <c r="D154" s="7482"/>
      <c r="E154" s="7482"/>
      <c r="F154" s="7482"/>
      <c r="G154" s="6641"/>
      <c r="H154" s="6635"/>
      <c r="I154" s="6635"/>
      <c r="J154" s="7564"/>
      <c r="K154" s="7564"/>
      <c r="L154" s="6746"/>
    </row>
    <row r="155" spans="1:12" ht="30" customHeight="1" x14ac:dyDescent="0.2">
      <c r="A155" s="7654">
        <v>54</v>
      </c>
      <c r="B155" s="7652" t="s">
        <v>1060</v>
      </c>
      <c r="C155" s="7723" t="s">
        <v>889</v>
      </c>
      <c r="D155" s="6643">
        <v>35000000</v>
      </c>
      <c r="E155" s="6649">
        <v>7.1999999999999995E-2</v>
      </c>
      <c r="F155" s="6643">
        <v>2500000</v>
      </c>
      <c r="G155" s="7924">
        <v>3500000</v>
      </c>
      <c r="H155" s="7924" t="s">
        <v>4919</v>
      </c>
      <c r="I155" s="7926" t="s">
        <v>3412</v>
      </c>
      <c r="J155" s="7924">
        <f>G155</f>
        <v>3500000</v>
      </c>
      <c r="K155" s="7924">
        <f>(F155+F156)-J155</f>
        <v>0</v>
      </c>
      <c r="L155" s="7703"/>
    </row>
    <row r="156" spans="1:12" ht="30" customHeight="1" x14ac:dyDescent="0.2">
      <c r="A156" s="7656"/>
      <c r="B156" s="7653"/>
      <c r="C156" s="7724"/>
      <c r="D156" s="6643">
        <v>13000000</v>
      </c>
      <c r="E156" s="6705">
        <v>7.6999999999999999E-2</v>
      </c>
      <c r="F156" s="6643">
        <v>1000000</v>
      </c>
      <c r="G156" s="7925"/>
      <c r="H156" s="7925"/>
      <c r="I156" s="7927"/>
      <c r="J156" s="7925"/>
      <c r="K156" s="7925"/>
      <c r="L156" s="7705"/>
    </row>
    <row r="157" spans="1:12" ht="30" customHeight="1" x14ac:dyDescent="0.2">
      <c r="A157" s="7654">
        <v>55</v>
      </c>
      <c r="B157" s="7652" t="s">
        <v>1247</v>
      </c>
      <c r="C157" s="7723" t="s">
        <v>1295</v>
      </c>
      <c r="D157" s="6635">
        <v>175000000</v>
      </c>
      <c r="E157" s="6705">
        <v>0.52</v>
      </c>
      <c r="F157" s="6635">
        <v>9000000</v>
      </c>
      <c r="G157" s="7482">
        <v>14750000</v>
      </c>
      <c r="H157" s="7857" t="s">
        <v>3808</v>
      </c>
      <c r="I157" s="7857" t="s">
        <v>1063</v>
      </c>
      <c r="J157" s="7563">
        <f>G157+G159</f>
        <v>14750000</v>
      </c>
      <c r="K157" s="7563">
        <f>(F157+F158+F159)-J157</f>
        <v>3500000</v>
      </c>
      <c r="L157" s="7713"/>
    </row>
    <row r="158" spans="1:12" ht="30" customHeight="1" x14ac:dyDescent="0.2">
      <c r="A158" s="7656"/>
      <c r="B158" s="7665"/>
      <c r="C158" s="7747"/>
      <c r="D158" s="6641">
        <f>85000000+20000000</f>
        <v>105000000</v>
      </c>
      <c r="E158" s="6647">
        <v>7.0000000000000007E-2</v>
      </c>
      <c r="F158" s="6641">
        <v>7500000</v>
      </c>
      <c r="G158" s="7482"/>
      <c r="H158" s="7857"/>
      <c r="I158" s="7857"/>
      <c r="J158" s="7586"/>
      <c r="K158" s="7586"/>
      <c r="L158" s="7797"/>
    </row>
    <row r="159" spans="1:12" ht="30" customHeight="1" x14ac:dyDescent="0.2">
      <c r="A159" s="7655"/>
      <c r="B159" s="7653"/>
      <c r="C159" s="7724"/>
      <c r="D159" s="6635">
        <v>35000000</v>
      </c>
      <c r="E159" s="6705">
        <v>0.05</v>
      </c>
      <c r="F159" s="6635">
        <f>D159*E159</f>
        <v>1750000</v>
      </c>
      <c r="G159" s="6643"/>
      <c r="H159" s="6646"/>
      <c r="I159" s="6646" t="s">
        <v>1063</v>
      </c>
      <c r="J159" s="7564"/>
      <c r="K159" s="7564"/>
      <c r="L159" s="7714"/>
    </row>
    <row r="160" spans="1:12" ht="30" customHeight="1" x14ac:dyDescent="0.2">
      <c r="A160" s="7654">
        <v>56</v>
      </c>
      <c r="B160" s="7652" t="s">
        <v>35</v>
      </c>
      <c r="C160" s="7723" t="s">
        <v>1295</v>
      </c>
      <c r="D160" s="7563">
        <v>3284000000</v>
      </c>
      <c r="E160" s="7659">
        <v>7.0000000000000007E-2</v>
      </c>
      <c r="F160" s="7563">
        <v>229880000</v>
      </c>
      <c r="G160" s="6851">
        <v>20000000</v>
      </c>
      <c r="H160" s="6851" t="s">
        <v>7974</v>
      </c>
      <c r="I160" s="6851" t="s">
        <v>7975</v>
      </c>
      <c r="J160" s="7924">
        <f>G160+G161+G162+G163+G165</f>
        <v>100000000</v>
      </c>
      <c r="K160" s="7563"/>
      <c r="L160" s="7713"/>
    </row>
    <row r="161" spans="1:12" ht="30" customHeight="1" x14ac:dyDescent="0.2">
      <c r="A161" s="7656"/>
      <c r="B161" s="7665"/>
      <c r="C161" s="7747"/>
      <c r="D161" s="7586"/>
      <c r="E161" s="7676"/>
      <c r="F161" s="7586"/>
      <c r="G161" s="6635">
        <v>20000000</v>
      </c>
      <c r="H161" s="6635" t="s">
        <v>2109</v>
      </c>
      <c r="I161" s="6635" t="s">
        <v>7978</v>
      </c>
      <c r="J161" s="8234"/>
      <c r="K161" s="7586"/>
      <c r="L161" s="7797"/>
    </row>
    <row r="162" spans="1:12" ht="30" customHeight="1" x14ac:dyDescent="0.2">
      <c r="A162" s="7656"/>
      <c r="B162" s="7665"/>
      <c r="C162" s="7747"/>
      <c r="D162" s="7586"/>
      <c r="E162" s="7676"/>
      <c r="F162" s="7586"/>
      <c r="G162" s="6635">
        <v>20000000</v>
      </c>
      <c r="H162" s="6635" t="s">
        <v>8111</v>
      </c>
      <c r="I162" s="6986" t="s">
        <v>7975</v>
      </c>
      <c r="J162" s="8234"/>
      <c r="K162" s="7586"/>
      <c r="L162" s="7797"/>
    </row>
    <row r="163" spans="1:12" ht="30" customHeight="1" x14ac:dyDescent="0.2">
      <c r="A163" s="7656"/>
      <c r="B163" s="7665"/>
      <c r="C163" s="7747"/>
      <c r="D163" s="7586"/>
      <c r="E163" s="7676"/>
      <c r="F163" s="7586"/>
      <c r="G163" s="6851">
        <v>20000000</v>
      </c>
      <c r="H163" s="6851" t="s">
        <v>8186</v>
      </c>
      <c r="I163" s="7020" t="s">
        <v>7975</v>
      </c>
      <c r="J163" s="8234"/>
      <c r="K163" s="7586"/>
      <c r="L163" s="7797"/>
    </row>
    <row r="164" spans="1:12" ht="30" customHeight="1" x14ac:dyDescent="0.2">
      <c r="A164" s="7656"/>
      <c r="B164" s="7665"/>
      <c r="C164" s="7747"/>
      <c r="D164" s="7586"/>
      <c r="E164" s="7676"/>
      <c r="F164" s="7586"/>
      <c r="G164" s="7292">
        <v>20000000</v>
      </c>
      <c r="H164" s="7292" t="s">
        <v>8247</v>
      </c>
      <c r="I164" s="7292" t="s">
        <v>7975</v>
      </c>
      <c r="J164" s="8234"/>
      <c r="K164" s="7586"/>
      <c r="L164" s="7797"/>
    </row>
    <row r="165" spans="1:12" ht="30" customHeight="1" x14ac:dyDescent="0.2">
      <c r="A165" s="7656"/>
      <c r="B165" s="7665"/>
      <c r="C165" s="7724"/>
      <c r="D165" s="7564"/>
      <c r="E165" s="7660"/>
      <c r="F165" s="7564"/>
      <c r="G165" s="6851">
        <v>20000000</v>
      </c>
      <c r="H165" s="6851" t="s">
        <v>8398</v>
      </c>
      <c r="I165" s="7086" t="s">
        <v>7975</v>
      </c>
      <c r="J165" s="7925"/>
      <c r="K165" s="7564"/>
      <c r="L165" s="7714"/>
    </row>
    <row r="166" spans="1:12" ht="30" customHeight="1" x14ac:dyDescent="0.2">
      <c r="A166" s="7656"/>
      <c r="B166" s="7665"/>
      <c r="C166" s="7723" t="s">
        <v>889</v>
      </c>
      <c r="D166" s="7563"/>
      <c r="E166" s="7659"/>
      <c r="F166" s="7563"/>
      <c r="G166" s="6851"/>
      <c r="H166" s="6851"/>
      <c r="I166" s="6851"/>
      <c r="J166" s="6728"/>
      <c r="K166" s="6643"/>
      <c r="L166" s="8072"/>
    </row>
    <row r="167" spans="1:12" ht="30" customHeight="1" x14ac:dyDescent="0.2">
      <c r="A167" s="7656"/>
      <c r="B167" s="7665"/>
      <c r="C167" s="7747"/>
      <c r="D167" s="7586"/>
      <c r="E167" s="7676"/>
      <c r="F167" s="7586"/>
      <c r="G167" s="6851"/>
      <c r="H167" s="6851"/>
      <c r="I167" s="6851"/>
      <c r="J167" s="6728"/>
      <c r="K167" s="6643"/>
      <c r="L167" s="8072"/>
    </row>
    <row r="168" spans="1:12" ht="30" customHeight="1" x14ac:dyDescent="0.2">
      <c r="A168" s="7656"/>
      <c r="B168" s="7665"/>
      <c r="C168" s="7724"/>
      <c r="D168" s="7564"/>
      <c r="E168" s="7660"/>
      <c r="F168" s="7564"/>
      <c r="G168" s="6851"/>
      <c r="H168" s="6851"/>
      <c r="I168" s="6851"/>
      <c r="J168" s="6728"/>
      <c r="K168" s="6643"/>
      <c r="L168" s="8072"/>
    </row>
    <row r="169" spans="1:12" ht="30" customHeight="1" x14ac:dyDescent="0.2">
      <c r="A169" s="7656"/>
      <c r="B169" s="7665"/>
      <c r="C169" s="7873" t="s">
        <v>1306</v>
      </c>
      <c r="D169" s="7563">
        <v>2451198840</v>
      </c>
      <c r="E169" s="7659">
        <v>0.08</v>
      </c>
      <c r="F169" s="7563">
        <f t="shared" ref="F169:F176" si="16">D169*E169</f>
        <v>196095907.20000002</v>
      </c>
      <c r="G169" s="6851"/>
      <c r="H169" s="6851"/>
      <c r="I169" s="6851" t="s">
        <v>4945</v>
      </c>
      <c r="J169" s="7482"/>
      <c r="K169" s="7482"/>
      <c r="L169" s="7919"/>
    </row>
    <row r="170" spans="1:12" ht="30" customHeight="1" x14ac:dyDescent="0.2">
      <c r="A170" s="7656"/>
      <c r="B170" s="7665"/>
      <c r="C170" s="7873"/>
      <c r="D170" s="7586"/>
      <c r="E170" s="7676"/>
      <c r="F170" s="7586"/>
      <c r="G170" s="6635"/>
      <c r="H170" s="6635"/>
      <c r="I170" s="6635" t="s">
        <v>4945</v>
      </c>
      <c r="J170" s="7482"/>
      <c r="K170" s="7482"/>
      <c r="L170" s="7920"/>
    </row>
    <row r="171" spans="1:12" ht="30" customHeight="1" x14ac:dyDescent="0.2">
      <c r="A171" s="7656"/>
      <c r="B171" s="7665"/>
      <c r="C171" s="7873"/>
      <c r="D171" s="7564"/>
      <c r="E171" s="7660"/>
      <c r="F171" s="7564"/>
      <c r="G171" s="6635"/>
      <c r="H171" s="6635"/>
      <c r="I171" s="6635" t="s">
        <v>4945</v>
      </c>
      <c r="J171" s="7482"/>
      <c r="K171" s="7482"/>
      <c r="L171" s="7921"/>
    </row>
    <row r="172" spans="1:12" ht="30" customHeight="1" x14ac:dyDescent="0.2">
      <c r="A172" s="7656"/>
      <c r="B172" s="7665"/>
      <c r="C172" s="7873" t="s">
        <v>1306</v>
      </c>
      <c r="D172" s="7563">
        <v>2451198840</v>
      </c>
      <c r="E172" s="7659">
        <v>0.08</v>
      </c>
      <c r="F172" s="7563">
        <f>D172*E172</f>
        <v>196095907.20000002</v>
      </c>
      <c r="G172" s="6635"/>
      <c r="H172" s="6635"/>
      <c r="I172" s="6635"/>
      <c r="J172" s="7563"/>
      <c r="K172" s="7563"/>
      <c r="L172" s="7919"/>
    </row>
    <row r="173" spans="1:12" ht="30" customHeight="1" x14ac:dyDescent="0.2">
      <c r="A173" s="7656"/>
      <c r="B173" s="7665"/>
      <c r="C173" s="7873"/>
      <c r="D173" s="7586"/>
      <c r="E173" s="7676"/>
      <c r="F173" s="7586"/>
      <c r="G173" s="6635"/>
      <c r="H173" s="6635"/>
      <c r="I173" s="6635"/>
      <c r="J173" s="7586"/>
      <c r="K173" s="7586"/>
      <c r="L173" s="7920"/>
    </row>
    <row r="174" spans="1:12" ht="30" customHeight="1" x14ac:dyDescent="0.2">
      <c r="A174" s="7656"/>
      <c r="B174" s="7653"/>
      <c r="C174" s="7873"/>
      <c r="D174" s="7564"/>
      <c r="E174" s="7660"/>
      <c r="F174" s="7564"/>
      <c r="G174" s="6635"/>
      <c r="H174" s="6635"/>
      <c r="I174" s="6635"/>
      <c r="J174" s="7564"/>
      <c r="K174" s="7564"/>
      <c r="L174" s="7921"/>
    </row>
    <row r="175" spans="1:12" ht="30" customHeight="1" x14ac:dyDescent="0.2">
      <c r="A175" s="7654">
        <v>57</v>
      </c>
      <c r="B175" s="7652" t="s">
        <v>1077</v>
      </c>
      <c r="C175" s="6710" t="s">
        <v>1298</v>
      </c>
      <c r="D175" s="6635">
        <v>317000000</v>
      </c>
      <c r="E175" s="6705">
        <v>7.0000000000000007E-2</v>
      </c>
      <c r="F175" s="6635">
        <f t="shared" si="16"/>
        <v>22190000.000000004</v>
      </c>
      <c r="G175" s="6635"/>
      <c r="H175" s="6635"/>
      <c r="I175" s="6635" t="s">
        <v>4945</v>
      </c>
      <c r="J175" s="6635">
        <f>G175</f>
        <v>0</v>
      </c>
      <c r="K175" s="6635">
        <v>0</v>
      </c>
      <c r="L175" s="6742"/>
    </row>
    <row r="176" spans="1:12" ht="30" customHeight="1" x14ac:dyDescent="0.2">
      <c r="A176" s="7655"/>
      <c r="B176" s="7653"/>
      <c r="C176" s="6710" t="s">
        <v>1298</v>
      </c>
      <c r="D176" s="6635">
        <v>317000000</v>
      </c>
      <c r="E176" s="6705">
        <v>7.0000000000000007E-2</v>
      </c>
      <c r="F176" s="6635">
        <f t="shared" si="16"/>
        <v>22190000.000000004</v>
      </c>
      <c r="G176" s="6641"/>
      <c r="H176" s="6641"/>
      <c r="I176" s="6641"/>
      <c r="J176" s="6641"/>
      <c r="K176" s="6641"/>
      <c r="L176" s="162"/>
    </row>
    <row r="177" spans="1:12" ht="30" customHeight="1" x14ac:dyDescent="0.2">
      <c r="A177" s="6659"/>
      <c r="B177" s="6711" t="s">
        <v>5903</v>
      </c>
      <c r="C177" s="345"/>
      <c r="D177" s="6643">
        <v>50000000</v>
      </c>
      <c r="E177" s="6649">
        <v>0.08</v>
      </c>
      <c r="F177" s="6643">
        <f>D177*E177</f>
        <v>4000000</v>
      </c>
      <c r="G177" s="6641"/>
      <c r="H177" s="6641"/>
      <c r="I177" s="6641" t="s">
        <v>6391</v>
      </c>
      <c r="J177" s="6641">
        <f>G177</f>
        <v>0</v>
      </c>
      <c r="K177" s="6641">
        <f>F177-J177</f>
        <v>4000000</v>
      </c>
      <c r="L177" s="1611"/>
    </row>
    <row r="178" spans="1:12" ht="30" customHeight="1" x14ac:dyDescent="0.2">
      <c r="A178" s="7879"/>
      <c r="B178" s="7717" t="s">
        <v>6673</v>
      </c>
      <c r="C178" s="7873" t="s">
        <v>1796</v>
      </c>
      <c r="D178" s="6635">
        <v>56000000</v>
      </c>
      <c r="E178" s="6705">
        <v>7.0000000000000007E-2</v>
      </c>
      <c r="F178" s="6635">
        <f>D178*E178</f>
        <v>3920000.0000000005</v>
      </c>
      <c r="G178" s="7482"/>
      <c r="H178" s="7482"/>
      <c r="I178" s="7482" t="s">
        <v>4263</v>
      </c>
      <c r="J178" s="7482">
        <f>G178</f>
        <v>0</v>
      </c>
      <c r="K178" s="7482">
        <f>(F178+F179)-J178</f>
        <v>10920000.000000002</v>
      </c>
      <c r="L178" s="7713"/>
    </row>
    <row r="179" spans="1:12" ht="30" customHeight="1" x14ac:dyDescent="0.2">
      <c r="A179" s="7879"/>
      <c r="B179" s="7717"/>
      <c r="C179" s="7873"/>
      <c r="D179" s="6635">
        <v>100000000</v>
      </c>
      <c r="E179" s="6705">
        <v>7.0000000000000007E-2</v>
      </c>
      <c r="F179" s="6635">
        <f>D179*E179</f>
        <v>7000000.0000000009</v>
      </c>
      <c r="G179" s="7482"/>
      <c r="H179" s="7482"/>
      <c r="I179" s="7482"/>
      <c r="J179" s="7482"/>
      <c r="K179" s="7482"/>
      <c r="L179" s="7714"/>
    </row>
    <row r="180" spans="1:12" ht="30" customHeight="1" x14ac:dyDescent="0.2">
      <c r="A180" s="7654"/>
      <c r="B180" s="7717" t="s">
        <v>6673</v>
      </c>
      <c r="C180" s="7873" t="s">
        <v>1796</v>
      </c>
      <c r="D180" s="6643">
        <v>56000000</v>
      </c>
      <c r="E180" s="6649">
        <v>7.0000000000000007E-2</v>
      </c>
      <c r="F180" s="6643">
        <f>D180*E180</f>
        <v>3920000.0000000005</v>
      </c>
      <c r="G180" s="7586"/>
      <c r="H180" s="7586"/>
      <c r="I180" s="7586" t="s">
        <v>4263</v>
      </c>
      <c r="J180" s="7586">
        <f>G180</f>
        <v>0</v>
      </c>
      <c r="K180" s="7586">
        <f>(F180+F181)-J180</f>
        <v>10920000.000000002</v>
      </c>
      <c r="L180" s="7809"/>
    </row>
    <row r="181" spans="1:12" ht="30" customHeight="1" x14ac:dyDescent="0.2">
      <c r="A181" s="7655"/>
      <c r="B181" s="7717"/>
      <c r="C181" s="7873"/>
      <c r="D181" s="6635">
        <v>100000000</v>
      </c>
      <c r="E181" s="6705">
        <v>7.0000000000000007E-2</v>
      </c>
      <c r="F181" s="6635">
        <f>D181*E181</f>
        <v>7000000.0000000009</v>
      </c>
      <c r="G181" s="7564"/>
      <c r="H181" s="7564"/>
      <c r="I181" s="7564"/>
      <c r="J181" s="7564"/>
      <c r="K181" s="7564"/>
      <c r="L181" s="7810"/>
    </row>
    <row r="182" spans="1:12" ht="30" customHeight="1" x14ac:dyDescent="0.2">
      <c r="A182" s="7654">
        <v>58</v>
      </c>
      <c r="B182" s="7652" t="s">
        <v>1064</v>
      </c>
      <c r="C182" s="7723" t="s">
        <v>889</v>
      </c>
      <c r="D182" s="6643">
        <v>11000000</v>
      </c>
      <c r="E182" s="6705">
        <v>7.0000000000000007E-2</v>
      </c>
      <c r="F182" s="6643">
        <v>700000</v>
      </c>
      <c r="G182" s="7563">
        <v>4500000</v>
      </c>
      <c r="H182" s="7563" t="s">
        <v>8111</v>
      </c>
      <c r="I182" s="7775" t="s">
        <v>8118</v>
      </c>
      <c r="J182" s="7563">
        <f>G182</f>
        <v>4500000</v>
      </c>
      <c r="K182" s="7563">
        <f>(F182+F183+F184+F185)-J182</f>
        <v>400000</v>
      </c>
      <c r="L182" s="6665"/>
    </row>
    <row r="183" spans="1:12" ht="30" customHeight="1" x14ac:dyDescent="0.2">
      <c r="A183" s="7656"/>
      <c r="B183" s="7665"/>
      <c r="C183" s="7747"/>
      <c r="D183" s="6643">
        <v>20000000</v>
      </c>
      <c r="E183" s="6705">
        <v>7.0000000000000007E-2</v>
      </c>
      <c r="F183" s="6643">
        <f>D183*E183</f>
        <v>1400000.0000000002</v>
      </c>
      <c r="G183" s="7586"/>
      <c r="H183" s="7586"/>
      <c r="I183" s="7776"/>
      <c r="J183" s="7586"/>
      <c r="K183" s="7586"/>
      <c r="L183" s="6742" t="s">
        <v>7428</v>
      </c>
    </row>
    <row r="184" spans="1:12" ht="30" customHeight="1" x14ac:dyDescent="0.2">
      <c r="A184" s="7656"/>
      <c r="B184" s="7665"/>
      <c r="C184" s="7747"/>
      <c r="D184" s="6643">
        <v>30000000</v>
      </c>
      <c r="E184" s="6705">
        <v>7.0000000000000007E-2</v>
      </c>
      <c r="F184" s="6643">
        <f>D184*E184</f>
        <v>2100000</v>
      </c>
      <c r="G184" s="7586"/>
      <c r="H184" s="7586"/>
      <c r="I184" s="7776"/>
      <c r="J184" s="7586"/>
      <c r="K184" s="7586"/>
      <c r="L184" s="6670"/>
    </row>
    <row r="185" spans="1:12" ht="30" customHeight="1" x14ac:dyDescent="0.2">
      <c r="A185" s="7655"/>
      <c r="B185" s="7653"/>
      <c r="C185" s="7724"/>
      <c r="D185" s="6643">
        <v>10000000</v>
      </c>
      <c r="E185" s="6705">
        <v>7.0000000000000007E-2</v>
      </c>
      <c r="F185" s="6643">
        <f>D185*E185</f>
        <v>700000.00000000012</v>
      </c>
      <c r="G185" s="7564"/>
      <c r="H185" s="7564"/>
      <c r="I185" s="7777"/>
      <c r="J185" s="7564"/>
      <c r="K185" s="7564"/>
      <c r="L185" s="6670" t="s">
        <v>7323</v>
      </c>
    </row>
    <row r="186" spans="1:12" ht="30" customHeight="1" x14ac:dyDescent="0.2">
      <c r="A186" s="6654"/>
      <c r="B186" s="6651" t="s">
        <v>7665</v>
      </c>
      <c r="C186" s="6684"/>
      <c r="D186" s="6643">
        <v>20000000</v>
      </c>
      <c r="E186" s="6705">
        <v>0.08</v>
      </c>
      <c r="F186" s="6643">
        <f>D186*E186</f>
        <v>1600000</v>
      </c>
      <c r="G186" s="7732" t="s">
        <v>7666</v>
      </c>
      <c r="H186" s="7733"/>
      <c r="I186" s="7733"/>
      <c r="J186" s="7734"/>
      <c r="K186" s="6643"/>
      <c r="L186" s="736" t="s">
        <v>7667</v>
      </c>
    </row>
    <row r="187" spans="1:12" ht="30" customHeight="1" x14ac:dyDescent="0.2">
      <c r="A187" s="6659"/>
      <c r="B187" s="6711" t="s">
        <v>194</v>
      </c>
      <c r="C187" s="6710" t="s">
        <v>1295</v>
      </c>
      <c r="D187" s="6643">
        <v>160000000</v>
      </c>
      <c r="E187" s="6705">
        <v>5.1999999999999998E-2</v>
      </c>
      <c r="F187" s="6643">
        <v>8300000</v>
      </c>
      <c r="G187" s="6635">
        <v>8300000</v>
      </c>
      <c r="H187" s="6635" t="s">
        <v>8073</v>
      </c>
      <c r="I187" s="6635" t="s">
        <v>8079</v>
      </c>
      <c r="J187" s="6635">
        <f>G187</f>
        <v>8300000</v>
      </c>
      <c r="K187" s="6635">
        <f>F187-J187</f>
        <v>0</v>
      </c>
      <c r="L187" s="637" t="s">
        <v>6336</v>
      </c>
    </row>
    <row r="188" spans="1:12" ht="30" customHeight="1" x14ac:dyDescent="0.2">
      <c r="A188" s="7654">
        <v>60</v>
      </c>
      <c r="B188" s="7652" t="s">
        <v>1498</v>
      </c>
      <c r="C188" s="7723" t="s">
        <v>889</v>
      </c>
      <c r="D188" s="7563"/>
      <c r="E188" s="7659"/>
      <c r="F188" s="7563">
        <f t="shared" si="14"/>
        <v>0</v>
      </c>
      <c r="G188" s="6643">
        <v>10000000</v>
      </c>
      <c r="H188" s="6643" t="s">
        <v>7945</v>
      </c>
      <c r="I188" s="6771" t="s">
        <v>7946</v>
      </c>
      <c r="J188" s="7563">
        <f>G188+G189</f>
        <v>13000000</v>
      </c>
      <c r="K188" s="7563">
        <f>F188-J188</f>
        <v>-13000000</v>
      </c>
      <c r="L188" s="6665"/>
    </row>
    <row r="189" spans="1:12" ht="30" customHeight="1" x14ac:dyDescent="0.2">
      <c r="A189" s="7655"/>
      <c r="B189" s="7653"/>
      <c r="C189" s="7724"/>
      <c r="D189" s="7564"/>
      <c r="E189" s="7660"/>
      <c r="F189" s="7564"/>
      <c r="G189" s="6852">
        <v>3000000</v>
      </c>
      <c r="H189" s="6852" t="s">
        <v>7968</v>
      </c>
      <c r="I189" s="6872" t="s">
        <v>7946</v>
      </c>
      <c r="J189" s="7564"/>
      <c r="K189" s="7564"/>
      <c r="L189" s="6858"/>
    </row>
    <row r="190" spans="1:12" ht="30" customHeight="1" x14ac:dyDescent="0.2">
      <c r="A190" s="6655">
        <v>61</v>
      </c>
      <c r="B190" s="6665" t="s">
        <v>196</v>
      </c>
      <c r="C190" s="6684"/>
      <c r="D190" s="6643">
        <v>100000000</v>
      </c>
      <c r="E190" s="6705">
        <v>7.0000000000000007E-2</v>
      </c>
      <c r="F190" s="6643">
        <f t="shared" si="14"/>
        <v>7000000.0000000009</v>
      </c>
      <c r="G190" s="6643">
        <v>7000000</v>
      </c>
      <c r="H190" s="6643" t="s">
        <v>7974</v>
      </c>
      <c r="I190" s="6771" t="s">
        <v>3466</v>
      </c>
      <c r="J190" s="6643">
        <f>G190</f>
        <v>7000000</v>
      </c>
      <c r="K190" s="6643">
        <f>F190-J190</f>
        <v>0</v>
      </c>
      <c r="L190" s="6665"/>
    </row>
    <row r="191" spans="1:12" ht="30" customHeight="1" x14ac:dyDescent="0.2">
      <c r="A191" s="7703">
        <v>62</v>
      </c>
      <c r="B191" s="8592" t="s">
        <v>197</v>
      </c>
      <c r="C191" s="8594"/>
      <c r="D191" s="7105">
        <v>125000000</v>
      </c>
      <c r="E191" s="7106">
        <v>5.1999999999999998E-2</v>
      </c>
      <c r="F191" s="7105">
        <f t="shared" si="14"/>
        <v>6500000</v>
      </c>
      <c r="G191" s="6122"/>
      <c r="H191" s="6122"/>
      <c r="I191" s="6122"/>
      <c r="J191" s="6122"/>
      <c r="K191" s="6122"/>
      <c r="L191" s="7107"/>
    </row>
    <row r="192" spans="1:12" ht="30" customHeight="1" x14ac:dyDescent="0.2">
      <c r="A192" s="7704"/>
      <c r="B192" s="8593"/>
      <c r="C192" s="8595"/>
      <c r="D192" s="8587" t="s">
        <v>6674</v>
      </c>
      <c r="E192" s="8588"/>
      <c r="F192" s="8589"/>
      <c r="G192" s="8602" t="s">
        <v>7329</v>
      </c>
      <c r="H192" s="8603"/>
      <c r="I192" s="8603"/>
      <c r="J192" s="8604"/>
      <c r="K192" s="8605"/>
      <c r="L192" s="7108" t="s">
        <v>7330</v>
      </c>
    </row>
    <row r="193" spans="1:12" ht="30" customHeight="1" x14ac:dyDescent="0.2">
      <c r="A193" s="7704"/>
      <c r="B193" s="8593"/>
      <c r="C193" s="8595"/>
      <c r="D193" s="8596"/>
      <c r="E193" s="8597"/>
      <c r="F193" s="8598"/>
      <c r="G193" s="8608" t="s">
        <v>7333</v>
      </c>
      <c r="H193" s="8609"/>
      <c r="I193" s="8609"/>
      <c r="J193" s="8610"/>
      <c r="K193" s="8606"/>
      <c r="L193" s="7108" t="s">
        <v>7331</v>
      </c>
    </row>
    <row r="194" spans="1:12" ht="30" customHeight="1" x14ac:dyDescent="0.2">
      <c r="A194" s="7704"/>
      <c r="B194" s="8593"/>
      <c r="C194" s="8595"/>
      <c r="D194" s="8596"/>
      <c r="E194" s="8597"/>
      <c r="F194" s="8598"/>
      <c r="G194" s="8584" t="s">
        <v>7338</v>
      </c>
      <c r="H194" s="8585"/>
      <c r="I194" s="8585"/>
      <c r="J194" s="8586"/>
      <c r="K194" s="8607"/>
      <c r="L194" s="7108" t="s">
        <v>7332</v>
      </c>
    </row>
    <row r="195" spans="1:12" ht="30" customHeight="1" x14ac:dyDescent="0.2">
      <c r="A195" s="7704"/>
      <c r="B195" s="8593"/>
      <c r="C195" s="8595"/>
      <c r="D195" s="8599"/>
      <c r="E195" s="8600"/>
      <c r="F195" s="8601"/>
      <c r="G195" s="8584" t="s">
        <v>7337</v>
      </c>
      <c r="H195" s="8585"/>
      <c r="I195" s="8585"/>
      <c r="J195" s="8586"/>
      <c r="K195" s="7101"/>
      <c r="L195" s="7108"/>
    </row>
    <row r="196" spans="1:12" ht="30" customHeight="1" x14ac:dyDescent="0.2">
      <c r="A196" s="7704"/>
      <c r="B196" s="8593"/>
      <c r="C196" s="8595"/>
      <c r="D196" s="8587" t="s">
        <v>7494</v>
      </c>
      <c r="E196" s="8588"/>
      <c r="F196" s="8589"/>
      <c r="G196" s="6122"/>
      <c r="H196" s="6122"/>
      <c r="I196" s="6122"/>
      <c r="J196" s="6122">
        <f>G196</f>
        <v>0</v>
      </c>
      <c r="K196" s="7109"/>
      <c r="L196" s="7108"/>
    </row>
    <row r="197" spans="1:12" ht="30" customHeight="1" x14ac:dyDescent="0.2">
      <c r="A197" s="7704"/>
      <c r="B197" s="8593"/>
      <c r="C197" s="8595"/>
      <c r="D197" s="8599"/>
      <c r="E197" s="8600"/>
      <c r="F197" s="8601"/>
      <c r="G197" s="6122"/>
      <c r="H197" s="6122"/>
      <c r="I197" s="6122"/>
      <c r="J197" s="6122">
        <f>G197</f>
        <v>0</v>
      </c>
      <c r="K197" s="7109"/>
      <c r="L197" s="7108"/>
    </row>
    <row r="198" spans="1:12" ht="30" customHeight="1" x14ac:dyDescent="0.2">
      <c r="A198" s="7704"/>
      <c r="B198" s="8593"/>
      <c r="C198" s="8595"/>
      <c r="D198" s="8587"/>
      <c r="E198" s="8588"/>
      <c r="F198" s="8589"/>
      <c r="G198" s="7105"/>
      <c r="H198" s="7105"/>
      <c r="I198" s="7105"/>
      <c r="J198" s="7105">
        <f>G198</f>
        <v>0</v>
      </c>
      <c r="K198" s="7109"/>
      <c r="L198" s="7108"/>
    </row>
    <row r="199" spans="1:12" ht="30" customHeight="1" x14ac:dyDescent="0.2">
      <c r="A199" s="6727"/>
      <c r="B199" s="6665" t="s">
        <v>7594</v>
      </c>
      <c r="C199" s="6710"/>
      <c r="D199" s="6635">
        <v>5000000</v>
      </c>
      <c r="E199" s="6635"/>
      <c r="F199" s="6635"/>
      <c r="G199" s="6635"/>
      <c r="H199" s="6635"/>
      <c r="I199" s="6635"/>
      <c r="J199" s="6635"/>
      <c r="K199" s="6635"/>
      <c r="L199" s="736" t="s">
        <v>7595</v>
      </c>
    </row>
    <row r="200" spans="1:12" ht="30" customHeight="1" x14ac:dyDescent="0.2">
      <c r="A200" s="6727"/>
      <c r="B200" s="6665" t="s">
        <v>7596</v>
      </c>
      <c r="C200" s="6710"/>
      <c r="D200" s="6635">
        <v>50000000</v>
      </c>
      <c r="E200" s="6635"/>
      <c r="F200" s="6635"/>
      <c r="G200" s="6635"/>
      <c r="H200" s="6635"/>
      <c r="I200" s="6635"/>
      <c r="J200" s="6635"/>
      <c r="K200" s="6635"/>
      <c r="L200" s="736" t="s">
        <v>7602</v>
      </c>
    </row>
    <row r="201" spans="1:12" ht="30" customHeight="1" x14ac:dyDescent="0.2">
      <c r="A201" s="7703"/>
      <c r="B201" s="7652" t="s">
        <v>4139</v>
      </c>
      <c r="C201" s="7723"/>
      <c r="D201" s="6635">
        <v>5000000</v>
      </c>
      <c r="E201" s="6635"/>
      <c r="F201" s="6635"/>
      <c r="G201" s="6635"/>
      <c r="H201" s="6635"/>
      <c r="I201" s="6635"/>
      <c r="J201" s="6635"/>
      <c r="K201" s="6635"/>
      <c r="L201" s="736" t="s">
        <v>7597</v>
      </c>
    </row>
    <row r="202" spans="1:12" ht="30" customHeight="1" x14ac:dyDescent="0.2">
      <c r="A202" s="7705"/>
      <c r="B202" s="7653"/>
      <c r="C202" s="7724"/>
      <c r="D202" s="6635">
        <v>5000000</v>
      </c>
      <c r="E202" s="6635"/>
      <c r="F202" s="6635"/>
      <c r="G202" s="6635"/>
      <c r="H202" s="6635"/>
      <c r="I202" s="6635"/>
      <c r="J202" s="6635"/>
      <c r="K202" s="6635"/>
      <c r="L202" s="736" t="s">
        <v>7598</v>
      </c>
    </row>
    <row r="203" spans="1:12" ht="30" customHeight="1" x14ac:dyDescent="0.2">
      <c r="A203" s="7081"/>
      <c r="B203" s="6651" t="s">
        <v>7961</v>
      </c>
      <c r="C203" s="6930"/>
      <c r="D203" s="165"/>
      <c r="E203" s="165"/>
      <c r="F203" s="165"/>
      <c r="G203" s="6641">
        <v>500000</v>
      </c>
      <c r="H203" s="6641" t="s">
        <v>7945</v>
      </c>
      <c r="I203" s="6641" t="s">
        <v>7792</v>
      </c>
      <c r="J203" s="6641">
        <f>G203</f>
        <v>500000</v>
      </c>
      <c r="K203" s="6834"/>
      <c r="L203" s="637"/>
    </row>
    <row r="204" spans="1:12" ht="30" customHeight="1" x14ac:dyDescent="0.2">
      <c r="A204" s="7703"/>
      <c r="B204" s="7652" t="s">
        <v>4611</v>
      </c>
      <c r="C204" s="7723"/>
      <c r="D204" s="7677"/>
      <c r="E204" s="7677"/>
      <c r="F204" s="7677"/>
      <c r="G204" s="6916">
        <v>300000</v>
      </c>
      <c r="H204" s="6916" t="s">
        <v>8042</v>
      </c>
      <c r="I204" s="6916" t="s">
        <v>8066</v>
      </c>
      <c r="J204" s="6916">
        <f>G204</f>
        <v>300000</v>
      </c>
      <c r="K204" s="6922"/>
      <c r="L204" s="637"/>
    </row>
    <row r="205" spans="1:12" ht="30" customHeight="1" x14ac:dyDescent="0.2">
      <c r="A205" s="7705"/>
      <c r="B205" s="7653"/>
      <c r="C205" s="7724"/>
      <c r="D205" s="7678"/>
      <c r="E205" s="7678"/>
      <c r="F205" s="7678"/>
      <c r="G205" s="7057">
        <v>15500000</v>
      </c>
      <c r="H205" s="7057" t="s">
        <v>8215</v>
      </c>
      <c r="I205" s="7057" t="s">
        <v>7222</v>
      </c>
      <c r="J205" s="7057">
        <f>G205</f>
        <v>15500000</v>
      </c>
      <c r="K205" s="7062"/>
      <c r="L205" s="637"/>
    </row>
    <row r="206" spans="1:12" ht="30" customHeight="1" x14ac:dyDescent="0.2">
      <c r="A206" s="7654"/>
      <c r="B206" s="7703" t="s">
        <v>198</v>
      </c>
      <c r="C206" s="7723" t="s">
        <v>889</v>
      </c>
      <c r="D206" s="3829">
        <v>2000000000</v>
      </c>
      <c r="E206" s="6705">
        <v>7.0000000000000007E-2</v>
      </c>
      <c r="F206" s="6635">
        <f t="shared" ref="F206:F212" si="17">D206*E206</f>
        <v>140000000</v>
      </c>
      <c r="G206" s="7394">
        <v>17000000</v>
      </c>
      <c r="H206" s="7394" t="s">
        <v>5244</v>
      </c>
      <c r="I206" s="7398" t="s">
        <v>6196</v>
      </c>
      <c r="J206" s="7394">
        <f>G206</f>
        <v>17000000</v>
      </c>
      <c r="K206" s="7394"/>
      <c r="L206" s="637" t="s">
        <v>6749</v>
      </c>
    </row>
    <row r="207" spans="1:12" ht="30" customHeight="1" x14ac:dyDescent="0.2">
      <c r="A207" s="7656"/>
      <c r="B207" s="7704"/>
      <c r="C207" s="7747"/>
      <c r="D207" s="3829">
        <v>100000000</v>
      </c>
      <c r="E207" s="6649">
        <v>7.0000000000000007E-2</v>
      </c>
      <c r="F207" s="6635">
        <f t="shared" si="17"/>
        <v>7000000.0000000009</v>
      </c>
      <c r="G207" s="7394">
        <v>5000000</v>
      </c>
      <c r="H207" s="7394" t="s">
        <v>8483</v>
      </c>
      <c r="I207" s="7398" t="s">
        <v>6196</v>
      </c>
      <c r="J207" s="7394">
        <f>G207</f>
        <v>5000000</v>
      </c>
      <c r="K207" s="7394"/>
      <c r="L207" s="180"/>
    </row>
    <row r="208" spans="1:12" ht="30" customHeight="1" x14ac:dyDescent="0.2">
      <c r="A208" s="7656"/>
      <c r="B208" s="7704"/>
      <c r="C208" s="7747"/>
      <c r="D208" s="940">
        <v>100000000</v>
      </c>
      <c r="E208" s="6649">
        <v>7.0000000000000007E-2</v>
      </c>
      <c r="F208" s="6643">
        <f t="shared" si="17"/>
        <v>7000000.0000000009</v>
      </c>
      <c r="G208" s="7394"/>
      <c r="H208" s="7394"/>
      <c r="I208" s="7398"/>
      <c r="J208" s="7394"/>
      <c r="K208" s="7394"/>
      <c r="L208" s="6726"/>
    </row>
    <row r="209" spans="1:12" ht="30" customHeight="1" x14ac:dyDescent="0.2">
      <c r="A209" s="7656"/>
      <c r="B209" s="7704"/>
      <c r="C209" s="7747"/>
      <c r="D209" s="940">
        <v>100000000</v>
      </c>
      <c r="E209" s="6649">
        <v>7.0000000000000007E-2</v>
      </c>
      <c r="F209" s="6643">
        <f t="shared" si="17"/>
        <v>7000000.0000000009</v>
      </c>
      <c r="G209" s="7394"/>
      <c r="H209" s="7394"/>
      <c r="I209" s="7398"/>
      <c r="J209" s="7394"/>
      <c r="K209" s="7394"/>
      <c r="L209" s="6726"/>
    </row>
    <row r="210" spans="1:12" ht="30" customHeight="1" x14ac:dyDescent="0.2">
      <c r="A210" s="7656"/>
      <c r="B210" s="7704"/>
      <c r="C210" s="7747"/>
      <c r="D210" s="940">
        <v>100000000</v>
      </c>
      <c r="E210" s="6649">
        <v>7.0000000000000007E-2</v>
      </c>
      <c r="F210" s="6643">
        <f t="shared" si="17"/>
        <v>7000000.0000000009</v>
      </c>
      <c r="G210" s="233"/>
      <c r="H210" s="233"/>
      <c r="I210" s="233"/>
      <c r="J210" s="233"/>
      <c r="K210" s="6643"/>
      <c r="L210" s="6726"/>
    </row>
    <row r="211" spans="1:12" ht="30" customHeight="1" x14ac:dyDescent="0.2">
      <c r="A211" s="7656"/>
      <c r="B211" s="7704"/>
      <c r="C211" s="7747"/>
      <c r="D211" s="6750">
        <v>300000000</v>
      </c>
      <c r="E211" s="6649">
        <v>7.0000000000000007E-2</v>
      </c>
      <c r="F211" s="6643">
        <f t="shared" si="17"/>
        <v>21000000.000000004</v>
      </c>
      <c r="G211" s="7389"/>
      <c r="H211" s="7389"/>
      <c r="I211" s="7389"/>
      <c r="J211" s="7389"/>
      <c r="K211" s="7389"/>
      <c r="L211" s="7797" t="s">
        <v>5581</v>
      </c>
    </row>
    <row r="212" spans="1:12" ht="30" customHeight="1" x14ac:dyDescent="0.2">
      <c r="A212" s="7656"/>
      <c r="B212" s="7704"/>
      <c r="C212" s="7747"/>
      <c r="D212" s="6762">
        <v>150000000</v>
      </c>
      <c r="E212" s="6705">
        <v>7.0000000000000007E-2</v>
      </c>
      <c r="F212" s="6635">
        <f t="shared" si="17"/>
        <v>10500000.000000002</v>
      </c>
      <c r="G212" s="7389"/>
      <c r="H212" s="7389"/>
      <c r="I212" s="7389"/>
      <c r="J212" s="7389"/>
      <c r="K212" s="7389"/>
      <c r="L212" s="7714"/>
    </row>
    <row r="213" spans="1:12" ht="30" customHeight="1" x14ac:dyDescent="0.2">
      <c r="A213" s="7656"/>
      <c r="B213" s="7704"/>
      <c r="C213" s="7747"/>
      <c r="D213" s="6762">
        <v>50000000</v>
      </c>
      <c r="E213" s="6705">
        <v>7.0000000000000007E-2</v>
      </c>
      <c r="F213" s="6635">
        <f>D213*E213</f>
        <v>3500000.0000000005</v>
      </c>
      <c r="G213" s="7389"/>
      <c r="H213" s="7389"/>
      <c r="I213" s="7389"/>
      <c r="J213" s="7389"/>
      <c r="K213" s="7389"/>
      <c r="L213" s="637" t="s">
        <v>6751</v>
      </c>
    </row>
    <row r="214" spans="1:12" ht="30" customHeight="1" x14ac:dyDescent="0.2">
      <c r="A214" s="7656"/>
      <c r="B214" s="7704"/>
      <c r="C214" s="7747"/>
      <c r="D214" s="6762">
        <v>150000000</v>
      </c>
      <c r="E214" s="6705">
        <v>7.0000000000000007E-2</v>
      </c>
      <c r="F214" s="6635">
        <f>D214*E214</f>
        <v>10500000.000000002</v>
      </c>
      <c r="G214" s="7389"/>
      <c r="H214" s="7389"/>
      <c r="I214" s="7389"/>
      <c r="J214" s="7389"/>
      <c r="K214" s="7389"/>
      <c r="L214" s="29" t="s">
        <v>7854</v>
      </c>
    </row>
    <row r="215" spans="1:12" ht="30" customHeight="1" x14ac:dyDescent="0.2">
      <c r="A215" s="7656"/>
      <c r="B215" s="7704"/>
      <c r="C215" s="7747"/>
      <c r="D215" s="8270" t="s">
        <v>8170</v>
      </c>
      <c r="E215" s="8271"/>
      <c r="F215" s="8272"/>
      <c r="G215" s="7389"/>
      <c r="H215" s="7389"/>
      <c r="I215" s="7389"/>
      <c r="J215" s="7389"/>
      <c r="K215" s="7389"/>
      <c r="L215" s="29"/>
    </row>
    <row r="216" spans="1:12" ht="30" customHeight="1" x14ac:dyDescent="0.2">
      <c r="A216" s="7656"/>
      <c r="B216" s="7704"/>
      <c r="C216" s="7747"/>
      <c r="D216" s="8045"/>
      <c r="E216" s="8046"/>
      <c r="F216" s="8047"/>
      <c r="G216" s="7022"/>
      <c r="H216" s="7022"/>
      <c r="I216" s="7034"/>
      <c r="J216" s="7022"/>
      <c r="K216" s="7022"/>
      <c r="L216" s="29"/>
    </row>
    <row r="217" spans="1:12" ht="30" customHeight="1" x14ac:dyDescent="0.2">
      <c r="A217" s="7655"/>
      <c r="B217" s="7705"/>
      <c r="C217" s="7724"/>
      <c r="D217" s="7050"/>
      <c r="E217" s="7037"/>
      <c r="F217" s="7020"/>
      <c r="G217" s="7022"/>
      <c r="H217" s="7022"/>
      <c r="I217" s="7034"/>
      <c r="J217" s="7022"/>
      <c r="K217" s="7022"/>
      <c r="L217" s="29"/>
    </row>
    <row r="218" spans="1:12" ht="30" customHeight="1" x14ac:dyDescent="0.2">
      <c r="A218" s="7654">
        <v>64</v>
      </c>
      <c r="B218" s="7652" t="s">
        <v>1336</v>
      </c>
      <c r="C218" s="7723" t="s">
        <v>889</v>
      </c>
      <c r="D218" s="7563">
        <v>200000000</v>
      </c>
      <c r="E218" s="7659">
        <v>5.5E-2</v>
      </c>
      <c r="F218" s="7563">
        <f t="shared" si="14"/>
        <v>11000000</v>
      </c>
      <c r="G218" s="6643">
        <v>8000000</v>
      </c>
      <c r="H218" s="6643" t="s">
        <v>8215</v>
      </c>
      <c r="I218" s="6771" t="s">
        <v>7466</v>
      </c>
      <c r="J218" s="7563">
        <f>G218+G219</f>
        <v>11000000</v>
      </c>
      <c r="K218" s="7563">
        <f t="shared" ref="K218:K234" si="18">F218-J218</f>
        <v>0</v>
      </c>
      <c r="L218" s="7713" t="s">
        <v>7467</v>
      </c>
    </row>
    <row r="219" spans="1:12" ht="30" customHeight="1" x14ac:dyDescent="0.2">
      <c r="A219" s="7655"/>
      <c r="B219" s="7653"/>
      <c r="C219" s="7724"/>
      <c r="D219" s="7564"/>
      <c r="E219" s="7660"/>
      <c r="F219" s="7564"/>
      <c r="G219" s="7114">
        <v>3000000</v>
      </c>
      <c r="H219" s="7113" t="s">
        <v>8267</v>
      </c>
      <c r="I219" s="7153" t="s">
        <v>7466</v>
      </c>
      <c r="J219" s="7564"/>
      <c r="K219" s="7564"/>
      <c r="L219" s="7714"/>
    </row>
    <row r="220" spans="1:12" ht="30" customHeight="1" x14ac:dyDescent="0.2">
      <c r="A220" s="7654"/>
      <c r="B220" s="7652" t="s">
        <v>4816</v>
      </c>
      <c r="C220" s="7723" t="s">
        <v>262</v>
      </c>
      <c r="D220" s="6635">
        <v>534000000</v>
      </c>
      <c r="E220" s="6705">
        <v>6.2E-2</v>
      </c>
      <c r="F220" s="6635">
        <v>32880000</v>
      </c>
      <c r="G220" s="7482">
        <v>19380000</v>
      </c>
      <c r="H220" s="7563" t="s">
        <v>8042</v>
      </c>
      <c r="I220" s="7561" t="s">
        <v>3501</v>
      </c>
      <c r="J220" s="7563">
        <f>G220+G223</f>
        <v>39380000</v>
      </c>
      <c r="K220" s="7563">
        <f>F225-J220</f>
        <v>-200000</v>
      </c>
      <c r="L220" s="7713"/>
    </row>
    <row r="221" spans="1:12" ht="30" customHeight="1" x14ac:dyDescent="0.2">
      <c r="A221" s="7656"/>
      <c r="B221" s="7665"/>
      <c r="C221" s="7747"/>
      <c r="D221" s="6635">
        <v>20000000</v>
      </c>
      <c r="E221" s="6705">
        <v>7.0000000000000007E-2</v>
      </c>
      <c r="F221" s="6635">
        <f>D221*E221</f>
        <v>1400000.0000000002</v>
      </c>
      <c r="G221" s="7482"/>
      <c r="H221" s="7586"/>
      <c r="I221" s="7672"/>
      <c r="J221" s="7586"/>
      <c r="K221" s="7586"/>
      <c r="L221" s="7797"/>
    </row>
    <row r="222" spans="1:12" ht="30" customHeight="1" x14ac:dyDescent="0.2">
      <c r="A222" s="7656"/>
      <c r="B222" s="7665"/>
      <c r="C222" s="7747"/>
      <c r="D222" s="6635">
        <v>30000000</v>
      </c>
      <c r="E222" s="6705">
        <v>7.0000000000000007E-2</v>
      </c>
      <c r="F222" s="6635">
        <f>D222*E222</f>
        <v>2100000</v>
      </c>
      <c r="G222" s="7482"/>
      <c r="H222" s="7564"/>
      <c r="I222" s="7562"/>
      <c r="J222" s="7586"/>
      <c r="K222" s="7586"/>
      <c r="L222" s="7714"/>
    </row>
    <row r="223" spans="1:12" ht="30" customHeight="1" x14ac:dyDescent="0.2">
      <c r="A223" s="7656"/>
      <c r="B223" s="7665"/>
      <c r="C223" s="7747"/>
      <c r="D223" s="6635">
        <v>20000000</v>
      </c>
      <c r="E223" s="6705">
        <v>7.0000000000000007E-2</v>
      </c>
      <c r="F223" s="6635">
        <f>D223*E223</f>
        <v>1400000.0000000002</v>
      </c>
      <c r="G223" s="7563">
        <v>20000000</v>
      </c>
      <c r="H223" s="7563" t="s">
        <v>8164</v>
      </c>
      <c r="I223" s="7561" t="s">
        <v>8176</v>
      </c>
      <c r="J223" s="7586"/>
      <c r="K223" s="7586"/>
      <c r="L223" s="637"/>
    </row>
    <row r="224" spans="1:12" ht="30" customHeight="1" x14ac:dyDescent="0.2">
      <c r="A224" s="7656"/>
      <c r="B224" s="7665"/>
      <c r="C224" s="7747"/>
      <c r="D224" s="6635">
        <v>20000000</v>
      </c>
      <c r="E224" s="6705">
        <v>7.0000000000000007E-2</v>
      </c>
      <c r="F224" s="6635">
        <f>D224*E224</f>
        <v>1400000.0000000002</v>
      </c>
      <c r="G224" s="7586"/>
      <c r="H224" s="7586"/>
      <c r="I224" s="7672"/>
      <c r="J224" s="7586"/>
      <c r="K224" s="7586"/>
      <c r="L224" s="180"/>
    </row>
    <row r="225" spans="1:12" ht="30" customHeight="1" x14ac:dyDescent="0.2">
      <c r="A225" s="7656"/>
      <c r="B225" s="7665"/>
      <c r="C225" s="7747"/>
      <c r="D225" s="8026">
        <f>SUM(D220:D224)</f>
        <v>624000000</v>
      </c>
      <c r="E225" s="8028"/>
      <c r="F225" s="8026">
        <f>SUM(F220:F224)</f>
        <v>39180000</v>
      </c>
      <c r="G225" s="7586"/>
      <c r="H225" s="7586"/>
      <c r="I225" s="7672"/>
      <c r="J225" s="7586"/>
      <c r="K225" s="7586"/>
      <c r="L225" s="180"/>
    </row>
    <row r="226" spans="1:12" ht="30" customHeight="1" x14ac:dyDescent="0.2">
      <c r="A226" s="7655"/>
      <c r="B226" s="7653"/>
      <c r="C226" s="7724"/>
      <c r="D226" s="8027"/>
      <c r="E226" s="8029"/>
      <c r="F226" s="8027"/>
      <c r="G226" s="7564"/>
      <c r="H226" s="7564"/>
      <c r="I226" s="7562"/>
      <c r="J226" s="7564"/>
      <c r="K226" s="7564"/>
      <c r="L226" s="29"/>
    </row>
    <row r="227" spans="1:12" ht="30" customHeight="1" x14ac:dyDescent="0.2">
      <c r="A227" s="7654">
        <v>68</v>
      </c>
      <c r="B227" s="7652" t="s">
        <v>202</v>
      </c>
      <c r="C227" s="7723" t="s">
        <v>1295</v>
      </c>
      <c r="D227" s="7563">
        <v>150000000</v>
      </c>
      <c r="E227" s="7659">
        <v>0.05</v>
      </c>
      <c r="F227" s="7563">
        <f t="shared" si="14"/>
        <v>7500000</v>
      </c>
      <c r="G227" s="6635">
        <v>7500000</v>
      </c>
      <c r="H227" s="6635" t="s">
        <v>7968</v>
      </c>
      <c r="I227" s="6793" t="s">
        <v>3926</v>
      </c>
      <c r="J227" s="6635">
        <f t="shared" ref="J227:J231" si="19">G227</f>
        <v>7500000</v>
      </c>
      <c r="K227" s="6635">
        <f t="shared" si="18"/>
        <v>0</v>
      </c>
      <c r="L227" s="6660"/>
    </row>
    <row r="228" spans="1:12" ht="30" customHeight="1" x14ac:dyDescent="0.2">
      <c r="A228" s="7655"/>
      <c r="B228" s="7653"/>
      <c r="C228" s="7724"/>
      <c r="D228" s="7564"/>
      <c r="E228" s="7660"/>
      <c r="F228" s="7564"/>
      <c r="G228" s="7732" t="s">
        <v>8293</v>
      </c>
      <c r="H228" s="7733"/>
      <c r="I228" s="7733"/>
      <c r="J228" s="7734"/>
      <c r="K228" s="7159"/>
      <c r="L228" s="7172"/>
    </row>
    <row r="229" spans="1:12" ht="30" customHeight="1" x14ac:dyDescent="0.2">
      <c r="A229" s="7654"/>
      <c r="B229" s="7652" t="s">
        <v>5399</v>
      </c>
      <c r="C229" s="7723" t="s">
        <v>392</v>
      </c>
      <c r="D229" s="7563">
        <v>450000000</v>
      </c>
      <c r="E229" s="7659">
        <v>7.0000000000000007E-2</v>
      </c>
      <c r="F229" s="7563">
        <f>D229*E229</f>
        <v>31500000.000000004</v>
      </c>
      <c r="G229" s="6986">
        <v>20000000</v>
      </c>
      <c r="H229" s="6986" t="s">
        <v>8073</v>
      </c>
      <c r="I229" s="7010" t="s">
        <v>8074</v>
      </c>
      <c r="J229" s="7563">
        <f>G229+G230</f>
        <v>31500000</v>
      </c>
      <c r="K229" s="7563">
        <f>F229-J229</f>
        <v>0</v>
      </c>
      <c r="L229" s="736" t="s">
        <v>8155</v>
      </c>
    </row>
    <row r="230" spans="1:12" ht="30" customHeight="1" x14ac:dyDescent="0.2">
      <c r="A230" s="7655"/>
      <c r="B230" s="7653"/>
      <c r="C230" s="7724"/>
      <c r="D230" s="7564"/>
      <c r="E230" s="7660"/>
      <c r="F230" s="7564"/>
      <c r="G230" s="6943">
        <v>11500000</v>
      </c>
      <c r="H230" s="6943" t="s">
        <v>8142</v>
      </c>
      <c r="I230" s="6957" t="s">
        <v>8074</v>
      </c>
      <c r="J230" s="7564"/>
      <c r="K230" s="7564"/>
      <c r="L230" s="736" t="s">
        <v>8155</v>
      </c>
    </row>
    <row r="231" spans="1:12" ht="30" customHeight="1" x14ac:dyDescent="0.2">
      <c r="A231" s="7654"/>
      <c r="B231" s="7652" t="s">
        <v>205</v>
      </c>
      <c r="C231" s="7723" t="s">
        <v>889</v>
      </c>
      <c r="D231" s="6643">
        <v>30000000</v>
      </c>
      <c r="E231" s="6649">
        <v>0.05</v>
      </c>
      <c r="F231" s="6643">
        <f t="shared" si="14"/>
        <v>1500000</v>
      </c>
      <c r="G231" s="7563">
        <v>3000000</v>
      </c>
      <c r="H231" s="7563" t="s">
        <v>8156</v>
      </c>
      <c r="I231" s="7563" t="s">
        <v>8159</v>
      </c>
      <c r="J231" s="7563">
        <f t="shared" si="19"/>
        <v>3000000</v>
      </c>
      <c r="K231" s="7563">
        <f>(F231+F232+F233)-J231</f>
        <v>0</v>
      </c>
      <c r="L231" s="7679"/>
    </row>
    <row r="232" spans="1:12" ht="30" customHeight="1" x14ac:dyDescent="0.2">
      <c r="A232" s="7656"/>
      <c r="B232" s="7665"/>
      <c r="C232" s="7747"/>
      <c r="D232" s="6642">
        <v>10000000</v>
      </c>
      <c r="E232" s="6648">
        <v>0.05</v>
      </c>
      <c r="F232" s="6642">
        <f t="shared" si="14"/>
        <v>500000</v>
      </c>
      <c r="G232" s="7586"/>
      <c r="H232" s="7586"/>
      <c r="I232" s="7586"/>
      <c r="J232" s="7586"/>
      <c r="K232" s="7586"/>
      <c r="L232" s="7801"/>
    </row>
    <row r="233" spans="1:12" ht="30" customHeight="1" x14ac:dyDescent="0.2">
      <c r="A233" s="7655"/>
      <c r="B233" s="7653"/>
      <c r="C233" s="7724"/>
      <c r="D233" s="6635">
        <v>20000000</v>
      </c>
      <c r="E233" s="6705">
        <v>0.05</v>
      </c>
      <c r="F233" s="6635">
        <f t="shared" si="14"/>
        <v>1000000</v>
      </c>
      <c r="G233" s="7564"/>
      <c r="H233" s="7564"/>
      <c r="I233" s="7564"/>
      <c r="J233" s="7564"/>
      <c r="K233" s="7564"/>
      <c r="L233" s="7680"/>
    </row>
    <row r="234" spans="1:12" ht="30" customHeight="1" x14ac:dyDescent="0.2">
      <c r="A234" s="7990">
        <v>72</v>
      </c>
      <c r="B234" s="7717" t="s">
        <v>1023</v>
      </c>
      <c r="C234" s="7873" t="s">
        <v>1718</v>
      </c>
      <c r="D234" s="7563">
        <v>900000000</v>
      </c>
      <c r="E234" s="7659">
        <v>0.06</v>
      </c>
      <c r="F234" s="7563">
        <f t="shared" si="14"/>
        <v>54000000</v>
      </c>
      <c r="G234" s="6635"/>
      <c r="H234" s="6635"/>
      <c r="I234" s="6715"/>
      <c r="J234" s="7563">
        <f>G234+G235</f>
        <v>0</v>
      </c>
      <c r="K234" s="7563">
        <f t="shared" si="18"/>
        <v>54000000</v>
      </c>
      <c r="L234" s="8558"/>
    </row>
    <row r="235" spans="1:12" ht="30" customHeight="1" x14ac:dyDescent="0.2">
      <c r="A235" s="7990"/>
      <c r="B235" s="7717"/>
      <c r="C235" s="7873"/>
      <c r="D235" s="7586"/>
      <c r="E235" s="7676"/>
      <c r="F235" s="7586"/>
      <c r="G235" s="6635"/>
      <c r="H235" s="6635"/>
      <c r="I235" s="6715" t="s">
        <v>7721</v>
      </c>
      <c r="J235" s="7586"/>
      <c r="K235" s="7586"/>
      <c r="L235" s="8559"/>
    </row>
    <row r="236" spans="1:12" ht="30" customHeight="1" x14ac:dyDescent="0.2">
      <c r="A236" s="7990"/>
      <c r="B236" s="7717"/>
      <c r="C236" s="7873"/>
      <c r="D236" s="7564"/>
      <c r="E236" s="7660"/>
      <c r="F236" s="7564"/>
      <c r="G236" s="6635"/>
      <c r="H236" s="6635"/>
      <c r="I236" s="6715"/>
      <c r="J236" s="7564"/>
      <c r="K236" s="7564"/>
      <c r="L236" s="8560"/>
    </row>
    <row r="237" spans="1:12" ht="30" customHeight="1" x14ac:dyDescent="0.2">
      <c r="A237" s="6655">
        <v>73</v>
      </c>
      <c r="B237" s="6652" t="s">
        <v>206</v>
      </c>
      <c r="C237" s="6684" t="s">
        <v>1293</v>
      </c>
      <c r="D237" s="6643">
        <v>20000000</v>
      </c>
      <c r="E237" s="6649">
        <v>0.05</v>
      </c>
      <c r="F237" s="6643">
        <f t="shared" si="14"/>
        <v>1000000</v>
      </c>
      <c r="G237" s="6643">
        <v>1000000</v>
      </c>
      <c r="H237" s="6643" t="s">
        <v>4919</v>
      </c>
      <c r="I237" s="6771" t="s">
        <v>4899</v>
      </c>
      <c r="J237" s="6643">
        <f>G237</f>
        <v>1000000</v>
      </c>
      <c r="K237" s="6643">
        <f>F237-J237</f>
        <v>0</v>
      </c>
      <c r="L237" s="6665"/>
    </row>
    <row r="238" spans="1:12" ht="30" customHeight="1" x14ac:dyDescent="0.2">
      <c r="A238" s="7654">
        <v>74</v>
      </c>
      <c r="B238" s="7652" t="s">
        <v>4203</v>
      </c>
      <c r="C238" s="7723" t="s">
        <v>2644</v>
      </c>
      <c r="D238" s="6643">
        <v>125000000</v>
      </c>
      <c r="E238" s="6705">
        <v>0.04</v>
      </c>
      <c r="F238" s="6643">
        <f t="shared" si="14"/>
        <v>5000000</v>
      </c>
      <c r="G238" s="8639" t="s">
        <v>8204</v>
      </c>
      <c r="H238" s="8640"/>
      <c r="I238" s="8640"/>
      <c r="J238" s="8641"/>
      <c r="K238" s="7563">
        <f>(F238+F239+F240)-J238</f>
        <v>10000000</v>
      </c>
      <c r="L238" s="637"/>
    </row>
    <row r="239" spans="1:12" ht="30" customHeight="1" x14ac:dyDescent="0.2">
      <c r="A239" s="7656"/>
      <c r="B239" s="7665"/>
      <c r="C239" s="7747"/>
      <c r="D239" s="6643">
        <v>90000000</v>
      </c>
      <c r="E239" s="6705">
        <v>0.05</v>
      </c>
      <c r="F239" s="6643">
        <f t="shared" si="14"/>
        <v>4500000</v>
      </c>
      <c r="G239" s="8642"/>
      <c r="H239" s="8643"/>
      <c r="I239" s="8643"/>
      <c r="J239" s="8644"/>
      <c r="K239" s="7586"/>
      <c r="L239" s="180" t="s">
        <v>7456</v>
      </c>
    </row>
    <row r="240" spans="1:12" ht="30" customHeight="1" x14ac:dyDescent="0.2">
      <c r="A240" s="7655"/>
      <c r="B240" s="7653"/>
      <c r="C240" s="7724"/>
      <c r="D240" s="6643">
        <v>10000000</v>
      </c>
      <c r="E240" s="6705">
        <v>0.05</v>
      </c>
      <c r="F240" s="6643">
        <f t="shared" si="14"/>
        <v>500000</v>
      </c>
      <c r="G240" s="8645"/>
      <c r="H240" s="8646"/>
      <c r="I240" s="8646"/>
      <c r="J240" s="8647"/>
      <c r="K240" s="7564"/>
      <c r="L240" s="29"/>
    </row>
    <row r="241" spans="1:16" ht="30" customHeight="1" x14ac:dyDescent="0.2">
      <c r="A241" s="6708"/>
      <c r="B241" s="6665" t="s">
        <v>4205</v>
      </c>
      <c r="C241" s="6684" t="s">
        <v>262</v>
      </c>
      <c r="D241" s="6643">
        <v>200000000</v>
      </c>
      <c r="E241" s="6705">
        <v>0.05</v>
      </c>
      <c r="F241" s="6643">
        <f t="shared" si="14"/>
        <v>10000000</v>
      </c>
      <c r="G241" s="6643">
        <v>10000000</v>
      </c>
      <c r="H241" s="6643" t="s">
        <v>7945</v>
      </c>
      <c r="I241" s="6693" t="s">
        <v>4461</v>
      </c>
      <c r="J241" s="6643">
        <f>G241</f>
        <v>10000000</v>
      </c>
      <c r="K241" s="6643">
        <f>F241-J241</f>
        <v>0</v>
      </c>
      <c r="L241" s="736" t="s">
        <v>7455</v>
      </c>
    </row>
    <row r="242" spans="1:16" ht="30" customHeight="1" x14ac:dyDescent="0.2">
      <c r="A242" s="6653"/>
      <c r="B242" s="6665" t="s">
        <v>208</v>
      </c>
      <c r="C242" s="6684" t="s">
        <v>392</v>
      </c>
      <c r="D242" s="6643">
        <v>50000000</v>
      </c>
      <c r="E242" s="6705">
        <v>0.05</v>
      </c>
      <c r="F242" s="6643">
        <f t="shared" si="14"/>
        <v>2500000</v>
      </c>
      <c r="G242" s="6643">
        <v>2500000</v>
      </c>
      <c r="H242" s="6643" t="s">
        <v>7968</v>
      </c>
      <c r="I242" s="6693" t="s">
        <v>5417</v>
      </c>
      <c r="J242" s="6643">
        <f>G242</f>
        <v>2500000</v>
      </c>
      <c r="K242" s="6643">
        <f>F242-J242</f>
        <v>0</v>
      </c>
      <c r="L242" s="180"/>
    </row>
    <row r="243" spans="1:16" ht="30" customHeight="1" x14ac:dyDescent="0.2">
      <c r="A243" s="7654">
        <v>77</v>
      </c>
      <c r="B243" s="7652" t="s">
        <v>210</v>
      </c>
      <c r="C243" s="7723" t="s">
        <v>392</v>
      </c>
      <c r="D243" s="6635">
        <v>30000000</v>
      </c>
      <c r="E243" s="6705">
        <v>7.0000000000000007E-2</v>
      </c>
      <c r="F243" s="6635">
        <f t="shared" si="14"/>
        <v>2100000</v>
      </c>
      <c r="G243" s="7563">
        <v>11200000</v>
      </c>
      <c r="H243" s="7563" t="s">
        <v>7979</v>
      </c>
      <c r="I243" s="7563" t="s">
        <v>4871</v>
      </c>
      <c r="J243" s="7563">
        <f>G243</f>
        <v>11200000</v>
      </c>
      <c r="K243" s="7563">
        <f>F246-J243</f>
        <v>0</v>
      </c>
      <c r="L243" s="7679"/>
    </row>
    <row r="244" spans="1:16" ht="30" customHeight="1" x14ac:dyDescent="0.2">
      <c r="A244" s="7656"/>
      <c r="B244" s="7665"/>
      <c r="C244" s="7747"/>
      <c r="D244" s="6635">
        <v>35000000</v>
      </c>
      <c r="E244" s="6705">
        <v>4.4999999999999998E-2</v>
      </c>
      <c r="F244" s="6635">
        <f t="shared" si="14"/>
        <v>1575000</v>
      </c>
      <c r="G244" s="7586"/>
      <c r="H244" s="7586"/>
      <c r="I244" s="7586"/>
      <c r="J244" s="7586"/>
      <c r="K244" s="7586"/>
      <c r="L244" s="7801"/>
    </row>
    <row r="245" spans="1:16" ht="30" customHeight="1" x14ac:dyDescent="0.2">
      <c r="A245" s="7656"/>
      <c r="B245" s="7665"/>
      <c r="C245" s="7747"/>
      <c r="D245" s="6635">
        <v>60000000</v>
      </c>
      <c r="E245" s="6705">
        <v>5.5E-2</v>
      </c>
      <c r="F245" s="6635">
        <f t="shared" si="14"/>
        <v>3300000</v>
      </c>
      <c r="G245" s="7586"/>
      <c r="H245" s="7586"/>
      <c r="I245" s="7586"/>
      <c r="J245" s="7586"/>
      <c r="K245" s="7586"/>
      <c r="L245" s="7680"/>
    </row>
    <row r="246" spans="1:16" ht="30" customHeight="1" x14ac:dyDescent="0.2">
      <c r="A246" s="7655"/>
      <c r="B246" s="7653"/>
      <c r="C246" s="7724"/>
      <c r="D246" s="6752">
        <v>160000000</v>
      </c>
      <c r="E246" s="6754">
        <v>7.0000000000000007E-2</v>
      </c>
      <c r="F246" s="6752">
        <f t="shared" si="14"/>
        <v>11200000.000000002</v>
      </c>
      <c r="G246" s="7564"/>
      <c r="H246" s="7564"/>
      <c r="I246" s="7564"/>
      <c r="J246" s="7564"/>
      <c r="K246" s="7564"/>
      <c r="L246" s="6857" t="s">
        <v>7885</v>
      </c>
    </row>
    <row r="247" spans="1:16" ht="30" customHeight="1" x14ac:dyDescent="0.2">
      <c r="A247" s="6655">
        <v>78</v>
      </c>
      <c r="B247" s="6652" t="s">
        <v>211</v>
      </c>
      <c r="C247" s="6684" t="s">
        <v>2644</v>
      </c>
      <c r="D247" s="6643">
        <v>45000000</v>
      </c>
      <c r="E247" s="6649">
        <v>4.2000000000000003E-2</v>
      </c>
      <c r="F247" s="6643">
        <v>1900000</v>
      </c>
      <c r="G247" s="6643"/>
      <c r="H247" s="6643"/>
      <c r="I247" s="6691" t="s">
        <v>7848</v>
      </c>
      <c r="J247" s="6643">
        <f t="shared" ref="J247:J251" si="20">G247</f>
        <v>0</v>
      </c>
      <c r="K247" s="6643">
        <f t="shared" ref="K247:K252" si="21">F247-J247</f>
        <v>1900000</v>
      </c>
      <c r="L247" s="6665"/>
    </row>
    <row r="248" spans="1:16" ht="30" customHeight="1" x14ac:dyDescent="0.2">
      <c r="A248" s="6708">
        <v>80</v>
      </c>
      <c r="B248" s="6665" t="s">
        <v>182</v>
      </c>
      <c r="C248" s="6710" t="s">
        <v>1293</v>
      </c>
      <c r="D248" s="6643">
        <v>100000000</v>
      </c>
      <c r="E248" s="6705">
        <v>0.05</v>
      </c>
      <c r="F248" s="6643">
        <f>D248*E248</f>
        <v>5000000</v>
      </c>
      <c r="G248" s="6643">
        <v>5000000</v>
      </c>
      <c r="H248" s="6643" t="s">
        <v>8111</v>
      </c>
      <c r="I248" s="6635" t="s">
        <v>3928</v>
      </c>
      <c r="J248" s="6643">
        <f t="shared" si="20"/>
        <v>5000000</v>
      </c>
      <c r="K248" s="6643">
        <f t="shared" si="21"/>
        <v>0</v>
      </c>
      <c r="L248" s="6718"/>
      <c r="M248" s="366"/>
      <c r="N248" s="366"/>
      <c r="O248" s="366"/>
      <c r="P248" s="366"/>
    </row>
    <row r="249" spans="1:16" ht="30" customHeight="1" x14ac:dyDescent="0.2">
      <c r="A249" s="7183"/>
      <c r="B249" s="7171" t="s">
        <v>8308</v>
      </c>
      <c r="C249" s="7177"/>
      <c r="D249" s="7161">
        <v>350000000</v>
      </c>
      <c r="E249" s="7182">
        <v>7.0000000000000007E-2</v>
      </c>
      <c r="F249" s="7161">
        <f>D249*E249</f>
        <v>24500000.000000004</v>
      </c>
      <c r="G249" s="7161"/>
      <c r="H249" s="7161"/>
      <c r="I249" s="7179"/>
      <c r="J249" s="7161"/>
      <c r="K249" s="7161"/>
      <c r="L249" s="7194" t="s">
        <v>8309</v>
      </c>
      <c r="M249" s="366"/>
      <c r="N249" s="366"/>
      <c r="O249" s="366"/>
      <c r="P249" s="366"/>
    </row>
    <row r="250" spans="1:16" ht="30" customHeight="1" x14ac:dyDescent="0.2">
      <c r="A250" s="6708">
        <v>81</v>
      </c>
      <c r="B250" s="6665" t="s">
        <v>213</v>
      </c>
      <c r="C250" s="6684" t="s">
        <v>392</v>
      </c>
      <c r="D250" s="6643">
        <v>5000000</v>
      </c>
      <c r="E250" s="6705">
        <v>0.04</v>
      </c>
      <c r="F250" s="6643">
        <f t="shared" si="14"/>
        <v>200000</v>
      </c>
      <c r="G250" s="6643">
        <v>200000</v>
      </c>
      <c r="H250" s="6643" t="s">
        <v>6460</v>
      </c>
      <c r="I250" s="6771" t="s">
        <v>1363</v>
      </c>
      <c r="J250" s="6643">
        <f t="shared" si="20"/>
        <v>200000</v>
      </c>
      <c r="K250" s="6643">
        <f t="shared" si="21"/>
        <v>0</v>
      </c>
      <c r="L250" s="6665"/>
      <c r="M250" s="366"/>
      <c r="N250" s="366"/>
      <c r="O250" s="366"/>
      <c r="P250" s="366"/>
    </row>
    <row r="251" spans="1:16" ht="30" customHeight="1" x14ac:dyDescent="0.2">
      <c r="A251" s="6708">
        <v>83</v>
      </c>
      <c r="B251" s="6665" t="s">
        <v>215</v>
      </c>
      <c r="C251" s="6710" t="s">
        <v>889</v>
      </c>
      <c r="D251" s="6635">
        <v>160000000</v>
      </c>
      <c r="E251" s="6705">
        <v>0.05</v>
      </c>
      <c r="F251" s="6635">
        <f>D251*E251</f>
        <v>8000000</v>
      </c>
      <c r="G251" s="6635"/>
      <c r="H251" s="6635"/>
      <c r="I251" s="6635" t="s">
        <v>3982</v>
      </c>
      <c r="J251" s="6635">
        <f t="shared" si="20"/>
        <v>0</v>
      </c>
      <c r="K251" s="6635">
        <f t="shared" si="21"/>
        <v>8000000</v>
      </c>
      <c r="L251" s="29"/>
      <c r="M251" s="366"/>
      <c r="N251" s="366"/>
      <c r="O251" s="366"/>
      <c r="P251" s="366"/>
    </row>
    <row r="252" spans="1:16" ht="30" customHeight="1" x14ac:dyDescent="0.2">
      <c r="A252" s="7654">
        <v>84</v>
      </c>
      <c r="B252" s="7652" t="s">
        <v>216</v>
      </c>
      <c r="C252" s="7723"/>
      <c r="D252" s="7563">
        <v>400000000</v>
      </c>
      <c r="E252" s="7659">
        <v>6.0999999999999999E-2</v>
      </c>
      <c r="F252" s="7563">
        <f t="shared" si="14"/>
        <v>24400000</v>
      </c>
      <c r="G252" s="6643">
        <v>15000000</v>
      </c>
      <c r="H252" s="6643" t="s">
        <v>6460</v>
      </c>
      <c r="I252" s="6730" t="s">
        <v>1553</v>
      </c>
      <c r="J252" s="7563">
        <f>G252+G253</f>
        <v>35000000</v>
      </c>
      <c r="K252" s="7563">
        <f t="shared" si="21"/>
        <v>-10600000</v>
      </c>
      <c r="L252" s="6665"/>
      <c r="M252" s="366"/>
      <c r="N252" s="366"/>
      <c r="O252" s="366"/>
      <c r="P252" s="366"/>
    </row>
    <row r="253" spans="1:16" ht="30" customHeight="1" x14ac:dyDescent="0.2">
      <c r="A253" s="7655"/>
      <c r="B253" s="7653"/>
      <c r="C253" s="7724"/>
      <c r="D253" s="7564"/>
      <c r="E253" s="7660"/>
      <c r="F253" s="7564"/>
      <c r="G253" s="6946">
        <v>20000000</v>
      </c>
      <c r="H253" s="6946" t="s">
        <v>8073</v>
      </c>
      <c r="I253" s="6959" t="s">
        <v>1553</v>
      </c>
      <c r="J253" s="7564"/>
      <c r="K253" s="7564"/>
      <c r="L253" s="6950" t="s">
        <v>8076</v>
      </c>
      <c r="M253" s="366"/>
      <c r="N253" s="366"/>
      <c r="O253" s="366"/>
      <c r="P253" s="366"/>
    </row>
    <row r="254" spans="1:16" ht="30" customHeight="1" x14ac:dyDescent="0.2">
      <c r="A254" s="7654"/>
      <c r="B254" s="7652" t="s">
        <v>975</v>
      </c>
      <c r="C254" s="7723" t="s">
        <v>889</v>
      </c>
      <c r="D254" s="7846">
        <v>1080000000</v>
      </c>
      <c r="E254" s="7659">
        <v>7.0000000000000007E-2</v>
      </c>
      <c r="F254" s="7563">
        <f>D254*E254</f>
        <v>75600000</v>
      </c>
      <c r="G254" s="6635"/>
      <c r="H254" s="6635"/>
      <c r="I254" s="6634" t="s">
        <v>7867</v>
      </c>
      <c r="J254" s="7482">
        <f>G254+G255+G256</f>
        <v>0</v>
      </c>
      <c r="K254" s="7482">
        <f>F258-J254</f>
        <v>77000000</v>
      </c>
      <c r="L254" s="6716" t="s">
        <v>7303</v>
      </c>
      <c r="M254" s="366"/>
      <c r="N254" s="366"/>
      <c r="O254" s="366"/>
      <c r="P254" s="366"/>
    </row>
    <row r="255" spans="1:16" ht="30" customHeight="1" x14ac:dyDescent="0.2">
      <c r="A255" s="7656"/>
      <c r="B255" s="7665"/>
      <c r="C255" s="7747"/>
      <c r="D255" s="7847"/>
      <c r="E255" s="7676"/>
      <c r="F255" s="7586"/>
      <c r="G255" s="6635"/>
      <c r="H255" s="6635"/>
      <c r="I255" s="6634" t="s">
        <v>7881</v>
      </c>
      <c r="J255" s="7482"/>
      <c r="K255" s="7482"/>
      <c r="L255" s="6716" t="s">
        <v>7303</v>
      </c>
      <c r="M255" s="366"/>
      <c r="N255" s="366"/>
      <c r="O255" s="366"/>
      <c r="P255" s="366"/>
    </row>
    <row r="256" spans="1:16" ht="30" customHeight="1" x14ac:dyDescent="0.2">
      <c r="A256" s="7656"/>
      <c r="B256" s="7665"/>
      <c r="C256" s="7747"/>
      <c r="D256" s="7848"/>
      <c r="E256" s="7660"/>
      <c r="F256" s="7564"/>
      <c r="G256" s="6635"/>
      <c r="H256" s="6635"/>
      <c r="I256" s="6634"/>
      <c r="J256" s="7482"/>
      <c r="K256" s="7482"/>
      <c r="L256" s="735" t="s">
        <v>7319</v>
      </c>
      <c r="M256" s="366"/>
      <c r="N256" s="366"/>
      <c r="O256" s="366"/>
      <c r="P256" s="366"/>
    </row>
    <row r="257" spans="1:16" ht="30" customHeight="1" x14ac:dyDescent="0.2">
      <c r="A257" s="7656"/>
      <c r="B257" s="7665"/>
      <c r="C257" s="7747"/>
      <c r="D257" s="6719">
        <v>20000000</v>
      </c>
      <c r="E257" s="6649">
        <v>7.0000000000000007E-2</v>
      </c>
      <c r="F257" s="6643">
        <f>D257*E257</f>
        <v>1400000.0000000002</v>
      </c>
      <c r="G257" s="6635"/>
      <c r="H257" s="6635"/>
      <c r="I257" s="6634"/>
      <c r="J257" s="7482"/>
      <c r="K257" s="7482"/>
      <c r="L257" s="735" t="s">
        <v>7485</v>
      </c>
      <c r="M257" s="366"/>
      <c r="N257" s="366"/>
      <c r="O257" s="366"/>
      <c r="P257" s="366"/>
    </row>
    <row r="258" spans="1:16" ht="30" customHeight="1" x14ac:dyDescent="0.2">
      <c r="A258" s="7655"/>
      <c r="B258" s="7653"/>
      <c r="C258" s="7724"/>
      <c r="D258" s="6764">
        <f>D254+D257</f>
        <v>1100000000</v>
      </c>
      <c r="E258" s="6754">
        <v>7.0000000000000007E-2</v>
      </c>
      <c r="F258" s="6752">
        <f>D258*E258</f>
        <v>77000000</v>
      </c>
      <c r="G258" s="6745"/>
      <c r="H258" s="6745"/>
      <c r="I258" s="6745"/>
      <c r="J258" s="7482"/>
      <c r="K258" s="7482"/>
      <c r="L258" s="735" t="s">
        <v>7448</v>
      </c>
      <c r="M258" s="366"/>
      <c r="N258" s="366"/>
      <c r="O258" s="366"/>
      <c r="P258" s="366"/>
    </row>
    <row r="259" spans="1:16" ht="30" customHeight="1" x14ac:dyDescent="0.2">
      <c r="A259" s="7654">
        <v>86</v>
      </c>
      <c r="B259" s="7652" t="s">
        <v>217</v>
      </c>
      <c r="C259" s="7723" t="s">
        <v>889</v>
      </c>
      <c r="D259" s="6643">
        <v>136000000</v>
      </c>
      <c r="E259" s="6649">
        <v>0.05</v>
      </c>
      <c r="F259" s="6643">
        <f>D259*E259</f>
        <v>6800000</v>
      </c>
      <c r="G259" s="7482">
        <v>7150000</v>
      </c>
      <c r="H259" s="7482" t="s">
        <v>6460</v>
      </c>
      <c r="I259" s="7482" t="s">
        <v>3971</v>
      </c>
      <c r="J259" s="7482">
        <f>G259</f>
        <v>7150000</v>
      </c>
      <c r="K259" s="7482"/>
      <c r="L259" s="6742"/>
      <c r="M259" s="366"/>
      <c r="N259" s="366"/>
      <c r="O259" s="366"/>
      <c r="P259" s="366"/>
    </row>
    <row r="260" spans="1:16" ht="30" customHeight="1" x14ac:dyDescent="0.2">
      <c r="A260" s="7656"/>
      <c r="B260" s="7665"/>
      <c r="C260" s="7747"/>
      <c r="D260" s="6635">
        <v>4000000</v>
      </c>
      <c r="E260" s="6705">
        <v>0.05</v>
      </c>
      <c r="F260" s="6635">
        <f>D260*E260</f>
        <v>200000</v>
      </c>
      <c r="G260" s="7482"/>
      <c r="H260" s="7482"/>
      <c r="I260" s="7482"/>
      <c r="J260" s="7482"/>
      <c r="K260" s="7482"/>
      <c r="L260" s="6008"/>
      <c r="M260" s="366"/>
      <c r="N260" s="366"/>
      <c r="O260" s="366"/>
      <c r="P260" s="366"/>
    </row>
    <row r="261" spans="1:16" ht="30" customHeight="1" x14ac:dyDescent="0.2">
      <c r="A261" s="7655"/>
      <c r="B261" s="7653"/>
      <c r="C261" s="7724"/>
      <c r="D261" s="6764">
        <v>140000000</v>
      </c>
      <c r="E261" s="6754">
        <v>0.05</v>
      </c>
      <c r="F261" s="6752">
        <f>D261*E261</f>
        <v>7000000</v>
      </c>
      <c r="G261" s="7482"/>
      <c r="H261" s="7482"/>
      <c r="I261" s="7482"/>
      <c r="J261" s="7482"/>
      <c r="K261" s="7482"/>
      <c r="L261" s="6008"/>
      <c r="M261" s="366"/>
      <c r="N261" s="366"/>
      <c r="O261" s="366"/>
      <c r="P261" s="366"/>
    </row>
    <row r="262" spans="1:16" ht="30" customHeight="1" x14ac:dyDescent="0.2">
      <c r="A262" s="7654"/>
      <c r="B262" s="7652" t="s">
        <v>174</v>
      </c>
      <c r="C262" s="7723" t="s">
        <v>889</v>
      </c>
      <c r="D262" s="7563">
        <v>793000000</v>
      </c>
      <c r="E262" s="7659">
        <v>6.6000000000000003E-2</v>
      </c>
      <c r="F262" s="7563">
        <v>52300000</v>
      </c>
      <c r="G262" s="6635">
        <v>10000000</v>
      </c>
      <c r="H262" s="6635" t="s">
        <v>8042</v>
      </c>
      <c r="I262" s="6635" t="s">
        <v>8052</v>
      </c>
      <c r="J262" s="7563">
        <f>G262+G263</f>
        <v>34400000</v>
      </c>
      <c r="K262" s="6986"/>
      <c r="L262" s="6709"/>
      <c r="M262" s="2927"/>
      <c r="N262" s="2927"/>
      <c r="O262" s="2927"/>
      <c r="P262" s="2299"/>
    </row>
    <row r="263" spans="1:16" ht="30" customHeight="1" x14ac:dyDescent="0.2">
      <c r="A263" s="7656"/>
      <c r="B263" s="7665"/>
      <c r="C263" s="7747"/>
      <c r="D263" s="7564"/>
      <c r="E263" s="7660"/>
      <c r="F263" s="7564"/>
      <c r="G263" s="6986">
        <v>24400000</v>
      </c>
      <c r="H263" s="6986" t="s">
        <v>8111</v>
      </c>
      <c r="I263" s="6986" t="s">
        <v>8052</v>
      </c>
      <c r="J263" s="7564"/>
      <c r="K263" s="6986"/>
      <c r="L263" s="7054"/>
      <c r="M263" s="5147"/>
      <c r="N263" s="5147"/>
      <c r="O263" s="5147"/>
      <c r="P263" s="5147"/>
    </row>
    <row r="264" spans="1:16" ht="30" customHeight="1" x14ac:dyDescent="0.2">
      <c r="A264" s="7656"/>
      <c r="B264" s="7665"/>
      <c r="C264" s="7747"/>
      <c r="D264" s="7563">
        <v>80000000</v>
      </c>
      <c r="E264" s="7659">
        <v>7.0000000000000007E-2</v>
      </c>
      <c r="F264" s="7563">
        <f>D264*E264</f>
        <v>5600000.0000000009</v>
      </c>
      <c r="G264" s="7991" t="s">
        <v>7207</v>
      </c>
      <c r="H264" s="7992"/>
      <c r="I264" s="7992"/>
      <c r="J264" s="7993"/>
      <c r="K264" s="6643"/>
      <c r="L264" s="7991" t="s">
        <v>7206</v>
      </c>
      <c r="M264" s="5147"/>
      <c r="N264" s="5147"/>
      <c r="O264" s="5147"/>
      <c r="P264" s="5147"/>
    </row>
    <row r="265" spans="1:16" ht="30" customHeight="1" x14ac:dyDescent="0.2">
      <c r="A265" s="7656"/>
      <c r="B265" s="7665"/>
      <c r="C265" s="7747"/>
      <c r="D265" s="7564"/>
      <c r="E265" s="7660"/>
      <c r="F265" s="7564"/>
      <c r="G265" s="7997" t="s">
        <v>7318</v>
      </c>
      <c r="H265" s="7998"/>
      <c r="I265" s="7998"/>
      <c r="J265" s="7999"/>
      <c r="K265" s="6643"/>
      <c r="L265" s="7997"/>
      <c r="M265" s="5147"/>
      <c r="N265" s="5147"/>
      <c r="O265" s="5147"/>
      <c r="P265" s="5147"/>
    </row>
    <row r="266" spans="1:16" ht="30" customHeight="1" x14ac:dyDescent="0.2">
      <c r="A266" s="7655"/>
      <c r="B266" s="7653"/>
      <c r="C266" s="7724"/>
      <c r="D266" s="6794">
        <v>1000000000</v>
      </c>
      <c r="E266" s="6795"/>
      <c r="F266" s="6794"/>
      <c r="G266" s="7732" t="s">
        <v>7897</v>
      </c>
      <c r="H266" s="7733"/>
      <c r="I266" s="7733"/>
      <c r="J266" s="7734"/>
      <c r="K266" s="6643"/>
      <c r="L266" s="6745" t="s">
        <v>7898</v>
      </c>
      <c r="M266" s="5147"/>
      <c r="N266" s="5147"/>
      <c r="O266" s="5147"/>
      <c r="P266" s="5147"/>
    </row>
    <row r="267" spans="1:16" ht="30" customHeight="1" x14ac:dyDescent="0.2">
      <c r="A267" s="7654"/>
      <c r="B267" s="7652" t="s">
        <v>6035</v>
      </c>
      <c r="C267" s="7723" t="s">
        <v>1796</v>
      </c>
      <c r="D267" s="7563">
        <v>80000000</v>
      </c>
      <c r="E267" s="7659">
        <v>0.06</v>
      </c>
      <c r="F267" s="7563">
        <f>D267*E267</f>
        <v>4800000</v>
      </c>
      <c r="G267" s="7732" t="s">
        <v>7205</v>
      </c>
      <c r="H267" s="7733"/>
      <c r="I267" s="7733"/>
      <c r="J267" s="7734"/>
      <c r="K267" s="6635"/>
      <c r="L267" s="6745" t="s">
        <v>7203</v>
      </c>
      <c r="M267" s="5147"/>
      <c r="N267" s="5147"/>
      <c r="O267" s="5147"/>
      <c r="P267" s="5147"/>
    </row>
    <row r="268" spans="1:16" ht="30" customHeight="1" x14ac:dyDescent="0.2">
      <c r="A268" s="7656"/>
      <c r="B268" s="7665"/>
      <c r="C268" s="7724"/>
      <c r="D268" s="7564"/>
      <c r="E268" s="7660"/>
      <c r="F268" s="7564"/>
      <c r="G268" s="7732" t="s">
        <v>7621</v>
      </c>
      <c r="H268" s="7733"/>
      <c r="I268" s="7733"/>
      <c r="J268" s="7734"/>
      <c r="K268" s="6643"/>
      <c r="L268" s="6709"/>
      <c r="M268" s="5147"/>
      <c r="N268" s="5147"/>
      <c r="O268" s="5147"/>
      <c r="P268" s="5147"/>
    </row>
    <row r="269" spans="1:16" ht="30" customHeight="1" x14ac:dyDescent="0.2">
      <c r="A269" s="7656"/>
      <c r="B269" s="7665"/>
      <c r="C269" s="345" t="s">
        <v>942</v>
      </c>
      <c r="D269" s="7563">
        <v>80000000</v>
      </c>
      <c r="E269" s="7659">
        <v>5.5E-2</v>
      </c>
      <c r="F269" s="7563">
        <f>D269*E269</f>
        <v>4400000</v>
      </c>
      <c r="G269" s="6635">
        <v>7000000</v>
      </c>
      <c r="H269" s="6635" t="s">
        <v>3808</v>
      </c>
      <c r="I269" s="6635" t="s">
        <v>2409</v>
      </c>
      <c r="J269" s="7563">
        <f>G269+G270</f>
        <v>9200000</v>
      </c>
      <c r="K269" s="7563">
        <f>(F267+F269)-J269</f>
        <v>0</v>
      </c>
      <c r="L269" s="6709"/>
      <c r="M269" s="5147"/>
      <c r="N269" s="5147"/>
      <c r="O269" s="5147"/>
      <c r="P269" s="5147"/>
    </row>
    <row r="270" spans="1:16" ht="30" customHeight="1" x14ac:dyDescent="0.2">
      <c r="A270" s="7655"/>
      <c r="B270" s="7653"/>
      <c r="C270" s="710"/>
      <c r="D270" s="7564"/>
      <c r="E270" s="7660"/>
      <c r="F270" s="7564"/>
      <c r="G270" s="6824">
        <v>2200000</v>
      </c>
      <c r="H270" s="6824" t="s">
        <v>7945</v>
      </c>
      <c r="I270" s="6824" t="s">
        <v>2409</v>
      </c>
      <c r="J270" s="7564"/>
      <c r="K270" s="7564"/>
      <c r="L270" s="6839"/>
      <c r="M270" s="5147"/>
      <c r="N270" s="5147"/>
      <c r="O270" s="5147"/>
      <c r="P270" s="5147"/>
    </row>
    <row r="271" spans="1:16" ht="30" customHeight="1" x14ac:dyDescent="0.2">
      <c r="A271" s="6655"/>
      <c r="B271" s="6652" t="s">
        <v>7201</v>
      </c>
      <c r="C271" s="6684"/>
      <c r="D271" s="6635">
        <v>10000000</v>
      </c>
      <c r="E271" s="6705">
        <v>0.08</v>
      </c>
      <c r="F271" s="6635">
        <f>D271*E271</f>
        <v>800000</v>
      </c>
      <c r="G271" s="6635"/>
      <c r="H271" s="6635"/>
      <c r="I271" s="6635" t="s">
        <v>7799</v>
      </c>
      <c r="J271" s="6635">
        <f>G271</f>
        <v>0</v>
      </c>
      <c r="K271" s="6635">
        <f>F271-J271</f>
        <v>800000</v>
      </c>
      <c r="L271" s="6745" t="s">
        <v>7202</v>
      </c>
      <c r="M271" s="5147"/>
      <c r="N271" s="5147"/>
      <c r="O271" s="5147"/>
      <c r="P271" s="5147"/>
    </row>
    <row r="272" spans="1:16" ht="30" customHeight="1" x14ac:dyDescent="0.2">
      <c r="A272" s="6708">
        <v>88</v>
      </c>
      <c r="B272" s="6665" t="s">
        <v>218</v>
      </c>
      <c r="C272" s="6684" t="s">
        <v>1295</v>
      </c>
      <c r="D272" s="6643">
        <v>100000000</v>
      </c>
      <c r="E272" s="6705">
        <v>0.06</v>
      </c>
      <c r="F272" s="6643">
        <f>D272*E272</f>
        <v>6000000</v>
      </c>
      <c r="G272" s="6643">
        <v>6000000</v>
      </c>
      <c r="H272" s="6643" t="s">
        <v>6460</v>
      </c>
      <c r="I272" s="18" t="s">
        <v>4866</v>
      </c>
      <c r="J272" s="6643">
        <f>G272</f>
        <v>6000000</v>
      </c>
      <c r="K272" s="6643">
        <f>F272-J272</f>
        <v>0</v>
      </c>
      <c r="L272" s="6665"/>
      <c r="M272" s="366"/>
      <c r="N272" s="366"/>
      <c r="O272" s="366"/>
      <c r="P272" s="366"/>
    </row>
    <row r="273" spans="1:16" ht="30" customHeight="1" x14ac:dyDescent="0.2">
      <c r="A273" s="7654">
        <v>89</v>
      </c>
      <c r="B273" s="7652" t="s">
        <v>219</v>
      </c>
      <c r="C273" s="7723" t="s">
        <v>1293</v>
      </c>
      <c r="D273" s="6635">
        <v>93000000</v>
      </c>
      <c r="E273" s="6705">
        <v>7.0000000000000007E-2</v>
      </c>
      <c r="F273" s="6635">
        <v>6500000</v>
      </c>
      <c r="G273" s="1455">
        <v>20000000</v>
      </c>
      <c r="H273" s="1455" t="s">
        <v>8186</v>
      </c>
      <c r="I273" s="1455" t="s">
        <v>2666</v>
      </c>
      <c r="J273" s="1455">
        <f>G273</f>
        <v>20000000</v>
      </c>
      <c r="K273" s="7020">
        <f>F278-J273</f>
        <v>20200000</v>
      </c>
      <c r="L273" s="29" t="s">
        <v>8076</v>
      </c>
      <c r="M273" s="366"/>
      <c r="N273" s="366"/>
      <c r="O273" s="366"/>
      <c r="P273" s="366"/>
    </row>
    <row r="274" spans="1:16" ht="30" customHeight="1" x14ac:dyDescent="0.2">
      <c r="A274" s="7656"/>
      <c r="B274" s="7665"/>
      <c r="C274" s="7747"/>
      <c r="D274" s="6635">
        <v>450000000</v>
      </c>
      <c r="E274" s="6705">
        <v>5.1999999999999998E-2</v>
      </c>
      <c r="F274" s="6643">
        <v>23500000</v>
      </c>
      <c r="G274" s="1455">
        <v>23000000</v>
      </c>
      <c r="H274" s="1455" t="s">
        <v>8240</v>
      </c>
      <c r="I274" s="1455" t="s">
        <v>2666</v>
      </c>
      <c r="J274" s="1455">
        <f>G274</f>
        <v>23000000</v>
      </c>
      <c r="K274" s="7020"/>
      <c r="L274" s="29"/>
      <c r="M274" s="366"/>
      <c r="N274" s="366"/>
      <c r="O274" s="366"/>
      <c r="P274" s="366"/>
    </row>
    <row r="275" spans="1:16" ht="30" customHeight="1" x14ac:dyDescent="0.2">
      <c r="A275" s="7656"/>
      <c r="B275" s="7665"/>
      <c r="C275" s="7747"/>
      <c r="D275" s="7470" t="s">
        <v>5866</v>
      </c>
      <c r="E275" s="7510"/>
      <c r="F275" s="6643">
        <v>1200000</v>
      </c>
      <c r="G275" s="1455"/>
      <c r="H275" s="1455"/>
      <c r="I275" s="1455"/>
      <c r="J275" s="1455"/>
      <c r="K275" s="7020"/>
      <c r="L275" s="29"/>
      <c r="M275" s="366"/>
      <c r="N275" s="366"/>
      <c r="O275" s="366"/>
      <c r="P275" s="366"/>
    </row>
    <row r="276" spans="1:16" ht="30" customHeight="1" x14ac:dyDescent="0.2">
      <c r="A276" s="7656"/>
      <c r="B276" s="7665"/>
      <c r="C276" s="7747"/>
      <c r="D276" s="6643">
        <v>100000000</v>
      </c>
      <c r="E276" s="6705">
        <v>0.06</v>
      </c>
      <c r="F276" s="6643">
        <f>D276*E276</f>
        <v>6000000</v>
      </c>
      <c r="G276" s="1455"/>
      <c r="H276" s="1455"/>
      <c r="I276" s="1455"/>
      <c r="J276" s="1455"/>
      <c r="K276" s="7020"/>
      <c r="L276" s="29"/>
      <c r="M276" s="366"/>
      <c r="N276" s="366"/>
      <c r="O276" s="366"/>
      <c r="P276" s="366"/>
    </row>
    <row r="277" spans="1:16" ht="30" customHeight="1" x14ac:dyDescent="0.2">
      <c r="A277" s="7656"/>
      <c r="B277" s="7665"/>
      <c r="C277" s="7747"/>
      <c r="D277" s="6643">
        <v>50000000</v>
      </c>
      <c r="E277" s="6705">
        <v>0.06</v>
      </c>
      <c r="F277" s="6643">
        <f>D277*E277</f>
        <v>3000000</v>
      </c>
      <c r="G277" s="1455"/>
      <c r="H277" s="1455"/>
      <c r="I277" s="1455"/>
      <c r="J277" s="1455"/>
      <c r="K277" s="7020"/>
      <c r="L277" s="180"/>
      <c r="M277" s="366"/>
      <c r="N277" s="366"/>
      <c r="O277" s="366"/>
      <c r="P277" s="366"/>
    </row>
    <row r="278" spans="1:16" ht="30" customHeight="1" x14ac:dyDescent="0.2">
      <c r="A278" s="7655"/>
      <c r="B278" s="7653"/>
      <c r="C278" s="7724"/>
      <c r="D278" s="6752">
        <f>D273+D274+D276+D277</f>
        <v>693000000</v>
      </c>
      <c r="E278" s="6789"/>
      <c r="F278" s="6752">
        <f>SUM(F273:F277)</f>
        <v>40200000</v>
      </c>
      <c r="G278" s="1455"/>
      <c r="H278" s="1455"/>
      <c r="I278" s="1455"/>
      <c r="J278" s="1455"/>
      <c r="K278" s="7020"/>
      <c r="L278" s="180"/>
      <c r="M278" s="366"/>
      <c r="N278" s="366"/>
      <c r="O278" s="366"/>
      <c r="P278" s="366"/>
    </row>
    <row r="279" spans="1:16" ht="30" customHeight="1" x14ac:dyDescent="0.2">
      <c r="A279" s="7654">
        <v>90</v>
      </c>
      <c r="B279" s="7652" t="s">
        <v>220</v>
      </c>
      <c r="C279" s="7723" t="s">
        <v>1172</v>
      </c>
      <c r="D279" s="6643">
        <v>130000000</v>
      </c>
      <c r="E279" s="6705">
        <v>7.0000000000000007E-2</v>
      </c>
      <c r="F279" s="6643">
        <f>D279*E279</f>
        <v>9100000</v>
      </c>
      <c r="G279" s="7563">
        <v>10000000</v>
      </c>
      <c r="H279" s="7563" t="s">
        <v>8042</v>
      </c>
      <c r="I279" s="7561" t="s">
        <v>8051</v>
      </c>
      <c r="J279" s="8180">
        <f>G279+G282</f>
        <v>22260000</v>
      </c>
      <c r="K279" s="7563">
        <f>F284-J279</f>
        <v>0</v>
      </c>
      <c r="L279" s="345" t="s">
        <v>6741</v>
      </c>
      <c r="M279" s="366"/>
      <c r="N279" s="366"/>
      <c r="O279" s="366"/>
      <c r="P279" s="366"/>
    </row>
    <row r="280" spans="1:16" ht="30" customHeight="1" x14ac:dyDescent="0.2">
      <c r="A280" s="7656"/>
      <c r="B280" s="7665"/>
      <c r="C280" s="7747"/>
      <c r="D280" s="6643">
        <v>100000000</v>
      </c>
      <c r="E280" s="6705">
        <v>5.3999999999999999E-2</v>
      </c>
      <c r="F280" s="6643">
        <v>5360000</v>
      </c>
      <c r="G280" s="7586"/>
      <c r="H280" s="7586"/>
      <c r="I280" s="7672"/>
      <c r="J280" s="8220"/>
      <c r="K280" s="7586"/>
      <c r="L280" s="710" t="s">
        <v>6742</v>
      </c>
      <c r="M280" s="366"/>
      <c r="N280" s="366"/>
      <c r="O280" s="366"/>
      <c r="P280" s="366"/>
    </row>
    <row r="281" spans="1:16" ht="30" customHeight="1" x14ac:dyDescent="0.2">
      <c r="A281" s="7656"/>
      <c r="B281" s="7665"/>
      <c r="C281" s="7747"/>
      <c r="D281" s="6643">
        <v>14460000</v>
      </c>
      <c r="E281" s="6705">
        <v>0.06</v>
      </c>
      <c r="F281" s="6643">
        <f>D281*E281</f>
        <v>867600</v>
      </c>
      <c r="G281" s="7564"/>
      <c r="H281" s="7564"/>
      <c r="I281" s="7562"/>
      <c r="J281" s="8220"/>
      <c r="K281" s="7586"/>
      <c r="L281" s="735"/>
      <c r="M281" s="366"/>
      <c r="N281" s="366"/>
      <c r="O281" s="366"/>
      <c r="P281" s="366"/>
    </row>
    <row r="282" spans="1:16" ht="30" customHeight="1" x14ac:dyDescent="0.2">
      <c r="A282" s="7656"/>
      <c r="B282" s="7665"/>
      <c r="C282" s="7747"/>
      <c r="D282" s="6643">
        <v>15327600</v>
      </c>
      <c r="E282" s="6705">
        <v>0.06</v>
      </c>
      <c r="F282" s="6643">
        <f>D282*E282</f>
        <v>919656</v>
      </c>
      <c r="G282" s="7563">
        <v>12260000</v>
      </c>
      <c r="H282" s="7561" t="s">
        <v>8215</v>
      </c>
      <c r="I282" s="7561" t="s">
        <v>8228</v>
      </c>
      <c r="J282" s="8220"/>
      <c r="K282" s="7586"/>
      <c r="L282" s="735"/>
      <c r="M282" s="366"/>
      <c r="N282" s="366"/>
      <c r="O282" s="366"/>
      <c r="P282" s="366"/>
    </row>
    <row r="283" spans="1:16" ht="30" customHeight="1" x14ac:dyDescent="0.2">
      <c r="A283" s="7656"/>
      <c r="B283" s="7665"/>
      <c r="C283" s="7747"/>
      <c r="D283" s="6643">
        <v>100000000</v>
      </c>
      <c r="E283" s="6705">
        <v>0.06</v>
      </c>
      <c r="F283" s="6643">
        <f>D283*E283</f>
        <v>6000000</v>
      </c>
      <c r="G283" s="7586"/>
      <c r="H283" s="7672"/>
      <c r="I283" s="7672"/>
      <c r="J283" s="8220"/>
      <c r="K283" s="7586"/>
      <c r="L283" s="735" t="s">
        <v>6811</v>
      </c>
      <c r="M283" s="366"/>
      <c r="N283" s="366"/>
      <c r="O283" s="366"/>
      <c r="P283" s="366"/>
    </row>
    <row r="284" spans="1:16" ht="30" customHeight="1" x14ac:dyDescent="0.2">
      <c r="A284" s="7655"/>
      <c r="B284" s="7653"/>
      <c r="C284" s="7724"/>
      <c r="D284" s="6679">
        <v>360000000</v>
      </c>
      <c r="E284" s="6777">
        <f>F284/D284</f>
        <v>6.183333333333333E-2</v>
      </c>
      <c r="F284" s="6679">
        <v>22260000</v>
      </c>
      <c r="G284" s="7564"/>
      <c r="H284" s="7562"/>
      <c r="I284" s="7562"/>
      <c r="J284" s="8183"/>
      <c r="K284" s="7564"/>
      <c r="L284" s="735" t="s">
        <v>7496</v>
      </c>
      <c r="M284" s="366"/>
      <c r="N284" s="366"/>
      <c r="O284" s="366"/>
      <c r="P284" s="366"/>
    </row>
    <row r="285" spans="1:16" ht="30" customHeight="1" x14ac:dyDescent="0.2">
      <c r="A285" s="7654">
        <v>91</v>
      </c>
      <c r="B285" s="7652" t="s">
        <v>4466</v>
      </c>
      <c r="C285" s="7723"/>
      <c r="D285" s="6643">
        <v>50000000</v>
      </c>
      <c r="E285" s="6705">
        <v>0.05</v>
      </c>
      <c r="F285" s="6643">
        <f t="shared" si="14"/>
        <v>2500000</v>
      </c>
      <c r="G285" s="7563">
        <v>16500000</v>
      </c>
      <c r="H285" s="7563" t="s">
        <v>7979</v>
      </c>
      <c r="I285" s="7772" t="s">
        <v>4464</v>
      </c>
      <c r="J285" s="7563">
        <f>G285</f>
        <v>16500000</v>
      </c>
      <c r="K285" s="7563">
        <f>(F285+F286+F287+F288)-J285</f>
        <v>0</v>
      </c>
      <c r="L285" s="7713"/>
      <c r="M285" s="366"/>
      <c r="N285" s="366"/>
      <c r="O285" s="366"/>
      <c r="P285" s="366"/>
    </row>
    <row r="286" spans="1:16" ht="30" customHeight="1" x14ac:dyDescent="0.2">
      <c r="A286" s="7656"/>
      <c r="B286" s="7665"/>
      <c r="C286" s="7747"/>
      <c r="D286" s="6643">
        <v>30000000</v>
      </c>
      <c r="E286" s="6705">
        <v>0.05</v>
      </c>
      <c r="F286" s="6643">
        <f t="shared" si="14"/>
        <v>1500000</v>
      </c>
      <c r="G286" s="7586"/>
      <c r="H286" s="7586"/>
      <c r="I286" s="8185"/>
      <c r="J286" s="7586"/>
      <c r="K286" s="7586"/>
      <c r="L286" s="7797"/>
      <c r="M286" s="366"/>
      <c r="N286" s="366"/>
      <c r="O286" s="366"/>
      <c r="P286" s="366"/>
    </row>
    <row r="287" spans="1:16" ht="30" customHeight="1" x14ac:dyDescent="0.2">
      <c r="A287" s="7656"/>
      <c r="B287" s="7665"/>
      <c r="C287" s="7747"/>
      <c r="D287" s="6643">
        <v>200000000</v>
      </c>
      <c r="E287" s="6705">
        <v>0.05</v>
      </c>
      <c r="F287" s="6643">
        <f t="shared" si="14"/>
        <v>10000000</v>
      </c>
      <c r="G287" s="7564"/>
      <c r="H287" s="7564"/>
      <c r="I287" s="7773"/>
      <c r="J287" s="7564"/>
      <c r="K287" s="7564"/>
      <c r="L287" s="7714"/>
      <c r="M287" s="366"/>
      <c r="N287" s="366"/>
      <c r="O287" s="366"/>
      <c r="P287" s="366"/>
    </row>
    <row r="288" spans="1:16" ht="30" customHeight="1" x14ac:dyDescent="0.2">
      <c r="A288" s="7656"/>
      <c r="B288" s="7665"/>
      <c r="C288" s="7747"/>
      <c r="D288" s="7563">
        <v>50000000</v>
      </c>
      <c r="E288" s="7659">
        <v>0.05</v>
      </c>
      <c r="F288" s="7563">
        <f t="shared" si="14"/>
        <v>2500000</v>
      </c>
      <c r="G288" s="7732" t="s">
        <v>6957</v>
      </c>
      <c r="H288" s="7733"/>
      <c r="I288" s="7733"/>
      <c r="J288" s="7734"/>
      <c r="K288" s="6642"/>
      <c r="L288" s="6671" t="s">
        <v>6958</v>
      </c>
      <c r="M288" s="366"/>
      <c r="N288" s="366"/>
      <c r="O288" s="366"/>
      <c r="P288" s="366"/>
    </row>
    <row r="289" spans="1:16" ht="30" customHeight="1" x14ac:dyDescent="0.2">
      <c r="A289" s="7656"/>
      <c r="B289" s="7665"/>
      <c r="C289" s="7747"/>
      <c r="D289" s="7586"/>
      <c r="E289" s="7676"/>
      <c r="F289" s="7586"/>
      <c r="G289" s="7732" t="s">
        <v>7045</v>
      </c>
      <c r="H289" s="7733"/>
      <c r="I289" s="7733"/>
      <c r="J289" s="7734"/>
      <c r="K289" s="6642"/>
      <c r="L289" s="6726"/>
      <c r="M289" s="366"/>
      <c r="N289" s="366"/>
      <c r="O289" s="366"/>
      <c r="P289" s="366"/>
    </row>
    <row r="290" spans="1:16" ht="30" customHeight="1" x14ac:dyDescent="0.2">
      <c r="A290" s="7655"/>
      <c r="B290" s="7653"/>
      <c r="C290" s="7724"/>
      <c r="D290" s="7564"/>
      <c r="E290" s="7660"/>
      <c r="F290" s="7564"/>
      <c r="G290" s="7732" t="s">
        <v>6964</v>
      </c>
      <c r="H290" s="7733"/>
      <c r="I290" s="7733"/>
      <c r="J290" s="7734"/>
      <c r="K290" s="6642"/>
      <c r="L290" s="6726"/>
      <c r="M290" s="366"/>
      <c r="N290" s="366"/>
      <c r="O290" s="366"/>
      <c r="P290" s="366"/>
    </row>
    <row r="291" spans="1:16" ht="30" customHeight="1" x14ac:dyDescent="0.2">
      <c r="A291" s="7654">
        <v>92</v>
      </c>
      <c r="B291" s="7652" t="s">
        <v>749</v>
      </c>
      <c r="C291" s="7723" t="s">
        <v>889</v>
      </c>
      <c r="D291" s="6635">
        <v>50000000</v>
      </c>
      <c r="E291" s="6705">
        <v>7.0000000000000007E-2</v>
      </c>
      <c r="F291" s="6635">
        <f t="shared" si="14"/>
        <v>3500000.0000000005</v>
      </c>
      <c r="G291" s="6824"/>
      <c r="H291" s="6824"/>
      <c r="I291" s="6840"/>
      <c r="J291" s="6824"/>
      <c r="K291" s="6824"/>
      <c r="L291" s="6844"/>
      <c r="M291" s="366"/>
      <c r="N291" s="366"/>
      <c r="O291" s="366"/>
      <c r="P291" s="366"/>
    </row>
    <row r="292" spans="1:16" ht="30" customHeight="1" x14ac:dyDescent="0.2">
      <c r="A292" s="7656"/>
      <c r="B292" s="7665"/>
      <c r="C292" s="7747"/>
      <c r="D292" s="6643">
        <v>270000000</v>
      </c>
      <c r="E292" s="6649">
        <v>0.05</v>
      </c>
      <c r="F292" s="6635">
        <f t="shared" si="14"/>
        <v>13500000</v>
      </c>
      <c r="G292" s="6824"/>
      <c r="H292" s="6824"/>
      <c r="I292" s="6840"/>
      <c r="J292" s="6824"/>
      <c r="K292" s="6824"/>
      <c r="L292" s="6835"/>
      <c r="M292" s="366"/>
      <c r="N292" s="366"/>
      <c r="O292" s="366"/>
      <c r="P292" s="366"/>
    </row>
    <row r="293" spans="1:16" ht="30" customHeight="1" x14ac:dyDescent="0.2">
      <c r="A293" s="7656"/>
      <c r="B293" s="7665"/>
      <c r="C293" s="7747"/>
      <c r="D293" s="6643">
        <v>20000000</v>
      </c>
      <c r="E293" s="6649">
        <v>0.05</v>
      </c>
      <c r="F293" s="6643">
        <f t="shared" si="14"/>
        <v>1000000</v>
      </c>
      <c r="G293" s="6824"/>
      <c r="H293" s="6824"/>
      <c r="I293" s="6840"/>
      <c r="J293" s="6824"/>
      <c r="K293" s="6824"/>
      <c r="L293" s="6783"/>
      <c r="M293" s="366"/>
      <c r="N293" s="366"/>
      <c r="O293" s="366"/>
      <c r="P293" s="366"/>
    </row>
    <row r="294" spans="1:16" ht="30" customHeight="1" x14ac:dyDescent="0.2">
      <c r="A294" s="7656"/>
      <c r="B294" s="7665"/>
      <c r="C294" s="7747"/>
      <c r="D294" s="6643">
        <v>150000000</v>
      </c>
      <c r="E294" s="6649">
        <v>0.05</v>
      </c>
      <c r="F294" s="6643">
        <f t="shared" si="14"/>
        <v>7500000</v>
      </c>
      <c r="G294" s="6824"/>
      <c r="H294" s="6824"/>
      <c r="I294" s="6840"/>
      <c r="J294" s="6824"/>
      <c r="K294" s="6824"/>
      <c r="L294" s="6783"/>
      <c r="M294" s="366"/>
      <c r="N294" s="366"/>
      <c r="O294" s="366"/>
      <c r="P294" s="366"/>
    </row>
    <row r="295" spans="1:16" ht="30" customHeight="1" x14ac:dyDescent="0.2">
      <c r="A295" s="7656"/>
      <c r="B295" s="7665"/>
      <c r="C295" s="7747"/>
      <c r="D295" s="7494" t="s">
        <v>7950</v>
      </c>
      <c r="E295" s="7495"/>
      <c r="F295" s="7768"/>
      <c r="G295" s="6824">
        <v>20000000</v>
      </c>
      <c r="H295" s="6824" t="s">
        <v>7945</v>
      </c>
      <c r="I295" s="6840" t="s">
        <v>7947</v>
      </c>
      <c r="J295" s="7482">
        <f>G295+G296+G297+G298+G299+G300+G301+G302+G303+G304</f>
        <v>156000000</v>
      </c>
      <c r="K295" s="7563"/>
      <c r="L295" s="6844" t="s">
        <v>7949</v>
      </c>
      <c r="M295" s="366"/>
      <c r="N295" s="366"/>
      <c r="O295" s="366"/>
      <c r="P295" s="366"/>
    </row>
    <row r="296" spans="1:16" ht="30" customHeight="1" x14ac:dyDescent="0.2">
      <c r="A296" s="7656"/>
      <c r="B296" s="7665"/>
      <c r="C296" s="7747"/>
      <c r="D296" s="7877"/>
      <c r="E296" s="7524"/>
      <c r="F296" s="7878"/>
      <c r="G296" s="6824">
        <v>10000000</v>
      </c>
      <c r="H296" s="6824" t="s">
        <v>7945</v>
      </c>
      <c r="I296" s="6840" t="s">
        <v>7948</v>
      </c>
      <c r="J296" s="7482"/>
      <c r="K296" s="7586"/>
      <c r="L296" s="6835" t="s">
        <v>7949</v>
      </c>
      <c r="M296" s="366"/>
      <c r="N296" s="366"/>
      <c r="O296" s="366"/>
      <c r="P296" s="366"/>
    </row>
    <row r="297" spans="1:16" ht="30" customHeight="1" x14ac:dyDescent="0.2">
      <c r="A297" s="7656"/>
      <c r="B297" s="7665"/>
      <c r="C297" s="7747"/>
      <c r="D297" s="7877"/>
      <c r="E297" s="7524"/>
      <c r="F297" s="7878"/>
      <c r="G297" s="6851">
        <v>30000000</v>
      </c>
      <c r="H297" s="6851" t="s">
        <v>7968</v>
      </c>
      <c r="I297" s="6865" t="s">
        <v>7947</v>
      </c>
      <c r="J297" s="7482"/>
      <c r="K297" s="7586"/>
      <c r="L297" s="6862"/>
      <c r="M297" s="366"/>
      <c r="N297" s="366"/>
      <c r="O297" s="366"/>
      <c r="P297" s="366"/>
    </row>
    <row r="298" spans="1:16" ht="30" customHeight="1" x14ac:dyDescent="0.2">
      <c r="A298" s="7656"/>
      <c r="B298" s="7665"/>
      <c r="C298" s="7747"/>
      <c r="D298" s="7877"/>
      <c r="E298" s="7524"/>
      <c r="F298" s="7878"/>
      <c r="G298" s="6851">
        <v>18000000</v>
      </c>
      <c r="H298" s="6851" t="s">
        <v>7979</v>
      </c>
      <c r="I298" s="6865" t="s">
        <v>7947</v>
      </c>
      <c r="J298" s="7482"/>
      <c r="K298" s="7586"/>
      <c r="L298" s="6862"/>
      <c r="M298" s="366"/>
      <c r="N298" s="366"/>
      <c r="O298" s="366"/>
      <c r="P298" s="366"/>
    </row>
    <row r="299" spans="1:16" ht="30" customHeight="1" x14ac:dyDescent="0.2">
      <c r="A299" s="7656"/>
      <c r="B299" s="7665"/>
      <c r="C299" s="7747"/>
      <c r="D299" s="7877"/>
      <c r="E299" s="7524"/>
      <c r="F299" s="7878"/>
      <c r="G299" s="6851">
        <v>10000000</v>
      </c>
      <c r="H299" s="6851" t="s">
        <v>4919</v>
      </c>
      <c r="I299" s="6865" t="s">
        <v>7947</v>
      </c>
      <c r="J299" s="7482"/>
      <c r="K299" s="7586"/>
      <c r="L299" s="6862"/>
      <c r="M299" s="366"/>
      <c r="N299" s="366"/>
      <c r="O299" s="366"/>
      <c r="P299" s="366"/>
    </row>
    <row r="300" spans="1:16" ht="30" customHeight="1" x14ac:dyDescent="0.2">
      <c r="A300" s="7656"/>
      <c r="B300" s="7665"/>
      <c r="C300" s="7747"/>
      <c r="D300" s="7877"/>
      <c r="E300" s="7524"/>
      <c r="F300" s="7878"/>
      <c r="G300" s="6874">
        <v>30000000</v>
      </c>
      <c r="H300" s="6874" t="s">
        <v>7987</v>
      </c>
      <c r="I300" s="6892" t="s">
        <v>7947</v>
      </c>
      <c r="J300" s="7482"/>
      <c r="K300" s="7586"/>
      <c r="L300" s="6893"/>
      <c r="M300" s="366"/>
      <c r="N300" s="366"/>
      <c r="O300" s="366"/>
      <c r="P300" s="366"/>
    </row>
    <row r="301" spans="1:16" ht="30" customHeight="1" x14ac:dyDescent="0.2">
      <c r="A301" s="7656"/>
      <c r="B301" s="7665"/>
      <c r="C301" s="7747"/>
      <c r="D301" s="7877"/>
      <c r="E301" s="7524"/>
      <c r="F301" s="7878"/>
      <c r="G301" s="6943">
        <v>10000000</v>
      </c>
      <c r="H301" s="6943" t="s">
        <v>8073</v>
      </c>
      <c r="I301" s="6954" t="s">
        <v>8078</v>
      </c>
      <c r="J301" s="7482"/>
      <c r="K301" s="7586"/>
      <c r="L301" s="6951"/>
      <c r="M301" s="366"/>
      <c r="N301" s="366"/>
      <c r="O301" s="366"/>
      <c r="P301" s="366"/>
    </row>
    <row r="302" spans="1:16" ht="30" customHeight="1" x14ac:dyDescent="0.2">
      <c r="A302" s="7656"/>
      <c r="B302" s="7665"/>
      <c r="C302" s="7747"/>
      <c r="D302" s="7877"/>
      <c r="E302" s="7524"/>
      <c r="F302" s="7878"/>
      <c r="G302" s="6874">
        <v>10000000</v>
      </c>
      <c r="H302" s="6874" t="s">
        <v>8164</v>
      </c>
      <c r="I302" s="6892" t="s">
        <v>8078</v>
      </c>
      <c r="J302" s="7482"/>
      <c r="K302" s="7586"/>
      <c r="L302" s="6893"/>
      <c r="M302" s="366"/>
      <c r="N302" s="366"/>
      <c r="O302" s="366"/>
      <c r="P302" s="366"/>
    </row>
    <row r="303" spans="1:16" ht="30" customHeight="1" x14ac:dyDescent="0.2">
      <c r="A303" s="7656"/>
      <c r="B303" s="7665"/>
      <c r="C303" s="7747"/>
      <c r="D303" s="7877"/>
      <c r="E303" s="7524"/>
      <c r="F303" s="7878"/>
      <c r="G303" s="7056">
        <v>18000000</v>
      </c>
      <c r="H303" s="7056" t="s">
        <v>8215</v>
      </c>
      <c r="I303" s="7076" t="s">
        <v>7947</v>
      </c>
      <c r="J303" s="7482"/>
      <c r="K303" s="7586"/>
      <c r="L303" s="7071"/>
      <c r="M303" s="366"/>
      <c r="N303" s="366"/>
      <c r="O303" s="366"/>
      <c r="P303" s="366"/>
    </row>
    <row r="304" spans="1:16" ht="30" customHeight="1" x14ac:dyDescent="0.2">
      <c r="A304" s="7656"/>
      <c r="B304" s="7665"/>
      <c r="C304" s="7747"/>
      <c r="D304" s="7769"/>
      <c r="E304" s="7805"/>
      <c r="F304" s="7770"/>
      <c r="G304" s="7056"/>
      <c r="H304" s="7056"/>
      <c r="I304" s="7076"/>
      <c r="J304" s="7482"/>
      <c r="K304" s="7586"/>
      <c r="L304" s="7071"/>
      <c r="M304" s="366"/>
      <c r="N304" s="366"/>
      <c r="O304" s="366"/>
      <c r="P304" s="366"/>
    </row>
    <row r="305" spans="1:16" ht="30" customHeight="1" x14ac:dyDescent="0.2">
      <c r="A305" s="7656"/>
      <c r="B305" s="7665"/>
      <c r="C305" s="7724"/>
      <c r="D305" s="6846"/>
      <c r="E305" s="6846"/>
      <c r="F305" s="6846"/>
      <c r="G305" s="6824"/>
      <c r="H305" s="6824"/>
      <c r="I305" s="6840"/>
      <c r="J305" s="6825"/>
      <c r="K305" s="6825"/>
      <c r="L305" s="6842"/>
      <c r="M305" s="366"/>
      <c r="N305" s="366"/>
      <c r="O305" s="366"/>
      <c r="P305" s="366"/>
    </row>
    <row r="306" spans="1:16" ht="30" customHeight="1" x14ac:dyDescent="0.2">
      <c r="A306" s="7656"/>
      <c r="B306" s="7665"/>
      <c r="C306" s="7723" t="s">
        <v>1287</v>
      </c>
      <c r="D306" s="6643">
        <v>273000000</v>
      </c>
      <c r="E306" s="6649">
        <f>F306/D306</f>
        <v>5.4615384615384614E-2</v>
      </c>
      <c r="F306" s="6643">
        <v>14910000</v>
      </c>
      <c r="G306" s="7482"/>
      <c r="H306" s="7482"/>
      <c r="I306" s="7482" t="s">
        <v>3009</v>
      </c>
      <c r="J306" s="7563">
        <f>G306+G308</f>
        <v>0</v>
      </c>
      <c r="K306" s="7563">
        <f>(F306+F307+F308)-J306</f>
        <v>20410000</v>
      </c>
      <c r="L306" s="180"/>
      <c r="M306" s="366"/>
      <c r="N306" s="366"/>
      <c r="O306" s="366"/>
      <c r="P306" s="366"/>
    </row>
    <row r="307" spans="1:16" ht="30" customHeight="1" x14ac:dyDescent="0.2">
      <c r="A307" s="7656"/>
      <c r="B307" s="7665"/>
      <c r="C307" s="7747"/>
      <c r="D307" s="6635">
        <v>100000000</v>
      </c>
      <c r="E307" s="6705">
        <v>0.05</v>
      </c>
      <c r="F307" s="6635">
        <f>D307*E307</f>
        <v>5000000</v>
      </c>
      <c r="G307" s="7482"/>
      <c r="H307" s="7482"/>
      <c r="I307" s="7482"/>
      <c r="J307" s="7586"/>
      <c r="K307" s="7586"/>
      <c r="L307" s="180"/>
      <c r="M307" s="366"/>
      <c r="N307" s="366"/>
      <c r="O307" s="366"/>
      <c r="P307" s="366"/>
    </row>
    <row r="308" spans="1:16" ht="30" customHeight="1" x14ac:dyDescent="0.2">
      <c r="A308" s="7655"/>
      <c r="B308" s="7653"/>
      <c r="C308" s="7724"/>
      <c r="D308" s="6707">
        <v>10000000</v>
      </c>
      <c r="E308" s="6648">
        <v>0.05</v>
      </c>
      <c r="F308" s="6642">
        <f>D308*E308</f>
        <v>500000</v>
      </c>
      <c r="G308" s="6643"/>
      <c r="H308" s="6643"/>
      <c r="I308" s="6643" t="s">
        <v>3009</v>
      </c>
      <c r="J308" s="7564"/>
      <c r="K308" s="7564"/>
      <c r="L308" s="180"/>
      <c r="M308" s="366"/>
      <c r="N308" s="366"/>
      <c r="O308" s="366"/>
      <c r="P308" s="366"/>
    </row>
    <row r="309" spans="1:16" ht="30" customHeight="1" x14ac:dyDescent="0.2">
      <c r="A309" s="6653"/>
      <c r="B309" s="6650" t="s">
        <v>222</v>
      </c>
      <c r="C309" s="6710" t="s">
        <v>889</v>
      </c>
      <c r="D309" s="6635">
        <v>40000000</v>
      </c>
      <c r="E309" s="6705">
        <v>5.5E-2</v>
      </c>
      <c r="F309" s="6635">
        <f>D309*E309</f>
        <v>2200000</v>
      </c>
      <c r="G309" s="6635">
        <v>2200000</v>
      </c>
      <c r="H309" s="6635" t="s">
        <v>7945</v>
      </c>
      <c r="I309" s="6635" t="s">
        <v>4582</v>
      </c>
      <c r="J309" s="6635">
        <f>F309</f>
        <v>2200000</v>
      </c>
      <c r="K309" s="6635">
        <f>F309-J309</f>
        <v>0</v>
      </c>
      <c r="L309" s="6783"/>
      <c r="M309" s="366"/>
      <c r="N309" s="366"/>
      <c r="O309" s="366"/>
      <c r="P309" s="366"/>
    </row>
    <row r="310" spans="1:16" ht="30" customHeight="1" x14ac:dyDescent="0.2">
      <c r="A310" s="6708">
        <v>94</v>
      </c>
      <c r="B310" s="6665" t="s">
        <v>1144</v>
      </c>
      <c r="C310" s="6684"/>
      <c r="D310" s="6643">
        <v>25000000</v>
      </c>
      <c r="E310" s="6705">
        <v>0.04</v>
      </c>
      <c r="F310" s="6643">
        <f>D310*E310</f>
        <v>1000000</v>
      </c>
      <c r="G310" s="6643">
        <v>3500000</v>
      </c>
      <c r="H310" s="6643" t="s">
        <v>3808</v>
      </c>
      <c r="I310" s="6771" t="s">
        <v>4471</v>
      </c>
      <c r="J310" s="6643">
        <f>G310</f>
        <v>3500000</v>
      </c>
      <c r="K310" s="6643"/>
      <c r="L310" s="378" t="s">
        <v>7924</v>
      </c>
      <c r="M310" s="366"/>
      <c r="N310" s="366"/>
      <c r="O310" s="366"/>
      <c r="P310" s="366"/>
    </row>
    <row r="311" spans="1:16" ht="30" customHeight="1" x14ac:dyDescent="0.2">
      <c r="A311" s="6655"/>
      <c r="B311" s="19" t="s">
        <v>223</v>
      </c>
      <c r="C311" s="6710" t="s">
        <v>1172</v>
      </c>
      <c r="D311" s="6635">
        <v>355000000</v>
      </c>
      <c r="E311" s="6705">
        <v>0.05</v>
      </c>
      <c r="F311" s="6635">
        <v>17800000</v>
      </c>
      <c r="G311" s="6635">
        <v>17800000</v>
      </c>
      <c r="H311" s="6635" t="s">
        <v>7987</v>
      </c>
      <c r="I311" s="6715" t="s">
        <v>3431</v>
      </c>
      <c r="J311" s="6635">
        <f>G311</f>
        <v>17800000</v>
      </c>
      <c r="K311" s="6635">
        <f t="shared" ref="K311:K313" si="22">F311-J311</f>
        <v>0</v>
      </c>
      <c r="L311" s="378" t="s">
        <v>6887</v>
      </c>
      <c r="M311" s="366"/>
      <c r="N311" s="366"/>
      <c r="O311" s="366"/>
      <c r="P311" s="366"/>
    </row>
    <row r="312" spans="1:16" ht="30" customHeight="1" x14ac:dyDescent="0.2">
      <c r="A312" s="6708">
        <v>99</v>
      </c>
      <c r="B312" s="6665" t="s">
        <v>227</v>
      </c>
      <c r="C312" s="6684" t="s">
        <v>1297</v>
      </c>
      <c r="D312" s="6643">
        <v>100000000</v>
      </c>
      <c r="E312" s="6705">
        <v>0.04</v>
      </c>
      <c r="F312" s="6643">
        <f>D312*E312</f>
        <v>4000000</v>
      </c>
      <c r="G312" s="6643">
        <v>4000000</v>
      </c>
      <c r="H312" s="6643" t="s">
        <v>7987</v>
      </c>
      <c r="I312" s="6730" t="s">
        <v>4327</v>
      </c>
      <c r="J312" s="6643">
        <f>G312</f>
        <v>4000000</v>
      </c>
      <c r="K312" s="6643">
        <f t="shared" si="22"/>
        <v>0</v>
      </c>
      <c r="L312" s="6665"/>
      <c r="M312" s="366"/>
      <c r="N312" s="366"/>
      <c r="O312" s="366"/>
      <c r="P312" s="366"/>
    </row>
    <row r="313" spans="1:16" ht="30" customHeight="1" x14ac:dyDescent="0.2">
      <c r="A313" s="6708">
        <v>100</v>
      </c>
      <c r="B313" s="6665" t="s">
        <v>228</v>
      </c>
      <c r="C313" s="6684" t="s">
        <v>392</v>
      </c>
      <c r="D313" s="6643">
        <v>101000000</v>
      </c>
      <c r="E313" s="6705">
        <v>5.0999999999999997E-2</v>
      </c>
      <c r="F313" s="6643">
        <v>5100000</v>
      </c>
      <c r="G313" s="6643">
        <v>5100000</v>
      </c>
      <c r="H313" s="6643" t="s">
        <v>8247</v>
      </c>
      <c r="I313" s="6771" t="s">
        <v>8255</v>
      </c>
      <c r="J313" s="6643">
        <f>G313</f>
        <v>5100000</v>
      </c>
      <c r="K313" s="6643">
        <f t="shared" si="22"/>
        <v>0</v>
      </c>
      <c r="L313" s="7100" t="s">
        <v>8256</v>
      </c>
      <c r="M313" s="366"/>
      <c r="N313" s="366"/>
      <c r="O313" s="366"/>
      <c r="P313" s="366"/>
    </row>
    <row r="314" spans="1:16" ht="30" customHeight="1" x14ac:dyDescent="0.2">
      <c r="A314" s="7795"/>
      <c r="B314" s="7652" t="s">
        <v>177</v>
      </c>
      <c r="C314" s="7723" t="s">
        <v>1080</v>
      </c>
      <c r="D314" s="6635">
        <v>100000000</v>
      </c>
      <c r="E314" s="6705">
        <v>0.06</v>
      </c>
      <c r="F314" s="6635">
        <f>D314*E314</f>
        <v>6000000</v>
      </c>
      <c r="G314" s="7563">
        <v>9500000</v>
      </c>
      <c r="H314" s="7563" t="s">
        <v>8073</v>
      </c>
      <c r="I314" s="7563" t="s">
        <v>3345</v>
      </c>
      <c r="J314" s="7563">
        <f>G314</f>
        <v>9500000</v>
      </c>
      <c r="K314" s="7563">
        <f>(F314+F315)-J314</f>
        <v>-1400000</v>
      </c>
      <c r="L314" s="6710" t="s">
        <v>5350</v>
      </c>
      <c r="M314" s="366"/>
      <c r="N314" s="366"/>
      <c r="O314" s="366"/>
      <c r="P314" s="366"/>
    </row>
    <row r="315" spans="1:16" ht="30" customHeight="1" x14ac:dyDescent="0.2">
      <c r="A315" s="7796"/>
      <c r="B315" s="7653"/>
      <c r="C315" s="7724"/>
      <c r="D315" s="6641">
        <v>35000000</v>
      </c>
      <c r="E315" s="6647">
        <v>0.06</v>
      </c>
      <c r="F315" s="6641">
        <f>D315*E315</f>
        <v>2100000</v>
      </c>
      <c r="G315" s="7564"/>
      <c r="H315" s="7564"/>
      <c r="I315" s="7564"/>
      <c r="J315" s="7564"/>
      <c r="K315" s="7564"/>
      <c r="L315" s="6783"/>
      <c r="M315" s="366"/>
      <c r="N315" s="366"/>
      <c r="O315" s="366"/>
      <c r="P315" s="366"/>
    </row>
    <row r="316" spans="1:16" ht="30" customHeight="1" x14ac:dyDescent="0.2">
      <c r="A316" s="7703"/>
      <c r="B316" s="8291" t="s">
        <v>6067</v>
      </c>
      <c r="C316" s="8341"/>
      <c r="D316" s="7563">
        <v>350000000</v>
      </c>
      <c r="E316" s="7659">
        <v>0.05</v>
      </c>
      <c r="F316" s="7563">
        <f>D316*E316</f>
        <v>17500000</v>
      </c>
      <c r="G316" s="7563"/>
      <c r="H316" s="7563"/>
      <c r="I316" s="7563" t="s">
        <v>6791</v>
      </c>
      <c r="J316" s="7563">
        <f>G316</f>
        <v>0</v>
      </c>
      <c r="K316" s="7563">
        <f>F316-J316</f>
        <v>17500000</v>
      </c>
      <c r="L316" s="6783"/>
      <c r="M316" s="366"/>
      <c r="N316" s="366"/>
      <c r="O316" s="366"/>
      <c r="P316" s="366"/>
    </row>
    <row r="317" spans="1:16" ht="30" customHeight="1" x14ac:dyDescent="0.2">
      <c r="A317" s="7704"/>
      <c r="B317" s="8292"/>
      <c r="C317" s="8342"/>
      <c r="D317" s="7564"/>
      <c r="E317" s="7660"/>
      <c r="F317" s="7564"/>
      <c r="G317" s="7564"/>
      <c r="H317" s="7564"/>
      <c r="I317" s="7564"/>
      <c r="J317" s="7564"/>
      <c r="K317" s="7564"/>
      <c r="L317" s="6783"/>
      <c r="M317" s="366"/>
      <c r="N317" s="366"/>
      <c r="O317" s="366"/>
      <c r="P317" s="366"/>
    </row>
    <row r="318" spans="1:16" ht="30" customHeight="1" x14ac:dyDescent="0.2">
      <c r="A318" s="7704"/>
      <c r="B318" s="8292"/>
      <c r="C318" s="8342"/>
      <c r="D318" s="6643">
        <v>110000000</v>
      </c>
      <c r="E318" s="6649">
        <v>0.05</v>
      </c>
      <c r="F318" s="6643">
        <f>D318*E318</f>
        <v>5500000</v>
      </c>
      <c r="G318" s="233"/>
      <c r="H318" s="233"/>
      <c r="I318" s="233"/>
      <c r="J318" s="233"/>
      <c r="K318" s="6643"/>
      <c r="L318" s="6783" t="s">
        <v>7039</v>
      </c>
      <c r="M318" s="366"/>
      <c r="N318" s="366"/>
      <c r="O318" s="366"/>
      <c r="P318" s="366"/>
    </row>
    <row r="319" spans="1:16" ht="30" customHeight="1" x14ac:dyDescent="0.2">
      <c r="A319" s="7704"/>
      <c r="B319" s="8292"/>
      <c r="C319" s="8342"/>
      <c r="D319" s="6643">
        <v>40000000</v>
      </c>
      <c r="E319" s="6649">
        <v>0.05</v>
      </c>
      <c r="F319" s="6643">
        <f>D319*E319</f>
        <v>2000000</v>
      </c>
      <c r="G319" s="233"/>
      <c r="H319" s="233"/>
      <c r="I319" s="233"/>
      <c r="J319" s="233"/>
      <c r="K319" s="6643"/>
      <c r="L319" s="6783" t="s">
        <v>7040</v>
      </c>
      <c r="M319" s="366"/>
      <c r="N319" s="366"/>
      <c r="O319" s="366"/>
      <c r="P319" s="366"/>
    </row>
    <row r="320" spans="1:16" ht="30" customHeight="1" x14ac:dyDescent="0.2">
      <c r="A320" s="7704"/>
      <c r="B320" s="8292"/>
      <c r="C320" s="8342"/>
      <c r="D320" s="6635">
        <v>200000000</v>
      </c>
      <c r="E320" s="6635"/>
      <c r="F320" s="6635"/>
      <c r="G320" s="233"/>
      <c r="H320" s="233"/>
      <c r="I320" s="233"/>
      <c r="J320" s="233"/>
      <c r="K320" s="6643"/>
      <c r="L320" s="6783" t="s">
        <v>7569</v>
      </c>
      <c r="M320" s="366"/>
      <c r="N320" s="366"/>
      <c r="O320" s="366"/>
      <c r="P320" s="366"/>
    </row>
    <row r="321" spans="1:16" ht="30" customHeight="1" x14ac:dyDescent="0.2">
      <c r="A321" s="7705"/>
      <c r="B321" s="8293"/>
      <c r="C321" s="8343"/>
      <c r="D321" s="6679">
        <v>700000000</v>
      </c>
      <c r="E321" s="6677">
        <v>0.05</v>
      </c>
      <c r="F321" s="6679">
        <f>D321*E321</f>
        <v>35000000</v>
      </c>
      <c r="G321" s="233"/>
      <c r="H321" s="233"/>
      <c r="I321" s="233"/>
      <c r="J321" s="233"/>
      <c r="K321" s="6643"/>
      <c r="L321" s="6783" t="s">
        <v>7568</v>
      </c>
      <c r="M321" s="366"/>
      <c r="N321" s="366"/>
      <c r="O321" s="366"/>
      <c r="P321" s="366"/>
    </row>
    <row r="322" spans="1:16" s="1539" customFormat="1" ht="30" customHeight="1" x14ac:dyDescent="0.2">
      <c r="A322" s="6708"/>
      <c r="B322" s="6665" t="s">
        <v>230</v>
      </c>
      <c r="C322" s="6710" t="s">
        <v>1172</v>
      </c>
      <c r="D322" s="6635">
        <v>37000000</v>
      </c>
      <c r="E322" s="6705">
        <v>5.5E-2</v>
      </c>
      <c r="F322" s="6635">
        <v>2000000</v>
      </c>
      <c r="G322" s="6635">
        <v>2000000</v>
      </c>
      <c r="H322" s="6635" t="s">
        <v>8186</v>
      </c>
      <c r="I322" s="6635" t="s">
        <v>8193</v>
      </c>
      <c r="J322" s="6635">
        <f>G322</f>
        <v>2000000</v>
      </c>
      <c r="K322" s="6635">
        <f>F322-J322</f>
        <v>0</v>
      </c>
      <c r="L322" s="6783"/>
      <c r="M322" s="9"/>
      <c r="N322" s="9"/>
      <c r="O322" s="9"/>
      <c r="P322" s="9"/>
    </row>
    <row r="323" spans="1:16" ht="30" customHeight="1" x14ac:dyDescent="0.2">
      <c r="A323" s="6655">
        <v>104</v>
      </c>
      <c r="B323" s="6652" t="s">
        <v>231</v>
      </c>
      <c r="C323" s="6684" t="s">
        <v>1172</v>
      </c>
      <c r="D323" s="6643">
        <v>20000000</v>
      </c>
      <c r="E323" s="6649">
        <v>0.05</v>
      </c>
      <c r="F323" s="6643">
        <f t="shared" si="14"/>
        <v>1000000</v>
      </c>
      <c r="G323" s="6643">
        <v>1000000</v>
      </c>
      <c r="H323" s="6643" t="s">
        <v>8215</v>
      </c>
      <c r="I323" s="6771" t="s">
        <v>3437</v>
      </c>
      <c r="J323" s="6643">
        <f>G323</f>
        <v>1000000</v>
      </c>
      <c r="K323" s="6643">
        <f>F323-J323</f>
        <v>0</v>
      </c>
      <c r="L323" s="6652"/>
      <c r="M323" s="366"/>
      <c r="N323" s="366"/>
      <c r="O323" s="366"/>
      <c r="P323" s="366"/>
    </row>
    <row r="324" spans="1:16" ht="30" customHeight="1" x14ac:dyDescent="0.2">
      <c r="A324" s="7654">
        <v>105</v>
      </c>
      <c r="B324" s="7710" t="s">
        <v>232</v>
      </c>
      <c r="C324" s="7813"/>
      <c r="D324" s="7677"/>
      <c r="E324" s="7691"/>
      <c r="F324" s="7677">
        <f t="shared" ref="F324:F364" si="23">D324*E324</f>
        <v>0</v>
      </c>
      <c r="G324" s="6644"/>
      <c r="H324" s="6644"/>
      <c r="I324" s="909" t="s">
        <v>6797</v>
      </c>
      <c r="J324" s="7677">
        <f>G324+G325</f>
        <v>0</v>
      </c>
      <c r="K324" s="7677">
        <f>F324-J324</f>
        <v>0</v>
      </c>
      <c r="L324" s="6671"/>
    </row>
    <row r="325" spans="1:16" ht="30" customHeight="1" x14ac:dyDescent="0.2">
      <c r="A325" s="7656"/>
      <c r="B325" s="7711"/>
      <c r="C325" s="7814"/>
      <c r="D325" s="7690"/>
      <c r="E325" s="7692"/>
      <c r="F325" s="7690"/>
      <c r="G325" s="6644"/>
      <c r="H325" s="6644"/>
      <c r="I325" s="909"/>
      <c r="J325" s="7678"/>
      <c r="K325" s="7678"/>
      <c r="L325" s="6671"/>
    </row>
    <row r="326" spans="1:16" ht="30" customHeight="1" x14ac:dyDescent="0.2">
      <c r="A326" s="7655"/>
      <c r="B326" s="7712"/>
      <c r="C326" s="7815"/>
      <c r="D326" s="7678"/>
      <c r="E326" s="7693"/>
      <c r="F326" s="7678"/>
      <c r="G326" s="6644"/>
      <c r="H326" s="6644"/>
      <c r="I326" s="909" t="s">
        <v>7240</v>
      </c>
      <c r="J326" s="6664">
        <f>G326</f>
        <v>0</v>
      </c>
      <c r="K326" s="6664"/>
      <c r="L326" s="6671"/>
    </row>
    <row r="327" spans="1:16" ht="30" customHeight="1" x14ac:dyDescent="0.2">
      <c r="A327" s="7654">
        <v>108</v>
      </c>
      <c r="B327" s="7652" t="s">
        <v>235</v>
      </c>
      <c r="C327" s="7723" t="s">
        <v>1172</v>
      </c>
      <c r="D327" s="7563">
        <v>1410000000</v>
      </c>
      <c r="E327" s="7659">
        <v>5.5E-2</v>
      </c>
      <c r="F327" s="7563">
        <f t="shared" si="23"/>
        <v>77550000</v>
      </c>
      <c r="G327" s="6946">
        <v>10000000</v>
      </c>
      <c r="H327" s="6946" t="s">
        <v>8025</v>
      </c>
      <c r="I327" s="84" t="s">
        <v>8103</v>
      </c>
      <c r="J327" s="7563">
        <f>G327+G328+G329+G330</f>
        <v>67600000</v>
      </c>
      <c r="K327" s="7563"/>
      <c r="L327" s="6710"/>
    </row>
    <row r="328" spans="1:16" ht="30" customHeight="1" x14ac:dyDescent="0.2">
      <c r="A328" s="7656"/>
      <c r="B328" s="7665"/>
      <c r="C328" s="7747"/>
      <c r="D328" s="7586"/>
      <c r="E328" s="7676"/>
      <c r="F328" s="7586"/>
      <c r="G328" s="6946">
        <v>10000000</v>
      </c>
      <c r="H328" s="6946" t="s">
        <v>8025</v>
      </c>
      <c r="I328" s="6985" t="s">
        <v>8104</v>
      </c>
      <c r="J328" s="7586"/>
      <c r="K328" s="7586"/>
      <c r="L328" s="6953" t="s">
        <v>8105</v>
      </c>
    </row>
    <row r="329" spans="1:16" ht="30" customHeight="1" x14ac:dyDescent="0.2">
      <c r="A329" s="7656"/>
      <c r="B329" s="7665"/>
      <c r="C329" s="7747"/>
      <c r="D329" s="7586"/>
      <c r="E329" s="7676"/>
      <c r="F329" s="7586"/>
      <c r="G329" s="6989">
        <v>15000000</v>
      </c>
      <c r="H329" s="6989" t="s">
        <v>8142</v>
      </c>
      <c r="I329" s="6985" t="s">
        <v>8104</v>
      </c>
      <c r="J329" s="7586"/>
      <c r="K329" s="7586"/>
      <c r="L329" s="7004" t="s">
        <v>8105</v>
      </c>
    </row>
    <row r="330" spans="1:16" ht="30" customHeight="1" x14ac:dyDescent="0.2">
      <c r="A330" s="7655"/>
      <c r="B330" s="7653"/>
      <c r="C330" s="7724"/>
      <c r="D330" s="7564"/>
      <c r="E330" s="7660"/>
      <c r="F330" s="7564"/>
      <c r="G330" s="7022">
        <v>32600000</v>
      </c>
      <c r="H330" s="7022" t="s">
        <v>8164</v>
      </c>
      <c r="I330" s="6985" t="s">
        <v>8165</v>
      </c>
      <c r="J330" s="7564"/>
      <c r="K330" s="7564"/>
      <c r="L330" s="7041" t="s">
        <v>8166</v>
      </c>
    </row>
    <row r="331" spans="1:16" ht="30" customHeight="1" x14ac:dyDescent="0.2">
      <c r="A331" s="7654">
        <v>109</v>
      </c>
      <c r="B331" s="7652" t="s">
        <v>236</v>
      </c>
      <c r="C331" s="7723"/>
      <c r="D331" s="7563">
        <v>1000000000</v>
      </c>
      <c r="E331" s="7659">
        <v>0.05</v>
      </c>
      <c r="F331" s="7563">
        <f t="shared" si="23"/>
        <v>50000000</v>
      </c>
      <c r="G331" s="6643">
        <v>25000000</v>
      </c>
      <c r="H331" s="6643" t="s">
        <v>8164</v>
      </c>
      <c r="I331" s="6771" t="s">
        <v>4427</v>
      </c>
      <c r="J331" s="7563">
        <f>G331+G332</f>
        <v>50000000</v>
      </c>
      <c r="K331" s="7563">
        <f t="shared" ref="K331:K334" si="24">F331-J331</f>
        <v>0</v>
      </c>
      <c r="L331" s="6671"/>
    </row>
    <row r="332" spans="1:16" ht="30" customHeight="1" x14ac:dyDescent="0.2">
      <c r="A332" s="7655"/>
      <c r="B332" s="7653"/>
      <c r="C332" s="7724"/>
      <c r="D332" s="7564"/>
      <c r="E332" s="7660"/>
      <c r="F332" s="7564"/>
      <c r="G332" s="7059">
        <v>25000000</v>
      </c>
      <c r="H332" s="7059" t="s">
        <v>8215</v>
      </c>
      <c r="I332" s="7084" t="s">
        <v>4427</v>
      </c>
      <c r="J332" s="7564"/>
      <c r="K332" s="7564"/>
      <c r="L332" s="7066"/>
    </row>
    <row r="333" spans="1:16" ht="30" customHeight="1" x14ac:dyDescent="0.2">
      <c r="A333" s="6655"/>
      <c r="B333" s="19" t="s">
        <v>237</v>
      </c>
      <c r="C333" s="6710" t="s">
        <v>392</v>
      </c>
      <c r="D333" s="6635">
        <v>30000000</v>
      </c>
      <c r="E333" s="6705">
        <v>0.05</v>
      </c>
      <c r="F333" s="6643">
        <f>D333*E333</f>
        <v>1500000</v>
      </c>
      <c r="G333" s="6635"/>
      <c r="H333" s="6635"/>
      <c r="I333" s="6635" t="s">
        <v>550</v>
      </c>
      <c r="J333" s="6635">
        <f t="shared" ref="J333:J335" si="25">G333</f>
        <v>0</v>
      </c>
      <c r="K333" s="6643">
        <f t="shared" si="24"/>
        <v>1500000</v>
      </c>
      <c r="L333" s="6671"/>
    </row>
    <row r="334" spans="1:16" ht="30" customHeight="1" x14ac:dyDescent="0.2">
      <c r="A334" s="6708">
        <v>112</v>
      </c>
      <c r="B334" s="6665" t="s">
        <v>238</v>
      </c>
      <c r="C334" s="6710" t="s">
        <v>889</v>
      </c>
      <c r="D334" s="6643">
        <v>45000000</v>
      </c>
      <c r="E334" s="6705">
        <v>0.05</v>
      </c>
      <c r="F334" s="6643">
        <f t="shared" si="23"/>
        <v>2250000</v>
      </c>
      <c r="G334" s="6643">
        <v>2250000</v>
      </c>
      <c r="H334" s="6730" t="s">
        <v>8164</v>
      </c>
      <c r="I334" s="6730" t="s">
        <v>8183</v>
      </c>
      <c r="J334" s="6635">
        <f>G334</f>
        <v>2250000</v>
      </c>
      <c r="K334" s="6643">
        <f t="shared" si="24"/>
        <v>0</v>
      </c>
      <c r="L334" s="6783"/>
    </row>
    <row r="335" spans="1:16" ht="30" customHeight="1" x14ac:dyDescent="0.2">
      <c r="A335" s="6655"/>
      <c r="B335" s="6650" t="s">
        <v>6160</v>
      </c>
      <c r="C335" s="7723" t="s">
        <v>1176</v>
      </c>
      <c r="D335" s="6643">
        <v>250000000</v>
      </c>
      <c r="E335" s="6705">
        <v>0.05</v>
      </c>
      <c r="F335" s="6643">
        <f>D335*E335</f>
        <v>12500000</v>
      </c>
      <c r="G335" s="7563"/>
      <c r="H335" s="7563"/>
      <c r="I335" s="7563" t="s">
        <v>6264</v>
      </c>
      <c r="J335" s="7563">
        <f t="shared" si="25"/>
        <v>0</v>
      </c>
      <c r="K335" s="7563"/>
      <c r="L335" s="6671" t="s">
        <v>5469</v>
      </c>
    </row>
    <row r="336" spans="1:16" ht="30" customHeight="1" x14ac:dyDescent="0.2">
      <c r="A336" s="7654"/>
      <c r="B336" s="7652" t="s">
        <v>5469</v>
      </c>
      <c r="C336" s="7747"/>
      <c r="D336" s="6643">
        <v>120000000</v>
      </c>
      <c r="E336" s="6705">
        <v>0.05</v>
      </c>
      <c r="F336" s="6643">
        <f>D336*E336</f>
        <v>6000000</v>
      </c>
      <c r="G336" s="7586"/>
      <c r="H336" s="7586"/>
      <c r="I336" s="7586"/>
      <c r="J336" s="7586"/>
      <c r="K336" s="7586"/>
      <c r="L336" s="6671" t="s">
        <v>5560</v>
      </c>
    </row>
    <row r="337" spans="1:12" ht="30" customHeight="1" x14ac:dyDescent="0.2">
      <c r="A337" s="7656"/>
      <c r="B337" s="7665"/>
      <c r="C337" s="7747"/>
      <c r="D337" s="6643">
        <v>460000000</v>
      </c>
      <c r="E337" s="6705">
        <v>0.05</v>
      </c>
      <c r="F337" s="6643">
        <f>D337*E337</f>
        <v>23000000</v>
      </c>
      <c r="G337" s="7564"/>
      <c r="H337" s="7564"/>
      <c r="I337" s="7564"/>
      <c r="J337" s="7564"/>
      <c r="K337" s="7564"/>
      <c r="L337" s="6671" t="s">
        <v>5802</v>
      </c>
    </row>
    <row r="338" spans="1:12" ht="30" customHeight="1" x14ac:dyDescent="0.2">
      <c r="A338" s="7656"/>
      <c r="B338" s="7665"/>
      <c r="C338" s="7747"/>
      <c r="D338" s="6752">
        <f>SUM(D335:D337)</f>
        <v>830000000</v>
      </c>
      <c r="E338" s="6789">
        <v>0.08</v>
      </c>
      <c r="F338" s="6752">
        <f>D338*E338</f>
        <v>66400000</v>
      </c>
      <c r="G338" s="7732" t="s">
        <v>6159</v>
      </c>
      <c r="H338" s="7733"/>
      <c r="I338" s="7733"/>
      <c r="J338" s="7734"/>
      <c r="K338" s="6643"/>
      <c r="L338" s="6671" t="s">
        <v>6263</v>
      </c>
    </row>
    <row r="339" spans="1:12" ht="30" customHeight="1" x14ac:dyDescent="0.2">
      <c r="A339" s="7655"/>
      <c r="B339" s="7653"/>
      <c r="C339" s="7724"/>
      <c r="D339" s="6664">
        <v>1170000000</v>
      </c>
      <c r="E339" s="2519"/>
      <c r="F339" s="6664"/>
      <c r="G339" s="7850" t="s">
        <v>6165</v>
      </c>
      <c r="H339" s="7851"/>
      <c r="I339" s="7851"/>
      <c r="J339" s="7852"/>
      <c r="K339" s="6664"/>
      <c r="L339" s="6671" t="s">
        <v>6560</v>
      </c>
    </row>
    <row r="340" spans="1:12" ht="30" customHeight="1" x14ac:dyDescent="0.2">
      <c r="A340" s="6708">
        <v>114</v>
      </c>
      <c r="B340" s="6665" t="s">
        <v>240</v>
      </c>
      <c r="C340" s="6684"/>
      <c r="D340" s="6643">
        <v>100000000</v>
      </c>
      <c r="E340" s="6705">
        <v>4.4999999999999998E-2</v>
      </c>
      <c r="F340" s="6643">
        <f t="shared" si="23"/>
        <v>4500000</v>
      </c>
      <c r="G340" s="6643"/>
      <c r="H340" s="6643"/>
      <c r="I340" s="84"/>
      <c r="J340" s="6643">
        <f>G340</f>
        <v>0</v>
      </c>
      <c r="K340" s="6643">
        <f>F340-J340</f>
        <v>4500000</v>
      </c>
      <c r="L340" s="6665"/>
    </row>
    <row r="341" spans="1:12" ht="30" customHeight="1" x14ac:dyDescent="0.2">
      <c r="A341" s="7654"/>
      <c r="B341" s="7652" t="s">
        <v>243</v>
      </c>
      <c r="C341" s="7723" t="s">
        <v>889</v>
      </c>
      <c r="D341" s="6635">
        <v>445000000</v>
      </c>
      <c r="E341" s="6705">
        <v>4.4999999999999998E-2</v>
      </c>
      <c r="F341" s="6635">
        <v>20000000</v>
      </c>
      <c r="G341" s="6643">
        <v>10000000</v>
      </c>
      <c r="H341" s="6643" t="s">
        <v>3808</v>
      </c>
      <c r="I341" s="84" t="s">
        <v>2646</v>
      </c>
      <c r="J341" s="6643">
        <f>G341</f>
        <v>10000000</v>
      </c>
      <c r="K341" s="6643"/>
      <c r="L341" s="6742"/>
    </row>
    <row r="342" spans="1:12" ht="30" customHeight="1" x14ac:dyDescent="0.2">
      <c r="A342" s="7655"/>
      <c r="B342" s="7653"/>
      <c r="C342" s="7724"/>
      <c r="D342" s="6663">
        <v>500000000</v>
      </c>
      <c r="E342" s="6668">
        <v>4.4999999999999998E-2</v>
      </c>
      <c r="F342" s="6663">
        <f>D342*E342</f>
        <v>22500000</v>
      </c>
      <c r="G342" s="6642"/>
      <c r="H342" s="6642"/>
      <c r="I342" s="6760"/>
      <c r="J342" s="6642"/>
      <c r="K342" s="6642"/>
      <c r="L342" s="6783" t="s">
        <v>7216</v>
      </c>
    </row>
    <row r="343" spans="1:12" ht="30" customHeight="1" x14ac:dyDescent="0.2">
      <c r="A343" s="7654">
        <v>118</v>
      </c>
      <c r="B343" s="7652" t="s">
        <v>244</v>
      </c>
      <c r="C343" s="7723" t="s">
        <v>4223</v>
      </c>
      <c r="D343" s="7563">
        <v>33000000</v>
      </c>
      <c r="E343" s="7659">
        <v>0.05</v>
      </c>
      <c r="F343" s="7563">
        <f>D343*E343</f>
        <v>1650000</v>
      </c>
      <c r="G343" s="7563">
        <v>1650000</v>
      </c>
      <c r="H343" s="7563" t="s">
        <v>8215</v>
      </c>
      <c r="I343" s="8148" t="s">
        <v>3529</v>
      </c>
      <c r="J343" s="7563">
        <f>G343</f>
        <v>1650000</v>
      </c>
      <c r="K343" s="7563">
        <f>F343-J343</f>
        <v>0</v>
      </c>
      <c r="L343" s="6742"/>
    </row>
    <row r="344" spans="1:12" ht="30" customHeight="1" x14ac:dyDescent="0.2">
      <c r="A344" s="7656"/>
      <c r="B344" s="7665"/>
      <c r="C344" s="7724"/>
      <c r="D344" s="7564"/>
      <c r="E344" s="7660"/>
      <c r="F344" s="7564"/>
      <c r="G344" s="7564"/>
      <c r="H344" s="7564"/>
      <c r="I344" s="8149"/>
      <c r="J344" s="7564"/>
      <c r="K344" s="7564"/>
      <c r="L344" s="6742"/>
    </row>
    <row r="345" spans="1:12" ht="30" customHeight="1" x14ac:dyDescent="0.2">
      <c r="A345" s="7654">
        <v>120</v>
      </c>
      <c r="B345" s="7652" t="s">
        <v>246</v>
      </c>
      <c r="C345" s="7723" t="s">
        <v>371</v>
      </c>
      <c r="D345" s="7297">
        <v>617000000</v>
      </c>
      <c r="E345" s="2519">
        <v>7.0000000000000007E-2</v>
      </c>
      <c r="F345" s="7297">
        <v>43200000</v>
      </c>
      <c r="G345" s="6643">
        <v>100000000</v>
      </c>
      <c r="H345" s="6730" t="s">
        <v>4919</v>
      </c>
      <c r="I345" s="6730" t="s">
        <v>2866</v>
      </c>
      <c r="J345" s="7563">
        <f>G345+G346</f>
        <v>200000000</v>
      </c>
      <c r="K345" s="7563"/>
      <c r="L345" s="6783" t="s">
        <v>8414</v>
      </c>
    </row>
    <row r="346" spans="1:12" ht="30" customHeight="1" x14ac:dyDescent="0.2">
      <c r="A346" s="7655"/>
      <c r="B346" s="7653"/>
      <c r="C346" s="7724"/>
      <c r="D346" s="6643"/>
      <c r="E346" s="6649"/>
      <c r="F346" s="6643"/>
      <c r="G346" s="6852">
        <v>100000000</v>
      </c>
      <c r="H346" s="6869" t="s">
        <v>4919</v>
      </c>
      <c r="I346" s="6869" t="s">
        <v>2866</v>
      </c>
      <c r="J346" s="7564"/>
      <c r="K346" s="7564"/>
      <c r="L346" s="7350" t="s">
        <v>8413</v>
      </c>
    </row>
    <row r="347" spans="1:12" ht="30" customHeight="1" x14ac:dyDescent="0.2">
      <c r="A347" s="7654">
        <v>123</v>
      </c>
      <c r="B347" s="7652" t="s">
        <v>1650</v>
      </c>
      <c r="C347" s="7723" t="s">
        <v>1176</v>
      </c>
      <c r="D347" s="6635">
        <v>60000000</v>
      </c>
      <c r="E347" s="6705">
        <v>0.05</v>
      </c>
      <c r="F347" s="6635">
        <f t="shared" si="23"/>
        <v>3000000</v>
      </c>
      <c r="G347" s="7563">
        <v>12400000</v>
      </c>
      <c r="H347" s="7563" t="s">
        <v>8245</v>
      </c>
      <c r="I347" s="7561" t="s">
        <v>7734</v>
      </c>
      <c r="J347" s="7563">
        <f>G347</f>
        <v>12400000</v>
      </c>
      <c r="K347" s="7563"/>
      <c r="L347" s="345" t="s">
        <v>8405</v>
      </c>
    </row>
    <row r="348" spans="1:12" ht="30" customHeight="1" x14ac:dyDescent="0.2">
      <c r="A348" s="7656"/>
      <c r="B348" s="7665"/>
      <c r="C348" s="7747"/>
      <c r="D348" s="6640">
        <v>20000000</v>
      </c>
      <c r="E348" s="6705">
        <v>7.0000000000000007E-2</v>
      </c>
      <c r="F348" s="6635">
        <f t="shared" si="23"/>
        <v>1400000.0000000002</v>
      </c>
      <c r="G348" s="7586"/>
      <c r="H348" s="7586"/>
      <c r="I348" s="7672"/>
      <c r="J348" s="7586"/>
      <c r="K348" s="7586"/>
      <c r="L348" s="6783" t="s">
        <v>7377</v>
      </c>
    </row>
    <row r="349" spans="1:12" ht="30" customHeight="1" x14ac:dyDescent="0.2">
      <c r="A349" s="7656"/>
      <c r="B349" s="7665"/>
      <c r="C349" s="7747"/>
      <c r="D349" s="6640">
        <v>52000000</v>
      </c>
      <c r="E349" s="6705">
        <v>0.05</v>
      </c>
      <c r="F349" s="6635">
        <f>D349*E349</f>
        <v>2600000</v>
      </c>
      <c r="G349" s="7564"/>
      <c r="H349" s="7564"/>
      <c r="I349" s="7562"/>
      <c r="J349" s="7564"/>
      <c r="K349" s="7564"/>
      <c r="L349" s="6783" t="s">
        <v>7378</v>
      </c>
    </row>
    <row r="350" spans="1:12" ht="30" customHeight="1" x14ac:dyDescent="0.2">
      <c r="A350" s="7655"/>
      <c r="B350" s="7653"/>
      <c r="C350" s="7724"/>
      <c r="D350" s="6640">
        <v>120000000</v>
      </c>
      <c r="E350" s="6705"/>
      <c r="F350" s="6635"/>
      <c r="G350" s="7732" t="s">
        <v>7733</v>
      </c>
      <c r="H350" s="7733"/>
      <c r="I350" s="7733"/>
      <c r="J350" s="7734"/>
      <c r="K350" s="6642"/>
      <c r="L350" s="6783" t="s">
        <v>7266</v>
      </c>
    </row>
    <row r="351" spans="1:12" ht="30" customHeight="1" x14ac:dyDescent="0.2">
      <c r="A351" s="7654">
        <v>124</v>
      </c>
      <c r="B351" s="7652" t="s">
        <v>250</v>
      </c>
      <c r="C351" s="7723" t="s">
        <v>392</v>
      </c>
      <c r="D351" s="6642">
        <v>800000000</v>
      </c>
      <c r="E351" s="6648">
        <v>6.2E-2</v>
      </c>
      <c r="F351" s="6642">
        <v>50000000</v>
      </c>
      <c r="G351" s="6641">
        <v>25000000</v>
      </c>
      <c r="H351" s="6641" t="s">
        <v>8215</v>
      </c>
      <c r="I351" s="6688" t="s">
        <v>5605</v>
      </c>
      <c r="J351" s="6641">
        <f t="shared" ref="J351:J373" si="26">G351</f>
        <v>25000000</v>
      </c>
      <c r="K351" s="6641">
        <f>F351-J351</f>
        <v>25000000</v>
      </c>
      <c r="L351" s="6716"/>
    </row>
    <row r="352" spans="1:12" ht="30" customHeight="1" x14ac:dyDescent="0.2">
      <c r="A352" s="7655"/>
      <c r="B352" s="7653"/>
      <c r="C352" s="7724"/>
      <c r="D352" s="7056">
        <v>150000000</v>
      </c>
      <c r="E352" s="7077">
        <v>7.0000000000000007E-2</v>
      </c>
      <c r="F352" s="7056">
        <f>D352*E352</f>
        <v>10500000.000000002</v>
      </c>
      <c r="G352" s="7057">
        <v>10500000</v>
      </c>
      <c r="H352" s="7057" t="s">
        <v>5244</v>
      </c>
      <c r="I352" s="7070" t="s">
        <v>5605</v>
      </c>
      <c r="J352" s="7057">
        <f>G352</f>
        <v>10500000</v>
      </c>
      <c r="K352" s="7057">
        <f>F352-J352</f>
        <v>0</v>
      </c>
      <c r="L352" s="7075" t="s">
        <v>8236</v>
      </c>
    </row>
    <row r="353" spans="1:12" ht="30" customHeight="1" x14ac:dyDescent="0.2">
      <c r="A353" s="7654">
        <v>125</v>
      </c>
      <c r="B353" s="7652" t="s">
        <v>251</v>
      </c>
      <c r="C353" s="6710" t="s">
        <v>392</v>
      </c>
      <c r="D353" s="6635">
        <v>200000000</v>
      </c>
      <c r="E353" s="6705">
        <v>0.06</v>
      </c>
      <c r="F353" s="6635">
        <f>D353*E353</f>
        <v>12000000</v>
      </c>
      <c r="G353" s="6635">
        <v>12000000</v>
      </c>
      <c r="H353" s="6635" t="s">
        <v>8111</v>
      </c>
      <c r="I353" s="6715" t="s">
        <v>1630</v>
      </c>
      <c r="J353" s="6635">
        <f t="shared" si="26"/>
        <v>12000000</v>
      </c>
      <c r="K353" s="6635">
        <f t="shared" ref="K353:K368" si="27">F353-J353</f>
        <v>0</v>
      </c>
      <c r="L353" s="6783"/>
    </row>
    <row r="354" spans="1:12" ht="30" customHeight="1" x14ac:dyDescent="0.2">
      <c r="A354" s="7656"/>
      <c r="B354" s="7665"/>
      <c r="C354" s="6710" t="s">
        <v>1287</v>
      </c>
      <c r="D354" s="6635">
        <v>100000000</v>
      </c>
      <c r="E354" s="6705">
        <v>0.06</v>
      </c>
      <c r="F354" s="6635">
        <f>D354*E354</f>
        <v>6000000</v>
      </c>
      <c r="G354" s="6635">
        <v>6000000</v>
      </c>
      <c r="H354" s="6635" t="s">
        <v>8164</v>
      </c>
      <c r="I354" s="6715" t="s">
        <v>8177</v>
      </c>
      <c r="J354" s="6635">
        <f>G354</f>
        <v>6000000</v>
      </c>
      <c r="K354" s="6635">
        <f>F354-J354</f>
        <v>0</v>
      </c>
      <c r="L354" s="378"/>
    </row>
    <row r="355" spans="1:12" ht="30" customHeight="1" x14ac:dyDescent="0.2">
      <c r="A355" s="7656"/>
      <c r="B355" s="7665"/>
      <c r="C355" s="7723" t="s">
        <v>1081</v>
      </c>
      <c r="D355" s="7563">
        <v>1500000000</v>
      </c>
      <c r="E355" s="7659">
        <v>0.08</v>
      </c>
      <c r="F355" s="7563">
        <f>D355*E355</f>
        <v>120000000</v>
      </c>
      <c r="G355" s="6635">
        <v>40000000</v>
      </c>
      <c r="H355" s="6635" t="s">
        <v>8245</v>
      </c>
      <c r="I355" s="7292" t="s">
        <v>2805</v>
      </c>
      <c r="J355" s="7563">
        <f>G355+G356+G357+G358</f>
        <v>40000000</v>
      </c>
      <c r="K355" s="7563">
        <f>F355-J355</f>
        <v>80000000</v>
      </c>
      <c r="L355" s="7350" t="s">
        <v>4927</v>
      </c>
    </row>
    <row r="356" spans="1:12" ht="30" customHeight="1" x14ac:dyDescent="0.2">
      <c r="A356" s="7656"/>
      <c r="B356" s="7665"/>
      <c r="C356" s="7747"/>
      <c r="D356" s="7586"/>
      <c r="E356" s="7676"/>
      <c r="F356" s="7586"/>
      <c r="G356" s="6635"/>
      <c r="H356" s="6635"/>
      <c r="I356" s="6635" t="s">
        <v>2805</v>
      </c>
      <c r="J356" s="7586"/>
      <c r="K356" s="7586"/>
      <c r="L356" s="378"/>
    </row>
    <row r="357" spans="1:12" ht="30" customHeight="1" x14ac:dyDescent="0.2">
      <c r="A357" s="7656"/>
      <c r="B357" s="7665"/>
      <c r="C357" s="7747"/>
      <c r="D357" s="7586"/>
      <c r="E357" s="7676"/>
      <c r="F357" s="7586"/>
      <c r="G357" s="6635"/>
      <c r="H357" s="6635"/>
      <c r="I357" s="6635" t="s">
        <v>7796</v>
      </c>
      <c r="J357" s="7586"/>
      <c r="K357" s="7586"/>
      <c r="L357" s="6783"/>
    </row>
    <row r="358" spans="1:12" ht="30" customHeight="1" x14ac:dyDescent="0.2">
      <c r="A358" s="7656"/>
      <c r="B358" s="7665"/>
      <c r="C358" s="7747"/>
      <c r="D358" s="7586"/>
      <c r="E358" s="7676"/>
      <c r="F358" s="7586"/>
      <c r="G358" s="6635"/>
      <c r="H358" s="6635"/>
      <c r="I358" s="6635" t="s">
        <v>3525</v>
      </c>
      <c r="J358" s="7564"/>
      <c r="K358" s="7564"/>
      <c r="L358" s="6783"/>
    </row>
    <row r="359" spans="1:12" ht="30" customHeight="1" x14ac:dyDescent="0.2">
      <c r="A359" s="7655"/>
      <c r="B359" s="7653"/>
      <c r="C359" s="7724"/>
      <c r="D359" s="7564"/>
      <c r="E359" s="7660"/>
      <c r="F359" s="7564"/>
      <c r="G359" s="6635"/>
      <c r="H359" s="6635"/>
      <c r="I359" s="6635" t="s">
        <v>7221</v>
      </c>
      <c r="J359" s="6635">
        <f>G359</f>
        <v>0</v>
      </c>
      <c r="K359" s="6643">
        <f>F355-J359</f>
        <v>120000000</v>
      </c>
      <c r="L359" s="345" t="s">
        <v>6687</v>
      </c>
    </row>
    <row r="360" spans="1:12" ht="30" customHeight="1" x14ac:dyDescent="0.2">
      <c r="A360" s="6655"/>
      <c r="B360" s="6713" t="s">
        <v>4853</v>
      </c>
      <c r="C360" s="6684"/>
      <c r="D360" s="6664">
        <v>100000000</v>
      </c>
      <c r="E360" s="6669"/>
      <c r="F360" s="6664"/>
      <c r="G360" s="233"/>
      <c r="H360" s="233"/>
      <c r="I360" s="233"/>
      <c r="J360" s="233"/>
      <c r="K360" s="6643"/>
      <c r="L360" s="6717"/>
    </row>
    <row r="361" spans="1:12" ht="30" customHeight="1" x14ac:dyDescent="0.2">
      <c r="A361" s="7038"/>
      <c r="B361" s="7028" t="s">
        <v>5492</v>
      </c>
      <c r="C361" s="7039" t="s">
        <v>1176</v>
      </c>
      <c r="D361" s="7020">
        <v>250000000</v>
      </c>
      <c r="E361" s="7037">
        <v>0.06</v>
      </c>
      <c r="F361" s="7020">
        <f>D361*E361</f>
        <v>15000000</v>
      </c>
      <c r="G361" s="7020">
        <v>15000000</v>
      </c>
      <c r="H361" s="7020" t="s">
        <v>8164</v>
      </c>
      <c r="I361" s="7020" t="s">
        <v>7525</v>
      </c>
      <c r="J361" s="7020">
        <f>G361</f>
        <v>15000000</v>
      </c>
      <c r="K361" s="7020">
        <f>F361-J361</f>
        <v>0</v>
      </c>
      <c r="L361" s="6716"/>
    </row>
    <row r="362" spans="1:12" ht="30" customHeight="1" x14ac:dyDescent="0.2">
      <c r="A362" s="7654">
        <v>127</v>
      </c>
      <c r="B362" s="7652" t="s">
        <v>253</v>
      </c>
      <c r="C362" s="7723" t="s">
        <v>889</v>
      </c>
      <c r="D362" s="7563">
        <v>800000000</v>
      </c>
      <c r="E362" s="7659">
        <v>0.05</v>
      </c>
      <c r="F362" s="7563">
        <f t="shared" si="23"/>
        <v>40000000</v>
      </c>
      <c r="G362" s="6635">
        <v>20000000</v>
      </c>
      <c r="H362" s="6635" t="s">
        <v>8164</v>
      </c>
      <c r="I362" s="6715" t="s">
        <v>3505</v>
      </c>
      <c r="J362" s="7563">
        <f>G362+G363</f>
        <v>20000000</v>
      </c>
      <c r="K362" s="7563">
        <f t="shared" si="27"/>
        <v>20000000</v>
      </c>
      <c r="L362" s="6726" t="s">
        <v>6198</v>
      </c>
    </row>
    <row r="363" spans="1:12" ht="30" customHeight="1" x14ac:dyDescent="0.2">
      <c r="A363" s="7655"/>
      <c r="B363" s="7653"/>
      <c r="C363" s="7724"/>
      <c r="D363" s="7564"/>
      <c r="E363" s="7660"/>
      <c r="F363" s="7564"/>
      <c r="G363" s="6643"/>
      <c r="H363" s="6643"/>
      <c r="I363" s="6771" t="s">
        <v>2540</v>
      </c>
      <c r="J363" s="7564"/>
      <c r="K363" s="7564"/>
      <c r="L363" s="6726"/>
    </row>
    <row r="364" spans="1:12" ht="30" customHeight="1" x14ac:dyDescent="0.2">
      <c r="A364" s="6708">
        <v>128</v>
      </c>
      <c r="B364" s="6665" t="s">
        <v>254</v>
      </c>
      <c r="C364" s="6684"/>
      <c r="D364" s="6664"/>
      <c r="E364" s="6669"/>
      <c r="F364" s="6664">
        <f t="shared" si="23"/>
        <v>0</v>
      </c>
      <c r="G364" s="6643"/>
      <c r="H364" s="6643"/>
      <c r="I364" s="6771"/>
      <c r="J364" s="6643">
        <f t="shared" si="26"/>
        <v>0</v>
      </c>
      <c r="K364" s="6664">
        <f t="shared" si="27"/>
        <v>0</v>
      </c>
      <c r="L364" s="6665"/>
    </row>
    <row r="365" spans="1:12" ht="30" customHeight="1" x14ac:dyDescent="0.2">
      <c r="A365" s="7361"/>
      <c r="B365" s="7360" t="s">
        <v>5214</v>
      </c>
      <c r="C365" s="7369"/>
      <c r="D365" s="7358">
        <v>270000000</v>
      </c>
      <c r="E365" s="7362">
        <v>0.06</v>
      </c>
      <c r="F365" s="7358">
        <v>16000000</v>
      </c>
      <c r="G365" s="6641">
        <v>19000000</v>
      </c>
      <c r="H365" s="6641" t="s">
        <v>5244</v>
      </c>
      <c r="I365" s="6645" t="s">
        <v>8477</v>
      </c>
      <c r="J365" s="6641">
        <f>G365</f>
        <v>19000000</v>
      </c>
      <c r="K365" s="6641">
        <f>F365-J365</f>
        <v>-3000000</v>
      </c>
      <c r="L365" s="6670"/>
    </row>
    <row r="366" spans="1:12" ht="30" customHeight="1" x14ac:dyDescent="0.2">
      <c r="A366" s="7885"/>
      <c r="B366" s="7652" t="s">
        <v>1171</v>
      </c>
      <c r="C366" s="7723" t="s">
        <v>1299</v>
      </c>
      <c r="D366" s="7563">
        <v>90000000</v>
      </c>
      <c r="E366" s="7659">
        <v>0.05</v>
      </c>
      <c r="F366" s="7563">
        <f>D366*E366</f>
        <v>4500000</v>
      </c>
      <c r="G366" s="6644"/>
      <c r="H366" s="6644"/>
      <c r="I366" s="6644" t="s">
        <v>1693</v>
      </c>
      <c r="J366" s="6644">
        <f t="shared" si="26"/>
        <v>0</v>
      </c>
      <c r="K366" s="6635">
        <f t="shared" si="27"/>
        <v>4500000</v>
      </c>
      <c r="L366" s="6742" t="s">
        <v>7844</v>
      </c>
    </row>
    <row r="367" spans="1:12" ht="30" customHeight="1" x14ac:dyDescent="0.2">
      <c r="A367" s="7886"/>
      <c r="B367" s="7653"/>
      <c r="C367" s="7724"/>
      <c r="D367" s="7564"/>
      <c r="E367" s="7660"/>
      <c r="F367" s="7564"/>
      <c r="G367" s="6641"/>
      <c r="H367" s="6641"/>
      <c r="I367" s="6641" t="s">
        <v>6757</v>
      </c>
      <c r="J367" s="6641">
        <f t="shared" si="26"/>
        <v>0</v>
      </c>
      <c r="K367" s="6641"/>
      <c r="L367" s="4026" t="s">
        <v>7670</v>
      </c>
    </row>
    <row r="368" spans="1:12" ht="30" customHeight="1" x14ac:dyDescent="0.2">
      <c r="A368" s="7654">
        <v>131</v>
      </c>
      <c r="B368" s="7652" t="s">
        <v>256</v>
      </c>
      <c r="C368" s="7723"/>
      <c r="D368" s="7563">
        <v>400000000</v>
      </c>
      <c r="E368" s="7659">
        <v>0.05</v>
      </c>
      <c r="F368" s="7563">
        <f>D368*E368</f>
        <v>20000000</v>
      </c>
      <c r="G368" s="6641">
        <v>10000000</v>
      </c>
      <c r="H368" s="6641" t="s">
        <v>7987</v>
      </c>
      <c r="I368" s="6641" t="s">
        <v>3436</v>
      </c>
      <c r="J368" s="7563">
        <f>G368+G369</f>
        <v>20000000</v>
      </c>
      <c r="K368" s="7563">
        <f t="shared" si="27"/>
        <v>0</v>
      </c>
      <c r="L368" s="6726"/>
    </row>
    <row r="369" spans="1:12" ht="30" customHeight="1" x14ac:dyDescent="0.2">
      <c r="A369" s="7655"/>
      <c r="B369" s="7653"/>
      <c r="C369" s="7724"/>
      <c r="D369" s="7564"/>
      <c r="E369" s="7660"/>
      <c r="F369" s="7564"/>
      <c r="G369" s="6641">
        <v>10000000</v>
      </c>
      <c r="H369" s="6641" t="s">
        <v>6460</v>
      </c>
      <c r="I369" s="6641" t="s">
        <v>3436</v>
      </c>
      <c r="J369" s="7564"/>
      <c r="K369" s="7564"/>
      <c r="L369" s="6726"/>
    </row>
    <row r="370" spans="1:12" ht="30" customHeight="1" x14ac:dyDescent="0.2">
      <c r="A370" s="7654"/>
      <c r="B370" s="7652" t="s">
        <v>1218</v>
      </c>
      <c r="C370" s="7723" t="s">
        <v>1652</v>
      </c>
      <c r="D370" s="7563">
        <v>490000000</v>
      </c>
      <c r="E370" s="7659">
        <v>0.06</v>
      </c>
      <c r="F370" s="7563">
        <v>29500000</v>
      </c>
      <c r="G370" s="6635">
        <v>9500000</v>
      </c>
      <c r="H370" s="6635" t="s">
        <v>7987</v>
      </c>
      <c r="I370" s="6635" t="s">
        <v>4897</v>
      </c>
      <c r="J370" s="7563">
        <f>G370+G371</f>
        <v>29500000</v>
      </c>
      <c r="K370" s="7563">
        <f>F370-J370</f>
        <v>0</v>
      </c>
      <c r="L370" s="6670"/>
    </row>
    <row r="371" spans="1:12" ht="30" customHeight="1" x14ac:dyDescent="0.2">
      <c r="A371" s="7655"/>
      <c r="B371" s="7653"/>
      <c r="C371" s="7724"/>
      <c r="D371" s="7564"/>
      <c r="E371" s="7660"/>
      <c r="F371" s="7564"/>
      <c r="G371" s="6643">
        <v>20000000</v>
      </c>
      <c r="H371" s="6643" t="s">
        <v>8215</v>
      </c>
      <c r="I371" s="6635" t="s">
        <v>4897</v>
      </c>
      <c r="J371" s="7564"/>
      <c r="K371" s="7564"/>
      <c r="L371" s="6670"/>
    </row>
    <row r="372" spans="1:12" ht="30" customHeight="1" x14ac:dyDescent="0.2">
      <c r="A372" s="6708">
        <v>133</v>
      </c>
      <c r="B372" s="6652" t="s">
        <v>175</v>
      </c>
      <c r="C372" s="6684" t="s">
        <v>1718</v>
      </c>
      <c r="D372" s="6643">
        <v>100000000</v>
      </c>
      <c r="E372" s="6649">
        <v>0.05</v>
      </c>
      <c r="F372" s="6643">
        <f t="shared" ref="F372:F487" si="28">D372*E372</f>
        <v>5000000</v>
      </c>
      <c r="G372" s="6643"/>
      <c r="H372" s="6643"/>
      <c r="I372" s="6771" t="s">
        <v>7524</v>
      </c>
      <c r="J372" s="6643">
        <f t="shared" si="26"/>
        <v>0</v>
      </c>
      <c r="K372" s="6643">
        <f t="shared" ref="K372:K377" si="29">F372-J372</f>
        <v>5000000</v>
      </c>
      <c r="L372" s="6670"/>
    </row>
    <row r="373" spans="1:12" ht="30" customHeight="1" x14ac:dyDescent="0.2">
      <c r="A373" s="6653">
        <v>134</v>
      </c>
      <c r="B373" s="6711" t="s">
        <v>166</v>
      </c>
      <c r="C373" s="6710" t="s">
        <v>1652</v>
      </c>
      <c r="D373" s="6635">
        <v>110000000</v>
      </c>
      <c r="E373" s="6705">
        <v>0.04</v>
      </c>
      <c r="F373" s="6635">
        <f t="shared" si="28"/>
        <v>4400000</v>
      </c>
      <c r="G373" s="6643">
        <v>4400000</v>
      </c>
      <c r="H373" s="6643" t="s">
        <v>6460</v>
      </c>
      <c r="I373" s="6771" t="s">
        <v>4099</v>
      </c>
      <c r="J373" s="6635">
        <f t="shared" si="26"/>
        <v>4400000</v>
      </c>
      <c r="K373" s="6641">
        <f t="shared" si="29"/>
        <v>0</v>
      </c>
      <c r="L373" s="6660"/>
    </row>
    <row r="374" spans="1:12" ht="30" customHeight="1" x14ac:dyDescent="0.2">
      <c r="A374" s="7654">
        <v>135</v>
      </c>
      <c r="B374" s="7652" t="s">
        <v>4363</v>
      </c>
      <c r="C374" s="6683" t="s">
        <v>1299</v>
      </c>
      <c r="D374" s="6641">
        <v>124000000</v>
      </c>
      <c r="E374" s="6647">
        <v>4.9000000000000002E-2</v>
      </c>
      <c r="F374" s="6641">
        <v>6000000</v>
      </c>
      <c r="G374" s="6943">
        <v>7500000</v>
      </c>
      <c r="H374" s="6943" t="s">
        <v>8366</v>
      </c>
      <c r="I374" s="6949" t="s">
        <v>1549</v>
      </c>
      <c r="J374" s="6943">
        <f>G374</f>
        <v>7500000</v>
      </c>
      <c r="K374" s="6943">
        <f>F374-J374</f>
        <v>-1500000</v>
      </c>
      <c r="L374" s="6958"/>
    </row>
    <row r="375" spans="1:12" ht="30" customHeight="1" x14ac:dyDescent="0.2">
      <c r="A375" s="7655"/>
      <c r="B375" s="7653"/>
      <c r="C375" s="6710" t="s">
        <v>392</v>
      </c>
      <c r="D375" s="6635">
        <v>250000000</v>
      </c>
      <c r="E375" s="6705">
        <v>0.05</v>
      </c>
      <c r="F375" s="6635">
        <f>D375*E375</f>
        <v>12500000</v>
      </c>
      <c r="G375" s="6943">
        <v>18000000</v>
      </c>
      <c r="H375" s="6943" t="s">
        <v>8073</v>
      </c>
      <c r="I375" s="6949" t="s">
        <v>1549</v>
      </c>
      <c r="J375" s="6943">
        <f>G375</f>
        <v>18000000</v>
      </c>
      <c r="K375" s="6943">
        <f>F375-J375</f>
        <v>-5500000</v>
      </c>
      <c r="L375" s="6958" t="s">
        <v>8101</v>
      </c>
    </row>
    <row r="376" spans="1:12" ht="30" customHeight="1" x14ac:dyDescent="0.2">
      <c r="A376" s="6653">
        <v>136</v>
      </c>
      <c r="B376" s="6665" t="s">
        <v>4002</v>
      </c>
      <c r="C376" s="6710"/>
      <c r="D376" s="6644"/>
      <c r="E376" s="2519"/>
      <c r="F376" s="6644">
        <f t="shared" si="28"/>
        <v>0</v>
      </c>
      <c r="G376" s="6635"/>
      <c r="H376" s="6635"/>
      <c r="I376" s="6675" t="s">
        <v>3968</v>
      </c>
      <c r="J376" s="6635">
        <f>G376</f>
        <v>0</v>
      </c>
      <c r="K376" s="6644">
        <f t="shared" si="29"/>
        <v>0</v>
      </c>
      <c r="L376" s="6670"/>
    </row>
    <row r="377" spans="1:12" ht="30" customHeight="1" x14ac:dyDescent="0.2">
      <c r="A377" s="6653"/>
      <c r="B377" s="6650" t="s">
        <v>257</v>
      </c>
      <c r="C377" s="6686" t="s">
        <v>1652</v>
      </c>
      <c r="D377" s="6643">
        <v>100000000</v>
      </c>
      <c r="E377" s="6705">
        <v>0.05</v>
      </c>
      <c r="F377" s="6643">
        <f>D377*E377</f>
        <v>5000000</v>
      </c>
      <c r="G377" s="6642"/>
      <c r="H377" s="6642"/>
      <c r="I377" s="1610" t="s">
        <v>4003</v>
      </c>
      <c r="J377" s="6642">
        <f>G377</f>
        <v>0</v>
      </c>
      <c r="K377" s="6642">
        <f t="shared" si="29"/>
        <v>5000000</v>
      </c>
      <c r="L377" s="6726"/>
    </row>
    <row r="378" spans="1:12" ht="30" customHeight="1" x14ac:dyDescent="0.2">
      <c r="A378" s="7654"/>
      <c r="B378" s="7652" t="s">
        <v>8487</v>
      </c>
      <c r="C378" s="7723"/>
      <c r="D378" s="7563"/>
      <c r="E378" s="7659"/>
      <c r="F378" s="7563"/>
      <c r="G378" s="7732" t="s">
        <v>8488</v>
      </c>
      <c r="H378" s="7733"/>
      <c r="I378" s="7733"/>
      <c r="J378" s="7734"/>
      <c r="K378" s="7394"/>
      <c r="L378" s="7416"/>
    </row>
    <row r="379" spans="1:12" ht="30" customHeight="1" x14ac:dyDescent="0.2">
      <c r="A379" s="7655"/>
      <c r="B379" s="7653"/>
      <c r="C379" s="7724"/>
      <c r="D379" s="7564"/>
      <c r="E379" s="7660"/>
      <c r="F379" s="7564"/>
      <c r="G379" s="7732" t="s">
        <v>8490</v>
      </c>
      <c r="H379" s="7733"/>
      <c r="I379" s="7733"/>
      <c r="J379" s="7734"/>
      <c r="K379" s="7396"/>
      <c r="L379" s="7404"/>
    </row>
    <row r="380" spans="1:12" ht="30" customHeight="1" x14ac:dyDescent="0.2">
      <c r="A380" s="7654"/>
      <c r="B380" s="7652" t="s">
        <v>179</v>
      </c>
      <c r="C380" s="7723" t="s">
        <v>1176</v>
      </c>
      <c r="D380" s="6635">
        <v>80000000</v>
      </c>
      <c r="E380" s="6705">
        <v>0.05</v>
      </c>
      <c r="F380" s="6635">
        <f>D380*E380</f>
        <v>4000000</v>
      </c>
      <c r="G380" s="7563">
        <v>6100000</v>
      </c>
      <c r="H380" s="7563" t="s">
        <v>8164</v>
      </c>
      <c r="I380" s="7563" t="s">
        <v>1711</v>
      </c>
      <c r="J380" s="7563">
        <f>G380</f>
        <v>6100000</v>
      </c>
      <c r="K380" s="7563">
        <f>(F380+F381)-J380</f>
        <v>0</v>
      </c>
      <c r="L380" s="7713"/>
    </row>
    <row r="381" spans="1:12" ht="30" customHeight="1" x14ac:dyDescent="0.2">
      <c r="A381" s="7655"/>
      <c r="B381" s="7653"/>
      <c r="C381" s="7724"/>
      <c r="D381" s="6641">
        <v>30000000</v>
      </c>
      <c r="E381" s="6647">
        <v>7.0000000000000007E-2</v>
      </c>
      <c r="F381" s="6641">
        <f>D381*E381</f>
        <v>2100000</v>
      </c>
      <c r="G381" s="7564"/>
      <c r="H381" s="7564"/>
      <c r="I381" s="7564"/>
      <c r="J381" s="7564"/>
      <c r="K381" s="7564"/>
      <c r="L381" s="7714"/>
    </row>
    <row r="382" spans="1:12" ht="30" customHeight="1" x14ac:dyDescent="0.2">
      <c r="A382" s="7654">
        <v>138</v>
      </c>
      <c r="B382" s="7652" t="s">
        <v>259</v>
      </c>
      <c r="C382" s="7723" t="s">
        <v>1172</v>
      </c>
      <c r="D382" s="7563">
        <v>1500000000</v>
      </c>
      <c r="E382" s="7659">
        <v>7.0000000000000007E-2</v>
      </c>
      <c r="F382" s="7563">
        <f>D382*E382</f>
        <v>105000000.00000001</v>
      </c>
      <c r="G382" s="6635">
        <v>20000000</v>
      </c>
      <c r="H382" s="6635" t="s">
        <v>7987</v>
      </c>
      <c r="I382" s="6635" t="s">
        <v>7535</v>
      </c>
      <c r="J382" s="7563">
        <f>G382+G383+G385+G384</f>
        <v>55000000</v>
      </c>
      <c r="K382" s="7563">
        <f>F382-J382</f>
        <v>50000000.000000015</v>
      </c>
      <c r="L382" s="180"/>
    </row>
    <row r="383" spans="1:12" ht="30" customHeight="1" x14ac:dyDescent="0.2">
      <c r="A383" s="7656"/>
      <c r="B383" s="7665"/>
      <c r="C383" s="7747"/>
      <c r="D383" s="7586"/>
      <c r="E383" s="7676"/>
      <c r="F383" s="7586"/>
      <c r="G383" s="6635">
        <v>25000000</v>
      </c>
      <c r="H383" s="6635" t="s">
        <v>8111</v>
      </c>
      <c r="I383" s="6635" t="s">
        <v>7535</v>
      </c>
      <c r="J383" s="7586"/>
      <c r="K383" s="7586"/>
      <c r="L383" s="180"/>
    </row>
    <row r="384" spans="1:12" ht="30" customHeight="1" x14ac:dyDescent="0.2">
      <c r="A384" s="7656"/>
      <c r="B384" s="7665"/>
      <c r="C384" s="7747"/>
      <c r="D384" s="7586"/>
      <c r="E384" s="7676"/>
      <c r="F384" s="7586"/>
      <c r="G384" s="6989">
        <v>10000000</v>
      </c>
      <c r="H384" s="6989" t="s">
        <v>8156</v>
      </c>
      <c r="I384" s="6986" t="s">
        <v>7535</v>
      </c>
      <c r="J384" s="7586"/>
      <c r="K384" s="7586"/>
      <c r="L384" s="180"/>
    </row>
    <row r="385" spans="1:12" ht="30" customHeight="1" x14ac:dyDescent="0.2">
      <c r="A385" s="7655"/>
      <c r="B385" s="7653"/>
      <c r="C385" s="7724"/>
      <c r="D385" s="7564"/>
      <c r="E385" s="7660"/>
      <c r="F385" s="7564"/>
      <c r="G385" s="6643"/>
      <c r="H385" s="6643"/>
      <c r="I385" s="6635" t="s">
        <v>7535</v>
      </c>
      <c r="J385" s="7564"/>
      <c r="K385" s="7564"/>
      <c r="L385" s="180"/>
    </row>
    <row r="386" spans="1:12" ht="30" customHeight="1" x14ac:dyDescent="0.2">
      <c r="A386" s="6708">
        <v>139</v>
      </c>
      <c r="B386" s="19" t="s">
        <v>160</v>
      </c>
      <c r="C386" s="6684" t="s">
        <v>1718</v>
      </c>
      <c r="D386" s="6635">
        <v>110000000</v>
      </c>
      <c r="E386" s="6705">
        <v>0.05</v>
      </c>
      <c r="F386" s="6635">
        <f t="shared" si="28"/>
        <v>5500000</v>
      </c>
      <c r="G386" s="6643">
        <v>5500000</v>
      </c>
      <c r="H386" s="6643" t="s">
        <v>8142</v>
      </c>
      <c r="I386" s="6796" t="s">
        <v>2757</v>
      </c>
      <c r="J386" s="6635">
        <f>G386</f>
        <v>5500000</v>
      </c>
      <c r="K386" s="6635">
        <f>F386-J386</f>
        <v>0</v>
      </c>
      <c r="L386" s="19"/>
    </row>
    <row r="387" spans="1:12" ht="30" customHeight="1" x14ac:dyDescent="0.2">
      <c r="A387" s="6708"/>
      <c r="B387" s="19" t="s">
        <v>2270</v>
      </c>
      <c r="C387" s="6684" t="s">
        <v>262</v>
      </c>
      <c r="D387" s="6635">
        <v>50000000</v>
      </c>
      <c r="E387" s="6705">
        <v>0.05</v>
      </c>
      <c r="F387" s="6635">
        <f>D387*E387</f>
        <v>2500000</v>
      </c>
      <c r="G387" s="6643">
        <v>2500000</v>
      </c>
      <c r="H387" s="6643" t="s">
        <v>5200</v>
      </c>
      <c r="I387" s="6796" t="s">
        <v>1734</v>
      </c>
      <c r="J387" s="6635">
        <f>G387</f>
        <v>2500000</v>
      </c>
      <c r="K387" s="6635">
        <f>F387-J387</f>
        <v>0</v>
      </c>
      <c r="L387" s="19"/>
    </row>
    <row r="388" spans="1:12" ht="30" customHeight="1" x14ac:dyDescent="0.2">
      <c r="A388" s="6708">
        <v>140</v>
      </c>
      <c r="B388" s="19" t="s">
        <v>533</v>
      </c>
      <c r="C388" s="6710" t="s">
        <v>372</v>
      </c>
      <c r="D388" s="6635">
        <v>150000000</v>
      </c>
      <c r="E388" s="6705">
        <v>0.04</v>
      </c>
      <c r="F388" s="6635">
        <f t="shared" si="28"/>
        <v>6000000</v>
      </c>
      <c r="G388" s="6643"/>
      <c r="H388" s="6643"/>
      <c r="I388" s="18" t="s">
        <v>2682</v>
      </c>
      <c r="J388" s="6643">
        <f>G388</f>
        <v>0</v>
      </c>
      <c r="K388" s="6643">
        <f>F388-J388</f>
        <v>6000000</v>
      </c>
      <c r="L388" s="6742"/>
    </row>
    <row r="389" spans="1:12" ht="30" customHeight="1" x14ac:dyDescent="0.2">
      <c r="A389" s="6708">
        <v>141</v>
      </c>
      <c r="B389" s="19" t="s">
        <v>7</v>
      </c>
      <c r="C389" s="6710"/>
      <c r="D389" s="6635">
        <v>30000000</v>
      </c>
      <c r="E389" s="6705">
        <v>0.05</v>
      </c>
      <c r="F389" s="6635">
        <f t="shared" si="28"/>
        <v>1500000</v>
      </c>
      <c r="G389" s="6643"/>
      <c r="H389" s="6643"/>
      <c r="I389" s="6771" t="s">
        <v>535</v>
      </c>
      <c r="J389" s="6643">
        <f>G389</f>
        <v>0</v>
      </c>
      <c r="K389" s="6643">
        <f>F389-J389</f>
        <v>1500000</v>
      </c>
      <c r="L389" s="6670"/>
    </row>
    <row r="390" spans="1:12" ht="30" customHeight="1" x14ac:dyDescent="0.2">
      <c r="A390" s="7654">
        <v>142</v>
      </c>
      <c r="B390" s="7652" t="s">
        <v>8</v>
      </c>
      <c r="C390" s="7723"/>
      <c r="D390" s="7563">
        <v>2000000000</v>
      </c>
      <c r="E390" s="7659">
        <v>0.08</v>
      </c>
      <c r="F390" s="7563">
        <f>D390*E390</f>
        <v>160000000</v>
      </c>
      <c r="G390" s="6635"/>
      <c r="H390" s="6635"/>
      <c r="I390" s="6635" t="s">
        <v>1937</v>
      </c>
      <c r="J390" s="7482">
        <f>G390+G391</f>
        <v>0</v>
      </c>
      <c r="K390" s="7482">
        <f>F390-J390</f>
        <v>160000000</v>
      </c>
      <c r="L390" s="637"/>
    </row>
    <row r="391" spans="1:12" ht="30" customHeight="1" x14ac:dyDescent="0.2">
      <c r="A391" s="7656"/>
      <c r="B391" s="7665"/>
      <c r="C391" s="7747"/>
      <c r="D391" s="7586"/>
      <c r="E391" s="7676"/>
      <c r="F391" s="7586"/>
      <c r="G391" s="6635"/>
      <c r="H391" s="6635"/>
      <c r="I391" s="6635" t="s">
        <v>1937</v>
      </c>
      <c r="J391" s="7482"/>
      <c r="K391" s="7482"/>
      <c r="L391" s="180"/>
    </row>
    <row r="392" spans="1:12" ht="30" customHeight="1" x14ac:dyDescent="0.2">
      <c r="A392" s="7656"/>
      <c r="B392" s="7665"/>
      <c r="C392" s="7747"/>
      <c r="D392" s="7586"/>
      <c r="E392" s="7676"/>
      <c r="F392" s="7586"/>
      <c r="G392" s="6728"/>
      <c r="H392" s="6728"/>
      <c r="I392" s="4841"/>
      <c r="J392" s="7563"/>
      <c r="K392" s="7563"/>
      <c r="L392" s="180"/>
    </row>
    <row r="393" spans="1:12" ht="30" customHeight="1" x14ac:dyDescent="0.2">
      <c r="A393" s="7656"/>
      <c r="B393" s="7665"/>
      <c r="C393" s="7747"/>
      <c r="D393" s="7586"/>
      <c r="E393" s="7676"/>
      <c r="F393" s="7586"/>
      <c r="G393" s="6728"/>
      <c r="H393" s="6728"/>
      <c r="I393" s="4858"/>
      <c r="J393" s="7586"/>
      <c r="K393" s="7586"/>
      <c r="L393" s="180"/>
    </row>
    <row r="394" spans="1:12" ht="30" customHeight="1" x14ac:dyDescent="0.2">
      <c r="A394" s="7656"/>
      <c r="B394" s="7665"/>
      <c r="C394" s="7747"/>
      <c r="D394" s="7586"/>
      <c r="E394" s="7676"/>
      <c r="F394" s="7586"/>
      <c r="G394" s="6728"/>
      <c r="H394" s="6728"/>
      <c r="I394" s="1455"/>
      <c r="J394" s="7586"/>
      <c r="K394" s="7586"/>
      <c r="L394" s="180"/>
    </row>
    <row r="395" spans="1:12" ht="30" customHeight="1" x14ac:dyDescent="0.2">
      <c r="A395" s="7656"/>
      <c r="B395" s="7665"/>
      <c r="C395" s="7747"/>
      <c r="D395" s="7586"/>
      <c r="E395" s="7676"/>
      <c r="F395" s="7586"/>
      <c r="G395" s="6728"/>
      <c r="H395" s="6728"/>
      <c r="I395" s="1455"/>
      <c r="J395" s="7586"/>
      <c r="K395" s="7586"/>
      <c r="L395" s="6726"/>
    </row>
    <row r="396" spans="1:12" ht="30" customHeight="1" x14ac:dyDescent="0.2">
      <c r="A396" s="7655"/>
      <c r="B396" s="7653"/>
      <c r="C396" s="7724"/>
      <c r="D396" s="7564"/>
      <c r="E396" s="7660"/>
      <c r="F396" s="7564"/>
      <c r="G396" s="6728"/>
      <c r="H396" s="6728"/>
      <c r="I396" s="1455"/>
      <c r="J396" s="7564"/>
      <c r="K396" s="7564"/>
      <c r="L396" s="6726"/>
    </row>
    <row r="397" spans="1:12" ht="30" customHeight="1" x14ac:dyDescent="0.2">
      <c r="A397" s="7654">
        <v>143</v>
      </c>
      <c r="B397" s="7652" t="s">
        <v>4146</v>
      </c>
      <c r="C397" s="7723"/>
      <c r="D397" s="6635">
        <v>50000000</v>
      </c>
      <c r="E397" s="6705">
        <v>0.04</v>
      </c>
      <c r="F397" s="6635">
        <f t="shared" si="28"/>
        <v>2000000</v>
      </c>
      <c r="G397" s="6635"/>
      <c r="H397" s="6635"/>
      <c r="I397" s="6796" t="s">
        <v>6231</v>
      </c>
      <c r="J397" s="6635">
        <f>G397</f>
        <v>0</v>
      </c>
      <c r="K397" s="6635">
        <f>F397-J397</f>
        <v>2000000</v>
      </c>
      <c r="L397" s="6742" t="s">
        <v>4925</v>
      </c>
    </row>
    <row r="398" spans="1:12" ht="30" customHeight="1" x14ac:dyDescent="0.2">
      <c r="A398" s="7655"/>
      <c r="B398" s="7653"/>
      <c r="C398" s="7724"/>
      <c r="D398" s="6769">
        <v>50000000</v>
      </c>
      <c r="E398" s="6789">
        <v>0.06</v>
      </c>
      <c r="F398" s="6769">
        <f t="shared" si="28"/>
        <v>3000000</v>
      </c>
      <c r="G398" s="6635"/>
      <c r="H398" s="6635"/>
      <c r="I398" s="6796"/>
      <c r="J398" s="6635"/>
      <c r="K398" s="6643"/>
      <c r="L398" s="6742" t="s">
        <v>7853</v>
      </c>
    </row>
    <row r="399" spans="1:12" ht="30" customHeight="1" x14ac:dyDescent="0.2">
      <c r="A399" s="7654"/>
      <c r="B399" s="7652" t="s">
        <v>8505</v>
      </c>
      <c r="C399" s="7723"/>
      <c r="D399" s="7394">
        <v>10000000</v>
      </c>
      <c r="E399" s="7411">
        <v>0.05</v>
      </c>
      <c r="F399" s="7394">
        <f t="shared" si="28"/>
        <v>500000</v>
      </c>
      <c r="G399" s="7394"/>
      <c r="H399" s="7394"/>
      <c r="I399" s="7423"/>
      <c r="J399" s="7394"/>
      <c r="K399" s="7397"/>
      <c r="L399" s="7416" t="s">
        <v>8506</v>
      </c>
    </row>
    <row r="400" spans="1:12" ht="30" customHeight="1" x14ac:dyDescent="0.2">
      <c r="A400" s="7655"/>
      <c r="B400" s="7653"/>
      <c r="C400" s="7724"/>
      <c r="D400" s="7394">
        <v>18000000</v>
      </c>
      <c r="E400" s="7411">
        <v>0.05</v>
      </c>
      <c r="F400" s="7394">
        <v>1000000</v>
      </c>
      <c r="G400" s="7394"/>
      <c r="H400" s="7394"/>
      <c r="I400" s="7423"/>
      <c r="J400" s="7394"/>
      <c r="K400" s="7397"/>
      <c r="L400" s="7416" t="s">
        <v>8507</v>
      </c>
    </row>
    <row r="401" spans="1:12" ht="30" customHeight="1" x14ac:dyDescent="0.2">
      <c r="A401" s="7654"/>
      <c r="B401" s="7652" t="s">
        <v>7462</v>
      </c>
      <c r="C401" s="7723"/>
      <c r="D401" s="7494" t="s">
        <v>7592</v>
      </c>
      <c r="E401" s="7495"/>
      <c r="F401" s="7768"/>
      <c r="G401" s="6635"/>
      <c r="H401" s="6635"/>
      <c r="I401" s="6796" t="s">
        <v>7450</v>
      </c>
      <c r="J401" s="6635">
        <f>G401</f>
        <v>0</v>
      </c>
      <c r="K401" s="6643"/>
      <c r="L401" s="6742"/>
    </row>
    <row r="402" spans="1:12" ht="30" customHeight="1" x14ac:dyDescent="0.2">
      <c r="A402" s="7655"/>
      <c r="B402" s="7653"/>
      <c r="C402" s="7724"/>
      <c r="D402" s="7769"/>
      <c r="E402" s="7805"/>
      <c r="F402" s="7770"/>
      <c r="G402" s="6643"/>
      <c r="H402" s="6643"/>
      <c r="I402" s="52" t="s">
        <v>4815</v>
      </c>
      <c r="J402" s="6643">
        <f>G402</f>
        <v>0</v>
      </c>
      <c r="K402" s="6643"/>
      <c r="L402" s="6742"/>
    </row>
    <row r="403" spans="1:12" ht="30" customHeight="1" x14ac:dyDescent="0.2">
      <c r="A403" s="6708">
        <v>144</v>
      </c>
      <c r="B403" s="6665" t="s">
        <v>514</v>
      </c>
      <c r="C403" s="6684"/>
      <c r="D403" s="6643">
        <v>5000000</v>
      </c>
      <c r="E403" s="6705">
        <v>0.05</v>
      </c>
      <c r="F403" s="6643">
        <f t="shared" si="28"/>
        <v>250000</v>
      </c>
      <c r="G403" s="6643">
        <v>250000</v>
      </c>
      <c r="H403" s="6643" t="s">
        <v>7945</v>
      </c>
      <c r="I403" s="6771" t="s">
        <v>516</v>
      </c>
      <c r="J403" s="6643">
        <f>G403</f>
        <v>250000</v>
      </c>
      <c r="K403" s="6643">
        <f t="shared" ref="K403:K418" si="30">F403-J403</f>
        <v>0</v>
      </c>
      <c r="L403" s="6742"/>
    </row>
    <row r="404" spans="1:12" ht="30" customHeight="1" x14ac:dyDescent="0.2">
      <c r="A404" s="7654">
        <v>145</v>
      </c>
      <c r="B404" s="7652" t="s">
        <v>10</v>
      </c>
      <c r="C404" s="7723" t="s">
        <v>1172</v>
      </c>
      <c r="D404" s="6643">
        <v>100000000</v>
      </c>
      <c r="E404" s="6705">
        <v>0.05</v>
      </c>
      <c r="F404" s="6643">
        <f t="shared" si="28"/>
        <v>5000000</v>
      </c>
      <c r="G404" s="6643">
        <v>5000000</v>
      </c>
      <c r="H404" s="6643" t="s">
        <v>7987</v>
      </c>
      <c r="I404" s="18" t="s">
        <v>3525</v>
      </c>
      <c r="J404" s="6643">
        <f>G404</f>
        <v>5000000</v>
      </c>
      <c r="K404" s="6643">
        <f t="shared" si="30"/>
        <v>0</v>
      </c>
      <c r="L404" s="6665"/>
    </row>
    <row r="405" spans="1:12" ht="30" customHeight="1" x14ac:dyDescent="0.2">
      <c r="A405" s="7655"/>
      <c r="B405" s="7653"/>
      <c r="C405" s="7724"/>
      <c r="D405" s="6989">
        <v>45000000</v>
      </c>
      <c r="E405" s="7007">
        <v>0.05</v>
      </c>
      <c r="F405" s="6989">
        <f t="shared" si="28"/>
        <v>2250000</v>
      </c>
      <c r="G405" s="6989">
        <v>2250000</v>
      </c>
      <c r="H405" s="6989" t="s">
        <v>8111</v>
      </c>
      <c r="I405" s="96" t="s">
        <v>3525</v>
      </c>
      <c r="J405" s="6989">
        <f>G405</f>
        <v>2250000</v>
      </c>
      <c r="K405" s="6989">
        <f>F405-J405</f>
        <v>0</v>
      </c>
      <c r="L405" s="7017" t="s">
        <v>8119</v>
      </c>
    </row>
    <row r="406" spans="1:12" ht="30" customHeight="1" x14ac:dyDescent="0.2">
      <c r="A406" s="6708">
        <v>146</v>
      </c>
      <c r="B406" s="6665" t="s">
        <v>11</v>
      </c>
      <c r="C406" s="6684"/>
      <c r="D406" s="6643">
        <v>50000000</v>
      </c>
      <c r="E406" s="6705">
        <v>4.4999999999999998E-2</v>
      </c>
      <c r="F406" s="6643">
        <f t="shared" si="28"/>
        <v>2250000</v>
      </c>
      <c r="G406" s="6643"/>
      <c r="H406" s="6643"/>
      <c r="I406" s="6771"/>
      <c r="J406" s="6643"/>
      <c r="K406" s="6643">
        <f t="shared" si="30"/>
        <v>2250000</v>
      </c>
      <c r="L406" s="6665"/>
    </row>
    <row r="407" spans="1:12" ht="30" customHeight="1" x14ac:dyDescent="0.2">
      <c r="A407" s="7654">
        <v>147</v>
      </c>
      <c r="B407" s="7652" t="s">
        <v>12</v>
      </c>
      <c r="C407" s="7723" t="s">
        <v>1295</v>
      </c>
      <c r="D407" s="6643">
        <v>60000000</v>
      </c>
      <c r="E407" s="6705">
        <v>0.05</v>
      </c>
      <c r="F407" s="6643">
        <f t="shared" si="28"/>
        <v>3000000</v>
      </c>
      <c r="G407" s="7563"/>
      <c r="H407" s="7563"/>
      <c r="I407" s="8115" t="s">
        <v>4843</v>
      </c>
      <c r="J407" s="7563">
        <f>G407</f>
        <v>0</v>
      </c>
      <c r="K407" s="7563">
        <f>(F407+F408)-G407</f>
        <v>6500000</v>
      </c>
      <c r="L407" s="6741"/>
    </row>
    <row r="408" spans="1:12" ht="30" customHeight="1" x14ac:dyDescent="0.2">
      <c r="A408" s="7655"/>
      <c r="B408" s="7653"/>
      <c r="C408" s="7724"/>
      <c r="D408" s="6643">
        <v>70000000</v>
      </c>
      <c r="E408" s="6705">
        <v>0.05</v>
      </c>
      <c r="F408" s="6643">
        <f t="shared" si="28"/>
        <v>3500000</v>
      </c>
      <c r="G408" s="7564"/>
      <c r="H408" s="7564"/>
      <c r="I408" s="8116"/>
      <c r="J408" s="7564"/>
      <c r="K408" s="7564"/>
      <c r="L408" s="6783"/>
    </row>
    <row r="409" spans="1:12" ht="30" customHeight="1" x14ac:dyDescent="0.2">
      <c r="A409" s="6653">
        <v>148</v>
      </c>
      <c r="B409" s="6711" t="s">
        <v>13</v>
      </c>
      <c r="C409" s="6710" t="s">
        <v>371</v>
      </c>
      <c r="D409" s="6635">
        <v>50000000</v>
      </c>
      <c r="E409" s="6705">
        <v>0.05</v>
      </c>
      <c r="F409" s="6635">
        <f t="shared" si="28"/>
        <v>2500000</v>
      </c>
      <c r="G409" s="6635">
        <v>2500000</v>
      </c>
      <c r="H409" s="6635" t="s">
        <v>8398</v>
      </c>
      <c r="I409" s="6715" t="s">
        <v>1401</v>
      </c>
      <c r="J409" s="6635">
        <f t="shared" ref="J409:J416" si="31">G409</f>
        <v>2500000</v>
      </c>
      <c r="K409" s="6635">
        <f t="shared" si="30"/>
        <v>0</v>
      </c>
      <c r="L409" s="6783"/>
    </row>
    <row r="410" spans="1:12" ht="30" customHeight="1" x14ac:dyDescent="0.2">
      <c r="A410" s="7654">
        <v>149</v>
      </c>
      <c r="B410" s="7652" t="s">
        <v>14</v>
      </c>
      <c r="C410" s="7723" t="s">
        <v>1291</v>
      </c>
      <c r="D410" s="6635">
        <v>80000000</v>
      </c>
      <c r="E410" s="6705">
        <v>0.05</v>
      </c>
      <c r="F410" s="6635">
        <f t="shared" si="28"/>
        <v>4000000</v>
      </c>
      <c r="G410" s="6635">
        <v>2100000</v>
      </c>
      <c r="H410" s="6635" t="s">
        <v>8156</v>
      </c>
      <c r="I410" s="6796" t="s">
        <v>8161</v>
      </c>
      <c r="J410" s="6635">
        <f t="shared" si="31"/>
        <v>2100000</v>
      </c>
      <c r="K410" s="6635"/>
      <c r="L410" s="6783" t="s">
        <v>7157</v>
      </c>
    </row>
    <row r="411" spans="1:12" ht="30" customHeight="1" x14ac:dyDescent="0.2">
      <c r="A411" s="7655"/>
      <c r="B411" s="7653"/>
      <c r="C411" s="7724"/>
      <c r="D411" s="6679">
        <v>30000000</v>
      </c>
      <c r="E411" s="6777">
        <v>0.05</v>
      </c>
      <c r="F411" s="6679">
        <f t="shared" si="28"/>
        <v>1500000</v>
      </c>
      <c r="G411" s="7732" t="s">
        <v>7155</v>
      </c>
      <c r="H411" s="7733"/>
      <c r="I411" s="7733"/>
      <c r="J411" s="7734"/>
      <c r="K411" s="6643"/>
      <c r="L411" s="6716" t="s">
        <v>7156</v>
      </c>
    </row>
    <row r="412" spans="1:12" ht="30" customHeight="1" x14ac:dyDescent="0.2">
      <c r="A412" s="6708">
        <v>150</v>
      </c>
      <c r="B412" s="6665" t="s">
        <v>15</v>
      </c>
      <c r="C412" s="6684" t="s">
        <v>1294</v>
      </c>
      <c r="D412" s="6643">
        <v>160000000</v>
      </c>
      <c r="E412" s="6705">
        <v>0.04</v>
      </c>
      <c r="F412" s="6643">
        <f t="shared" si="28"/>
        <v>6400000</v>
      </c>
      <c r="G412" s="6643"/>
      <c r="H412" s="6643"/>
      <c r="I412" s="6771" t="s">
        <v>2986</v>
      </c>
      <c r="J412" s="6643">
        <f t="shared" si="31"/>
        <v>0</v>
      </c>
      <c r="K412" s="6643">
        <f t="shared" si="30"/>
        <v>6400000</v>
      </c>
      <c r="L412" s="6670"/>
    </row>
    <row r="413" spans="1:12" ht="30" customHeight="1" x14ac:dyDescent="0.2">
      <c r="A413" s="7654">
        <v>151</v>
      </c>
      <c r="B413" s="7652" t="s">
        <v>16</v>
      </c>
      <c r="C413" s="7723" t="s">
        <v>3390</v>
      </c>
      <c r="D413" s="7563">
        <v>200000000</v>
      </c>
      <c r="E413" s="7659">
        <v>0.05</v>
      </c>
      <c r="F413" s="7563">
        <f t="shared" si="28"/>
        <v>10000000</v>
      </c>
      <c r="G413" s="6635">
        <v>5000000</v>
      </c>
      <c r="H413" s="6635" t="s">
        <v>8316</v>
      </c>
      <c r="I413" s="7201" t="s">
        <v>2149</v>
      </c>
      <c r="J413" s="7563">
        <f>G413+G414</f>
        <v>10000000</v>
      </c>
      <c r="K413" s="7563">
        <f>F413-J413</f>
        <v>0</v>
      </c>
      <c r="L413" s="6783"/>
    </row>
    <row r="414" spans="1:12" ht="30" customHeight="1" x14ac:dyDescent="0.2">
      <c r="A414" s="7655"/>
      <c r="B414" s="7653"/>
      <c r="C414" s="7724"/>
      <c r="D414" s="7564"/>
      <c r="E414" s="7660"/>
      <c r="F414" s="7564"/>
      <c r="G414" s="6643">
        <v>5000000</v>
      </c>
      <c r="H414" s="6643" t="s">
        <v>8398</v>
      </c>
      <c r="I414" s="96" t="s">
        <v>2149</v>
      </c>
      <c r="J414" s="7564"/>
      <c r="K414" s="7564"/>
      <c r="L414" s="6783"/>
    </row>
    <row r="415" spans="1:12" ht="30" customHeight="1" x14ac:dyDescent="0.2">
      <c r="A415" s="6708">
        <v>153</v>
      </c>
      <c r="B415" s="6665" t="s">
        <v>17</v>
      </c>
      <c r="C415" s="6684" t="s">
        <v>1299</v>
      </c>
      <c r="D415" s="6643">
        <v>30000000</v>
      </c>
      <c r="E415" s="6705">
        <v>0.05</v>
      </c>
      <c r="F415" s="6643">
        <f t="shared" si="28"/>
        <v>1500000</v>
      </c>
      <c r="G415" s="6643">
        <v>1500000</v>
      </c>
      <c r="H415" s="6643" t="s">
        <v>3880</v>
      </c>
      <c r="I415" s="6771" t="s">
        <v>1143</v>
      </c>
      <c r="J415" s="6643">
        <f t="shared" si="31"/>
        <v>1500000</v>
      </c>
      <c r="K415" s="6643">
        <f t="shared" si="30"/>
        <v>0</v>
      </c>
      <c r="L415" s="6665"/>
    </row>
    <row r="416" spans="1:12" ht="30" customHeight="1" x14ac:dyDescent="0.2">
      <c r="A416" s="7654">
        <v>154</v>
      </c>
      <c r="B416" s="7652" t="s">
        <v>18</v>
      </c>
      <c r="C416" s="7723" t="s">
        <v>1796</v>
      </c>
      <c r="D416" s="7563">
        <v>15000000</v>
      </c>
      <c r="E416" s="7659">
        <v>7.0000000000000007E-2</v>
      </c>
      <c r="F416" s="7563">
        <f t="shared" si="28"/>
        <v>1050000</v>
      </c>
      <c r="G416" s="6643"/>
      <c r="H416" s="6643"/>
      <c r="I416" s="6771" t="s">
        <v>1278</v>
      </c>
      <c r="J416" s="6643">
        <f t="shared" si="31"/>
        <v>0</v>
      </c>
      <c r="K416" s="6643">
        <f t="shared" si="30"/>
        <v>1050000</v>
      </c>
      <c r="L416" s="6742"/>
    </row>
    <row r="417" spans="1:16" ht="30" customHeight="1" x14ac:dyDescent="0.2">
      <c r="A417" s="7655"/>
      <c r="B417" s="7653"/>
      <c r="C417" s="7724"/>
      <c r="D417" s="7564"/>
      <c r="E417" s="7660"/>
      <c r="F417" s="7564"/>
      <c r="G417" s="6643"/>
      <c r="H417" s="6643"/>
      <c r="I417" s="6771" t="s">
        <v>1278</v>
      </c>
      <c r="J417" s="6643">
        <f>G417</f>
        <v>0</v>
      </c>
      <c r="K417" s="6643">
        <f>F416-J417</f>
        <v>1050000</v>
      </c>
      <c r="L417" s="6742"/>
    </row>
    <row r="418" spans="1:16" ht="30" customHeight="1" x14ac:dyDescent="0.2">
      <c r="A418" s="6708">
        <v>155</v>
      </c>
      <c r="B418" s="6665" t="s">
        <v>19</v>
      </c>
      <c r="C418" s="6684"/>
      <c r="D418" s="6664"/>
      <c r="E418" s="2519"/>
      <c r="F418" s="6664">
        <f t="shared" si="28"/>
        <v>0</v>
      </c>
      <c r="G418" s="6643"/>
      <c r="H418" s="6643"/>
      <c r="I418" s="6771"/>
      <c r="J418" s="6643"/>
      <c r="K418" s="6664">
        <f t="shared" si="30"/>
        <v>0</v>
      </c>
      <c r="L418" s="6665"/>
    </row>
    <row r="419" spans="1:16" ht="30" customHeight="1" x14ac:dyDescent="0.2">
      <c r="A419" s="6653">
        <v>156</v>
      </c>
      <c r="B419" s="6711" t="s">
        <v>20</v>
      </c>
      <c r="C419" s="6684" t="s">
        <v>1287</v>
      </c>
      <c r="D419" s="6635">
        <v>50000000</v>
      </c>
      <c r="E419" s="6705">
        <v>0.04</v>
      </c>
      <c r="F419" s="6635">
        <f t="shared" si="28"/>
        <v>2000000</v>
      </c>
      <c r="G419" s="6643"/>
      <c r="H419" s="6643"/>
      <c r="I419" s="18" t="s">
        <v>5120</v>
      </c>
      <c r="J419" s="6635">
        <f>G419</f>
        <v>0</v>
      </c>
      <c r="K419" s="6635">
        <f>F419-J419</f>
        <v>2000000</v>
      </c>
      <c r="L419" s="6670"/>
      <c r="M419" s="366"/>
      <c r="N419" s="366"/>
      <c r="O419" s="366"/>
      <c r="P419" s="366"/>
    </row>
    <row r="420" spans="1:16" ht="30" customHeight="1" x14ac:dyDescent="0.2">
      <c r="A420" s="7703">
        <v>157</v>
      </c>
      <c r="B420" s="7652" t="s">
        <v>21</v>
      </c>
      <c r="C420" s="7723" t="s">
        <v>1294</v>
      </c>
      <c r="D420" s="6643">
        <v>20000000</v>
      </c>
      <c r="E420" s="6649">
        <v>0.05</v>
      </c>
      <c r="F420" s="6643">
        <f t="shared" si="28"/>
        <v>1000000</v>
      </c>
      <c r="G420" s="7563">
        <v>3000000</v>
      </c>
      <c r="H420" s="7563" t="s">
        <v>8111</v>
      </c>
      <c r="I420" s="7563" t="s">
        <v>4523</v>
      </c>
      <c r="J420" s="7563">
        <f>G420</f>
        <v>3000000</v>
      </c>
      <c r="K420" s="7563">
        <f>(F420+F421+F422)-J420</f>
        <v>0</v>
      </c>
      <c r="L420" s="8558"/>
      <c r="M420" s="366"/>
      <c r="N420" s="366"/>
      <c r="O420" s="366"/>
      <c r="P420" s="366"/>
    </row>
    <row r="421" spans="1:16" ht="30" customHeight="1" x14ac:dyDescent="0.2">
      <c r="A421" s="7704"/>
      <c r="B421" s="7665"/>
      <c r="C421" s="7747"/>
      <c r="D421" s="6643">
        <v>30000000</v>
      </c>
      <c r="E421" s="6649">
        <v>0.05</v>
      </c>
      <c r="F421" s="6643">
        <f t="shared" si="28"/>
        <v>1500000</v>
      </c>
      <c r="G421" s="7586"/>
      <c r="H421" s="7586"/>
      <c r="I421" s="7586"/>
      <c r="J421" s="7586"/>
      <c r="K421" s="7586"/>
      <c r="L421" s="8559"/>
      <c r="M421" s="366"/>
      <c r="N421" s="366"/>
      <c r="O421" s="366"/>
      <c r="P421" s="366"/>
    </row>
    <row r="422" spans="1:16" ht="30" customHeight="1" x14ac:dyDescent="0.2">
      <c r="A422" s="7704"/>
      <c r="B422" s="7665"/>
      <c r="C422" s="7747"/>
      <c r="D422" s="6635">
        <v>10000000</v>
      </c>
      <c r="E422" s="6705">
        <v>0.05</v>
      </c>
      <c r="F422" s="6635">
        <f>D422*E422</f>
        <v>500000</v>
      </c>
      <c r="G422" s="7564"/>
      <c r="H422" s="7564"/>
      <c r="I422" s="7564"/>
      <c r="J422" s="7564"/>
      <c r="K422" s="7564"/>
      <c r="L422" s="8560"/>
      <c r="M422" s="366"/>
      <c r="N422" s="366"/>
      <c r="O422" s="366"/>
      <c r="P422" s="366"/>
    </row>
    <row r="423" spans="1:16" ht="30" customHeight="1" x14ac:dyDescent="0.2">
      <c r="A423" s="7654"/>
      <c r="B423" s="7652" t="s">
        <v>822</v>
      </c>
      <c r="C423" s="7723" t="s">
        <v>1306</v>
      </c>
      <c r="D423" s="6643">
        <v>160000000</v>
      </c>
      <c r="E423" s="6649">
        <v>0.05</v>
      </c>
      <c r="F423" s="6643">
        <f>D423*E423</f>
        <v>8000000</v>
      </c>
      <c r="G423" s="7563">
        <v>10700000</v>
      </c>
      <c r="H423" s="7563" t="s">
        <v>8398</v>
      </c>
      <c r="I423" s="7563" t="s">
        <v>3129</v>
      </c>
      <c r="J423" s="7563">
        <f>G423</f>
        <v>10700000</v>
      </c>
      <c r="K423" s="7563">
        <f>(F423+F424)-J423</f>
        <v>0</v>
      </c>
      <c r="L423" s="6745"/>
      <c r="M423" s="233"/>
      <c r="N423" s="233"/>
      <c r="O423" s="233"/>
      <c r="P423" s="233"/>
    </row>
    <row r="424" spans="1:16" ht="30" customHeight="1" x14ac:dyDescent="0.2">
      <c r="A424" s="7656"/>
      <c r="B424" s="7653"/>
      <c r="C424" s="7724"/>
      <c r="D424" s="6643">
        <f>22000000+9200000+13800000</f>
        <v>45000000</v>
      </c>
      <c r="E424" s="6705">
        <v>0.06</v>
      </c>
      <c r="F424" s="6643">
        <f>D424*E424</f>
        <v>2700000</v>
      </c>
      <c r="G424" s="7564"/>
      <c r="H424" s="7564"/>
      <c r="I424" s="7564"/>
      <c r="J424" s="7564"/>
      <c r="K424" s="7564"/>
      <c r="L424" s="6745"/>
      <c r="M424" s="366"/>
      <c r="N424" s="366"/>
      <c r="O424" s="366"/>
      <c r="P424" s="366"/>
    </row>
    <row r="425" spans="1:16" ht="30" customHeight="1" x14ac:dyDescent="0.2">
      <c r="A425" s="6708">
        <v>160</v>
      </c>
      <c r="B425" s="6665" t="s">
        <v>23</v>
      </c>
      <c r="C425" s="6684"/>
      <c r="D425" s="6643">
        <v>55000000</v>
      </c>
      <c r="E425" s="6705">
        <v>0.05</v>
      </c>
      <c r="F425" s="6643">
        <f t="shared" si="28"/>
        <v>2750000</v>
      </c>
      <c r="G425" s="6643"/>
      <c r="H425" s="6643"/>
      <c r="I425" s="6771"/>
      <c r="J425" s="6643">
        <f t="shared" ref="J425:J426" si="32">G425</f>
        <v>0</v>
      </c>
      <c r="K425" s="6643">
        <f t="shared" ref="K425:K442" si="33">F425-J425</f>
        <v>2750000</v>
      </c>
      <c r="L425" s="6665"/>
      <c r="M425" s="366"/>
      <c r="N425" s="366"/>
      <c r="O425" s="366"/>
      <c r="P425" s="366"/>
    </row>
    <row r="426" spans="1:16" ht="30" customHeight="1" x14ac:dyDescent="0.2">
      <c r="A426" s="7115">
        <v>161</v>
      </c>
      <c r="B426" s="7116" t="s">
        <v>24</v>
      </c>
      <c r="C426" s="7131" t="s">
        <v>1306</v>
      </c>
      <c r="D426" s="7112">
        <v>20000000</v>
      </c>
      <c r="E426" s="7119">
        <v>4.4999999999999998E-2</v>
      </c>
      <c r="F426" s="7112">
        <f t="shared" si="28"/>
        <v>900000</v>
      </c>
      <c r="G426" s="7113">
        <v>900000</v>
      </c>
      <c r="H426" s="7113" t="s">
        <v>8267</v>
      </c>
      <c r="I426" s="7153" t="s">
        <v>721</v>
      </c>
      <c r="J426" s="7113">
        <f t="shared" si="32"/>
        <v>900000</v>
      </c>
      <c r="K426" s="6643">
        <f t="shared" si="33"/>
        <v>0</v>
      </c>
      <c r="L426" s="6665"/>
      <c r="M426" s="366"/>
      <c r="N426" s="366"/>
      <c r="O426" s="366"/>
      <c r="P426" s="366"/>
    </row>
    <row r="427" spans="1:16" ht="30" customHeight="1" x14ac:dyDescent="0.2">
      <c r="A427" s="6708">
        <v>162</v>
      </c>
      <c r="B427" s="7130" t="s">
        <v>25</v>
      </c>
      <c r="C427" s="7147" t="s">
        <v>262</v>
      </c>
      <c r="D427" s="7111">
        <v>270000000</v>
      </c>
      <c r="E427" s="7146">
        <v>0.05</v>
      </c>
      <c r="F427" s="7111">
        <f t="shared" si="28"/>
        <v>13500000</v>
      </c>
      <c r="G427" s="7111">
        <v>13500000</v>
      </c>
      <c r="H427" s="7111" t="s">
        <v>8247</v>
      </c>
      <c r="I427" s="7144" t="s">
        <v>4576</v>
      </c>
      <c r="J427" s="7111">
        <f>G427</f>
        <v>13500000</v>
      </c>
      <c r="K427" s="6641">
        <f>F427-J427</f>
        <v>0</v>
      </c>
      <c r="L427" s="6784"/>
      <c r="M427" s="366"/>
      <c r="N427" s="366"/>
      <c r="O427" s="366"/>
      <c r="P427" s="366"/>
    </row>
    <row r="428" spans="1:16" ht="30" customHeight="1" x14ac:dyDescent="0.2">
      <c r="A428" s="7654">
        <v>163</v>
      </c>
      <c r="B428" s="7652" t="s">
        <v>828</v>
      </c>
      <c r="C428" s="7723" t="s">
        <v>1306</v>
      </c>
      <c r="D428" s="6679">
        <v>200000000</v>
      </c>
      <c r="E428" s="6777">
        <v>0.06</v>
      </c>
      <c r="F428" s="6679">
        <f t="shared" si="28"/>
        <v>12000000</v>
      </c>
      <c r="G428" s="6635">
        <v>10000000</v>
      </c>
      <c r="H428" s="6635" t="s">
        <v>3808</v>
      </c>
      <c r="I428" s="6715" t="s">
        <v>3732</v>
      </c>
      <c r="J428" s="6635">
        <f>G428</f>
        <v>10000000</v>
      </c>
      <c r="K428" s="6635"/>
      <c r="L428" s="6784"/>
      <c r="M428" s="366"/>
      <c r="N428" s="366"/>
      <c r="O428" s="366"/>
      <c r="P428" s="366"/>
    </row>
    <row r="429" spans="1:16" ht="30" customHeight="1" x14ac:dyDescent="0.2">
      <c r="A429" s="7656"/>
      <c r="B429" s="7665"/>
      <c r="C429" s="7747"/>
      <c r="D429" s="6679">
        <v>50000000</v>
      </c>
      <c r="E429" s="6777">
        <v>7.0000000000000007E-2</v>
      </c>
      <c r="F429" s="6679">
        <f t="shared" si="28"/>
        <v>3500000.0000000005</v>
      </c>
      <c r="G429" s="7563">
        <v>22500000</v>
      </c>
      <c r="H429" s="7563" t="s">
        <v>8366</v>
      </c>
      <c r="I429" s="7561" t="s">
        <v>3732</v>
      </c>
      <c r="J429" s="7563">
        <f>G429</f>
        <v>22500000</v>
      </c>
      <c r="K429" s="7563">
        <f>(F428+F429+F430)-J429</f>
        <v>0</v>
      </c>
      <c r="L429" s="6784"/>
      <c r="M429" s="366"/>
      <c r="N429" s="366"/>
      <c r="O429" s="366"/>
      <c r="P429" s="366"/>
    </row>
    <row r="430" spans="1:16" ht="30" customHeight="1" x14ac:dyDescent="0.2">
      <c r="A430" s="7655"/>
      <c r="B430" s="7653"/>
      <c r="C430" s="7724"/>
      <c r="D430" s="6679">
        <v>100000000</v>
      </c>
      <c r="E430" s="6777">
        <v>7.0000000000000007E-2</v>
      </c>
      <c r="F430" s="6679">
        <f t="shared" si="28"/>
        <v>7000000.0000000009</v>
      </c>
      <c r="G430" s="7564"/>
      <c r="H430" s="7564"/>
      <c r="I430" s="7562"/>
      <c r="J430" s="7564"/>
      <c r="K430" s="7564"/>
      <c r="L430" s="6784"/>
      <c r="M430" s="366"/>
      <c r="N430" s="366"/>
      <c r="O430" s="366"/>
      <c r="P430" s="366"/>
    </row>
    <row r="431" spans="1:16" ht="30" customHeight="1" x14ac:dyDescent="0.2">
      <c r="A431" s="6653"/>
      <c r="B431" s="7171" t="s">
        <v>26</v>
      </c>
      <c r="C431" s="7177" t="s">
        <v>1306</v>
      </c>
      <c r="D431" s="6794">
        <v>50000000</v>
      </c>
      <c r="E431" s="6753">
        <v>0.06</v>
      </c>
      <c r="F431" s="6794">
        <f t="shared" si="28"/>
        <v>3000000</v>
      </c>
      <c r="G431" s="6643">
        <v>3000000</v>
      </c>
      <c r="H431" s="6643" t="s">
        <v>3880</v>
      </c>
      <c r="I431" s="6771" t="s">
        <v>7715</v>
      </c>
      <c r="J431" s="6643">
        <f>G431</f>
        <v>3000000</v>
      </c>
      <c r="K431" s="6643">
        <f>F431-J431</f>
        <v>0</v>
      </c>
      <c r="L431" s="6792" t="s">
        <v>7830</v>
      </c>
      <c r="M431" s="366"/>
      <c r="N431" s="366"/>
      <c r="O431" s="366"/>
      <c r="P431" s="366"/>
    </row>
    <row r="432" spans="1:16" ht="30" customHeight="1" x14ac:dyDescent="0.2">
      <c r="A432" s="7654">
        <v>166</v>
      </c>
      <c r="B432" s="7652" t="s">
        <v>28</v>
      </c>
      <c r="C432" s="7723" t="s">
        <v>551</v>
      </c>
      <c r="D432" s="7563">
        <v>100000000</v>
      </c>
      <c r="E432" s="7659">
        <v>0.05</v>
      </c>
      <c r="F432" s="7563">
        <f t="shared" si="28"/>
        <v>5000000</v>
      </c>
      <c r="G432" s="6643"/>
      <c r="H432" s="6643"/>
      <c r="I432" s="6796" t="s">
        <v>4123</v>
      </c>
      <c r="J432" s="6643">
        <f t="shared" ref="J432:J445" si="34">G432</f>
        <v>0</v>
      </c>
      <c r="K432" s="6643">
        <f t="shared" si="33"/>
        <v>5000000</v>
      </c>
      <c r="L432" s="6672"/>
      <c r="M432" s="366"/>
      <c r="N432" s="366"/>
      <c r="O432" s="366"/>
      <c r="P432" s="366"/>
    </row>
    <row r="433" spans="1:16" ht="30" customHeight="1" x14ac:dyDescent="0.2">
      <c r="A433" s="7655"/>
      <c r="B433" s="7653"/>
      <c r="C433" s="7724"/>
      <c r="D433" s="7564"/>
      <c r="E433" s="7660"/>
      <c r="F433" s="7564"/>
      <c r="G433" s="6643"/>
      <c r="H433" s="6643"/>
      <c r="I433" s="52" t="s">
        <v>4123</v>
      </c>
      <c r="J433" s="6643">
        <f t="shared" si="34"/>
        <v>0</v>
      </c>
      <c r="K433" s="6643">
        <f>F432-J433</f>
        <v>5000000</v>
      </c>
      <c r="L433" s="6672"/>
      <c r="M433" s="366"/>
      <c r="N433" s="366"/>
      <c r="O433" s="366"/>
      <c r="P433" s="366"/>
    </row>
    <row r="434" spans="1:16" ht="30" customHeight="1" x14ac:dyDescent="0.2">
      <c r="A434" s="7654">
        <v>167</v>
      </c>
      <c r="B434" s="7652" t="s">
        <v>737</v>
      </c>
      <c r="C434" s="7723" t="s">
        <v>1306</v>
      </c>
      <c r="D434" s="7482">
        <v>50000000</v>
      </c>
      <c r="E434" s="7870">
        <v>0.06</v>
      </c>
      <c r="F434" s="7482">
        <f t="shared" si="28"/>
        <v>3000000</v>
      </c>
      <c r="G434" s="6643">
        <v>5000000</v>
      </c>
      <c r="H434" s="6643" t="s">
        <v>7974</v>
      </c>
      <c r="I434" s="6771" t="s">
        <v>7696</v>
      </c>
      <c r="J434" s="6851">
        <f t="shared" si="34"/>
        <v>5000000</v>
      </c>
      <c r="K434" s="6643"/>
      <c r="L434" s="6665"/>
      <c r="M434" s="366"/>
      <c r="N434" s="366"/>
      <c r="O434" s="366"/>
      <c r="P434" s="366"/>
    </row>
    <row r="435" spans="1:16" ht="30" customHeight="1" x14ac:dyDescent="0.2">
      <c r="A435" s="7656"/>
      <c r="B435" s="7665"/>
      <c r="C435" s="7747"/>
      <c r="D435" s="7482"/>
      <c r="E435" s="7870"/>
      <c r="F435" s="7482"/>
      <c r="G435" s="6852">
        <v>5000000</v>
      </c>
      <c r="H435" s="6852" t="s">
        <v>7987</v>
      </c>
      <c r="I435" s="6872" t="s">
        <v>6637</v>
      </c>
      <c r="J435" s="6851">
        <f>G435</f>
        <v>5000000</v>
      </c>
      <c r="K435" s="6852"/>
      <c r="L435" s="6858"/>
      <c r="M435" s="366"/>
      <c r="N435" s="366"/>
      <c r="O435" s="366"/>
      <c r="P435" s="366"/>
    </row>
    <row r="436" spans="1:16" ht="30" customHeight="1" x14ac:dyDescent="0.2">
      <c r="A436" s="7656"/>
      <c r="B436" s="7665"/>
      <c r="C436" s="7747"/>
      <c r="D436" s="7482"/>
      <c r="E436" s="7870"/>
      <c r="F436" s="7482"/>
      <c r="G436" s="7022">
        <v>5000000</v>
      </c>
      <c r="H436" s="7022" t="s">
        <v>8186</v>
      </c>
      <c r="I436" s="7052" t="s">
        <v>6637</v>
      </c>
      <c r="J436" s="7022">
        <f>G436</f>
        <v>5000000</v>
      </c>
      <c r="K436" s="7022"/>
      <c r="L436" s="7028"/>
      <c r="M436" s="366"/>
      <c r="N436" s="366"/>
      <c r="O436" s="366"/>
      <c r="P436" s="366"/>
    </row>
    <row r="437" spans="1:16" ht="30" customHeight="1" x14ac:dyDescent="0.2">
      <c r="A437" s="7656"/>
      <c r="B437" s="7665"/>
      <c r="C437" s="7747"/>
      <c r="D437" s="7482"/>
      <c r="E437" s="7870"/>
      <c r="F437" s="7482"/>
      <c r="G437" s="7059">
        <v>3500000</v>
      </c>
      <c r="H437" s="7059" t="s">
        <v>8240</v>
      </c>
      <c r="I437" s="7084" t="s">
        <v>6637</v>
      </c>
      <c r="J437" s="7059">
        <f>G437</f>
        <v>3500000</v>
      </c>
      <c r="K437" s="7059"/>
      <c r="L437" s="7065"/>
      <c r="M437" s="366"/>
      <c r="N437" s="366"/>
      <c r="O437" s="366"/>
      <c r="P437" s="366"/>
    </row>
    <row r="438" spans="1:16" ht="30" customHeight="1" x14ac:dyDescent="0.2">
      <c r="A438" s="7655"/>
      <c r="B438" s="7653"/>
      <c r="C438" s="7724"/>
      <c r="D438" s="7470" t="s">
        <v>6636</v>
      </c>
      <c r="E438" s="7493"/>
      <c r="F438" s="7510"/>
      <c r="G438" s="6643"/>
      <c r="H438" s="6643"/>
      <c r="I438" s="6771" t="s">
        <v>6637</v>
      </c>
      <c r="J438" s="6643">
        <f>G438</f>
        <v>0</v>
      </c>
      <c r="K438" s="6643"/>
      <c r="L438" s="6792" t="s">
        <v>7395</v>
      </c>
      <c r="M438" s="366"/>
      <c r="N438" s="366"/>
      <c r="O438" s="366"/>
      <c r="P438" s="366"/>
    </row>
    <row r="439" spans="1:16" ht="30" customHeight="1" x14ac:dyDescent="0.2">
      <c r="A439" s="7654">
        <v>168</v>
      </c>
      <c r="B439" s="7710" t="s">
        <v>818</v>
      </c>
      <c r="C439" s="7813" t="s">
        <v>1306</v>
      </c>
      <c r="D439" s="6664">
        <v>50000000</v>
      </c>
      <c r="E439" s="2519">
        <v>7.0000000000000007E-2</v>
      </c>
      <c r="F439" s="6664">
        <f t="shared" si="28"/>
        <v>3500000.0000000005</v>
      </c>
      <c r="G439" s="6664"/>
      <c r="H439" s="6664"/>
      <c r="I439" s="56" t="s">
        <v>4908</v>
      </c>
      <c r="J439" s="6664">
        <f>G439</f>
        <v>0</v>
      </c>
      <c r="K439" s="909">
        <f t="shared" si="33"/>
        <v>3500000.0000000005</v>
      </c>
      <c r="L439" s="4389" t="s">
        <v>5215</v>
      </c>
      <c r="M439" s="366"/>
      <c r="N439" s="366"/>
      <c r="O439" s="366"/>
      <c r="P439" s="366"/>
    </row>
    <row r="440" spans="1:16" ht="30" customHeight="1" x14ac:dyDescent="0.2">
      <c r="A440" s="7656"/>
      <c r="B440" s="7711"/>
      <c r="C440" s="7814"/>
      <c r="D440" s="6664">
        <v>48000000</v>
      </c>
      <c r="E440" s="2519"/>
      <c r="F440" s="6664"/>
      <c r="G440" s="7594" t="s">
        <v>4856</v>
      </c>
      <c r="H440" s="8422"/>
      <c r="I440" s="8422"/>
      <c r="J440" s="8422"/>
      <c r="K440" s="8423"/>
      <c r="L440" s="4390" t="s">
        <v>5988</v>
      </c>
      <c r="M440" s="366"/>
      <c r="N440" s="366"/>
      <c r="O440" s="366"/>
      <c r="P440" s="366"/>
    </row>
    <row r="441" spans="1:16" ht="30" customHeight="1" x14ac:dyDescent="0.2">
      <c r="A441" s="7655"/>
      <c r="B441" s="7712"/>
      <c r="C441" s="7815"/>
      <c r="D441" s="6664">
        <v>70000000</v>
      </c>
      <c r="E441" s="2519"/>
      <c r="F441" s="6664"/>
      <c r="G441" s="909"/>
      <c r="H441" s="909"/>
      <c r="I441" s="909"/>
      <c r="J441" s="909"/>
      <c r="K441" s="4391"/>
      <c r="L441" s="4392" t="s">
        <v>5989</v>
      </c>
      <c r="M441" s="366"/>
      <c r="N441" s="366"/>
      <c r="O441" s="366"/>
      <c r="P441" s="366"/>
    </row>
    <row r="442" spans="1:16" ht="30" customHeight="1" x14ac:dyDescent="0.2">
      <c r="A442" s="7242"/>
      <c r="B442" s="7240" t="s">
        <v>29</v>
      </c>
      <c r="C442" s="7259" t="s">
        <v>1107</v>
      </c>
      <c r="D442" s="7236">
        <v>20000000</v>
      </c>
      <c r="E442" s="7244">
        <v>0.05</v>
      </c>
      <c r="F442" s="7236">
        <f>D442*E442</f>
        <v>1000000</v>
      </c>
      <c r="G442" s="7238">
        <v>1200000</v>
      </c>
      <c r="H442" s="7238" t="s">
        <v>8366</v>
      </c>
      <c r="I442" s="7238" t="s">
        <v>848</v>
      </c>
      <c r="J442" s="7238">
        <f t="shared" si="34"/>
        <v>1200000</v>
      </c>
      <c r="K442" s="6643">
        <f t="shared" si="33"/>
        <v>-200000</v>
      </c>
      <c r="L442" s="7732"/>
      <c r="M442" s="7733"/>
      <c r="N442" s="7733"/>
      <c r="O442" s="7733"/>
      <c r="P442" s="7734"/>
    </row>
    <row r="443" spans="1:16" ht="30" customHeight="1" x14ac:dyDescent="0.2">
      <c r="A443" s="7226">
        <v>170</v>
      </c>
      <c r="B443" s="7220" t="s">
        <v>30</v>
      </c>
      <c r="C443" s="7225" t="s">
        <v>1107</v>
      </c>
      <c r="D443" s="7203">
        <v>70000000</v>
      </c>
      <c r="E443" s="7224">
        <v>5.2999999999999999E-2</v>
      </c>
      <c r="F443" s="7203">
        <v>3700000</v>
      </c>
      <c r="G443" s="7203">
        <v>3700000</v>
      </c>
      <c r="H443" s="7203" t="s">
        <v>8339</v>
      </c>
      <c r="I443" s="7223" t="s">
        <v>1127</v>
      </c>
      <c r="J443" s="7203">
        <f t="shared" si="34"/>
        <v>3700000</v>
      </c>
      <c r="K443" s="6643">
        <f>F443-J443</f>
        <v>0</v>
      </c>
      <c r="L443" s="6792"/>
      <c r="M443" s="366"/>
      <c r="N443" s="366"/>
      <c r="O443" s="366"/>
      <c r="P443" s="366"/>
    </row>
    <row r="444" spans="1:16" ht="30" customHeight="1" x14ac:dyDescent="0.2">
      <c r="A444" s="7210">
        <v>171</v>
      </c>
      <c r="B444" s="7212" t="s">
        <v>31</v>
      </c>
      <c r="C444" s="6684" t="s">
        <v>1293</v>
      </c>
      <c r="D444" s="6643">
        <v>10000000</v>
      </c>
      <c r="E444" s="7214">
        <v>0.04</v>
      </c>
      <c r="F444" s="6643">
        <f>D444*E444</f>
        <v>400000</v>
      </c>
      <c r="G444" s="6643">
        <v>400000</v>
      </c>
      <c r="H444" s="6643" t="s">
        <v>8156</v>
      </c>
      <c r="I444" s="6771" t="s">
        <v>670</v>
      </c>
      <c r="J444" s="6643">
        <f t="shared" si="34"/>
        <v>400000</v>
      </c>
      <c r="K444" s="6643">
        <f>F444-J444</f>
        <v>0</v>
      </c>
      <c r="L444" s="6742"/>
    </row>
    <row r="445" spans="1:16" ht="30" customHeight="1" x14ac:dyDescent="0.2">
      <c r="A445" s="6653">
        <v>172</v>
      </c>
      <c r="B445" s="6711" t="s">
        <v>32</v>
      </c>
      <c r="C445" s="6710" t="s">
        <v>989</v>
      </c>
      <c r="D445" s="6643">
        <v>5000000</v>
      </c>
      <c r="E445" s="6705">
        <v>0.06</v>
      </c>
      <c r="F445" s="6643">
        <f t="shared" si="28"/>
        <v>300000</v>
      </c>
      <c r="G445" s="6643">
        <v>300000</v>
      </c>
      <c r="H445" s="6643" t="s">
        <v>3880</v>
      </c>
      <c r="I445" s="6771" t="s">
        <v>632</v>
      </c>
      <c r="J445" s="6643">
        <f t="shared" si="34"/>
        <v>300000</v>
      </c>
      <c r="K445" s="6643">
        <f>F445-J445</f>
        <v>0</v>
      </c>
      <c r="L445" s="6784"/>
    </row>
    <row r="446" spans="1:16" ht="30" customHeight="1" x14ac:dyDescent="0.2">
      <c r="A446" s="7654">
        <v>173</v>
      </c>
      <c r="B446" s="7652" t="s">
        <v>33</v>
      </c>
      <c r="C446" s="7723" t="s">
        <v>1306</v>
      </c>
      <c r="D446" s="6827"/>
      <c r="E446" s="2519"/>
      <c r="F446" s="6827"/>
      <c r="G446" s="6635">
        <v>500000</v>
      </c>
      <c r="H446" s="6635" t="s">
        <v>7945</v>
      </c>
      <c r="I446" s="6715" t="s">
        <v>838</v>
      </c>
      <c r="J446" s="6635">
        <f>G446</f>
        <v>500000</v>
      </c>
      <c r="K446" s="6635">
        <f>F446-J446</f>
        <v>-500000</v>
      </c>
      <c r="L446" s="4393"/>
    </row>
    <row r="447" spans="1:16" ht="30" customHeight="1" x14ac:dyDescent="0.2">
      <c r="A447" s="7655"/>
      <c r="B447" s="7653"/>
      <c r="C447" s="7724"/>
      <c r="D447" s="165"/>
      <c r="E447" s="165"/>
      <c r="F447" s="165"/>
      <c r="G447" s="6635"/>
      <c r="H447" s="6635"/>
      <c r="I447" s="6715" t="s">
        <v>3739</v>
      </c>
      <c r="J447" s="6635">
        <f>G447</f>
        <v>0</v>
      </c>
      <c r="K447" s="6635">
        <f>D446-J447</f>
        <v>0</v>
      </c>
      <c r="L447" s="4393"/>
    </row>
    <row r="448" spans="1:16" ht="30" customHeight="1" x14ac:dyDescent="0.2">
      <c r="A448" s="7654"/>
      <c r="B448" s="7652" t="s">
        <v>4266</v>
      </c>
      <c r="C448" s="7723" t="s">
        <v>1287</v>
      </c>
      <c r="D448" s="6644">
        <v>5730000000</v>
      </c>
      <c r="E448" s="2519">
        <v>0.08</v>
      </c>
      <c r="F448" s="6644">
        <f>D448*E448</f>
        <v>458400000</v>
      </c>
      <c r="G448" s="7732"/>
      <c r="H448" s="7733"/>
      <c r="I448" s="7733"/>
      <c r="J448" s="7734"/>
      <c r="K448" s="233"/>
      <c r="L448" s="6792" t="s">
        <v>6696</v>
      </c>
    </row>
    <row r="449" spans="1:12" ht="30" customHeight="1" x14ac:dyDescent="0.2">
      <c r="A449" s="7656"/>
      <c r="B449" s="7665"/>
      <c r="C449" s="7747"/>
      <c r="D449" s="6769">
        <v>10000000000</v>
      </c>
      <c r="E449" s="6789">
        <v>8.5000000000000006E-2</v>
      </c>
      <c r="F449" s="6769">
        <f>D449*E449</f>
        <v>850000000.00000012</v>
      </c>
      <c r="G449" s="7732" t="s">
        <v>6698</v>
      </c>
      <c r="H449" s="7733"/>
      <c r="I449" s="7733"/>
      <c r="J449" s="7734"/>
      <c r="K449" s="178"/>
      <c r="L449" s="6792" t="s">
        <v>6697</v>
      </c>
    </row>
    <row r="450" spans="1:12" ht="30" customHeight="1" x14ac:dyDescent="0.2">
      <c r="A450" s="7656"/>
      <c r="B450" s="7665"/>
      <c r="C450" s="7747"/>
      <c r="D450" s="7991" t="s">
        <v>8060</v>
      </c>
      <c r="E450" s="7992"/>
      <c r="F450" s="7993"/>
      <c r="G450" s="8611" t="s">
        <v>8096</v>
      </c>
      <c r="H450" s="8612"/>
      <c r="I450" s="8612"/>
      <c r="J450" s="8613"/>
      <c r="K450" s="178"/>
      <c r="L450" s="6792" t="s">
        <v>6700</v>
      </c>
    </row>
    <row r="451" spans="1:12" ht="30" customHeight="1" x14ac:dyDescent="0.2">
      <c r="A451" s="7656"/>
      <c r="B451" s="7665"/>
      <c r="C451" s="7747"/>
      <c r="D451" s="8000" t="s">
        <v>8058</v>
      </c>
      <c r="E451" s="8000"/>
      <c r="F451" s="8000"/>
      <c r="G451" s="8614"/>
      <c r="H451" s="8615"/>
      <c r="I451" s="8615"/>
      <c r="J451" s="8616"/>
      <c r="K451" s="178"/>
      <c r="L451" s="7200"/>
    </row>
    <row r="452" spans="1:12" ht="30" customHeight="1" x14ac:dyDescent="0.2">
      <c r="A452" s="7656"/>
      <c r="B452" s="7665"/>
      <c r="C452" s="7747"/>
      <c r="D452" s="8000"/>
      <c r="E452" s="8000"/>
      <c r="F452" s="8000"/>
      <c r="G452" s="8617"/>
      <c r="H452" s="8618"/>
      <c r="I452" s="8618"/>
      <c r="J452" s="8619"/>
      <c r="K452" s="178"/>
      <c r="L452" s="7200"/>
    </row>
    <row r="453" spans="1:12" ht="30" customHeight="1" x14ac:dyDescent="0.2">
      <c r="A453" s="7656"/>
      <c r="B453" s="7665"/>
      <c r="C453" s="7747"/>
      <c r="D453" s="8000" t="s">
        <v>8059</v>
      </c>
      <c r="E453" s="8000"/>
      <c r="F453" s="8000"/>
      <c r="G453" s="7991" t="s">
        <v>8098</v>
      </c>
      <c r="H453" s="7992"/>
      <c r="I453" s="7992"/>
      <c r="J453" s="7993"/>
      <c r="K453" s="178"/>
      <c r="L453" s="6960"/>
    </row>
    <row r="454" spans="1:12" ht="30" customHeight="1" x14ac:dyDescent="0.2">
      <c r="A454" s="7656"/>
      <c r="B454" s="7665"/>
      <c r="C454" s="7747"/>
      <c r="D454" s="8000"/>
      <c r="E454" s="8000"/>
      <c r="F454" s="8000"/>
      <c r="G454" s="7732" t="s">
        <v>8097</v>
      </c>
      <c r="H454" s="7733"/>
      <c r="I454" s="7733"/>
      <c r="J454" s="7734"/>
      <c r="K454" s="178"/>
      <c r="L454" s="7200"/>
    </row>
    <row r="455" spans="1:12" ht="30" customHeight="1" x14ac:dyDescent="0.2">
      <c r="A455" s="7656"/>
      <c r="B455" s="7665"/>
      <c r="C455" s="7747"/>
      <c r="D455" s="8000" t="s">
        <v>8094</v>
      </c>
      <c r="E455" s="8000"/>
      <c r="F455" s="8000"/>
      <c r="G455" s="7991" t="s">
        <v>8057</v>
      </c>
      <c r="H455" s="7992"/>
      <c r="I455" s="7992"/>
      <c r="J455" s="7993"/>
      <c r="K455" s="178"/>
      <c r="L455" s="6960"/>
    </row>
    <row r="456" spans="1:12" ht="30" customHeight="1" x14ac:dyDescent="0.2">
      <c r="A456" s="7656"/>
      <c r="B456" s="7665"/>
      <c r="C456" s="7747"/>
      <c r="D456" s="8000"/>
      <c r="E456" s="8000"/>
      <c r="F456" s="8000"/>
      <c r="G456" s="7997"/>
      <c r="H456" s="7998"/>
      <c r="I456" s="7998"/>
      <c r="J456" s="7999"/>
      <c r="K456" s="178"/>
      <c r="L456" s="6792"/>
    </row>
    <row r="457" spans="1:12" ht="30" customHeight="1" x14ac:dyDescent="0.2">
      <c r="A457" s="7656"/>
      <c r="B457" s="7665"/>
      <c r="C457" s="7747"/>
      <c r="D457" s="7994" t="s">
        <v>8093</v>
      </c>
      <c r="E457" s="7995"/>
      <c r="F457" s="7996"/>
      <c r="G457" s="7991" t="s">
        <v>8095</v>
      </c>
      <c r="H457" s="7992"/>
      <c r="I457" s="7992"/>
      <c r="J457" s="7993"/>
      <c r="K457" s="178"/>
      <c r="L457" s="6792"/>
    </row>
    <row r="458" spans="1:12" ht="30" customHeight="1" x14ac:dyDescent="0.2">
      <c r="A458" s="7656"/>
      <c r="B458" s="7665"/>
      <c r="C458" s="7747"/>
      <c r="D458" s="7997"/>
      <c r="E458" s="7998"/>
      <c r="F458" s="7999"/>
      <c r="G458" s="7997"/>
      <c r="H458" s="7998"/>
      <c r="I458" s="7998"/>
      <c r="J458" s="7999"/>
      <c r="K458" s="178"/>
      <c r="L458" s="6792"/>
    </row>
    <row r="459" spans="1:12" ht="30" customHeight="1" x14ac:dyDescent="0.2">
      <c r="A459" s="7656"/>
      <c r="B459" s="7665"/>
      <c r="C459" s="7747"/>
      <c r="D459" s="7494" t="s">
        <v>7916</v>
      </c>
      <c r="E459" s="7495"/>
      <c r="F459" s="7768"/>
      <c r="G459" s="6643">
        <v>15000000</v>
      </c>
      <c r="H459" s="6643" t="s">
        <v>3880</v>
      </c>
      <c r="I459" s="6635" t="s">
        <v>8300</v>
      </c>
      <c r="J459" s="6643">
        <f>G459</f>
        <v>15000000</v>
      </c>
      <c r="K459" s="178"/>
      <c r="L459" s="6792"/>
    </row>
    <row r="460" spans="1:12" ht="30" customHeight="1" x14ac:dyDescent="0.2">
      <c r="A460" s="7655"/>
      <c r="B460" s="7665"/>
      <c r="C460" s="7747"/>
      <c r="D460" s="7877"/>
      <c r="E460" s="7524"/>
      <c r="F460" s="7878"/>
      <c r="G460" s="6643"/>
      <c r="H460" s="6643"/>
      <c r="I460" s="6635"/>
      <c r="J460" s="6643"/>
      <c r="K460" s="178"/>
      <c r="L460" s="6792"/>
    </row>
    <row r="461" spans="1:12" ht="30" customHeight="1" x14ac:dyDescent="0.2">
      <c r="A461" s="6947"/>
      <c r="B461" s="7665"/>
      <c r="C461" s="7747"/>
      <c r="D461" s="7877"/>
      <c r="E461" s="7524"/>
      <c r="F461" s="7878"/>
      <c r="G461" s="6946"/>
      <c r="H461" s="6946"/>
      <c r="I461" s="6943"/>
      <c r="J461" s="6946"/>
      <c r="K461" s="178"/>
      <c r="L461" s="6960"/>
    </row>
    <row r="462" spans="1:12" ht="30" customHeight="1" x14ac:dyDescent="0.2">
      <c r="A462" s="6947"/>
      <c r="B462" s="7653"/>
      <c r="C462" s="7724"/>
      <c r="D462" s="7769"/>
      <c r="E462" s="7805"/>
      <c r="F462" s="7770"/>
      <c r="G462" s="6946"/>
      <c r="H462" s="6946"/>
      <c r="I462" s="6943"/>
      <c r="J462" s="6946"/>
      <c r="K462" s="178"/>
      <c r="L462" s="6960"/>
    </row>
    <row r="463" spans="1:12" ht="30" customHeight="1" x14ac:dyDescent="0.2">
      <c r="A463" s="7300">
        <v>175</v>
      </c>
      <c r="B463" s="7298" t="s">
        <v>36</v>
      </c>
      <c r="C463" s="7316" t="s">
        <v>1306</v>
      </c>
      <c r="D463" s="7295">
        <v>200000000</v>
      </c>
      <c r="E463" s="7302">
        <v>0.05</v>
      </c>
      <c r="F463" s="7295">
        <f t="shared" si="28"/>
        <v>10000000</v>
      </c>
      <c r="G463" s="6643">
        <v>10000000</v>
      </c>
      <c r="H463" s="6643" t="s">
        <v>8398</v>
      </c>
      <c r="I463" s="18" t="s">
        <v>3738</v>
      </c>
      <c r="J463" s="6643">
        <f>G463</f>
        <v>10000000</v>
      </c>
      <c r="K463" s="6635">
        <f t="shared" ref="K463:K476" si="35">F463-J463</f>
        <v>0</v>
      </c>
      <c r="L463" s="378"/>
    </row>
    <row r="464" spans="1:12" ht="30" customHeight="1" x14ac:dyDescent="0.2">
      <c r="A464" s="7654">
        <v>176</v>
      </c>
      <c r="B464" s="7652" t="s">
        <v>37</v>
      </c>
      <c r="C464" s="7723" t="s">
        <v>1107</v>
      </c>
      <c r="D464" s="7563">
        <v>150000000</v>
      </c>
      <c r="E464" s="7659">
        <v>7.0000000000000007E-2</v>
      </c>
      <c r="F464" s="7563">
        <f t="shared" si="28"/>
        <v>10500000.000000002</v>
      </c>
      <c r="G464" s="6643">
        <v>14000000</v>
      </c>
      <c r="H464" s="6643" t="s">
        <v>8483</v>
      </c>
      <c r="I464" s="6771" t="s">
        <v>3223</v>
      </c>
      <c r="J464" s="6643">
        <f t="shared" ref="J464:J484" si="36">G464</f>
        <v>14000000</v>
      </c>
      <c r="K464" s="6643">
        <f t="shared" si="35"/>
        <v>-3499999.9999999981</v>
      </c>
      <c r="L464" s="378"/>
    </row>
    <row r="465" spans="1:12" ht="30" customHeight="1" x14ac:dyDescent="0.2">
      <c r="A465" s="7655"/>
      <c r="B465" s="7653"/>
      <c r="C465" s="7724"/>
      <c r="D465" s="7564"/>
      <c r="E465" s="7660"/>
      <c r="F465" s="7564"/>
      <c r="G465" s="6642"/>
      <c r="H465" s="6642"/>
      <c r="I465" s="6770" t="s">
        <v>3223</v>
      </c>
      <c r="J465" s="6642">
        <f t="shared" si="36"/>
        <v>0</v>
      </c>
      <c r="K465" s="6642">
        <f>F464-J465</f>
        <v>10500000.000000002</v>
      </c>
      <c r="L465" s="378"/>
    </row>
    <row r="466" spans="1:12" ht="30" customHeight="1" x14ac:dyDescent="0.2">
      <c r="A466" s="7654">
        <v>177</v>
      </c>
      <c r="B466" s="7652" t="s">
        <v>5177</v>
      </c>
      <c r="C466" s="7723" t="s">
        <v>1299</v>
      </c>
      <c r="D466" s="6643">
        <v>25000000</v>
      </c>
      <c r="E466" s="6705">
        <v>0.05</v>
      </c>
      <c r="F466" s="6643">
        <f t="shared" si="28"/>
        <v>1250000</v>
      </c>
      <c r="G466" s="7563">
        <v>1750000</v>
      </c>
      <c r="H466" s="7563" t="s">
        <v>3880</v>
      </c>
      <c r="I466" s="7772" t="s">
        <v>746</v>
      </c>
      <c r="J466" s="7563">
        <f t="shared" si="36"/>
        <v>1750000</v>
      </c>
      <c r="K466" s="7563">
        <f>(F466+F467)-J466</f>
        <v>0</v>
      </c>
      <c r="L466" s="6665"/>
    </row>
    <row r="467" spans="1:12" ht="30" customHeight="1" x14ac:dyDescent="0.2">
      <c r="A467" s="7655"/>
      <c r="B467" s="7653"/>
      <c r="C467" s="7724"/>
      <c r="D467" s="6643">
        <v>10000000</v>
      </c>
      <c r="E467" s="6705">
        <v>0.05</v>
      </c>
      <c r="F467" s="6643">
        <f t="shared" si="28"/>
        <v>500000</v>
      </c>
      <c r="G467" s="7564"/>
      <c r="H467" s="7564"/>
      <c r="I467" s="7773"/>
      <c r="J467" s="7564"/>
      <c r="K467" s="7564"/>
      <c r="L467" s="6792"/>
    </row>
    <row r="468" spans="1:12" ht="30" customHeight="1" x14ac:dyDescent="0.2">
      <c r="A468" s="6708">
        <v>178</v>
      </c>
      <c r="B468" s="6665" t="s">
        <v>39</v>
      </c>
      <c r="C468" s="6684" t="s">
        <v>1299</v>
      </c>
      <c r="D468" s="6643">
        <v>90000000</v>
      </c>
      <c r="E468" s="6705">
        <v>0.05</v>
      </c>
      <c r="F468" s="6643">
        <f>D468*E468</f>
        <v>4500000</v>
      </c>
      <c r="G468" s="6643">
        <v>4500000</v>
      </c>
      <c r="H468" s="6643" t="s">
        <v>3880</v>
      </c>
      <c r="I468" s="6771" t="s">
        <v>7716</v>
      </c>
      <c r="J468" s="6643">
        <f t="shared" si="36"/>
        <v>4500000</v>
      </c>
      <c r="K468" s="6643">
        <f t="shared" si="35"/>
        <v>0</v>
      </c>
      <c r="L468" s="6665"/>
    </row>
    <row r="469" spans="1:12" ht="30" customHeight="1" x14ac:dyDescent="0.2">
      <c r="A469" s="7654">
        <v>179</v>
      </c>
      <c r="B469" s="7652" t="s">
        <v>40</v>
      </c>
      <c r="C469" s="7723" t="s">
        <v>1306</v>
      </c>
      <c r="D469" s="7563">
        <v>320000000</v>
      </c>
      <c r="E469" s="7659">
        <v>0.06</v>
      </c>
      <c r="F469" s="7563">
        <f t="shared" si="28"/>
        <v>19200000</v>
      </c>
      <c r="G469" s="7954" t="s">
        <v>7453</v>
      </c>
      <c r="H469" s="7955"/>
      <c r="I469" s="7955"/>
      <c r="J469" s="7956"/>
      <c r="K469" s="6635">
        <f t="shared" si="35"/>
        <v>19200000</v>
      </c>
      <c r="L469" s="7798" t="s">
        <v>7695</v>
      </c>
    </row>
    <row r="470" spans="1:12" ht="30" customHeight="1" x14ac:dyDescent="0.2">
      <c r="A470" s="7656"/>
      <c r="B470" s="7665"/>
      <c r="C470" s="7747"/>
      <c r="D470" s="7586"/>
      <c r="E470" s="7676"/>
      <c r="F470" s="7586"/>
      <c r="G470" s="6635"/>
      <c r="H470" s="6635"/>
      <c r="I470" s="6715" t="s">
        <v>7644</v>
      </c>
      <c r="J470" s="7563">
        <f>G470+G471+G472</f>
        <v>0</v>
      </c>
      <c r="K470" s="7563"/>
      <c r="L470" s="7799"/>
    </row>
    <row r="471" spans="1:12" ht="30" customHeight="1" x14ac:dyDescent="0.2">
      <c r="A471" s="7656"/>
      <c r="B471" s="7665"/>
      <c r="C471" s="7747"/>
      <c r="D471" s="7586"/>
      <c r="E471" s="7676"/>
      <c r="F471" s="7586"/>
      <c r="G471" s="6643"/>
      <c r="H471" s="6643"/>
      <c r="I471" s="6715" t="s">
        <v>7644</v>
      </c>
      <c r="J471" s="7586"/>
      <c r="K471" s="7586"/>
      <c r="L471" s="7799"/>
    </row>
    <row r="472" spans="1:12" ht="30" customHeight="1" x14ac:dyDescent="0.2">
      <c r="A472" s="7656"/>
      <c r="B472" s="7665"/>
      <c r="C472" s="7747"/>
      <c r="D472" s="7586"/>
      <c r="E472" s="7676"/>
      <c r="F472" s="7586"/>
      <c r="G472" s="6643"/>
      <c r="H472" s="6643"/>
      <c r="I472" s="6771" t="s">
        <v>1090</v>
      </c>
      <c r="J472" s="7564"/>
      <c r="K472" s="7564"/>
      <c r="L472" s="7799"/>
    </row>
    <row r="473" spans="1:12" ht="30" customHeight="1" x14ac:dyDescent="0.2">
      <c r="A473" s="7656"/>
      <c r="B473" s="7665"/>
      <c r="C473" s="7873" t="s">
        <v>1080</v>
      </c>
      <c r="D473" s="7991" t="s">
        <v>7383</v>
      </c>
      <c r="E473" s="7992"/>
      <c r="F473" s="7993"/>
      <c r="G473" s="6643">
        <v>11700000</v>
      </c>
      <c r="H473" s="6643" t="s">
        <v>3808</v>
      </c>
      <c r="I473" s="6771" t="s">
        <v>7914</v>
      </c>
      <c r="J473" s="7563">
        <f>G473+G474</f>
        <v>53400000</v>
      </c>
      <c r="K473" s="7563">
        <f>F475-J473</f>
        <v>-31699999.999999996</v>
      </c>
      <c r="L473" s="6721" t="s">
        <v>7384</v>
      </c>
    </row>
    <row r="474" spans="1:12" ht="30" customHeight="1" x14ac:dyDescent="0.2">
      <c r="A474" s="7656"/>
      <c r="B474" s="7665"/>
      <c r="C474" s="7873"/>
      <c r="D474" s="7997"/>
      <c r="E474" s="7998"/>
      <c r="F474" s="7999"/>
      <c r="G474" s="6643">
        <v>41700000</v>
      </c>
      <c r="H474" s="6643" t="s">
        <v>8424</v>
      </c>
      <c r="I474" s="6771" t="s">
        <v>8432</v>
      </c>
      <c r="J474" s="7564"/>
      <c r="K474" s="7564"/>
      <c r="L474" s="6721"/>
    </row>
    <row r="475" spans="1:12" ht="30" customHeight="1" x14ac:dyDescent="0.2">
      <c r="A475" s="7655"/>
      <c r="B475" s="7653"/>
      <c r="C475" s="7873"/>
      <c r="D475" s="6640">
        <v>310000000</v>
      </c>
      <c r="E475" s="6677">
        <v>7.0000000000000007E-2</v>
      </c>
      <c r="F475" s="6640">
        <f>D475*E475</f>
        <v>21700000.000000004</v>
      </c>
      <c r="G475" s="7732" t="s">
        <v>7452</v>
      </c>
      <c r="H475" s="7733"/>
      <c r="I475" s="7733"/>
      <c r="J475" s="7734"/>
      <c r="K475" s="6643"/>
      <c r="L475" s="6721" t="s">
        <v>7385</v>
      </c>
    </row>
    <row r="476" spans="1:12" ht="30" customHeight="1" x14ac:dyDescent="0.2">
      <c r="A476" s="6653">
        <v>180</v>
      </c>
      <c r="B476" s="19" t="s">
        <v>41</v>
      </c>
      <c r="C476" s="6761" t="s">
        <v>2403</v>
      </c>
      <c r="D476" s="6635">
        <v>300000000</v>
      </c>
      <c r="E476" s="6705">
        <v>5.7000000000000002E-2</v>
      </c>
      <c r="F476" s="6635">
        <v>17000000</v>
      </c>
      <c r="G476" s="6635"/>
      <c r="H476" s="6635"/>
      <c r="I476" s="6715" t="s">
        <v>2260</v>
      </c>
      <c r="J476" s="6635">
        <f t="shared" si="36"/>
        <v>0</v>
      </c>
      <c r="K476" s="6635">
        <f t="shared" si="35"/>
        <v>17000000</v>
      </c>
      <c r="L476" s="6727"/>
    </row>
    <row r="477" spans="1:12" ht="30" customHeight="1" x14ac:dyDescent="0.2">
      <c r="A477" s="7274">
        <v>181</v>
      </c>
      <c r="B477" s="7258" t="s">
        <v>42</v>
      </c>
      <c r="C477" s="7273" t="s">
        <v>989</v>
      </c>
      <c r="D477" s="7232">
        <v>100000000</v>
      </c>
      <c r="E477" s="7272">
        <v>0.05</v>
      </c>
      <c r="F477" s="7232">
        <f t="shared" ref="F477" si="37">D477*E477</f>
        <v>5000000</v>
      </c>
      <c r="G477" s="7232">
        <v>5000000</v>
      </c>
      <c r="H477" s="7232" t="s">
        <v>8366</v>
      </c>
      <c r="I477" s="7268" t="s">
        <v>7747</v>
      </c>
      <c r="J477" s="7232">
        <f>G477</f>
        <v>5000000</v>
      </c>
      <c r="K477" s="7232">
        <f>F477-J477</f>
        <v>0</v>
      </c>
      <c r="L477" s="378"/>
    </row>
    <row r="478" spans="1:12" ht="30" customHeight="1" x14ac:dyDescent="0.2">
      <c r="A478" s="6653"/>
      <c r="B478" s="6650" t="s">
        <v>43</v>
      </c>
      <c r="C478" s="6683" t="s">
        <v>1287</v>
      </c>
      <c r="D478" s="6643">
        <v>126200000</v>
      </c>
      <c r="E478" s="6649">
        <v>0.05</v>
      </c>
      <c r="F478" s="6643">
        <f>D478*E478</f>
        <v>6310000</v>
      </c>
      <c r="G478" s="6641">
        <v>6310000</v>
      </c>
      <c r="H478" s="6641" t="s">
        <v>8366</v>
      </c>
      <c r="I478" s="6635" t="s">
        <v>3716</v>
      </c>
      <c r="J478" s="6635">
        <f t="shared" si="36"/>
        <v>6310000</v>
      </c>
      <c r="K478" s="6635">
        <f>F478-J478</f>
        <v>0</v>
      </c>
      <c r="L478" s="6720"/>
    </row>
    <row r="479" spans="1:12" ht="30" customHeight="1" x14ac:dyDescent="0.2">
      <c r="A479" s="7654">
        <v>183</v>
      </c>
      <c r="B479" s="7652" t="s">
        <v>4148</v>
      </c>
      <c r="C479" s="7723" t="s">
        <v>1100</v>
      </c>
      <c r="D479" s="7563">
        <v>50000000</v>
      </c>
      <c r="E479" s="7659">
        <v>0.05</v>
      </c>
      <c r="F479" s="7563">
        <f t="shared" si="28"/>
        <v>2500000</v>
      </c>
      <c r="G479" s="7954" t="s">
        <v>8447</v>
      </c>
      <c r="H479" s="7955"/>
      <c r="I479" s="7955"/>
      <c r="J479" s="7956"/>
      <c r="K479" s="6643">
        <f t="shared" ref="K479:K483" si="38">F479-J479</f>
        <v>2500000</v>
      </c>
      <c r="L479" s="378" t="s">
        <v>8445</v>
      </c>
    </row>
    <row r="480" spans="1:12" ht="30" customHeight="1" x14ac:dyDescent="0.2">
      <c r="A480" s="7655"/>
      <c r="B480" s="7653"/>
      <c r="C480" s="7724"/>
      <c r="D480" s="7564"/>
      <c r="E480" s="7660"/>
      <c r="F480" s="7564"/>
      <c r="G480" s="6643"/>
      <c r="H480" s="6643"/>
      <c r="I480" s="6771" t="s">
        <v>5422</v>
      </c>
      <c r="J480" s="6643">
        <f t="shared" si="36"/>
        <v>0</v>
      </c>
      <c r="K480" s="6643">
        <f>F479-J480</f>
        <v>2500000</v>
      </c>
      <c r="L480" s="378" t="s">
        <v>8446</v>
      </c>
    </row>
    <row r="481" spans="1:12" ht="30" customHeight="1" x14ac:dyDescent="0.2">
      <c r="A481" s="7246">
        <v>184</v>
      </c>
      <c r="B481" s="7258" t="s">
        <v>45</v>
      </c>
      <c r="C481" s="7273" t="s">
        <v>989</v>
      </c>
      <c r="D481" s="7232">
        <v>20000000</v>
      </c>
      <c r="E481" s="7272">
        <v>0.05</v>
      </c>
      <c r="F481" s="7232">
        <f t="shared" si="28"/>
        <v>1000000</v>
      </c>
      <c r="G481" s="7232">
        <v>1000000</v>
      </c>
      <c r="H481" s="7232" t="s">
        <v>8366</v>
      </c>
      <c r="I481" s="7268" t="s">
        <v>2327</v>
      </c>
      <c r="J481" s="7232">
        <f t="shared" si="36"/>
        <v>1000000</v>
      </c>
      <c r="K481" s="7232">
        <f t="shared" si="38"/>
        <v>0</v>
      </c>
      <c r="L481" s="7289"/>
    </row>
    <row r="482" spans="1:12" ht="30" customHeight="1" x14ac:dyDescent="0.2">
      <c r="A482" s="7209">
        <v>186</v>
      </c>
      <c r="B482" s="7211" t="s">
        <v>47</v>
      </c>
      <c r="C482" s="7221" t="s">
        <v>1107</v>
      </c>
      <c r="D482" s="7206">
        <v>8000000</v>
      </c>
      <c r="E482" s="7213">
        <v>0.04</v>
      </c>
      <c r="F482" s="7206">
        <f t="shared" si="28"/>
        <v>320000</v>
      </c>
      <c r="G482" s="6643">
        <v>320000</v>
      </c>
      <c r="H482" s="6643" t="s">
        <v>8339</v>
      </c>
      <c r="I482" s="6771" t="s">
        <v>5275</v>
      </c>
      <c r="J482" s="6643">
        <f t="shared" si="36"/>
        <v>320000</v>
      </c>
      <c r="K482" s="6643">
        <f t="shared" si="38"/>
        <v>0</v>
      </c>
      <c r="L482" s="378"/>
    </row>
    <row r="483" spans="1:12" ht="30" customHeight="1" x14ac:dyDescent="0.2">
      <c r="A483" s="6708">
        <v>187</v>
      </c>
      <c r="B483" s="19" t="s">
        <v>2470</v>
      </c>
      <c r="C483" s="6710" t="s">
        <v>1138</v>
      </c>
      <c r="D483" s="6635">
        <v>200000000</v>
      </c>
      <c r="E483" s="6705">
        <v>0.05</v>
      </c>
      <c r="F483" s="6635">
        <f t="shared" si="28"/>
        <v>10000000</v>
      </c>
      <c r="G483" s="6635">
        <v>12000000</v>
      </c>
      <c r="H483" s="6635" t="s">
        <v>7968</v>
      </c>
      <c r="I483" s="6715" t="s">
        <v>7971</v>
      </c>
      <c r="J483" s="6635">
        <f t="shared" si="36"/>
        <v>12000000</v>
      </c>
      <c r="K483" s="6635">
        <f t="shared" si="38"/>
        <v>-2000000</v>
      </c>
      <c r="L483" s="6742"/>
    </row>
    <row r="484" spans="1:12" ht="30" customHeight="1" x14ac:dyDescent="0.2">
      <c r="A484" s="6708">
        <v>188</v>
      </c>
      <c r="B484" s="6665" t="s">
        <v>49</v>
      </c>
      <c r="C484" s="6710" t="s">
        <v>1107</v>
      </c>
      <c r="D484" s="6643">
        <v>500000000</v>
      </c>
      <c r="E484" s="6649">
        <v>0.05</v>
      </c>
      <c r="F484" s="6643">
        <f t="shared" si="28"/>
        <v>25000000</v>
      </c>
      <c r="G484" s="6641"/>
      <c r="H484" s="6641"/>
      <c r="I484" s="6645" t="s">
        <v>5921</v>
      </c>
      <c r="J484" s="6641">
        <f t="shared" si="36"/>
        <v>0</v>
      </c>
      <c r="K484" s="6641">
        <f>F484-J484</f>
        <v>25000000</v>
      </c>
      <c r="L484" s="6792"/>
    </row>
    <row r="485" spans="1:12" ht="30" customHeight="1" x14ac:dyDescent="0.2">
      <c r="A485" s="7654">
        <v>190</v>
      </c>
      <c r="B485" s="7652" t="s">
        <v>51</v>
      </c>
      <c r="C485" s="6684" t="s">
        <v>1100</v>
      </c>
      <c r="D485" s="6643">
        <v>80000000</v>
      </c>
      <c r="E485" s="6705">
        <v>0.05</v>
      </c>
      <c r="F485" s="6643">
        <f t="shared" si="28"/>
        <v>4000000</v>
      </c>
      <c r="G485" s="7292">
        <v>10000000</v>
      </c>
      <c r="H485" s="7292" t="s">
        <v>3880</v>
      </c>
      <c r="I485" s="7329" t="s">
        <v>8303</v>
      </c>
      <c r="J485" s="7563">
        <f>G485+G486</f>
        <v>30000000</v>
      </c>
      <c r="K485" s="7563"/>
      <c r="L485" s="7703"/>
    </row>
    <row r="486" spans="1:12" ht="30" customHeight="1" x14ac:dyDescent="0.2">
      <c r="A486" s="7656"/>
      <c r="B486" s="7665"/>
      <c r="C486" s="6684" t="s">
        <v>1100</v>
      </c>
      <c r="D486" s="6643">
        <v>200000000</v>
      </c>
      <c r="E486" s="6705">
        <v>0.05</v>
      </c>
      <c r="F486" s="6643">
        <f t="shared" si="28"/>
        <v>10000000</v>
      </c>
      <c r="G486" s="7292">
        <v>20000000</v>
      </c>
      <c r="H486" s="7292" t="s">
        <v>8245</v>
      </c>
      <c r="I486" s="7329" t="s">
        <v>8303</v>
      </c>
      <c r="J486" s="7564"/>
      <c r="K486" s="7564"/>
      <c r="L486" s="7705"/>
    </row>
    <row r="487" spans="1:12" ht="30" customHeight="1" x14ac:dyDescent="0.2">
      <c r="A487" s="7655"/>
      <c r="B487" s="7653"/>
      <c r="C487" s="6686" t="s">
        <v>262</v>
      </c>
      <c r="D487" s="6642">
        <v>220000000</v>
      </c>
      <c r="E487" s="6647">
        <v>0.05</v>
      </c>
      <c r="F487" s="6642">
        <f t="shared" si="28"/>
        <v>11000000</v>
      </c>
      <c r="G487" s="6643">
        <v>14000000</v>
      </c>
      <c r="H487" s="6643" t="s">
        <v>5244</v>
      </c>
      <c r="I487" s="7377" t="s">
        <v>8303</v>
      </c>
      <c r="J487" s="6642">
        <f>G487</f>
        <v>14000000</v>
      </c>
      <c r="K487" s="6642"/>
      <c r="L487" s="6661"/>
    </row>
    <row r="488" spans="1:12" ht="30" customHeight="1" x14ac:dyDescent="0.2">
      <c r="A488" s="7654">
        <v>191</v>
      </c>
      <c r="B488" s="7652" t="s">
        <v>52</v>
      </c>
      <c r="C488" s="7723" t="s">
        <v>262</v>
      </c>
      <c r="D488" s="6769">
        <v>700000000</v>
      </c>
      <c r="E488" s="6789">
        <v>7.6999999999999999E-2</v>
      </c>
      <c r="F488" s="6769">
        <v>54000000</v>
      </c>
      <c r="G488" s="7020">
        <v>15000000</v>
      </c>
      <c r="H488" s="7020" t="s">
        <v>8164</v>
      </c>
      <c r="I488" s="7040" t="s">
        <v>8175</v>
      </c>
      <c r="J488" s="7563">
        <f>G488+G490+G4925+G489+G491+G492</f>
        <v>75000000</v>
      </c>
      <c r="K488" s="7563">
        <f>(F488+F492)-J488</f>
        <v>0</v>
      </c>
      <c r="L488" s="7818"/>
    </row>
    <row r="489" spans="1:12" ht="30" customHeight="1" x14ac:dyDescent="0.2">
      <c r="A489" s="7656"/>
      <c r="B489" s="7665"/>
      <c r="C489" s="7747"/>
      <c r="D489" s="6635">
        <v>54000000</v>
      </c>
      <c r="E489" s="6705"/>
      <c r="F489" s="6635"/>
      <c r="G489" s="7020">
        <v>15000000</v>
      </c>
      <c r="H489" s="7020" t="s">
        <v>8215</v>
      </c>
      <c r="I489" s="7040" t="s">
        <v>8239</v>
      </c>
      <c r="J489" s="7586"/>
      <c r="K489" s="7586"/>
      <c r="L489" s="7819"/>
    </row>
    <row r="490" spans="1:12" ht="30" customHeight="1" x14ac:dyDescent="0.2">
      <c r="A490" s="7656"/>
      <c r="B490" s="7665"/>
      <c r="C490" s="7747"/>
      <c r="D490" s="6635">
        <v>46000000</v>
      </c>
      <c r="E490" s="6705"/>
      <c r="F490" s="6635"/>
      <c r="G490" s="7020">
        <v>20000000</v>
      </c>
      <c r="H490" s="7020" t="s">
        <v>8247</v>
      </c>
      <c r="I490" s="7020" t="s">
        <v>8319</v>
      </c>
      <c r="J490" s="7586"/>
      <c r="K490" s="7586"/>
      <c r="L490" s="378" t="s">
        <v>7017</v>
      </c>
    </row>
    <row r="491" spans="1:12" ht="30" customHeight="1" x14ac:dyDescent="0.2">
      <c r="A491" s="7656"/>
      <c r="B491" s="7665"/>
      <c r="C491" s="7747"/>
      <c r="D491" s="6635">
        <v>200000000</v>
      </c>
      <c r="E491" s="6705"/>
      <c r="F491" s="6635"/>
      <c r="G491" s="7020">
        <v>10000000</v>
      </c>
      <c r="H491" s="7020" t="s">
        <v>8316</v>
      </c>
      <c r="I491" s="7157" t="s">
        <v>8319</v>
      </c>
      <c r="J491" s="7586"/>
      <c r="K491" s="7586"/>
      <c r="L491" s="378" t="s">
        <v>7599</v>
      </c>
    </row>
    <row r="492" spans="1:12" ht="30" customHeight="1" x14ac:dyDescent="0.2">
      <c r="A492" s="7655"/>
      <c r="B492" s="7653"/>
      <c r="C492" s="7724"/>
      <c r="D492" s="6769">
        <v>300000000</v>
      </c>
      <c r="E492" s="6789">
        <v>7.0000000000000007E-2</v>
      </c>
      <c r="F492" s="6769">
        <f>D492*E492</f>
        <v>21000000.000000004</v>
      </c>
      <c r="G492" s="7020">
        <v>15000000</v>
      </c>
      <c r="H492" s="7020" t="s">
        <v>5200</v>
      </c>
      <c r="I492" s="7268" t="s">
        <v>8239</v>
      </c>
      <c r="J492" s="7564"/>
      <c r="K492" s="7564"/>
      <c r="L492" s="378" t="s">
        <v>7416</v>
      </c>
    </row>
    <row r="493" spans="1:12" ht="30" customHeight="1" x14ac:dyDescent="0.2">
      <c r="A493" s="8475">
        <v>192</v>
      </c>
      <c r="B493" s="7652" t="s">
        <v>53</v>
      </c>
      <c r="C493" s="7723" t="s">
        <v>1287</v>
      </c>
      <c r="D493" s="7563">
        <v>1300000000</v>
      </c>
      <c r="E493" s="7659">
        <v>7.0000000000000007E-2</v>
      </c>
      <c r="F493" s="7563">
        <f>D493*E493</f>
        <v>91000000.000000015</v>
      </c>
      <c r="G493" s="6943">
        <v>20000000</v>
      </c>
      <c r="H493" s="6943" t="s">
        <v>8073</v>
      </c>
      <c r="I493" s="6944" t="s">
        <v>861</v>
      </c>
      <c r="J493" s="6943">
        <f>G493</f>
        <v>20000000</v>
      </c>
      <c r="K493" s="6943"/>
      <c r="L493" s="378" t="s">
        <v>8077</v>
      </c>
    </row>
    <row r="494" spans="1:12" ht="30" customHeight="1" x14ac:dyDescent="0.2">
      <c r="A494" s="8476"/>
      <c r="B494" s="7665"/>
      <c r="C494" s="7747"/>
      <c r="D494" s="7586"/>
      <c r="E494" s="7676"/>
      <c r="F494" s="7586"/>
      <c r="G494" s="6943">
        <v>7000000</v>
      </c>
      <c r="H494" s="6943" t="s">
        <v>8156</v>
      </c>
      <c r="I494" s="6943" t="s">
        <v>861</v>
      </c>
      <c r="J494" s="6986">
        <f>G494</f>
        <v>7000000</v>
      </c>
      <c r="K494" s="233"/>
      <c r="L494" s="378" t="s">
        <v>8163</v>
      </c>
    </row>
    <row r="495" spans="1:12" ht="30" customHeight="1" x14ac:dyDescent="0.2">
      <c r="A495" s="8476"/>
      <c r="B495" s="7665"/>
      <c r="C495" s="7747"/>
      <c r="D495" s="7586"/>
      <c r="E495" s="7676"/>
      <c r="F495" s="7586"/>
      <c r="G495" s="6943">
        <v>10000000</v>
      </c>
      <c r="H495" s="6944" t="s">
        <v>8215</v>
      </c>
      <c r="I495" s="6944" t="s">
        <v>861</v>
      </c>
      <c r="J495" s="7056">
        <f>G495</f>
        <v>10000000</v>
      </c>
      <c r="K495" s="233"/>
      <c r="L495" s="378"/>
    </row>
    <row r="496" spans="1:12" ht="30" customHeight="1" x14ac:dyDescent="0.2">
      <c r="A496" s="8476"/>
      <c r="B496" s="7665"/>
      <c r="C496" s="7747"/>
      <c r="D496" s="7586"/>
      <c r="E496" s="7676"/>
      <c r="F496" s="7586"/>
      <c r="G496" s="7056">
        <v>10000000</v>
      </c>
      <c r="H496" s="7057" t="s">
        <v>8215</v>
      </c>
      <c r="I496" s="7057" t="s">
        <v>861</v>
      </c>
      <c r="J496" s="7056">
        <f>G496</f>
        <v>10000000</v>
      </c>
      <c r="K496" s="233"/>
      <c r="L496" s="378"/>
    </row>
    <row r="497" spans="1:12" ht="30" customHeight="1" x14ac:dyDescent="0.2">
      <c r="A497" s="8476"/>
      <c r="B497" s="7665"/>
      <c r="C497" s="7747"/>
      <c r="D497" s="7586"/>
      <c r="E497" s="7676"/>
      <c r="F497" s="7586"/>
      <c r="G497" s="7157">
        <v>10000000</v>
      </c>
      <c r="H497" s="7159" t="s">
        <v>8316</v>
      </c>
      <c r="I497" s="7159" t="s">
        <v>861</v>
      </c>
      <c r="J497" s="7157">
        <f>G497</f>
        <v>10000000</v>
      </c>
      <c r="K497" s="233"/>
      <c r="L497" s="378"/>
    </row>
    <row r="498" spans="1:12" ht="30" customHeight="1" x14ac:dyDescent="0.2">
      <c r="A498" s="8476"/>
      <c r="B498" s="7665"/>
      <c r="C498" s="7747"/>
      <c r="D498" s="7586"/>
      <c r="E498" s="7676"/>
      <c r="F498" s="7586"/>
      <c r="G498" s="7732" t="s">
        <v>8326</v>
      </c>
      <c r="H498" s="7733"/>
      <c r="I498" s="7733"/>
      <c r="J498" s="7734"/>
      <c r="K498" s="233"/>
      <c r="L498" s="378"/>
    </row>
    <row r="499" spans="1:12" ht="30" customHeight="1" x14ac:dyDescent="0.2">
      <c r="A499" s="8476"/>
      <c r="B499" s="7665"/>
      <c r="C499" s="7747"/>
      <c r="D499" s="7586"/>
      <c r="E499" s="7676"/>
      <c r="F499" s="7586"/>
      <c r="G499" s="7232">
        <v>15000000</v>
      </c>
      <c r="H499" s="7232" t="s">
        <v>5200</v>
      </c>
      <c r="I499" s="7236" t="s">
        <v>861</v>
      </c>
      <c r="J499" s="7232">
        <f>G499</f>
        <v>15000000</v>
      </c>
      <c r="K499" s="233"/>
      <c r="L499" s="378"/>
    </row>
    <row r="500" spans="1:12" ht="30" customHeight="1" x14ac:dyDescent="0.2">
      <c r="A500" s="8476"/>
      <c r="B500" s="7665"/>
      <c r="C500" s="7747"/>
      <c r="D500" s="7564"/>
      <c r="E500" s="7660"/>
      <c r="F500" s="7564"/>
      <c r="G500" s="7292">
        <v>20000000</v>
      </c>
      <c r="H500" s="7292" t="s">
        <v>8398</v>
      </c>
      <c r="I500" s="7292" t="s">
        <v>861</v>
      </c>
      <c r="J500" s="7292">
        <f>G500</f>
        <v>20000000</v>
      </c>
      <c r="K500" s="233"/>
      <c r="L500" s="378"/>
    </row>
    <row r="501" spans="1:12" ht="30" customHeight="1" x14ac:dyDescent="0.2">
      <c r="A501" s="8476"/>
      <c r="B501" s="7665"/>
      <c r="C501" s="7747"/>
      <c r="D501" s="7359"/>
      <c r="E501" s="7363"/>
      <c r="F501" s="7359"/>
      <c r="G501" s="7357">
        <v>10000000</v>
      </c>
      <c r="H501" s="7357" t="s">
        <v>5244</v>
      </c>
      <c r="I501" s="7357" t="s">
        <v>861</v>
      </c>
      <c r="J501" s="7357">
        <f>G501</f>
        <v>10000000</v>
      </c>
      <c r="K501" s="233"/>
      <c r="L501" s="378"/>
    </row>
    <row r="502" spans="1:12" ht="30" customHeight="1" x14ac:dyDescent="0.2">
      <c r="A502" s="8476"/>
      <c r="B502" s="7665"/>
      <c r="C502" s="7747"/>
      <c r="D502" s="7482" t="s">
        <v>8003</v>
      </c>
      <c r="E502" s="7482"/>
      <c r="F502" s="7482"/>
      <c r="G502" s="6943"/>
      <c r="H502" s="6943"/>
      <c r="I502" s="6943"/>
      <c r="J502" s="233"/>
      <c r="K502" s="6943"/>
      <c r="L502" s="378" t="s">
        <v>8004</v>
      </c>
    </row>
    <row r="503" spans="1:12" ht="30" customHeight="1" x14ac:dyDescent="0.2">
      <c r="A503" s="8476"/>
      <c r="B503" s="7665"/>
      <c r="C503" s="7747"/>
      <c r="D503" s="7482"/>
      <c r="E503" s="7482"/>
      <c r="F503" s="7482"/>
      <c r="G503" s="6943"/>
      <c r="H503" s="6943"/>
      <c r="I503" s="6943"/>
      <c r="J503" s="233"/>
      <c r="K503" s="6943"/>
      <c r="L503" s="378" t="s">
        <v>8005</v>
      </c>
    </row>
    <row r="504" spans="1:12" ht="30" customHeight="1" x14ac:dyDescent="0.2">
      <c r="A504" s="8476"/>
      <c r="B504" s="7665"/>
      <c r="C504" s="7747"/>
      <c r="D504" s="7494" t="s">
        <v>8325</v>
      </c>
      <c r="E504" s="7495"/>
      <c r="F504" s="7768"/>
      <c r="G504" s="6943"/>
      <c r="H504" s="6943"/>
      <c r="I504" s="6943"/>
      <c r="J504" s="233"/>
      <c r="K504" s="6943"/>
      <c r="L504" s="378" t="s">
        <v>8006</v>
      </c>
    </row>
    <row r="505" spans="1:12" ht="30" customHeight="1" x14ac:dyDescent="0.2">
      <c r="A505" s="8476"/>
      <c r="B505" s="7653"/>
      <c r="C505" s="7724"/>
      <c r="D505" s="7769"/>
      <c r="E505" s="7805"/>
      <c r="F505" s="7770"/>
      <c r="G505" s="6943"/>
      <c r="H505" s="6943"/>
      <c r="I505" s="6943"/>
      <c r="J505" s="233"/>
      <c r="K505" s="6943"/>
      <c r="L505" s="378" t="s">
        <v>8007</v>
      </c>
    </row>
    <row r="506" spans="1:12" ht="30" customHeight="1" x14ac:dyDescent="0.2">
      <c r="A506" s="8476"/>
      <c r="B506" s="5528" t="s">
        <v>7113</v>
      </c>
      <c r="C506" s="5529"/>
      <c r="D506" s="8473" t="s">
        <v>7111</v>
      </c>
      <c r="E506" s="8473"/>
      <c r="F506" s="8473"/>
      <c r="G506" s="6223"/>
      <c r="H506" s="6223"/>
      <c r="I506" s="6223"/>
      <c r="J506" s="6223"/>
      <c r="K506" s="6799"/>
      <c r="L506" s="5530" t="s">
        <v>7114</v>
      </c>
    </row>
    <row r="507" spans="1:12" ht="30" customHeight="1" x14ac:dyDescent="0.2">
      <c r="A507" s="8476"/>
      <c r="B507" s="8468" t="s">
        <v>7110</v>
      </c>
      <c r="C507" s="5526"/>
      <c r="D507" s="8473" t="s">
        <v>7109</v>
      </c>
      <c r="E507" s="8473"/>
      <c r="F507" s="8473"/>
      <c r="G507" s="6223"/>
      <c r="H507" s="6223"/>
      <c r="I507" s="6223"/>
      <c r="J507" s="6223"/>
      <c r="K507" s="6799"/>
      <c r="L507" s="5530" t="s">
        <v>7115</v>
      </c>
    </row>
    <row r="508" spans="1:12" ht="30" customHeight="1" x14ac:dyDescent="0.2">
      <c r="A508" s="8476"/>
      <c r="B508" s="8474"/>
      <c r="C508" s="5526"/>
      <c r="D508" s="8473" t="s">
        <v>7112</v>
      </c>
      <c r="E508" s="8473"/>
      <c r="F508" s="8473"/>
      <c r="G508" s="6799"/>
      <c r="H508" s="6790"/>
      <c r="I508" s="6790"/>
      <c r="J508" s="6799"/>
      <c r="K508" s="6799"/>
      <c r="L508" s="5530" t="s">
        <v>7116</v>
      </c>
    </row>
    <row r="509" spans="1:12" ht="30" customHeight="1" x14ac:dyDescent="0.2">
      <c r="A509" s="8476"/>
      <c r="B509" s="5528" t="s">
        <v>7110</v>
      </c>
      <c r="C509" s="5532"/>
      <c r="D509" s="6801">
        <v>50000000</v>
      </c>
      <c r="E509" s="6801"/>
      <c r="F509" s="6801"/>
      <c r="G509" s="6799"/>
      <c r="H509" s="6790"/>
      <c r="I509" s="6790"/>
      <c r="J509" s="6790"/>
      <c r="K509" s="6790"/>
      <c r="L509" s="5534" t="s">
        <v>7174</v>
      </c>
    </row>
    <row r="510" spans="1:12" ht="30" customHeight="1" x14ac:dyDescent="0.2">
      <c r="A510" s="8476"/>
      <c r="B510" s="5528" t="s">
        <v>7175</v>
      </c>
      <c r="C510" s="5532"/>
      <c r="D510" s="6801">
        <v>400000000</v>
      </c>
      <c r="E510" s="6801"/>
      <c r="F510" s="6801"/>
      <c r="G510" s="6799"/>
      <c r="H510" s="6790"/>
      <c r="I510" s="6790"/>
      <c r="J510" s="6790"/>
      <c r="K510" s="6790"/>
      <c r="L510" s="5534" t="s">
        <v>7176</v>
      </c>
    </row>
    <row r="511" spans="1:12" ht="30" customHeight="1" x14ac:dyDescent="0.2">
      <c r="A511" s="8477"/>
      <c r="B511" s="5528" t="s">
        <v>53</v>
      </c>
      <c r="C511" s="5532"/>
      <c r="D511" s="6801">
        <v>500000000</v>
      </c>
      <c r="E511" s="6801"/>
      <c r="F511" s="6801"/>
      <c r="G511" s="6799"/>
      <c r="H511" s="6790"/>
      <c r="I511" s="6790"/>
      <c r="J511" s="6790"/>
      <c r="K511" s="6790"/>
      <c r="L511" s="5534" t="s">
        <v>7177</v>
      </c>
    </row>
    <row r="512" spans="1:12" ht="30" customHeight="1" x14ac:dyDescent="0.2">
      <c r="A512" s="7654">
        <v>193</v>
      </c>
      <c r="B512" s="7652" t="s">
        <v>54</v>
      </c>
      <c r="C512" s="7723" t="s">
        <v>1306</v>
      </c>
      <c r="D512" s="6643">
        <v>75000000</v>
      </c>
      <c r="E512" s="6649">
        <v>0.05</v>
      </c>
      <c r="F512" s="6643">
        <f>D512*E512</f>
        <v>3750000</v>
      </c>
      <c r="G512" s="7563">
        <v>6250000</v>
      </c>
      <c r="H512" s="7563" t="s">
        <v>5244</v>
      </c>
      <c r="I512" s="7563" t="s">
        <v>4136</v>
      </c>
      <c r="J512" s="7563">
        <f>G512</f>
        <v>6250000</v>
      </c>
      <c r="K512" s="7563">
        <f>(F512+F513)-J512</f>
        <v>0</v>
      </c>
      <c r="L512" s="7679"/>
    </row>
    <row r="513" spans="1:16" ht="30" customHeight="1" x14ac:dyDescent="0.2">
      <c r="A513" s="7655"/>
      <c r="B513" s="7653"/>
      <c r="C513" s="7724"/>
      <c r="D513" s="6643">
        <v>50000000</v>
      </c>
      <c r="E513" s="6649">
        <v>0.05</v>
      </c>
      <c r="F513" s="6643">
        <f>D513*E513</f>
        <v>2500000</v>
      </c>
      <c r="G513" s="7564"/>
      <c r="H513" s="7564"/>
      <c r="I513" s="7564"/>
      <c r="J513" s="7564"/>
      <c r="K513" s="7564"/>
      <c r="L513" s="7680"/>
    </row>
    <row r="514" spans="1:16" ht="30" customHeight="1" x14ac:dyDescent="0.2">
      <c r="A514" s="6653">
        <v>194</v>
      </c>
      <c r="B514" s="6665" t="s">
        <v>55</v>
      </c>
      <c r="C514" s="6710" t="s">
        <v>1287</v>
      </c>
      <c r="D514" s="6635">
        <v>160000000</v>
      </c>
      <c r="E514" s="1027">
        <v>0.05</v>
      </c>
      <c r="F514" s="6635">
        <f>D514*E514</f>
        <v>8000000</v>
      </c>
      <c r="G514" s="6635">
        <v>8000000</v>
      </c>
      <c r="H514" s="6715" t="s">
        <v>3808</v>
      </c>
      <c r="I514" s="6715" t="s">
        <v>3184</v>
      </c>
      <c r="J514" s="6635">
        <f>G514</f>
        <v>8000000</v>
      </c>
      <c r="K514" s="6635">
        <f>J514-J514</f>
        <v>0</v>
      </c>
      <c r="L514" s="6742"/>
    </row>
    <row r="515" spans="1:16" ht="30" customHeight="1" x14ac:dyDescent="0.2">
      <c r="A515" s="7242">
        <v>195</v>
      </c>
      <c r="B515" s="7240" t="s">
        <v>56</v>
      </c>
      <c r="C515" s="7259" t="s">
        <v>990</v>
      </c>
      <c r="D515" s="7236">
        <v>10000000</v>
      </c>
      <c r="E515" s="7244">
        <v>0.05</v>
      </c>
      <c r="F515" s="7236">
        <f t="shared" ref="F515:F617" si="39">D515*E515</f>
        <v>500000</v>
      </c>
      <c r="G515" s="6643">
        <v>500000</v>
      </c>
      <c r="H515" s="6643" t="s">
        <v>8366</v>
      </c>
      <c r="I515" s="6771" t="s">
        <v>1121</v>
      </c>
      <c r="J515" s="6643">
        <f t="shared" ref="J515:J549" si="40">G515</f>
        <v>500000</v>
      </c>
      <c r="K515" s="6643">
        <f t="shared" ref="K515:K531" si="41">F515-J515</f>
        <v>0</v>
      </c>
      <c r="L515" s="29"/>
    </row>
    <row r="516" spans="1:16" ht="30" customHeight="1" x14ac:dyDescent="0.2">
      <c r="A516" s="7654">
        <v>196</v>
      </c>
      <c r="B516" s="7652" t="s">
        <v>57</v>
      </c>
      <c r="C516" s="7723" t="s">
        <v>1107</v>
      </c>
      <c r="D516" s="7563">
        <v>60000000</v>
      </c>
      <c r="E516" s="7659">
        <v>0.05</v>
      </c>
      <c r="F516" s="7563">
        <f t="shared" ref="F516" si="42">D516*E516</f>
        <v>3000000</v>
      </c>
      <c r="G516" s="6641"/>
      <c r="H516" s="6641"/>
      <c r="I516" s="6645" t="s">
        <v>3761</v>
      </c>
      <c r="J516" s="6641">
        <f t="shared" si="40"/>
        <v>0</v>
      </c>
      <c r="K516" s="6641">
        <f>F516-J516</f>
        <v>3000000</v>
      </c>
      <c r="L516" s="29"/>
    </row>
    <row r="517" spans="1:16" ht="30" customHeight="1" x14ac:dyDescent="0.2">
      <c r="A517" s="7655"/>
      <c r="B517" s="7653"/>
      <c r="C517" s="7724"/>
      <c r="D517" s="7564"/>
      <c r="E517" s="7660"/>
      <c r="F517" s="7564"/>
      <c r="G517" s="6641"/>
      <c r="H517" s="6641"/>
      <c r="I517" s="6645" t="s">
        <v>3761</v>
      </c>
      <c r="J517" s="6641">
        <f t="shared" si="40"/>
        <v>0</v>
      </c>
      <c r="K517" s="6641">
        <f>F516-J517</f>
        <v>3000000</v>
      </c>
      <c r="L517" s="29"/>
    </row>
    <row r="518" spans="1:16" ht="30" customHeight="1" x14ac:dyDescent="0.2">
      <c r="A518" s="7879">
        <v>197</v>
      </c>
      <c r="B518" s="7717" t="s">
        <v>4151</v>
      </c>
      <c r="C518" s="7873" t="s">
        <v>1134</v>
      </c>
      <c r="D518" s="6635">
        <v>100000000</v>
      </c>
      <c r="E518" s="6705">
        <v>0.05</v>
      </c>
      <c r="F518" s="6635">
        <f t="shared" si="39"/>
        <v>5000000</v>
      </c>
      <c r="G518" s="7482"/>
      <c r="H518" s="7482"/>
      <c r="I518" s="7482" t="s">
        <v>4152</v>
      </c>
      <c r="J518" s="7482">
        <f t="shared" si="40"/>
        <v>0</v>
      </c>
      <c r="K518" s="7482">
        <f>(F518+F519)-J518</f>
        <v>12000000</v>
      </c>
      <c r="L518" s="7713"/>
      <c r="M518" s="366"/>
      <c r="N518" s="366"/>
      <c r="O518" s="366"/>
      <c r="P518" s="366"/>
    </row>
    <row r="519" spans="1:16" ht="30" customHeight="1" x14ac:dyDescent="0.2">
      <c r="A519" s="7879"/>
      <c r="B519" s="7717"/>
      <c r="C519" s="7873"/>
      <c r="D519" s="6635">
        <v>100000000</v>
      </c>
      <c r="E519" s="6705">
        <v>7.0000000000000007E-2</v>
      </c>
      <c r="F519" s="6635">
        <f t="shared" si="39"/>
        <v>7000000.0000000009</v>
      </c>
      <c r="G519" s="7482"/>
      <c r="H519" s="7482"/>
      <c r="I519" s="7482"/>
      <c r="J519" s="7482"/>
      <c r="K519" s="7482"/>
      <c r="L519" s="7714"/>
      <c r="M519" s="366"/>
      <c r="N519" s="366"/>
      <c r="O519" s="366"/>
      <c r="P519" s="366"/>
    </row>
    <row r="520" spans="1:16" ht="30" customHeight="1" x14ac:dyDescent="0.2">
      <c r="A520" s="7879"/>
      <c r="B520" s="7717"/>
      <c r="C520" s="7873"/>
      <c r="D520" s="6635">
        <v>100000000</v>
      </c>
      <c r="E520" s="6705">
        <v>0.05</v>
      </c>
      <c r="F520" s="6635">
        <f t="shared" si="39"/>
        <v>5000000</v>
      </c>
      <c r="G520" s="7563"/>
      <c r="H520" s="7563"/>
      <c r="I520" s="7482" t="s">
        <v>4152</v>
      </c>
      <c r="J520" s="7563">
        <f>G520</f>
        <v>0</v>
      </c>
      <c r="K520" s="7563">
        <f>(F520+F521)-J520</f>
        <v>12000000</v>
      </c>
      <c r="L520" s="7713"/>
      <c r="M520" s="366"/>
      <c r="N520" s="366"/>
      <c r="O520" s="366"/>
      <c r="P520" s="366"/>
    </row>
    <row r="521" spans="1:16" ht="30" customHeight="1" x14ac:dyDescent="0.2">
      <c r="A521" s="7879"/>
      <c r="B521" s="7717"/>
      <c r="C521" s="7873"/>
      <c r="D521" s="6635">
        <v>100000000</v>
      </c>
      <c r="E521" s="6705">
        <v>7.0000000000000007E-2</v>
      </c>
      <c r="F521" s="6635">
        <f t="shared" si="39"/>
        <v>7000000.0000000009</v>
      </c>
      <c r="G521" s="7564"/>
      <c r="H521" s="7564"/>
      <c r="I521" s="7482"/>
      <c r="J521" s="7564"/>
      <c r="K521" s="7564"/>
      <c r="L521" s="7714"/>
      <c r="M521" s="366"/>
      <c r="N521" s="366"/>
      <c r="O521" s="366"/>
      <c r="P521" s="366"/>
    </row>
    <row r="522" spans="1:16" ht="30" customHeight="1" x14ac:dyDescent="0.2">
      <c r="A522" s="7656">
        <v>198</v>
      </c>
      <c r="B522" s="7665" t="s">
        <v>59</v>
      </c>
      <c r="C522" s="7327" t="s">
        <v>1796</v>
      </c>
      <c r="D522" s="7292">
        <v>30000000</v>
      </c>
      <c r="E522" s="7324">
        <v>8.5000000000000006E-2</v>
      </c>
      <c r="F522" s="7292">
        <v>2500000</v>
      </c>
      <c r="G522" s="7292">
        <v>2500000</v>
      </c>
      <c r="H522" s="7292" t="s">
        <v>8245</v>
      </c>
      <c r="I522" s="7292" t="s">
        <v>2503</v>
      </c>
      <c r="J522" s="7292">
        <f t="shared" si="40"/>
        <v>2500000</v>
      </c>
      <c r="K522" s="6643">
        <f t="shared" si="41"/>
        <v>0</v>
      </c>
      <c r="L522" s="29"/>
      <c r="M522" s="366"/>
      <c r="N522" s="366"/>
      <c r="O522" s="366"/>
      <c r="P522" s="366"/>
    </row>
    <row r="523" spans="1:16" ht="30" customHeight="1" x14ac:dyDescent="0.2">
      <c r="A523" s="7655"/>
      <c r="B523" s="7653"/>
      <c r="C523" s="6710" t="s">
        <v>1718</v>
      </c>
      <c r="D523" s="6643">
        <v>100000000</v>
      </c>
      <c r="E523" s="6705">
        <v>7.0000000000000007E-2</v>
      </c>
      <c r="F523" s="6643">
        <f>D523*E523</f>
        <v>7000000.0000000009</v>
      </c>
      <c r="G523" s="6635">
        <v>7000000</v>
      </c>
      <c r="H523" s="6643" t="s">
        <v>8111</v>
      </c>
      <c r="I523" s="6643" t="s">
        <v>4137</v>
      </c>
      <c r="J523" s="6643">
        <f>G523</f>
        <v>7000000</v>
      </c>
      <c r="K523" s="6643">
        <f>F523-J523</f>
        <v>0</v>
      </c>
      <c r="L523" s="29"/>
      <c r="M523" s="366"/>
      <c r="N523" s="366"/>
      <c r="O523" s="366"/>
      <c r="P523" s="366"/>
    </row>
    <row r="524" spans="1:16" ht="30" customHeight="1" x14ac:dyDescent="0.2">
      <c r="A524" s="7248">
        <v>199</v>
      </c>
      <c r="B524" s="7240" t="s">
        <v>60</v>
      </c>
      <c r="C524" s="7259" t="s">
        <v>1100</v>
      </c>
      <c r="D524" s="7236">
        <v>50000000</v>
      </c>
      <c r="E524" s="7244">
        <v>0.05</v>
      </c>
      <c r="F524" s="7236">
        <f t="shared" si="39"/>
        <v>2500000</v>
      </c>
      <c r="G524" s="7238">
        <v>2500000</v>
      </c>
      <c r="H524" s="7238" t="s">
        <v>8366</v>
      </c>
      <c r="I524" s="7232" t="s">
        <v>1137</v>
      </c>
      <c r="J524" s="7238">
        <f t="shared" si="40"/>
        <v>2500000</v>
      </c>
      <c r="K524" s="7238">
        <f t="shared" si="41"/>
        <v>0</v>
      </c>
      <c r="L524" s="29"/>
      <c r="M524" s="366"/>
      <c r="N524" s="366"/>
      <c r="O524" s="366"/>
      <c r="P524" s="366"/>
    </row>
    <row r="525" spans="1:16" ht="30" customHeight="1" x14ac:dyDescent="0.2">
      <c r="A525" s="7654">
        <v>200</v>
      </c>
      <c r="B525" s="7652" t="s">
        <v>61</v>
      </c>
      <c r="C525" s="7723" t="s">
        <v>1081</v>
      </c>
      <c r="D525" s="7563">
        <v>550000000</v>
      </c>
      <c r="E525" s="7659">
        <v>7.0000000000000007E-2</v>
      </c>
      <c r="F525" s="7563">
        <f t="shared" si="39"/>
        <v>38500000</v>
      </c>
      <c r="G525" s="6986">
        <v>18500000</v>
      </c>
      <c r="H525" s="6989" t="s">
        <v>8111</v>
      </c>
      <c r="I525" s="6989" t="s">
        <v>1574</v>
      </c>
      <c r="J525" s="7563">
        <f>G525+G526</f>
        <v>38500000</v>
      </c>
      <c r="K525" s="7563">
        <f>F525-J525</f>
        <v>0</v>
      </c>
      <c r="L525" s="7723"/>
      <c r="M525" s="366"/>
      <c r="N525" s="366"/>
      <c r="O525" s="366"/>
      <c r="P525" s="366"/>
    </row>
    <row r="526" spans="1:16" ht="30" customHeight="1" x14ac:dyDescent="0.2">
      <c r="A526" s="7656"/>
      <c r="B526" s="7665"/>
      <c r="C526" s="7747"/>
      <c r="D526" s="7586"/>
      <c r="E526" s="7676"/>
      <c r="F526" s="7586"/>
      <c r="G526" s="6643">
        <v>20000000</v>
      </c>
      <c r="H526" s="6643" t="s">
        <v>8424</v>
      </c>
      <c r="I526" s="6691" t="s">
        <v>1574</v>
      </c>
      <c r="J526" s="7564"/>
      <c r="K526" s="7564"/>
      <c r="L526" s="7724"/>
      <c r="M526" s="366"/>
      <c r="N526" s="366"/>
      <c r="O526" s="366"/>
      <c r="P526" s="366"/>
    </row>
    <row r="527" spans="1:16" ht="30" customHeight="1" x14ac:dyDescent="0.2">
      <c r="A527" s="7242">
        <v>201</v>
      </c>
      <c r="B527" s="7240" t="s">
        <v>62</v>
      </c>
      <c r="C527" s="7259"/>
      <c r="D527" s="7236">
        <v>60000000</v>
      </c>
      <c r="E527" s="7244">
        <v>7.0000000000000007E-2</v>
      </c>
      <c r="F527" s="7236">
        <v>4500000</v>
      </c>
      <c r="G527" s="6643">
        <v>4500000</v>
      </c>
      <c r="H527" s="6643" t="s">
        <v>8366</v>
      </c>
      <c r="I527" s="6691" t="s">
        <v>1211</v>
      </c>
      <c r="J527" s="6643">
        <f t="shared" si="40"/>
        <v>4500000</v>
      </c>
      <c r="K527" s="6643">
        <f t="shared" si="41"/>
        <v>0</v>
      </c>
      <c r="L527" s="29"/>
      <c r="M527" s="366"/>
      <c r="N527" s="366"/>
      <c r="O527" s="366"/>
      <c r="P527" s="366"/>
    </row>
    <row r="528" spans="1:16" ht="30" customHeight="1" x14ac:dyDescent="0.2">
      <c r="A528" s="7337">
        <v>202</v>
      </c>
      <c r="B528" s="7298" t="s">
        <v>63</v>
      </c>
      <c r="C528" s="7316" t="s">
        <v>1081</v>
      </c>
      <c r="D528" s="7295">
        <v>100000000</v>
      </c>
      <c r="E528" s="7302">
        <v>0.05</v>
      </c>
      <c r="F528" s="7295">
        <f t="shared" si="39"/>
        <v>5000000</v>
      </c>
      <c r="G528" s="6635">
        <v>5000000</v>
      </c>
      <c r="H528" s="6643" t="s">
        <v>8398</v>
      </c>
      <c r="I528" s="6771" t="s">
        <v>2544</v>
      </c>
      <c r="J528" s="6643">
        <f t="shared" si="40"/>
        <v>5000000</v>
      </c>
      <c r="K528" s="6643">
        <f t="shared" si="41"/>
        <v>0</v>
      </c>
      <c r="L528" s="6742" t="s">
        <v>5478</v>
      </c>
      <c r="M528" s="366"/>
      <c r="N528" s="366"/>
      <c r="O528" s="366"/>
      <c r="P528" s="366"/>
    </row>
    <row r="529" spans="1:12" ht="30" customHeight="1" x14ac:dyDescent="0.2">
      <c r="A529" s="7654">
        <v>203</v>
      </c>
      <c r="B529" s="7652" t="s">
        <v>1244</v>
      </c>
      <c r="C529" s="7723" t="s">
        <v>1081</v>
      </c>
      <c r="D529" s="7563">
        <v>60000000</v>
      </c>
      <c r="E529" s="7659">
        <v>0.05</v>
      </c>
      <c r="F529" s="7563">
        <f t="shared" si="39"/>
        <v>3000000</v>
      </c>
      <c r="G529" s="6643">
        <v>10000000</v>
      </c>
      <c r="H529" s="6643" t="s">
        <v>6460</v>
      </c>
      <c r="I529" s="6771" t="s">
        <v>8036</v>
      </c>
      <c r="J529" s="7563">
        <f>G529+G530</f>
        <v>20000000</v>
      </c>
      <c r="K529" s="7563"/>
      <c r="L529" s="29"/>
    </row>
    <row r="530" spans="1:12" ht="30" customHeight="1" x14ac:dyDescent="0.2">
      <c r="A530" s="7655"/>
      <c r="B530" s="7653"/>
      <c r="C530" s="7724"/>
      <c r="D530" s="7564"/>
      <c r="E530" s="7660"/>
      <c r="F530" s="7564"/>
      <c r="G530" s="6643">
        <v>10000000</v>
      </c>
      <c r="H530" s="6643" t="s">
        <v>8042</v>
      </c>
      <c r="I530" s="6939" t="s">
        <v>8036</v>
      </c>
      <c r="J530" s="7564"/>
      <c r="K530" s="7564"/>
      <c r="L530" s="29"/>
    </row>
    <row r="531" spans="1:12" ht="30" customHeight="1" x14ac:dyDescent="0.2">
      <c r="A531" s="7654">
        <v>205</v>
      </c>
      <c r="B531" s="7652" t="s">
        <v>65</v>
      </c>
      <c r="C531" s="7723" t="s">
        <v>3245</v>
      </c>
      <c r="D531" s="7563">
        <v>15000000</v>
      </c>
      <c r="E531" s="7659">
        <v>0.04</v>
      </c>
      <c r="F531" s="7563">
        <f t="shared" si="39"/>
        <v>600000</v>
      </c>
      <c r="G531" s="6643">
        <v>600000</v>
      </c>
      <c r="H531" s="6643" t="s">
        <v>8366</v>
      </c>
      <c r="I531" s="6771" t="s">
        <v>6933</v>
      </c>
      <c r="J531" s="6643">
        <f t="shared" si="40"/>
        <v>600000</v>
      </c>
      <c r="K531" s="6643">
        <f t="shared" si="41"/>
        <v>0</v>
      </c>
      <c r="L531" s="29"/>
    </row>
    <row r="532" spans="1:12" ht="30" customHeight="1" x14ac:dyDescent="0.2">
      <c r="A532" s="7656"/>
      <c r="B532" s="7665"/>
      <c r="C532" s="7747"/>
      <c r="D532" s="7586"/>
      <c r="E532" s="7676"/>
      <c r="F532" s="7586"/>
      <c r="G532" s="6642"/>
      <c r="H532" s="6642"/>
      <c r="I532" s="6770" t="s">
        <v>3244</v>
      </c>
      <c r="J532" s="6642">
        <f t="shared" si="40"/>
        <v>0</v>
      </c>
      <c r="K532" s="6642">
        <f>F531-J532</f>
        <v>600000</v>
      </c>
      <c r="L532" s="29"/>
    </row>
    <row r="533" spans="1:12" ht="30" customHeight="1" x14ac:dyDescent="0.2">
      <c r="A533" s="7655"/>
      <c r="B533" s="7653"/>
      <c r="C533" s="7724"/>
      <c r="D533" s="7564"/>
      <c r="E533" s="7660"/>
      <c r="F533" s="7564"/>
      <c r="G533" s="6635"/>
      <c r="H533" s="6635"/>
      <c r="I533" s="6715" t="s">
        <v>7526</v>
      </c>
      <c r="J533" s="6635">
        <f t="shared" si="40"/>
        <v>0</v>
      </c>
      <c r="K533" s="6635">
        <f>F531-J533</f>
        <v>600000</v>
      </c>
      <c r="L533" s="6562" t="s">
        <v>6571</v>
      </c>
    </row>
    <row r="534" spans="1:12" ht="30" customHeight="1" x14ac:dyDescent="0.2">
      <c r="A534" s="7300">
        <v>207</v>
      </c>
      <c r="B534" s="7298" t="s">
        <v>2676</v>
      </c>
      <c r="C534" s="7316" t="s">
        <v>681</v>
      </c>
      <c r="D534" s="7292">
        <v>160000000</v>
      </c>
      <c r="E534" s="7324">
        <v>0.04</v>
      </c>
      <c r="F534" s="7292">
        <f t="shared" ref="F534" si="43">D534*E534</f>
        <v>6400000</v>
      </c>
      <c r="G534" s="6641">
        <v>6400000</v>
      </c>
      <c r="H534" s="6641" t="s">
        <v>8424</v>
      </c>
      <c r="I534" s="7304" t="s">
        <v>7744</v>
      </c>
      <c r="J534" s="6641">
        <f t="shared" si="40"/>
        <v>6400000</v>
      </c>
      <c r="K534" s="6641">
        <f>F534-J534</f>
        <v>0</v>
      </c>
      <c r="L534" s="29"/>
    </row>
    <row r="535" spans="1:12" ht="30" customHeight="1" x14ac:dyDescent="0.2">
      <c r="A535" s="7654">
        <v>208</v>
      </c>
      <c r="B535" s="7652" t="s">
        <v>69</v>
      </c>
      <c r="C535" s="7723" t="s">
        <v>1100</v>
      </c>
      <c r="D535" s="7563">
        <v>15000000</v>
      </c>
      <c r="E535" s="7659">
        <v>0.04</v>
      </c>
      <c r="F535" s="7563">
        <f t="shared" si="39"/>
        <v>600000</v>
      </c>
      <c r="G535" s="6635"/>
      <c r="H535" s="6635"/>
      <c r="I535" s="6715" t="s">
        <v>1099</v>
      </c>
      <c r="J535" s="6635">
        <f t="shared" si="40"/>
        <v>0</v>
      </c>
      <c r="K535" s="6635">
        <f t="shared" ref="K535:K550" si="44">F535-J535</f>
        <v>600000</v>
      </c>
      <c r="L535" s="6783"/>
    </row>
    <row r="536" spans="1:12" ht="30" customHeight="1" x14ac:dyDescent="0.2">
      <c r="A536" s="7655"/>
      <c r="B536" s="7653"/>
      <c r="C536" s="7724"/>
      <c r="D536" s="7564"/>
      <c r="E536" s="7660"/>
      <c r="F536" s="7564"/>
      <c r="G536" s="6641"/>
      <c r="H536" s="6641"/>
      <c r="I536" s="6715" t="s">
        <v>1099</v>
      </c>
      <c r="J536" s="6641">
        <f t="shared" si="40"/>
        <v>0</v>
      </c>
      <c r="K536" s="6641">
        <f>F535-J536</f>
        <v>600000</v>
      </c>
      <c r="L536" s="6783"/>
    </row>
    <row r="537" spans="1:12" ht="30" customHeight="1" x14ac:dyDescent="0.2">
      <c r="A537" s="6708">
        <v>210</v>
      </c>
      <c r="B537" s="6665" t="s">
        <v>72</v>
      </c>
      <c r="C537" s="7723" t="s">
        <v>392</v>
      </c>
      <c r="D537" s="6643">
        <v>50000000</v>
      </c>
      <c r="E537" s="6705">
        <v>7.0000000000000007E-2</v>
      </c>
      <c r="F537" s="6643">
        <f t="shared" si="39"/>
        <v>3500000.0000000005</v>
      </c>
      <c r="G537" s="7563"/>
      <c r="H537" s="7563"/>
      <c r="I537" s="7561" t="s">
        <v>4892</v>
      </c>
      <c r="J537" s="7563">
        <f t="shared" si="40"/>
        <v>0</v>
      </c>
      <c r="K537" s="7563">
        <f>(F537+F538)-J537</f>
        <v>7000000.0000000009</v>
      </c>
      <c r="L537" s="6665"/>
    </row>
    <row r="538" spans="1:12" ht="30" customHeight="1" x14ac:dyDescent="0.2">
      <c r="A538" s="6708"/>
      <c r="B538" s="6665" t="s">
        <v>4821</v>
      </c>
      <c r="C538" s="7724"/>
      <c r="D538" s="6643">
        <v>50000000</v>
      </c>
      <c r="E538" s="6705">
        <v>7.0000000000000007E-2</v>
      </c>
      <c r="F538" s="6643">
        <f t="shared" si="39"/>
        <v>3500000.0000000005</v>
      </c>
      <c r="G538" s="7564"/>
      <c r="H538" s="7564"/>
      <c r="I538" s="7562"/>
      <c r="J538" s="7564"/>
      <c r="K538" s="7564"/>
      <c r="L538" s="6665"/>
    </row>
    <row r="539" spans="1:12" ht="30" customHeight="1" x14ac:dyDescent="0.2">
      <c r="A539" s="7654">
        <v>211</v>
      </c>
      <c r="B539" s="7652" t="s">
        <v>73</v>
      </c>
      <c r="C539" s="7723" t="s">
        <v>1295</v>
      </c>
      <c r="D539" s="6643">
        <v>100000000</v>
      </c>
      <c r="E539" s="6705">
        <v>5.5E-2</v>
      </c>
      <c r="F539" s="6643">
        <f t="shared" si="39"/>
        <v>5500000</v>
      </c>
      <c r="G539" s="7563">
        <v>11000000</v>
      </c>
      <c r="H539" s="7563" t="s">
        <v>8267</v>
      </c>
      <c r="I539" s="7561" t="s">
        <v>4001</v>
      </c>
      <c r="J539" s="7563">
        <f t="shared" si="40"/>
        <v>11000000</v>
      </c>
      <c r="K539" s="7563">
        <f>(F540+F539)-J539</f>
        <v>0</v>
      </c>
      <c r="L539" s="6681"/>
    </row>
    <row r="540" spans="1:12" ht="30" customHeight="1" x14ac:dyDescent="0.2">
      <c r="A540" s="7655"/>
      <c r="B540" s="7653"/>
      <c r="C540" s="7724"/>
      <c r="D540" s="6643">
        <v>100000000</v>
      </c>
      <c r="E540" s="6705">
        <v>5.5E-2</v>
      </c>
      <c r="F540" s="6643">
        <f t="shared" si="39"/>
        <v>5500000</v>
      </c>
      <c r="G540" s="7564"/>
      <c r="H540" s="7564"/>
      <c r="I540" s="7562"/>
      <c r="J540" s="7564"/>
      <c r="K540" s="7564"/>
      <c r="L540" s="6681"/>
    </row>
    <row r="541" spans="1:12" ht="30" customHeight="1" x14ac:dyDescent="0.2">
      <c r="A541" s="7654">
        <v>212</v>
      </c>
      <c r="B541" s="7652" t="s">
        <v>74</v>
      </c>
      <c r="C541" s="7723" t="s">
        <v>889</v>
      </c>
      <c r="D541" s="6643">
        <v>30000000</v>
      </c>
      <c r="E541" s="6705">
        <v>0.05</v>
      </c>
      <c r="F541" s="6643">
        <f t="shared" si="39"/>
        <v>1500000</v>
      </c>
      <c r="G541" s="7056">
        <v>3200000</v>
      </c>
      <c r="H541" s="7056" t="s">
        <v>7987</v>
      </c>
      <c r="I541" s="7076" t="s">
        <v>7991</v>
      </c>
      <c r="J541" s="7056">
        <f t="shared" si="40"/>
        <v>3200000</v>
      </c>
      <c r="K541" s="7056">
        <f>(F541+F542+F543)-J541</f>
        <v>0</v>
      </c>
      <c r="L541" s="6665"/>
    </row>
    <row r="542" spans="1:12" ht="30" customHeight="1" x14ac:dyDescent="0.2">
      <c r="A542" s="7656"/>
      <c r="B542" s="7665"/>
      <c r="C542" s="7747"/>
      <c r="D542" s="6643">
        <v>10000000</v>
      </c>
      <c r="E542" s="6705">
        <v>0.05</v>
      </c>
      <c r="F542" s="6643">
        <f t="shared" si="39"/>
        <v>500000</v>
      </c>
      <c r="G542" s="7056">
        <v>3200000</v>
      </c>
      <c r="H542" s="7056" t="s">
        <v>8215</v>
      </c>
      <c r="I542" s="7076" t="s">
        <v>7991</v>
      </c>
      <c r="J542" s="7056">
        <f>G542</f>
        <v>3200000</v>
      </c>
      <c r="K542" s="7056">
        <f>(F541+F542+F543)-J542</f>
        <v>0</v>
      </c>
      <c r="L542" s="6665"/>
    </row>
    <row r="543" spans="1:12" ht="30" customHeight="1" x14ac:dyDescent="0.2">
      <c r="A543" s="7656"/>
      <c r="B543" s="7665"/>
      <c r="C543" s="7747"/>
      <c r="D543" s="7563">
        <v>20000000</v>
      </c>
      <c r="E543" s="7659">
        <v>0.06</v>
      </c>
      <c r="F543" s="7563">
        <f t="shared" si="39"/>
        <v>1200000</v>
      </c>
      <c r="G543" s="7732" t="s">
        <v>6534</v>
      </c>
      <c r="H543" s="7733"/>
      <c r="I543" s="7733"/>
      <c r="J543" s="7734"/>
      <c r="K543" s="6643"/>
      <c r="L543" s="6681" t="s">
        <v>6533</v>
      </c>
    </row>
    <row r="544" spans="1:12" ht="30" customHeight="1" x14ac:dyDescent="0.2">
      <c r="A544" s="7655"/>
      <c r="B544" s="7653"/>
      <c r="C544" s="7724"/>
      <c r="D544" s="7564"/>
      <c r="E544" s="7660"/>
      <c r="F544" s="7564"/>
      <c r="G544" s="7732" t="s">
        <v>7386</v>
      </c>
      <c r="H544" s="7733"/>
      <c r="I544" s="7733"/>
      <c r="J544" s="7734"/>
      <c r="K544" s="6643"/>
      <c r="L544" s="6681" t="s">
        <v>6535</v>
      </c>
    </row>
    <row r="545" spans="1:12" ht="30" customHeight="1" x14ac:dyDescent="0.2">
      <c r="A545" s="6708">
        <v>213</v>
      </c>
      <c r="B545" s="6665" t="s">
        <v>5115</v>
      </c>
      <c r="C545" s="6684" t="s">
        <v>889</v>
      </c>
      <c r="D545" s="6643">
        <v>15000000</v>
      </c>
      <c r="E545" s="6705">
        <v>4.7E-2</v>
      </c>
      <c r="F545" s="6643">
        <v>700000</v>
      </c>
      <c r="G545" s="6643">
        <v>700000</v>
      </c>
      <c r="H545" s="6643" t="s">
        <v>8215</v>
      </c>
      <c r="I545" s="6771" t="s">
        <v>325</v>
      </c>
      <c r="J545" s="6643">
        <f t="shared" si="40"/>
        <v>700000</v>
      </c>
      <c r="K545" s="6643">
        <f t="shared" si="44"/>
        <v>0</v>
      </c>
      <c r="L545" s="6665"/>
    </row>
    <row r="546" spans="1:12" ht="30" customHeight="1" x14ac:dyDescent="0.2">
      <c r="A546" s="6708">
        <v>214</v>
      </c>
      <c r="B546" s="6665" t="s">
        <v>937</v>
      </c>
      <c r="C546" s="6684"/>
      <c r="D546" s="6643">
        <v>200000000</v>
      </c>
      <c r="E546" s="6705">
        <v>5.5E-2</v>
      </c>
      <c r="F546" s="6643">
        <f t="shared" si="39"/>
        <v>11000000</v>
      </c>
      <c r="G546" s="6643">
        <v>11000000</v>
      </c>
      <c r="H546" s="6643" t="s">
        <v>8164</v>
      </c>
      <c r="I546" s="6771" t="s">
        <v>3974</v>
      </c>
      <c r="J546" s="6643">
        <f t="shared" si="40"/>
        <v>11000000</v>
      </c>
      <c r="K546" s="6643">
        <f t="shared" si="44"/>
        <v>0</v>
      </c>
      <c r="L546" s="6665"/>
    </row>
    <row r="547" spans="1:12" ht="30" customHeight="1" x14ac:dyDescent="0.2">
      <c r="A547" s="6653">
        <v>216</v>
      </c>
      <c r="B547" s="6711" t="s">
        <v>77</v>
      </c>
      <c r="C547" s="6683" t="s">
        <v>889</v>
      </c>
      <c r="D547" s="6643">
        <v>460000000</v>
      </c>
      <c r="E547" s="6705">
        <v>0.05</v>
      </c>
      <c r="F547" s="6643">
        <f t="shared" si="39"/>
        <v>23000000</v>
      </c>
      <c r="G547" s="6643"/>
      <c r="H547" s="6643"/>
      <c r="I547" s="6771" t="s">
        <v>3401</v>
      </c>
      <c r="J547" s="6641">
        <f>G547</f>
        <v>0</v>
      </c>
      <c r="K547" s="6643">
        <f t="shared" si="44"/>
        <v>23000000</v>
      </c>
      <c r="L547" s="6665"/>
    </row>
    <row r="548" spans="1:12" ht="30" customHeight="1" x14ac:dyDescent="0.2">
      <c r="A548" s="6653">
        <v>217</v>
      </c>
      <c r="B548" s="6650" t="s">
        <v>79</v>
      </c>
      <c r="C548" s="6683"/>
      <c r="D548" s="6641">
        <v>160000000</v>
      </c>
      <c r="E548" s="6647">
        <v>0.05</v>
      </c>
      <c r="F548" s="6641">
        <f t="shared" si="39"/>
        <v>8000000</v>
      </c>
      <c r="G548" s="6642"/>
      <c r="H548" s="6642"/>
      <c r="I548" s="6770"/>
      <c r="J548" s="6641">
        <f t="shared" si="40"/>
        <v>0</v>
      </c>
      <c r="K548" s="6641">
        <f t="shared" si="44"/>
        <v>8000000</v>
      </c>
      <c r="L548" s="6670"/>
    </row>
    <row r="549" spans="1:12" ht="30" customHeight="1" x14ac:dyDescent="0.2">
      <c r="A549" s="6708">
        <v>218</v>
      </c>
      <c r="B549" s="6774" t="s">
        <v>80</v>
      </c>
      <c r="C549" s="5773"/>
      <c r="D549" s="6644">
        <v>45000000</v>
      </c>
      <c r="E549" s="2519">
        <v>0.04</v>
      </c>
      <c r="F549" s="6644">
        <f t="shared" si="39"/>
        <v>1800000</v>
      </c>
      <c r="G549" s="6644"/>
      <c r="H549" s="6644"/>
      <c r="I549" s="5817" t="s">
        <v>1695</v>
      </c>
      <c r="J549" s="6644">
        <f t="shared" si="40"/>
        <v>0</v>
      </c>
      <c r="K549" s="6644">
        <f t="shared" si="44"/>
        <v>1800000</v>
      </c>
      <c r="L549" s="6665"/>
    </row>
    <row r="550" spans="1:12" ht="30" customHeight="1" x14ac:dyDescent="0.2">
      <c r="A550" s="6708">
        <v>221</v>
      </c>
      <c r="B550" s="6711" t="s">
        <v>326</v>
      </c>
      <c r="C550" s="6683" t="s">
        <v>1652</v>
      </c>
      <c r="D550" s="6641">
        <v>275000000</v>
      </c>
      <c r="E550" s="6647">
        <v>4.2000000000000003E-2</v>
      </c>
      <c r="F550" s="6641">
        <f>D550*E550</f>
        <v>11550000</v>
      </c>
      <c r="G550" s="6642">
        <v>11550000</v>
      </c>
      <c r="H550" s="6642" t="s">
        <v>8142</v>
      </c>
      <c r="I550" s="6770" t="s">
        <v>1654</v>
      </c>
      <c r="J550" s="6641">
        <f>G550</f>
        <v>11550000</v>
      </c>
      <c r="K550" s="6641">
        <f t="shared" si="44"/>
        <v>0</v>
      </c>
      <c r="L550" s="6660"/>
    </row>
    <row r="551" spans="1:12" ht="30" customHeight="1" x14ac:dyDescent="0.2">
      <c r="A551" s="7654">
        <v>222</v>
      </c>
      <c r="B551" s="7652" t="s">
        <v>1818</v>
      </c>
      <c r="C551" s="7723" t="s">
        <v>1287</v>
      </c>
      <c r="D551" s="7563">
        <v>700000000</v>
      </c>
      <c r="E551" s="7659">
        <v>0.06</v>
      </c>
      <c r="F551" s="7563">
        <f>D551*E551</f>
        <v>42000000</v>
      </c>
      <c r="G551" s="8494" t="s">
        <v>8378</v>
      </c>
      <c r="H551" s="8494"/>
      <c r="I551" s="8494"/>
      <c r="J551" s="8494"/>
      <c r="K551" s="8494"/>
      <c r="L551" s="6710"/>
    </row>
    <row r="552" spans="1:12" ht="30" customHeight="1" x14ac:dyDescent="0.2">
      <c r="A552" s="7655"/>
      <c r="B552" s="7653"/>
      <c r="C552" s="7724"/>
      <c r="D552" s="7564"/>
      <c r="E552" s="7660"/>
      <c r="F552" s="7564"/>
      <c r="G552" s="8494" t="s">
        <v>8379</v>
      </c>
      <c r="H552" s="8494"/>
      <c r="I552" s="8494"/>
      <c r="J552" s="8494"/>
      <c r="K552" s="8494"/>
      <c r="L552" s="6710"/>
    </row>
    <row r="553" spans="1:12" ht="30" customHeight="1" x14ac:dyDescent="0.2">
      <c r="A553" s="6708">
        <v>224</v>
      </c>
      <c r="B553" s="19" t="s">
        <v>2623</v>
      </c>
      <c r="C553" s="6710"/>
      <c r="D553" s="6635">
        <v>10000000</v>
      </c>
      <c r="E553" s="6705">
        <v>0.05</v>
      </c>
      <c r="F553" s="6635">
        <f t="shared" si="39"/>
        <v>500000</v>
      </c>
      <c r="G553" s="6643"/>
      <c r="H553" s="6643"/>
      <c r="I553" s="6771" t="s">
        <v>3934</v>
      </c>
      <c r="J553" s="6643">
        <f t="shared" ref="J553:J556" si="45">G553</f>
        <v>0</v>
      </c>
      <c r="K553" s="6643">
        <f t="shared" ref="K553:K556" si="46">F553-J553</f>
        <v>500000</v>
      </c>
      <c r="L553" s="6665"/>
    </row>
    <row r="554" spans="1:12" ht="30" customHeight="1" x14ac:dyDescent="0.2">
      <c r="A554" s="7654">
        <v>226</v>
      </c>
      <c r="B554" s="7652" t="s">
        <v>86</v>
      </c>
      <c r="C554" s="7723" t="s">
        <v>889</v>
      </c>
      <c r="D554" s="7563">
        <v>500000000</v>
      </c>
      <c r="E554" s="7659">
        <v>0.06</v>
      </c>
      <c r="F554" s="7563">
        <f>D554*E554</f>
        <v>30000000</v>
      </c>
      <c r="G554" s="6641">
        <v>15000000</v>
      </c>
      <c r="H554" s="6641" t="s">
        <v>8025</v>
      </c>
      <c r="I554" s="6641" t="s">
        <v>2391</v>
      </c>
      <c r="J554" s="7563">
        <f>G554+G555</f>
        <v>30000000</v>
      </c>
      <c r="K554" s="7563">
        <f>F554-J554</f>
        <v>0</v>
      </c>
      <c r="L554" s="6671"/>
    </row>
    <row r="555" spans="1:12" ht="30" customHeight="1" x14ac:dyDescent="0.2">
      <c r="A555" s="7655"/>
      <c r="B555" s="7653"/>
      <c r="C555" s="7724"/>
      <c r="D555" s="7564"/>
      <c r="E555" s="7660"/>
      <c r="F555" s="7564"/>
      <c r="G555" s="6641">
        <v>15000000</v>
      </c>
      <c r="H555" s="6641" t="s">
        <v>8142</v>
      </c>
      <c r="I555" s="6641" t="s">
        <v>2391</v>
      </c>
      <c r="J555" s="7564"/>
      <c r="K555" s="7564"/>
      <c r="L555" s="6671"/>
    </row>
    <row r="556" spans="1:12" ht="30" customHeight="1" x14ac:dyDescent="0.2">
      <c r="A556" s="6708">
        <v>228</v>
      </c>
      <c r="B556" s="6665" t="s">
        <v>88</v>
      </c>
      <c r="C556" s="6684" t="s">
        <v>1176</v>
      </c>
      <c r="D556" s="6643">
        <v>10000000</v>
      </c>
      <c r="E556" s="6705">
        <v>0.04</v>
      </c>
      <c r="F556" s="6643">
        <f t="shared" si="39"/>
        <v>400000</v>
      </c>
      <c r="G556" s="6635">
        <v>400000</v>
      </c>
      <c r="H556" s="6635" t="s">
        <v>6460</v>
      </c>
      <c r="I556" s="6796" t="s">
        <v>417</v>
      </c>
      <c r="J556" s="6635">
        <f t="shared" si="45"/>
        <v>400000</v>
      </c>
      <c r="K556" s="6635">
        <f t="shared" si="46"/>
        <v>0</v>
      </c>
      <c r="L556" s="6665"/>
    </row>
    <row r="557" spans="1:12" ht="30" customHeight="1" x14ac:dyDescent="0.2">
      <c r="A557" s="7654"/>
      <c r="B557" s="7652" t="s">
        <v>89</v>
      </c>
      <c r="C557" s="7723" t="s">
        <v>942</v>
      </c>
      <c r="D557" s="6643">
        <v>180000000</v>
      </c>
      <c r="E557" s="6705">
        <v>0.05</v>
      </c>
      <c r="F557" s="6643">
        <f>D557*E557</f>
        <v>9000000</v>
      </c>
      <c r="G557" s="7563"/>
      <c r="H557" s="7563"/>
      <c r="I557" s="7563" t="s">
        <v>3969</v>
      </c>
      <c r="J557" s="7563">
        <f>G557</f>
        <v>0</v>
      </c>
      <c r="K557" s="7563"/>
      <c r="L557" s="6681"/>
    </row>
    <row r="558" spans="1:12" ht="30" customHeight="1" x14ac:dyDescent="0.2">
      <c r="A558" s="7656"/>
      <c r="B558" s="7665"/>
      <c r="C558" s="7747"/>
      <c r="D558" s="6643">
        <v>150000000</v>
      </c>
      <c r="E558" s="6705">
        <v>0.05</v>
      </c>
      <c r="F558" s="6643">
        <f>D558*E558</f>
        <v>7500000</v>
      </c>
      <c r="G558" s="7564"/>
      <c r="H558" s="7564"/>
      <c r="I558" s="7564"/>
      <c r="J558" s="7564"/>
      <c r="K558" s="7564"/>
      <c r="L558" s="6681" t="s">
        <v>6332</v>
      </c>
    </row>
    <row r="559" spans="1:12" ht="30" customHeight="1" x14ac:dyDescent="0.2">
      <c r="A559" s="7656"/>
      <c r="B559" s="7665"/>
      <c r="C559" s="7747"/>
      <c r="D559" s="6643">
        <v>10000000</v>
      </c>
      <c r="E559" s="6705">
        <v>0.05</v>
      </c>
      <c r="F559" s="6643">
        <f>D559*E559</f>
        <v>500000</v>
      </c>
      <c r="G559" s="7732" t="s">
        <v>7139</v>
      </c>
      <c r="H559" s="7733"/>
      <c r="I559" s="7733"/>
      <c r="J559" s="7734"/>
      <c r="K559" s="6643"/>
      <c r="L559" s="7674" t="s">
        <v>7232</v>
      </c>
    </row>
    <row r="560" spans="1:12" ht="30" customHeight="1" x14ac:dyDescent="0.2">
      <c r="A560" s="7656"/>
      <c r="B560" s="7665"/>
      <c r="C560" s="7747"/>
      <c r="D560" s="6643">
        <v>10000000</v>
      </c>
      <c r="E560" s="6705">
        <v>0.05</v>
      </c>
      <c r="F560" s="6643">
        <f>D560*E560</f>
        <v>500000</v>
      </c>
      <c r="G560" s="7732" t="s">
        <v>7140</v>
      </c>
      <c r="H560" s="7733"/>
      <c r="I560" s="7733"/>
      <c r="J560" s="7734"/>
      <c r="K560" s="6643"/>
      <c r="L560" s="7675"/>
    </row>
    <row r="561" spans="1:12" ht="30" customHeight="1" x14ac:dyDescent="0.2">
      <c r="A561" s="7655"/>
      <c r="B561" s="7653"/>
      <c r="C561" s="7724"/>
      <c r="D561" s="6752">
        <f>SUM(D557:D560)</f>
        <v>350000000</v>
      </c>
      <c r="E561" s="6789">
        <v>0.05</v>
      </c>
      <c r="F561" s="6752">
        <f>D561*E561</f>
        <v>17500000</v>
      </c>
      <c r="G561" s="6635">
        <v>17500000</v>
      </c>
      <c r="H561" s="6635" t="s">
        <v>8164</v>
      </c>
      <c r="I561" s="6635" t="s">
        <v>3969</v>
      </c>
      <c r="J561" s="6635">
        <f>G561</f>
        <v>17500000</v>
      </c>
      <c r="K561" s="6643">
        <f>F561-J561</f>
        <v>0</v>
      </c>
      <c r="L561" s="6745" t="s">
        <v>7899</v>
      </c>
    </row>
    <row r="562" spans="1:12" ht="30" customHeight="1" x14ac:dyDescent="0.2">
      <c r="A562" s="6708"/>
      <c r="B562" s="19" t="s">
        <v>5008</v>
      </c>
      <c r="C562" s="6710" t="s">
        <v>1718</v>
      </c>
      <c r="D562" s="6635">
        <v>50000000</v>
      </c>
      <c r="E562" s="6705">
        <v>0.05</v>
      </c>
      <c r="F562" s="6635">
        <f t="shared" si="39"/>
        <v>2500000</v>
      </c>
      <c r="G562" s="6635">
        <v>2500000</v>
      </c>
      <c r="H562" s="6635" t="s">
        <v>8215</v>
      </c>
      <c r="I562" s="6635" t="s">
        <v>6904</v>
      </c>
      <c r="J562" s="6635">
        <f>G562</f>
        <v>2500000</v>
      </c>
      <c r="K562" s="6635">
        <f>F562-J562</f>
        <v>0</v>
      </c>
      <c r="L562" s="6792"/>
    </row>
    <row r="563" spans="1:12" ht="30" customHeight="1" x14ac:dyDescent="0.2">
      <c r="A563" s="6653">
        <v>231</v>
      </c>
      <c r="B563" s="6711" t="s">
        <v>91</v>
      </c>
      <c r="C563" s="6710" t="s">
        <v>1080</v>
      </c>
      <c r="D563" s="6643">
        <v>20000000</v>
      </c>
      <c r="E563" s="6649">
        <v>0.05</v>
      </c>
      <c r="F563" s="6643">
        <f t="shared" si="39"/>
        <v>1000000</v>
      </c>
      <c r="G563" s="6635">
        <v>1000000</v>
      </c>
      <c r="H563" s="6635" t="s">
        <v>8164</v>
      </c>
      <c r="I563" s="6796" t="s">
        <v>298</v>
      </c>
      <c r="J563" s="6635">
        <f>G563</f>
        <v>1000000</v>
      </c>
      <c r="K563" s="6635">
        <f>F563-G563</f>
        <v>0</v>
      </c>
      <c r="L563" s="6783"/>
    </row>
    <row r="564" spans="1:12" ht="30" customHeight="1" x14ac:dyDescent="0.2">
      <c r="A564" s="6708">
        <v>233</v>
      </c>
      <c r="B564" s="6665" t="s">
        <v>275</v>
      </c>
      <c r="C564" s="6684" t="s">
        <v>372</v>
      </c>
      <c r="D564" s="6643">
        <v>50000000</v>
      </c>
      <c r="E564" s="6705">
        <v>0.05</v>
      </c>
      <c r="F564" s="6643">
        <f t="shared" si="39"/>
        <v>2500000</v>
      </c>
      <c r="G564" s="6643"/>
      <c r="H564" s="6643"/>
      <c r="I564" s="6771" t="s">
        <v>5699</v>
      </c>
      <c r="J564" s="6643">
        <f t="shared" ref="J564:J574" si="47">G564</f>
        <v>0</v>
      </c>
      <c r="K564" s="6643">
        <f t="shared" ref="K564:K573" si="48">F564-J564</f>
        <v>2500000</v>
      </c>
      <c r="L564" s="6783"/>
    </row>
    <row r="565" spans="1:12" ht="30" customHeight="1" x14ac:dyDescent="0.2">
      <c r="A565" s="6708">
        <v>234</v>
      </c>
      <c r="B565" s="6711" t="s">
        <v>93</v>
      </c>
      <c r="C565" s="6710" t="s">
        <v>1293</v>
      </c>
      <c r="D565" s="6635">
        <v>400000000</v>
      </c>
      <c r="E565" s="6705">
        <f>F565/D565</f>
        <v>5.2499999999999998E-2</v>
      </c>
      <c r="F565" s="6635">
        <v>21000000</v>
      </c>
      <c r="G565" s="6635">
        <v>21000000</v>
      </c>
      <c r="H565" s="6635" t="s">
        <v>8164</v>
      </c>
      <c r="I565" s="6715" t="s">
        <v>506</v>
      </c>
      <c r="J565" s="6635">
        <f t="shared" si="47"/>
        <v>21000000</v>
      </c>
      <c r="K565" s="6643">
        <f t="shared" si="48"/>
        <v>0</v>
      </c>
      <c r="L565" s="6716"/>
    </row>
    <row r="566" spans="1:12" ht="30" customHeight="1" x14ac:dyDescent="0.2">
      <c r="A566" s="6653">
        <v>235</v>
      </c>
      <c r="B566" s="6665" t="s">
        <v>94</v>
      </c>
      <c r="C566" s="6710" t="s">
        <v>1172</v>
      </c>
      <c r="D566" s="6635">
        <v>60000000</v>
      </c>
      <c r="E566" s="6705">
        <v>0.05</v>
      </c>
      <c r="F566" s="6635">
        <f t="shared" si="39"/>
        <v>3000000</v>
      </c>
      <c r="G566" s="6635">
        <v>3000000</v>
      </c>
      <c r="H566" s="6635" t="s">
        <v>8267</v>
      </c>
      <c r="I566" s="4394" t="s">
        <v>4384</v>
      </c>
      <c r="J566" s="6635">
        <f t="shared" si="47"/>
        <v>3000000</v>
      </c>
      <c r="K566" s="6635">
        <f t="shared" si="48"/>
        <v>0</v>
      </c>
      <c r="L566" s="6761"/>
    </row>
    <row r="567" spans="1:12" ht="30" customHeight="1" x14ac:dyDescent="0.2">
      <c r="A567" s="6708">
        <v>236</v>
      </c>
      <c r="B567" s="6665" t="s">
        <v>95</v>
      </c>
      <c r="C567" s="6684"/>
      <c r="D567" s="6643">
        <v>20000000</v>
      </c>
      <c r="E567" s="6705">
        <v>0.05</v>
      </c>
      <c r="F567" s="6643">
        <f>D567*E567</f>
        <v>1000000</v>
      </c>
      <c r="G567" s="6643">
        <v>1000000</v>
      </c>
      <c r="H567" s="6643" t="s">
        <v>8267</v>
      </c>
      <c r="I567" s="6689" t="s">
        <v>334</v>
      </c>
      <c r="J567" s="6643">
        <f t="shared" si="47"/>
        <v>1000000</v>
      </c>
      <c r="K567" s="6643">
        <f t="shared" si="48"/>
        <v>0</v>
      </c>
      <c r="L567" s="6783"/>
    </row>
    <row r="568" spans="1:12" ht="30" customHeight="1" x14ac:dyDescent="0.2">
      <c r="A568" s="7654"/>
      <c r="B568" s="6652" t="s">
        <v>96</v>
      </c>
      <c r="C568" s="7723" t="s">
        <v>1718</v>
      </c>
      <c r="D568" s="6643">
        <v>55000000</v>
      </c>
      <c r="E568" s="6705">
        <v>0.05</v>
      </c>
      <c r="F568" s="6643">
        <f>D568*E568</f>
        <v>2750000</v>
      </c>
      <c r="G568" s="7563">
        <v>5250000</v>
      </c>
      <c r="H568" s="7563" t="s">
        <v>8366</v>
      </c>
      <c r="I568" s="7563" t="s">
        <v>4415</v>
      </c>
      <c r="J568" s="7563">
        <f>G568</f>
        <v>5250000</v>
      </c>
      <c r="K568" s="7563">
        <f>(F568+F569)-J568</f>
        <v>0</v>
      </c>
      <c r="L568" s="7679"/>
    </row>
    <row r="569" spans="1:12" ht="30" customHeight="1" x14ac:dyDescent="0.2">
      <c r="A569" s="7655"/>
      <c r="B569" s="6652" t="s">
        <v>2011</v>
      </c>
      <c r="C569" s="7724"/>
      <c r="D569" s="6643">
        <v>50000000</v>
      </c>
      <c r="E569" s="6705">
        <v>0.05</v>
      </c>
      <c r="F569" s="6643">
        <f>D569*E569</f>
        <v>2500000</v>
      </c>
      <c r="G569" s="7564"/>
      <c r="H569" s="7564"/>
      <c r="I569" s="7564"/>
      <c r="J569" s="7564"/>
      <c r="K569" s="7564"/>
      <c r="L569" s="7680"/>
    </row>
    <row r="570" spans="1:12" ht="30" customHeight="1" x14ac:dyDescent="0.2">
      <c r="A570" s="6655"/>
      <c r="B570" s="6652" t="s">
        <v>4008</v>
      </c>
      <c r="C570" s="6684" t="s">
        <v>262</v>
      </c>
      <c r="D570" s="6643">
        <v>10000000</v>
      </c>
      <c r="E570" s="6705">
        <v>0.05</v>
      </c>
      <c r="F570" s="6643">
        <f>D570*E570</f>
        <v>500000</v>
      </c>
      <c r="G570" s="6635"/>
      <c r="H570" s="6635"/>
      <c r="I570" s="6635" t="s">
        <v>5086</v>
      </c>
      <c r="J570" s="6635">
        <f>G570</f>
        <v>0</v>
      </c>
      <c r="K570" s="6643">
        <f>F570-J570</f>
        <v>500000</v>
      </c>
      <c r="L570" s="6671"/>
    </row>
    <row r="571" spans="1:12" ht="30" customHeight="1" x14ac:dyDescent="0.2">
      <c r="A571" s="7654">
        <v>238</v>
      </c>
      <c r="B571" s="7652" t="s">
        <v>97</v>
      </c>
      <c r="C571" s="7723" t="s">
        <v>1176</v>
      </c>
      <c r="D571" s="6643">
        <v>100000000</v>
      </c>
      <c r="E571" s="6705">
        <v>0.05</v>
      </c>
      <c r="F571" s="6643">
        <f t="shared" si="39"/>
        <v>5000000</v>
      </c>
      <c r="G571" s="8099" t="s">
        <v>6812</v>
      </c>
      <c r="H571" s="8100"/>
      <c r="I571" s="8100"/>
      <c r="J571" s="8101"/>
      <c r="K571" s="6643">
        <f t="shared" si="48"/>
        <v>5000000</v>
      </c>
      <c r="L571" s="6665"/>
    </row>
    <row r="572" spans="1:12" ht="30" customHeight="1" x14ac:dyDescent="0.2">
      <c r="A572" s="7655"/>
      <c r="B572" s="7653"/>
      <c r="C572" s="7724"/>
      <c r="D572" s="6679">
        <v>150000000</v>
      </c>
      <c r="E572" s="6777">
        <v>0.05</v>
      </c>
      <c r="F572" s="6679">
        <f t="shared" si="39"/>
        <v>7500000</v>
      </c>
      <c r="G572" s="6643">
        <v>7500000</v>
      </c>
      <c r="H572" s="6643" t="s">
        <v>8164</v>
      </c>
      <c r="I572" s="96" t="s">
        <v>3492</v>
      </c>
      <c r="J572" s="6643">
        <f>G572</f>
        <v>7500000</v>
      </c>
      <c r="K572" s="6643">
        <f>F572-J572</f>
        <v>0</v>
      </c>
      <c r="L572" s="6745" t="s">
        <v>6878</v>
      </c>
    </row>
    <row r="573" spans="1:12" ht="30" customHeight="1" x14ac:dyDescent="0.2">
      <c r="A573" s="6708">
        <v>239</v>
      </c>
      <c r="B573" s="6665" t="s">
        <v>98</v>
      </c>
      <c r="C573" s="6684" t="s">
        <v>372</v>
      </c>
      <c r="D573" s="6643">
        <v>50000000</v>
      </c>
      <c r="E573" s="6705">
        <v>0.05</v>
      </c>
      <c r="F573" s="6643">
        <f t="shared" si="39"/>
        <v>2500000</v>
      </c>
      <c r="G573" s="6643">
        <v>2500000</v>
      </c>
      <c r="H573" s="6643" t="s">
        <v>8111</v>
      </c>
      <c r="I573" s="6771" t="s">
        <v>8124</v>
      </c>
      <c r="J573" s="6643">
        <f t="shared" si="47"/>
        <v>2500000</v>
      </c>
      <c r="K573" s="6643">
        <f t="shared" si="48"/>
        <v>0</v>
      </c>
      <c r="L573" s="6671"/>
    </row>
    <row r="574" spans="1:12" ht="30" customHeight="1" x14ac:dyDescent="0.2">
      <c r="A574" s="7654">
        <v>241</v>
      </c>
      <c r="B574" s="7652" t="s">
        <v>559</v>
      </c>
      <c r="C574" s="7723" t="s">
        <v>1796</v>
      </c>
      <c r="D574" s="6635">
        <v>20000000</v>
      </c>
      <c r="E574" s="6705">
        <v>7.0000000000000007E-2</v>
      </c>
      <c r="F574" s="6635">
        <f>D574*E574</f>
        <v>1400000.0000000002</v>
      </c>
      <c r="G574" s="7563">
        <v>2300000</v>
      </c>
      <c r="H574" s="7563" t="s">
        <v>5200</v>
      </c>
      <c r="I574" s="7772" t="s">
        <v>557</v>
      </c>
      <c r="J574" s="7563">
        <f t="shared" si="47"/>
        <v>2300000</v>
      </c>
      <c r="K574" s="7563">
        <f>(F574+F575)-J574</f>
        <v>0</v>
      </c>
      <c r="L574" s="6781"/>
    </row>
    <row r="575" spans="1:12" ht="30" customHeight="1" x14ac:dyDescent="0.2">
      <c r="A575" s="7655"/>
      <c r="B575" s="7653"/>
      <c r="C575" s="7724"/>
      <c r="D575" s="6635">
        <v>10000000</v>
      </c>
      <c r="E575" s="6705">
        <v>0.09</v>
      </c>
      <c r="F575" s="6635">
        <f>D575*E575</f>
        <v>900000</v>
      </c>
      <c r="G575" s="7564"/>
      <c r="H575" s="7564"/>
      <c r="I575" s="7773"/>
      <c r="J575" s="7564"/>
      <c r="K575" s="7564"/>
      <c r="L575" s="6782"/>
    </row>
    <row r="576" spans="1:12" ht="30" customHeight="1" x14ac:dyDescent="0.2">
      <c r="A576" s="6708">
        <v>242</v>
      </c>
      <c r="B576" s="6665" t="s">
        <v>100</v>
      </c>
      <c r="C576" s="6684" t="s">
        <v>1652</v>
      </c>
      <c r="D576" s="6643">
        <v>140000000</v>
      </c>
      <c r="E576" s="6649">
        <v>4.4999999999999998E-2</v>
      </c>
      <c r="F576" s="6643">
        <f t="shared" si="39"/>
        <v>6300000</v>
      </c>
      <c r="G576" s="6643">
        <v>6300000</v>
      </c>
      <c r="H576" s="6643" t="s">
        <v>8247</v>
      </c>
      <c r="I576" s="6771" t="s">
        <v>3493</v>
      </c>
      <c r="J576" s="6643">
        <f t="shared" ref="J576:J581" si="49">G576</f>
        <v>6300000</v>
      </c>
      <c r="K576" s="6643">
        <f t="shared" ref="K576:K581" si="50">F576-J576</f>
        <v>0</v>
      </c>
      <c r="L576" s="6742"/>
    </row>
    <row r="577" spans="1:14" ht="30" customHeight="1" x14ac:dyDescent="0.2">
      <c r="A577" s="6708">
        <v>243</v>
      </c>
      <c r="B577" s="19" t="s">
        <v>507</v>
      </c>
      <c r="C577" s="6710" t="s">
        <v>262</v>
      </c>
      <c r="D577" s="6635">
        <v>20000000</v>
      </c>
      <c r="E577" s="6705">
        <v>0.05</v>
      </c>
      <c r="F577" s="6635">
        <f>D577*E577</f>
        <v>1000000</v>
      </c>
      <c r="G577" s="6635">
        <v>1000000</v>
      </c>
      <c r="H577" s="6635" t="s">
        <v>8111</v>
      </c>
      <c r="I577" s="6635" t="s">
        <v>296</v>
      </c>
      <c r="J577" s="6635">
        <f t="shared" si="49"/>
        <v>1000000</v>
      </c>
      <c r="K577" s="6635">
        <f t="shared" si="50"/>
        <v>0</v>
      </c>
      <c r="L577" s="6742"/>
      <c r="M577" s="248"/>
      <c r="N577" s="248"/>
    </row>
    <row r="578" spans="1:14" ht="30" customHeight="1" x14ac:dyDescent="0.2">
      <c r="A578" s="6708">
        <v>244</v>
      </c>
      <c r="B578" s="19" t="s">
        <v>101</v>
      </c>
      <c r="C578" s="6710" t="s">
        <v>372</v>
      </c>
      <c r="D578" s="6635">
        <v>60000000</v>
      </c>
      <c r="E578" s="6705">
        <v>0.06</v>
      </c>
      <c r="F578" s="6643">
        <f t="shared" ref="F578" si="51">D578*E578</f>
        <v>3600000</v>
      </c>
      <c r="G578" s="6635">
        <v>3600000</v>
      </c>
      <c r="H578" s="6635" t="s">
        <v>8215</v>
      </c>
      <c r="I578" s="6715" t="s">
        <v>3530</v>
      </c>
      <c r="J578" s="6635">
        <f t="shared" si="49"/>
        <v>3600000</v>
      </c>
      <c r="K578" s="6635">
        <f>F578-J578</f>
        <v>0</v>
      </c>
      <c r="L578" s="6792"/>
    </row>
    <row r="579" spans="1:14" ht="30" customHeight="1" x14ac:dyDescent="0.2">
      <c r="A579" s="6708">
        <v>245</v>
      </c>
      <c r="B579" s="6665" t="s">
        <v>4058</v>
      </c>
      <c r="C579" s="6684" t="s">
        <v>262</v>
      </c>
      <c r="D579" s="6643">
        <v>70000000</v>
      </c>
      <c r="E579" s="6705">
        <v>0.05</v>
      </c>
      <c r="F579" s="6643">
        <f t="shared" si="39"/>
        <v>3500000</v>
      </c>
      <c r="G579" s="6635">
        <v>3500000</v>
      </c>
      <c r="H579" s="6635" t="s">
        <v>8142</v>
      </c>
      <c r="I579" s="6635" t="s">
        <v>4064</v>
      </c>
      <c r="J579" s="6635">
        <f t="shared" si="49"/>
        <v>3500000</v>
      </c>
      <c r="K579" s="6643">
        <f t="shared" si="50"/>
        <v>0</v>
      </c>
      <c r="L579" s="6733"/>
    </row>
    <row r="580" spans="1:14" ht="30" customHeight="1" x14ac:dyDescent="0.2">
      <c r="A580" s="6659">
        <v>246</v>
      </c>
      <c r="B580" s="6711" t="s">
        <v>103</v>
      </c>
      <c r="C580" s="6710" t="s">
        <v>1718</v>
      </c>
      <c r="D580" s="6679">
        <v>125000000</v>
      </c>
      <c r="E580" s="6777">
        <v>0.05</v>
      </c>
      <c r="F580" s="6679">
        <v>6300000</v>
      </c>
      <c r="G580" s="6635">
        <v>6300000</v>
      </c>
      <c r="H580" s="6635" t="s">
        <v>8025</v>
      </c>
      <c r="I580" s="6800" t="s">
        <v>7074</v>
      </c>
      <c r="J580" s="6635">
        <f t="shared" si="49"/>
        <v>6300000</v>
      </c>
      <c r="K580" s="6635">
        <f>F580-J580</f>
        <v>0</v>
      </c>
      <c r="L580" s="6665"/>
    </row>
    <row r="581" spans="1:14" ht="30" customHeight="1" x14ac:dyDescent="0.2">
      <c r="A581" s="7038">
        <v>247</v>
      </c>
      <c r="B581" s="7028" t="s">
        <v>104</v>
      </c>
      <c r="C581" s="7039" t="s">
        <v>262</v>
      </c>
      <c r="D581" s="7033">
        <v>220000000</v>
      </c>
      <c r="E581" s="7037">
        <v>7.0000000000000007E-2</v>
      </c>
      <c r="F581" s="7020">
        <f t="shared" si="39"/>
        <v>15400000.000000002</v>
      </c>
      <c r="G581" s="7020">
        <v>15400000</v>
      </c>
      <c r="H581" s="7020" t="s">
        <v>8164</v>
      </c>
      <c r="I581" s="7040" t="s">
        <v>7625</v>
      </c>
      <c r="J581" s="7020">
        <f t="shared" si="49"/>
        <v>15400000</v>
      </c>
      <c r="K581" s="7021">
        <f t="shared" si="50"/>
        <v>0</v>
      </c>
      <c r="L581" s="6742"/>
      <c r="M581" s="6785"/>
      <c r="N581" s="859"/>
    </row>
    <row r="582" spans="1:14" ht="30" customHeight="1" x14ac:dyDescent="0.2">
      <c r="A582" s="7654">
        <v>250</v>
      </c>
      <c r="B582" s="7652" t="s">
        <v>107</v>
      </c>
      <c r="C582" s="7723" t="s">
        <v>1718</v>
      </c>
      <c r="D582" s="6643">
        <v>200000000</v>
      </c>
      <c r="E582" s="6705">
        <v>0.05</v>
      </c>
      <c r="F582" s="6643">
        <f t="shared" si="39"/>
        <v>10000000</v>
      </c>
      <c r="G582" s="7563"/>
      <c r="H582" s="7563"/>
      <c r="I582" s="7871" t="s">
        <v>6833</v>
      </c>
      <c r="J582" s="7563">
        <f t="shared" ref="J582:J611" si="52">G582</f>
        <v>0</v>
      </c>
      <c r="K582" s="7563">
        <f>(F582+F583)-J582</f>
        <v>22500000</v>
      </c>
      <c r="L582" s="7674"/>
    </row>
    <row r="583" spans="1:14" ht="30" customHeight="1" x14ac:dyDescent="0.2">
      <c r="A583" s="7655"/>
      <c r="B583" s="7653"/>
      <c r="C583" s="7724"/>
      <c r="D583" s="6643">
        <v>250000000</v>
      </c>
      <c r="E583" s="6705">
        <v>0.05</v>
      </c>
      <c r="F583" s="6643">
        <f t="shared" si="39"/>
        <v>12500000</v>
      </c>
      <c r="G583" s="7564"/>
      <c r="H583" s="7564"/>
      <c r="I583" s="7872"/>
      <c r="J583" s="7564"/>
      <c r="K583" s="7564"/>
      <c r="L583" s="7675"/>
    </row>
    <row r="584" spans="1:14" ht="30" customHeight="1" x14ac:dyDescent="0.2">
      <c r="A584" s="7654">
        <v>251</v>
      </c>
      <c r="B584" s="7652" t="s">
        <v>1830</v>
      </c>
      <c r="C584" s="7723" t="s">
        <v>371</v>
      </c>
      <c r="D584" s="6635">
        <v>90000000</v>
      </c>
      <c r="E584" s="6705">
        <v>0.06</v>
      </c>
      <c r="F584" s="6635">
        <f t="shared" si="39"/>
        <v>5400000</v>
      </c>
      <c r="G584" s="7563">
        <v>19200000</v>
      </c>
      <c r="H584" s="7563" t="s">
        <v>8073</v>
      </c>
      <c r="I584" s="7561" t="s">
        <v>5060</v>
      </c>
      <c r="J584" s="7482">
        <f t="shared" si="52"/>
        <v>19200000</v>
      </c>
      <c r="K584" s="7563">
        <f>(F584+F585+F586)-J584</f>
        <v>-4000000</v>
      </c>
      <c r="L584" s="6745"/>
    </row>
    <row r="585" spans="1:14" ht="30" customHeight="1" x14ac:dyDescent="0.2">
      <c r="A585" s="7656"/>
      <c r="B585" s="7665"/>
      <c r="C585" s="7747"/>
      <c r="D585" s="6635">
        <v>100000000</v>
      </c>
      <c r="E585" s="6705">
        <v>7.0000000000000007E-2</v>
      </c>
      <c r="F585" s="6635">
        <f t="shared" si="39"/>
        <v>7000000.0000000009</v>
      </c>
      <c r="G585" s="7586"/>
      <c r="H585" s="7586"/>
      <c r="I585" s="7672"/>
      <c r="J585" s="7482"/>
      <c r="K585" s="7586"/>
      <c r="L585" s="6681"/>
    </row>
    <row r="586" spans="1:14" ht="30" customHeight="1" x14ac:dyDescent="0.2">
      <c r="A586" s="7656"/>
      <c r="B586" s="7665"/>
      <c r="C586" s="7747"/>
      <c r="D586" s="6643">
        <v>40000000</v>
      </c>
      <c r="E586" s="6649">
        <v>7.0000000000000007E-2</v>
      </c>
      <c r="F586" s="6643">
        <f t="shared" si="39"/>
        <v>2800000.0000000005</v>
      </c>
      <c r="G586" s="7564"/>
      <c r="H586" s="7586"/>
      <c r="I586" s="7672"/>
      <c r="J586" s="7482"/>
      <c r="K586" s="7564"/>
      <c r="L586" s="6681"/>
    </row>
    <row r="587" spans="1:14" ht="30" customHeight="1" x14ac:dyDescent="0.2">
      <c r="A587" s="7655"/>
      <c r="B587" s="7653"/>
      <c r="C587" s="7724"/>
      <c r="D587" s="6644">
        <v>32000000</v>
      </c>
      <c r="E587" s="6644"/>
      <c r="F587" s="6644"/>
      <c r="G587" s="6641"/>
      <c r="H587" s="6641"/>
      <c r="I587" s="6645"/>
      <c r="J587" s="6642"/>
      <c r="K587" s="6642"/>
      <c r="L587" s="6681" t="s">
        <v>7257</v>
      </c>
    </row>
    <row r="588" spans="1:14" ht="30" customHeight="1" x14ac:dyDescent="0.2">
      <c r="A588" s="7654"/>
      <c r="B588" s="7652" t="s">
        <v>4605</v>
      </c>
      <c r="C588" s="7723" t="s">
        <v>1293</v>
      </c>
      <c r="D588" s="6643">
        <v>150000000</v>
      </c>
      <c r="E588" s="6649">
        <v>0.06</v>
      </c>
      <c r="F588" s="6643">
        <f t="shared" si="39"/>
        <v>9000000</v>
      </c>
      <c r="G588" s="7563">
        <v>19000000</v>
      </c>
      <c r="H588" s="7563" t="s">
        <v>7945</v>
      </c>
      <c r="I588" s="7561" t="s">
        <v>7315</v>
      </c>
      <c r="J588" s="7563">
        <f>G588</f>
        <v>19000000</v>
      </c>
      <c r="K588" s="7563">
        <f>F592-J588</f>
        <v>500000</v>
      </c>
      <c r="L588" s="6681"/>
    </row>
    <row r="589" spans="1:14" ht="30" customHeight="1" x14ac:dyDescent="0.2">
      <c r="A589" s="7656"/>
      <c r="B589" s="7665"/>
      <c r="C589" s="7747"/>
      <c r="D589" s="6643">
        <v>90000000</v>
      </c>
      <c r="E589" s="6649">
        <v>0.06</v>
      </c>
      <c r="F589" s="6643">
        <f t="shared" si="39"/>
        <v>5400000</v>
      </c>
      <c r="G589" s="7586"/>
      <c r="H589" s="7586"/>
      <c r="I589" s="7672"/>
      <c r="J589" s="7586"/>
      <c r="K589" s="7586"/>
      <c r="L589" s="6758"/>
    </row>
    <row r="590" spans="1:14" ht="30" customHeight="1" x14ac:dyDescent="0.2">
      <c r="A590" s="7656"/>
      <c r="B590" s="7665"/>
      <c r="C590" s="7747"/>
      <c r="D590" s="6643">
        <v>70000000</v>
      </c>
      <c r="E590" s="6649">
        <v>0.06</v>
      </c>
      <c r="F590" s="6643">
        <f t="shared" si="39"/>
        <v>4200000</v>
      </c>
      <c r="G590" s="7586"/>
      <c r="H590" s="7586"/>
      <c r="I590" s="7672"/>
      <c r="J590" s="7586"/>
      <c r="K590" s="7586"/>
      <c r="L590" s="6758"/>
    </row>
    <row r="591" spans="1:14" ht="30" customHeight="1" x14ac:dyDescent="0.2">
      <c r="A591" s="7656"/>
      <c r="B591" s="7665"/>
      <c r="C591" s="7747"/>
      <c r="D591" s="6635">
        <v>15000000</v>
      </c>
      <c r="E591" s="6649">
        <v>0.06</v>
      </c>
      <c r="F591" s="6643">
        <f t="shared" si="39"/>
        <v>900000</v>
      </c>
      <c r="G591" s="7586"/>
      <c r="H591" s="7586"/>
      <c r="I591" s="7672"/>
      <c r="J591" s="7586"/>
      <c r="K591" s="7586"/>
      <c r="L591" s="6758"/>
    </row>
    <row r="592" spans="1:14" ht="30" customHeight="1" x14ac:dyDescent="0.2">
      <c r="A592" s="7656"/>
      <c r="B592" s="7665"/>
      <c r="C592" s="7747"/>
      <c r="D592" s="6769">
        <f>SUM(D588:D591)</f>
        <v>325000000</v>
      </c>
      <c r="E592" s="6754">
        <v>0.06</v>
      </c>
      <c r="F592" s="6769">
        <f t="shared" si="39"/>
        <v>19500000</v>
      </c>
      <c r="G592" s="7586"/>
      <c r="H592" s="7586"/>
      <c r="I592" s="7672"/>
      <c r="J592" s="7586"/>
      <c r="K592" s="7586"/>
      <c r="L592" s="6758"/>
    </row>
    <row r="593" spans="1:12" ht="30" customHeight="1" x14ac:dyDescent="0.2">
      <c r="A593" s="7656"/>
      <c r="B593" s="7665"/>
      <c r="C593" s="7747"/>
      <c r="D593" s="7494" t="s">
        <v>7278</v>
      </c>
      <c r="E593" s="7495"/>
      <c r="F593" s="7768"/>
      <c r="G593" s="7586"/>
      <c r="H593" s="7586"/>
      <c r="I593" s="7672"/>
      <c r="J593" s="7586"/>
      <c r="K593" s="7586"/>
      <c r="L593" s="6758"/>
    </row>
    <row r="594" spans="1:12" ht="30" customHeight="1" x14ac:dyDescent="0.2">
      <c r="A594" s="7656"/>
      <c r="B594" s="7665"/>
      <c r="C594" s="7747"/>
      <c r="D594" s="7769"/>
      <c r="E594" s="7805"/>
      <c r="F594" s="7770"/>
      <c r="G594" s="7586"/>
      <c r="H594" s="7586"/>
      <c r="I594" s="7672"/>
      <c r="J594" s="7586"/>
      <c r="K594" s="7586"/>
      <c r="L594" s="6758"/>
    </row>
    <row r="595" spans="1:12" ht="30" customHeight="1" x14ac:dyDescent="0.2">
      <c r="A595" s="7655"/>
      <c r="B595" s="7653"/>
      <c r="C595" s="7724"/>
      <c r="D595" s="6769">
        <v>305000000</v>
      </c>
      <c r="E595" s="6754">
        <v>0.06</v>
      </c>
      <c r="F595" s="6769">
        <f>D595*E595</f>
        <v>18300000</v>
      </c>
      <c r="G595" s="7564"/>
      <c r="H595" s="7564"/>
      <c r="I595" s="7562"/>
      <c r="J595" s="7564"/>
      <c r="K595" s="7564"/>
      <c r="L595" s="6682" t="s">
        <v>7316</v>
      </c>
    </row>
    <row r="596" spans="1:12" ht="30" customHeight="1" x14ac:dyDescent="0.2">
      <c r="A596" s="7654"/>
      <c r="B596" s="7717" t="s">
        <v>4609</v>
      </c>
      <c r="C596" s="7723" t="s">
        <v>1176</v>
      </c>
      <c r="D596" s="6643">
        <v>165000000</v>
      </c>
      <c r="E596" s="6649">
        <v>0.06</v>
      </c>
      <c r="F596" s="6643">
        <f t="shared" si="39"/>
        <v>9900000</v>
      </c>
      <c r="G596" s="7563">
        <v>18000000</v>
      </c>
      <c r="H596" s="7563" t="s">
        <v>8247</v>
      </c>
      <c r="I596" s="7561" t="s">
        <v>1810</v>
      </c>
      <c r="J596" s="7563">
        <f>G596</f>
        <v>18000000</v>
      </c>
      <c r="K596" s="7563">
        <f>(F596+F597+F598)-J596</f>
        <v>0</v>
      </c>
      <c r="L596" s="7563"/>
    </row>
    <row r="597" spans="1:12" ht="30" customHeight="1" x14ac:dyDescent="0.2">
      <c r="A597" s="7656"/>
      <c r="B597" s="7717"/>
      <c r="C597" s="7747"/>
      <c r="D597" s="6643">
        <v>105000000</v>
      </c>
      <c r="E597" s="6649">
        <v>0.06</v>
      </c>
      <c r="F597" s="6643">
        <f t="shared" si="39"/>
        <v>6300000</v>
      </c>
      <c r="G597" s="7586"/>
      <c r="H597" s="7586"/>
      <c r="I597" s="7672"/>
      <c r="J597" s="7586"/>
      <c r="K597" s="7586"/>
      <c r="L597" s="7586"/>
    </row>
    <row r="598" spans="1:12" ht="30" customHeight="1" x14ac:dyDescent="0.2">
      <c r="A598" s="7656"/>
      <c r="B598" s="7717"/>
      <c r="C598" s="7724"/>
      <c r="D598" s="6643">
        <v>30000000</v>
      </c>
      <c r="E598" s="6649">
        <v>0.06</v>
      </c>
      <c r="F598" s="6643">
        <f t="shared" si="39"/>
        <v>1800000</v>
      </c>
      <c r="G598" s="7564"/>
      <c r="H598" s="7564"/>
      <c r="I598" s="7562"/>
      <c r="J598" s="7564"/>
      <c r="K598" s="7564"/>
      <c r="L598" s="7564"/>
    </row>
    <row r="599" spans="1:12" ht="30" customHeight="1" x14ac:dyDescent="0.2">
      <c r="A599" s="7654"/>
      <c r="B599" s="7652" t="s">
        <v>6274</v>
      </c>
      <c r="C599" s="7723"/>
      <c r="D599" s="7563"/>
      <c r="E599" s="7563"/>
      <c r="F599" s="7563"/>
      <c r="G599" s="7563"/>
      <c r="H599" s="7563"/>
      <c r="I599" s="7561"/>
      <c r="J599" s="7563"/>
      <c r="K599" s="7563"/>
      <c r="L599" s="7674"/>
    </row>
    <row r="600" spans="1:12" ht="30" customHeight="1" x14ac:dyDescent="0.2">
      <c r="A600" s="7655"/>
      <c r="B600" s="7653"/>
      <c r="C600" s="7724"/>
      <c r="D600" s="7564"/>
      <c r="E600" s="7564"/>
      <c r="F600" s="7564"/>
      <c r="G600" s="7564"/>
      <c r="H600" s="7564"/>
      <c r="I600" s="7562"/>
      <c r="J600" s="7564"/>
      <c r="K600" s="7564"/>
      <c r="L600" s="7675"/>
    </row>
    <row r="601" spans="1:12" ht="30" customHeight="1" x14ac:dyDescent="0.2">
      <c r="A601" s="6655"/>
      <c r="B601" s="6665" t="s">
        <v>7258</v>
      </c>
      <c r="C601" s="6710"/>
      <c r="D601" s="6635">
        <v>40000000</v>
      </c>
      <c r="E601" s="6635"/>
      <c r="F601" s="6635"/>
      <c r="G601" s="6745"/>
      <c r="H601" s="6745"/>
      <c r="I601" s="6745"/>
      <c r="J601" s="6745"/>
      <c r="K601" s="6635"/>
      <c r="L601" s="6745" t="s">
        <v>7259</v>
      </c>
    </row>
    <row r="602" spans="1:12" ht="30" customHeight="1" x14ac:dyDescent="0.2">
      <c r="A602" s="6655"/>
      <c r="B602" s="6651" t="s">
        <v>2396</v>
      </c>
      <c r="C602" s="6686"/>
      <c r="D602" s="6635"/>
      <c r="E602" s="6635"/>
      <c r="F602" s="6635"/>
      <c r="G602" s="6635"/>
      <c r="H602" s="6635"/>
      <c r="I602" s="6635"/>
      <c r="J602" s="6635"/>
      <c r="K602" s="6642"/>
      <c r="L602" s="6758" t="s">
        <v>7262</v>
      </c>
    </row>
    <row r="603" spans="1:12" ht="30" customHeight="1" x14ac:dyDescent="0.2">
      <c r="A603" s="6708"/>
      <c r="B603" s="6711" t="s">
        <v>4893</v>
      </c>
      <c r="C603" s="6683" t="s">
        <v>1293</v>
      </c>
      <c r="D603" s="6643">
        <v>350000000</v>
      </c>
      <c r="E603" s="6649">
        <v>0.06</v>
      </c>
      <c r="F603" s="6643">
        <f>D603*E603</f>
        <v>21000000</v>
      </c>
      <c r="G603" s="6641">
        <v>21000000</v>
      </c>
      <c r="H603" s="6641" t="s">
        <v>8073</v>
      </c>
      <c r="I603" s="6645" t="s">
        <v>7461</v>
      </c>
      <c r="J603" s="6641">
        <f>G603</f>
        <v>21000000</v>
      </c>
      <c r="K603" s="6641">
        <f>F603-J603</f>
        <v>0</v>
      </c>
      <c r="L603" s="6681"/>
    </row>
    <row r="604" spans="1:12" ht="30" customHeight="1" x14ac:dyDescent="0.2">
      <c r="A604" s="7654">
        <v>252</v>
      </c>
      <c r="B604" s="7652" t="s">
        <v>109</v>
      </c>
      <c r="C604" s="7723" t="s">
        <v>262</v>
      </c>
      <c r="D604" s="6643">
        <v>270000000</v>
      </c>
      <c r="E604" s="6649">
        <v>0.05</v>
      </c>
      <c r="F604" s="6643">
        <f>D604*E604</f>
        <v>13500000</v>
      </c>
      <c r="G604" s="7232">
        <v>10000000</v>
      </c>
      <c r="H604" s="7232" t="s">
        <v>8186</v>
      </c>
      <c r="I604" s="7268" t="s">
        <v>8207</v>
      </c>
      <c r="J604" s="7232">
        <f>G604</f>
        <v>10000000</v>
      </c>
      <c r="K604" s="7232"/>
      <c r="L604" s="6745"/>
    </row>
    <row r="605" spans="1:12" ht="30" customHeight="1" x14ac:dyDescent="0.2">
      <c r="A605" s="7656"/>
      <c r="B605" s="7665"/>
      <c r="C605" s="7747"/>
      <c r="D605" s="7563">
        <v>70000000</v>
      </c>
      <c r="E605" s="7659">
        <v>0.05</v>
      </c>
      <c r="F605" s="7563">
        <f>D605*E605</f>
        <v>3500000</v>
      </c>
      <c r="G605" s="7232">
        <v>13500000</v>
      </c>
      <c r="H605" s="7232" t="s">
        <v>5200</v>
      </c>
      <c r="I605" s="7268" t="s">
        <v>3578</v>
      </c>
      <c r="J605" s="7232">
        <f>G605</f>
        <v>13500000</v>
      </c>
      <c r="K605" s="7232"/>
      <c r="L605" s="6745"/>
    </row>
    <row r="606" spans="1:12" ht="30" customHeight="1" x14ac:dyDescent="0.2">
      <c r="A606" s="7656"/>
      <c r="B606" s="7665"/>
      <c r="C606" s="7747"/>
      <c r="D606" s="7564"/>
      <c r="E606" s="7660"/>
      <c r="F606" s="7564"/>
      <c r="G606" s="7232"/>
      <c r="H606" s="7232"/>
      <c r="I606" s="7268"/>
      <c r="J606" s="7232"/>
      <c r="K606" s="7232"/>
      <c r="L606" s="6681" t="s">
        <v>7756</v>
      </c>
    </row>
    <row r="607" spans="1:12" ht="30" customHeight="1" x14ac:dyDescent="0.2">
      <c r="A607" s="7656"/>
      <c r="B607" s="7665"/>
      <c r="C607" s="7747"/>
      <c r="D607" s="7991" t="s">
        <v>8289</v>
      </c>
      <c r="E607" s="7992"/>
      <c r="F607" s="7993"/>
      <c r="G607" s="7494" t="s">
        <v>8291</v>
      </c>
      <c r="H607" s="7495"/>
      <c r="I607" s="7495"/>
      <c r="J607" s="7768"/>
      <c r="K607" s="7563"/>
      <c r="L607" s="7563"/>
    </row>
    <row r="608" spans="1:12" ht="30" customHeight="1" x14ac:dyDescent="0.2">
      <c r="A608" s="7656"/>
      <c r="B608" s="7665"/>
      <c r="C608" s="7747"/>
      <c r="D608" s="7997"/>
      <c r="E608" s="7998"/>
      <c r="F608" s="7999"/>
      <c r="G608" s="7769"/>
      <c r="H608" s="7805"/>
      <c r="I608" s="7805"/>
      <c r="J608" s="7770"/>
      <c r="K608" s="7564"/>
      <c r="L608" s="7564"/>
    </row>
    <row r="609" spans="1:15" ht="30" customHeight="1" x14ac:dyDescent="0.2">
      <c r="A609" s="7656"/>
      <c r="B609" s="7665"/>
      <c r="C609" s="7747"/>
      <c r="D609" s="7991" t="s">
        <v>8290</v>
      </c>
      <c r="E609" s="7992"/>
      <c r="F609" s="7993"/>
      <c r="G609" s="7494" t="s">
        <v>8292</v>
      </c>
      <c r="H609" s="7495"/>
      <c r="I609" s="7495"/>
      <c r="J609" s="7768"/>
      <c r="K609" s="7563"/>
      <c r="L609" s="7563"/>
    </row>
    <row r="610" spans="1:15" ht="30" customHeight="1" x14ac:dyDescent="0.2">
      <c r="A610" s="7655"/>
      <c r="B610" s="7653"/>
      <c r="C610" s="7724"/>
      <c r="D610" s="7997"/>
      <c r="E610" s="7998"/>
      <c r="F610" s="7999"/>
      <c r="G610" s="7769"/>
      <c r="H610" s="7805"/>
      <c r="I610" s="7805"/>
      <c r="J610" s="7770"/>
      <c r="K610" s="7564"/>
      <c r="L610" s="7564"/>
    </row>
    <row r="611" spans="1:15" ht="30" customHeight="1" x14ac:dyDescent="0.2">
      <c r="A611" s="7879">
        <v>253</v>
      </c>
      <c r="B611" s="7652" t="s">
        <v>110</v>
      </c>
      <c r="C611" s="7723" t="s">
        <v>262</v>
      </c>
      <c r="D611" s="6643">
        <v>20000000</v>
      </c>
      <c r="E611" s="6705">
        <v>0.05</v>
      </c>
      <c r="F611" s="6643">
        <f t="shared" si="39"/>
        <v>1000000</v>
      </c>
      <c r="G611" s="7482">
        <v>3000000</v>
      </c>
      <c r="H611" s="7482" t="s">
        <v>8164</v>
      </c>
      <c r="I611" s="7923" t="s">
        <v>8173</v>
      </c>
      <c r="J611" s="7482">
        <f t="shared" si="52"/>
        <v>3000000</v>
      </c>
      <c r="K611" s="7482">
        <f>(F611+F612+F613)-J611</f>
        <v>0</v>
      </c>
      <c r="L611" s="6681"/>
      <c r="M611" s="1175"/>
      <c r="N611" s="1175"/>
      <c r="O611" s="1175"/>
    </row>
    <row r="612" spans="1:15" ht="30" customHeight="1" x14ac:dyDescent="0.2">
      <c r="A612" s="7879"/>
      <c r="B612" s="7665"/>
      <c r="C612" s="7747"/>
      <c r="D612" s="6643">
        <v>20000000</v>
      </c>
      <c r="E612" s="6705">
        <v>0.05</v>
      </c>
      <c r="F612" s="6643">
        <f t="shared" si="39"/>
        <v>1000000</v>
      </c>
      <c r="G612" s="7482"/>
      <c r="H612" s="7482"/>
      <c r="I612" s="7923"/>
      <c r="J612" s="7482"/>
      <c r="K612" s="7482"/>
      <c r="L612" s="6758"/>
      <c r="M612" s="248"/>
      <c r="N612" s="248"/>
      <c r="O612" s="248"/>
    </row>
    <row r="613" spans="1:15" ht="30" customHeight="1" x14ac:dyDescent="0.2">
      <c r="A613" s="7879"/>
      <c r="B613" s="7653"/>
      <c r="C613" s="7724"/>
      <c r="D613" s="6643">
        <v>20000000</v>
      </c>
      <c r="E613" s="6705">
        <v>0.05</v>
      </c>
      <c r="F613" s="6643">
        <f t="shared" si="39"/>
        <v>1000000</v>
      </c>
      <c r="G613" s="7482"/>
      <c r="H613" s="7482"/>
      <c r="I613" s="7923"/>
      <c r="J613" s="7482"/>
      <c r="K613" s="7482"/>
      <c r="L613" s="6682"/>
      <c r="M613" s="248"/>
      <c r="N613" s="248"/>
      <c r="O613" s="248"/>
    </row>
    <row r="614" spans="1:15" ht="30" customHeight="1" x14ac:dyDescent="0.2">
      <c r="A614" s="7654">
        <v>256</v>
      </c>
      <c r="B614" s="7652" t="s">
        <v>113</v>
      </c>
      <c r="C614" s="7723" t="s">
        <v>371</v>
      </c>
      <c r="D614" s="6643">
        <v>100000000</v>
      </c>
      <c r="E614" s="6705">
        <v>0.05</v>
      </c>
      <c r="F614" s="6643">
        <f t="shared" si="39"/>
        <v>5000000</v>
      </c>
      <c r="G614" s="6986">
        <v>7000000</v>
      </c>
      <c r="H614" s="6986" t="s">
        <v>8142</v>
      </c>
      <c r="I614" s="18" t="s">
        <v>8150</v>
      </c>
      <c r="J614" s="7563">
        <f>G614+G615</f>
        <v>14000000</v>
      </c>
      <c r="K614" s="7563">
        <f>(F614+F615)-J614</f>
        <v>0</v>
      </c>
      <c r="L614" s="7002" t="s">
        <v>8151</v>
      </c>
    </row>
    <row r="615" spans="1:15" ht="30" customHeight="1" x14ac:dyDescent="0.2">
      <c r="A615" s="7655"/>
      <c r="B615" s="7653"/>
      <c r="C615" s="7724"/>
      <c r="D615" s="6643">
        <v>150000000</v>
      </c>
      <c r="E615" s="6705">
        <v>0.06</v>
      </c>
      <c r="F615" s="6643">
        <f t="shared" si="39"/>
        <v>9000000</v>
      </c>
      <c r="G615" s="6986">
        <v>7000000</v>
      </c>
      <c r="H615" s="6986" t="s">
        <v>8156</v>
      </c>
      <c r="I615" s="18" t="s">
        <v>8150</v>
      </c>
      <c r="J615" s="7564"/>
      <c r="K615" s="7564"/>
      <c r="L615" s="7002" t="s">
        <v>8151</v>
      </c>
    </row>
    <row r="616" spans="1:15" ht="30" customHeight="1" x14ac:dyDescent="0.2">
      <c r="A616" s="6708">
        <v>257</v>
      </c>
      <c r="B616" s="6665" t="s">
        <v>114</v>
      </c>
      <c r="C616" s="6684" t="s">
        <v>1292</v>
      </c>
      <c r="D616" s="6643">
        <v>30000000</v>
      </c>
      <c r="E616" s="6705">
        <v>0.05</v>
      </c>
      <c r="F616" s="6643">
        <f t="shared" si="39"/>
        <v>1500000</v>
      </c>
      <c r="G616" s="6643">
        <v>1500000</v>
      </c>
      <c r="H616" s="6643" t="s">
        <v>3880</v>
      </c>
      <c r="I616" s="6771" t="s">
        <v>482</v>
      </c>
      <c r="J616" s="6643">
        <f>G616</f>
        <v>1500000</v>
      </c>
      <c r="K616" s="6643">
        <f>F616-J616</f>
        <v>0</v>
      </c>
      <c r="L616" s="6665"/>
    </row>
    <row r="617" spans="1:15" ht="30" customHeight="1" x14ac:dyDescent="0.2">
      <c r="A617" s="6708">
        <v>258</v>
      </c>
      <c r="B617" s="6665" t="s">
        <v>849</v>
      </c>
      <c r="C617" s="6684" t="s">
        <v>262</v>
      </c>
      <c r="D617" s="6643">
        <v>12000000</v>
      </c>
      <c r="E617" s="6705">
        <v>0.05</v>
      </c>
      <c r="F617" s="6643">
        <f t="shared" si="39"/>
        <v>600000</v>
      </c>
      <c r="G617" s="7563">
        <v>1600000</v>
      </c>
      <c r="H617" s="7563" t="s">
        <v>8316</v>
      </c>
      <c r="I617" s="7772" t="s">
        <v>475</v>
      </c>
      <c r="J617" s="7563">
        <f>G617</f>
        <v>1600000</v>
      </c>
      <c r="K617" s="7563">
        <f>(F617+F618)-J617</f>
        <v>0</v>
      </c>
      <c r="L617" s="7703"/>
    </row>
    <row r="618" spans="1:15" ht="30" customHeight="1" x14ac:dyDescent="0.2">
      <c r="A618" s="6708">
        <v>259</v>
      </c>
      <c r="B618" s="6665" t="s">
        <v>156</v>
      </c>
      <c r="C618" s="6684" t="s">
        <v>262</v>
      </c>
      <c r="D618" s="6643">
        <v>20000000</v>
      </c>
      <c r="E618" s="6705">
        <v>0.05</v>
      </c>
      <c r="F618" s="6643">
        <f>D618*E618</f>
        <v>1000000</v>
      </c>
      <c r="G618" s="7564"/>
      <c r="H618" s="7564"/>
      <c r="I618" s="7773"/>
      <c r="J618" s="7564"/>
      <c r="K618" s="7564"/>
      <c r="L618" s="7705"/>
    </row>
    <row r="619" spans="1:15" ht="30" customHeight="1" x14ac:dyDescent="0.2">
      <c r="A619" s="7654">
        <v>261</v>
      </c>
      <c r="B619" s="19" t="s">
        <v>117</v>
      </c>
      <c r="C619" s="7723" t="s">
        <v>3323</v>
      </c>
      <c r="D619" s="6635">
        <v>25500000</v>
      </c>
      <c r="E619" s="6705">
        <f>F619/D619</f>
        <v>6.1764705882352944E-2</v>
      </c>
      <c r="F619" s="6635">
        <v>1575000</v>
      </c>
      <c r="G619" s="6635">
        <v>2075000</v>
      </c>
      <c r="H619" s="6635" t="s">
        <v>7945</v>
      </c>
      <c r="I619" s="18" t="s">
        <v>7962</v>
      </c>
      <c r="J619" s="6635">
        <f t="shared" ref="J619" si="53">G619</f>
        <v>2075000</v>
      </c>
      <c r="K619" s="6635">
        <f>(F620+F619)-J619</f>
        <v>0</v>
      </c>
      <c r="L619" s="6681" t="s">
        <v>6815</v>
      </c>
    </row>
    <row r="620" spans="1:15" ht="30" customHeight="1" x14ac:dyDescent="0.2">
      <c r="A620" s="7656"/>
      <c r="B620" s="7652" t="s">
        <v>6817</v>
      </c>
      <c r="C620" s="7747"/>
      <c r="D620" s="6635">
        <v>10000000</v>
      </c>
      <c r="E620" s="6705">
        <v>0.05</v>
      </c>
      <c r="F620" s="6635">
        <f>D620*E620</f>
        <v>500000</v>
      </c>
      <c r="G620" s="6635">
        <v>2075000</v>
      </c>
      <c r="H620" s="6635" t="s">
        <v>8483</v>
      </c>
      <c r="I620" s="18" t="s">
        <v>7962</v>
      </c>
      <c r="J620" s="6635">
        <f>G620</f>
        <v>2075000</v>
      </c>
      <c r="K620" s="6635">
        <f>(F619+F620)-J620</f>
        <v>0</v>
      </c>
      <c r="L620" s="7055" t="s">
        <v>8136</v>
      </c>
    </row>
    <row r="621" spans="1:15" ht="30" customHeight="1" x14ac:dyDescent="0.2">
      <c r="A621" s="7655"/>
      <c r="B621" s="7653"/>
      <c r="C621" s="7724"/>
      <c r="D621" s="7016">
        <v>35500000</v>
      </c>
      <c r="E621" s="7018"/>
      <c r="F621" s="7016"/>
      <c r="G621" s="6986"/>
      <c r="H621" s="6986"/>
      <c r="I621" s="18"/>
      <c r="J621" s="6986"/>
      <c r="K621" s="6986"/>
      <c r="L621" s="7012" t="s">
        <v>8137</v>
      </c>
    </row>
    <row r="622" spans="1:15" ht="30" customHeight="1" x14ac:dyDescent="0.2">
      <c r="A622" s="7654">
        <v>263</v>
      </c>
      <c r="B622" s="7652" t="s">
        <v>572</v>
      </c>
      <c r="C622" s="7723" t="s">
        <v>1300</v>
      </c>
      <c r="D622" s="6635">
        <v>105000000</v>
      </c>
      <c r="E622" s="6705">
        <v>5.8000000000000003E-2</v>
      </c>
      <c r="F622" s="6635">
        <v>6000000</v>
      </c>
      <c r="G622" s="7111">
        <v>6000000</v>
      </c>
      <c r="H622" s="7111" t="s">
        <v>8267</v>
      </c>
      <c r="I622" s="7111" t="s">
        <v>451</v>
      </c>
      <c r="J622" s="7111">
        <f t="shared" ref="J622" si="54">G622</f>
        <v>6000000</v>
      </c>
      <c r="K622" s="6635">
        <f>F622-J622</f>
        <v>0</v>
      </c>
      <c r="L622" s="6721"/>
    </row>
    <row r="623" spans="1:15" ht="30" customHeight="1" x14ac:dyDescent="0.2">
      <c r="A623" s="7655"/>
      <c r="B623" s="7653"/>
      <c r="C623" s="7724"/>
      <c r="D623" s="7341">
        <v>125000000</v>
      </c>
      <c r="E623" s="7343">
        <v>7.0000000000000007E-2</v>
      </c>
      <c r="F623" s="7341">
        <f>D623*E623</f>
        <v>8750000</v>
      </c>
      <c r="G623" s="7732" t="s">
        <v>8438</v>
      </c>
      <c r="H623" s="7733"/>
      <c r="I623" s="7733"/>
      <c r="J623" s="7734"/>
      <c r="K623" s="7292"/>
      <c r="L623" s="7331" t="s">
        <v>8439</v>
      </c>
    </row>
    <row r="624" spans="1:15" ht="30" customHeight="1" x14ac:dyDescent="0.2">
      <c r="A624" s="7654">
        <v>264</v>
      </c>
      <c r="B624" s="7652" t="s">
        <v>8121</v>
      </c>
      <c r="C624" s="7723" t="s">
        <v>262</v>
      </c>
      <c r="D624" s="7563">
        <v>50000000</v>
      </c>
      <c r="E624" s="7659">
        <f>F624/D624</f>
        <v>0.06</v>
      </c>
      <c r="F624" s="7563">
        <v>3000000</v>
      </c>
      <c r="G624" s="6919">
        <v>6000000</v>
      </c>
      <c r="H624" s="6919" t="s">
        <v>8042</v>
      </c>
      <c r="I624" s="6919" t="s">
        <v>8043</v>
      </c>
      <c r="J624" s="6919">
        <f>G624</f>
        <v>6000000</v>
      </c>
      <c r="K624" s="6919"/>
      <c r="L624" s="6745"/>
    </row>
    <row r="625" spans="1:12" ht="30" customHeight="1" x14ac:dyDescent="0.2">
      <c r="A625" s="7655"/>
      <c r="B625" s="7653"/>
      <c r="C625" s="7724"/>
      <c r="D625" s="7564"/>
      <c r="E625" s="7660"/>
      <c r="F625" s="7564"/>
      <c r="G625" s="6990">
        <v>6000000</v>
      </c>
      <c r="H625" s="6990" t="s">
        <v>8111</v>
      </c>
      <c r="I625" s="6990" t="s">
        <v>8122</v>
      </c>
      <c r="J625" s="6990">
        <f>G625</f>
        <v>6000000</v>
      </c>
      <c r="K625" s="6990"/>
      <c r="L625" s="6996" t="s">
        <v>8123</v>
      </c>
    </row>
    <row r="626" spans="1:12" ht="30" customHeight="1" x14ac:dyDescent="0.2">
      <c r="A626" s="7654">
        <v>265</v>
      </c>
      <c r="B626" s="7652" t="s">
        <v>121</v>
      </c>
      <c r="C626" s="7723" t="s">
        <v>262</v>
      </c>
      <c r="D626" s="7563">
        <v>1000000000</v>
      </c>
      <c r="E626" s="7659">
        <v>7.0000000000000007E-2</v>
      </c>
      <c r="F626" s="7563">
        <f>D626*E626</f>
        <v>70000000</v>
      </c>
      <c r="G626" s="6635">
        <v>20000000</v>
      </c>
      <c r="H626" s="6635" t="s">
        <v>8073</v>
      </c>
      <c r="I626" s="6635" t="s">
        <v>8083</v>
      </c>
      <c r="J626" s="7563">
        <f>G626+G627+G628+G629</f>
        <v>40000000</v>
      </c>
      <c r="K626" s="7563">
        <f>F626-J626</f>
        <v>30000000</v>
      </c>
      <c r="L626" s="8558"/>
    </row>
    <row r="627" spans="1:12" ht="30" customHeight="1" x14ac:dyDescent="0.2">
      <c r="A627" s="7656"/>
      <c r="B627" s="7665"/>
      <c r="C627" s="7747"/>
      <c r="D627" s="7586"/>
      <c r="E627" s="7676"/>
      <c r="F627" s="7586"/>
      <c r="G627" s="7159">
        <v>10000000</v>
      </c>
      <c r="H627" s="7159" t="s">
        <v>3880</v>
      </c>
      <c r="I627" s="7159" t="s">
        <v>3290</v>
      </c>
      <c r="J627" s="7586"/>
      <c r="K627" s="7586"/>
      <c r="L627" s="8559"/>
    </row>
    <row r="628" spans="1:12" ht="30" customHeight="1" x14ac:dyDescent="0.2">
      <c r="A628" s="7656"/>
      <c r="B628" s="7665"/>
      <c r="C628" s="7747"/>
      <c r="D628" s="7586"/>
      <c r="E628" s="7676"/>
      <c r="F628" s="7586"/>
      <c r="G628" s="7236">
        <v>10000000</v>
      </c>
      <c r="H628" s="7236" t="s">
        <v>8339</v>
      </c>
      <c r="I628" s="7236" t="s">
        <v>8083</v>
      </c>
      <c r="J628" s="7586"/>
      <c r="K628" s="7586"/>
      <c r="L628" s="8559"/>
    </row>
    <row r="629" spans="1:12" ht="30" customHeight="1" x14ac:dyDescent="0.2">
      <c r="A629" s="7655"/>
      <c r="B629" s="7653"/>
      <c r="C629" s="7724"/>
      <c r="D629" s="7564"/>
      <c r="E629" s="7660"/>
      <c r="F629" s="7564"/>
      <c r="G629" s="7159"/>
      <c r="H629" s="7159"/>
      <c r="I629" s="7159"/>
      <c r="J629" s="7564"/>
      <c r="K629" s="7564"/>
      <c r="L629" s="8560"/>
    </row>
    <row r="630" spans="1:12" ht="30" customHeight="1" x14ac:dyDescent="0.2">
      <c r="A630" s="6659">
        <v>266</v>
      </c>
      <c r="B630" s="6711" t="s">
        <v>1918</v>
      </c>
      <c r="C630" s="6683" t="s">
        <v>371</v>
      </c>
      <c r="D630" s="6643">
        <v>160000000</v>
      </c>
      <c r="E630" s="6649">
        <v>0.05</v>
      </c>
      <c r="F630" s="6643">
        <f>D630*E630</f>
        <v>8000000</v>
      </c>
      <c r="G630" s="6641"/>
      <c r="H630" s="6641"/>
      <c r="I630" s="6688" t="s">
        <v>4065</v>
      </c>
      <c r="J630" s="6641">
        <f>G630</f>
        <v>0</v>
      </c>
      <c r="K630" s="6641">
        <f>F630-J630</f>
        <v>8000000</v>
      </c>
      <c r="L630" s="6721"/>
    </row>
    <row r="631" spans="1:12" ht="30" customHeight="1" x14ac:dyDescent="0.2">
      <c r="A631" s="7654">
        <v>267</v>
      </c>
      <c r="B631" s="7652" t="s">
        <v>497</v>
      </c>
      <c r="C631" s="7723" t="s">
        <v>371</v>
      </c>
      <c r="D631" s="7563">
        <v>300000000</v>
      </c>
      <c r="E631" s="7659">
        <v>0.04</v>
      </c>
      <c r="F631" s="7563">
        <f>D631*E631</f>
        <v>12000000</v>
      </c>
      <c r="G631" s="7563"/>
      <c r="H631" s="7563"/>
      <c r="I631" s="7563" t="s">
        <v>3579</v>
      </c>
      <c r="J631" s="7563">
        <f>G631</f>
        <v>0</v>
      </c>
      <c r="K631" s="7563">
        <f>F631-J631</f>
        <v>12000000</v>
      </c>
      <c r="L631" s="6721" t="s">
        <v>2891</v>
      </c>
    </row>
    <row r="632" spans="1:12" ht="30" customHeight="1" x14ac:dyDescent="0.2">
      <c r="A632" s="7655"/>
      <c r="B632" s="7653"/>
      <c r="C632" s="7724"/>
      <c r="D632" s="7564"/>
      <c r="E632" s="7660"/>
      <c r="F632" s="7564"/>
      <c r="G632" s="7564"/>
      <c r="H632" s="7564"/>
      <c r="I632" s="7564"/>
      <c r="J632" s="7564"/>
      <c r="K632" s="7564"/>
      <c r="L632" s="6721"/>
    </row>
    <row r="633" spans="1:12" ht="30" customHeight="1" x14ac:dyDescent="0.2">
      <c r="A633" s="6708">
        <v>268</v>
      </c>
      <c r="B633" s="6665" t="s">
        <v>391</v>
      </c>
      <c r="C633" s="6684" t="s">
        <v>392</v>
      </c>
      <c r="D633" s="6643">
        <v>130000000</v>
      </c>
      <c r="E633" s="6705">
        <v>4.4999999999999998E-2</v>
      </c>
      <c r="F633" s="6643">
        <f t="shared" ref="F633:F745" si="55">D633*E633</f>
        <v>5850000</v>
      </c>
      <c r="G633" s="6643">
        <v>5850000</v>
      </c>
      <c r="H633" s="6643" t="s">
        <v>8267</v>
      </c>
      <c r="I633" s="18" t="s">
        <v>3518</v>
      </c>
      <c r="J633" s="6643">
        <f>G633</f>
        <v>5850000</v>
      </c>
      <c r="K633" s="6643">
        <f>F633-J633</f>
        <v>0</v>
      </c>
      <c r="L633" s="6665"/>
    </row>
    <row r="634" spans="1:12" ht="30" customHeight="1" x14ac:dyDescent="0.2">
      <c r="A634" s="7654">
        <v>269</v>
      </c>
      <c r="B634" s="7652" t="s">
        <v>123</v>
      </c>
      <c r="C634" s="7723" t="s">
        <v>262</v>
      </c>
      <c r="D634" s="7563">
        <v>500000000</v>
      </c>
      <c r="E634" s="7659">
        <v>0.06</v>
      </c>
      <c r="F634" s="7563">
        <f t="shared" si="55"/>
        <v>30000000</v>
      </c>
      <c r="G634" s="6643">
        <v>15000000</v>
      </c>
      <c r="H634" s="6643" t="s">
        <v>8164</v>
      </c>
      <c r="I634" s="18" t="s">
        <v>3546</v>
      </c>
      <c r="J634" s="7563">
        <f>G634+G635</f>
        <v>30000000</v>
      </c>
      <c r="K634" s="7563">
        <f>F634-J634</f>
        <v>0</v>
      </c>
      <c r="L634" s="6665"/>
    </row>
    <row r="635" spans="1:12" ht="30" customHeight="1" x14ac:dyDescent="0.2">
      <c r="A635" s="7655"/>
      <c r="B635" s="7653"/>
      <c r="C635" s="7724"/>
      <c r="D635" s="7564"/>
      <c r="E635" s="7660"/>
      <c r="F635" s="7564"/>
      <c r="G635" s="7238">
        <v>15000000</v>
      </c>
      <c r="H635" s="7238" t="s">
        <v>8366</v>
      </c>
      <c r="I635" s="7290" t="s">
        <v>3546</v>
      </c>
      <c r="J635" s="7564"/>
      <c r="K635" s="7564"/>
      <c r="L635" s="7258"/>
    </row>
    <row r="636" spans="1:12" ht="30" customHeight="1" x14ac:dyDescent="0.2">
      <c r="A636" s="6708">
        <v>270</v>
      </c>
      <c r="B636" s="6665" t="s">
        <v>124</v>
      </c>
      <c r="C636" s="6684"/>
      <c r="D636" s="6643">
        <v>20000000</v>
      </c>
      <c r="E636" s="6705">
        <v>5.5E-2</v>
      </c>
      <c r="F636" s="6643">
        <f t="shared" si="55"/>
        <v>1100000</v>
      </c>
      <c r="G636" s="6643">
        <v>1100000</v>
      </c>
      <c r="H636" s="6643" t="s">
        <v>8164</v>
      </c>
      <c r="I636" s="6771" t="s">
        <v>492</v>
      </c>
      <c r="J636" s="6643">
        <f>G636</f>
        <v>1100000</v>
      </c>
      <c r="K636" s="6643">
        <f>F636-J636</f>
        <v>0</v>
      </c>
      <c r="L636" s="6742"/>
    </row>
    <row r="637" spans="1:12" ht="30" customHeight="1" x14ac:dyDescent="0.2">
      <c r="A637" s="6659">
        <v>271</v>
      </c>
      <c r="B637" s="6711" t="s">
        <v>125</v>
      </c>
      <c r="C637" s="6683" t="s">
        <v>402</v>
      </c>
      <c r="D637" s="6643">
        <v>40000000</v>
      </c>
      <c r="E637" s="6649">
        <v>5.5E-2</v>
      </c>
      <c r="F637" s="6643">
        <f>D637*E637</f>
        <v>2200000</v>
      </c>
      <c r="G637" s="8099" t="s">
        <v>8180</v>
      </c>
      <c r="H637" s="8100"/>
      <c r="I637" s="8100"/>
      <c r="J637" s="8101"/>
      <c r="K637" s="6641">
        <f>F637-J637</f>
        <v>2200000</v>
      </c>
      <c r="L637" s="6681" t="s">
        <v>8181</v>
      </c>
    </row>
    <row r="638" spans="1:12" ht="30" customHeight="1" x14ac:dyDescent="0.2">
      <c r="A638" s="7654"/>
      <c r="B638" s="7717" t="s">
        <v>2524</v>
      </c>
      <c r="C638" s="7873" t="s">
        <v>1287</v>
      </c>
      <c r="D638" s="6750">
        <v>495000000</v>
      </c>
      <c r="E638" s="6739">
        <v>5.5E-2</v>
      </c>
      <c r="F638" s="6750">
        <f>D638*E638</f>
        <v>27225000</v>
      </c>
      <c r="G638" s="8040"/>
      <c r="H638" s="8040"/>
      <c r="I638" s="8040"/>
      <c r="J638" s="8040"/>
      <c r="K638" s="7482"/>
      <c r="L638" s="5320"/>
    </row>
    <row r="639" spans="1:12" ht="30" customHeight="1" x14ac:dyDescent="0.2">
      <c r="A639" s="7656"/>
      <c r="B639" s="7717"/>
      <c r="C639" s="7873"/>
      <c r="D639" s="6750">
        <v>65000000</v>
      </c>
      <c r="E639" s="6739">
        <v>0.06</v>
      </c>
      <c r="F639" s="6750">
        <f>D639*E639</f>
        <v>3900000</v>
      </c>
      <c r="G639" s="8040"/>
      <c r="H639" s="8040"/>
      <c r="I639" s="8040"/>
      <c r="J639" s="8040"/>
      <c r="K639" s="7482"/>
      <c r="L639" s="735" t="s">
        <v>6060</v>
      </c>
    </row>
    <row r="640" spans="1:12" ht="30" customHeight="1" x14ac:dyDescent="0.2">
      <c r="A640" s="7656"/>
      <c r="B640" s="7717"/>
      <c r="C640" s="7873"/>
      <c r="D640" s="6750">
        <v>246000000</v>
      </c>
      <c r="E640" s="6739">
        <v>0.06</v>
      </c>
      <c r="F640" s="6750">
        <f>D640*E640</f>
        <v>14760000</v>
      </c>
      <c r="G640" s="8040"/>
      <c r="H640" s="8040"/>
      <c r="I640" s="8040"/>
      <c r="J640" s="8040"/>
      <c r="K640" s="7482"/>
      <c r="L640" s="735" t="s">
        <v>6064</v>
      </c>
    </row>
    <row r="641" spans="1:12" ht="30" customHeight="1" x14ac:dyDescent="0.2">
      <c r="A641" s="7656"/>
      <c r="B641" s="7717"/>
      <c r="C641" s="7873"/>
      <c r="D641" s="8004" t="s">
        <v>1787</v>
      </c>
      <c r="E641" s="8005"/>
      <c r="F641" s="6750">
        <v>1300000</v>
      </c>
      <c r="G641" s="8040"/>
      <c r="H641" s="8040"/>
      <c r="I641" s="8040"/>
      <c r="J641" s="8040"/>
      <c r="K641" s="7482"/>
      <c r="L641" s="5321"/>
    </row>
    <row r="642" spans="1:12" ht="30" customHeight="1" x14ac:dyDescent="0.2">
      <c r="A642" s="7656"/>
      <c r="B642" s="7717"/>
      <c r="C642" s="7873"/>
      <c r="D642" s="6640">
        <f>D638+D639+D640</f>
        <v>806000000</v>
      </c>
      <c r="E642" s="6640"/>
      <c r="F642" s="6640">
        <f>F638+F639+F640+F641</f>
        <v>47185000</v>
      </c>
      <c r="G642" s="8365" t="s">
        <v>6892</v>
      </c>
      <c r="H642" s="8366"/>
      <c r="I642" s="8366"/>
      <c r="J642" s="8367"/>
      <c r="K642" s="7563">
        <f>F644-J642</f>
        <v>48400000</v>
      </c>
      <c r="L642" s="8374" t="s">
        <v>6057</v>
      </c>
    </row>
    <row r="643" spans="1:12" ht="30" customHeight="1" x14ac:dyDescent="0.2">
      <c r="A643" s="7656"/>
      <c r="B643" s="7717"/>
      <c r="C643" s="7873"/>
      <c r="D643" s="7545" t="s">
        <v>5704</v>
      </c>
      <c r="E643" s="7957"/>
      <c r="F643" s="6640">
        <v>1200000</v>
      </c>
      <c r="G643" s="8368"/>
      <c r="H643" s="8369"/>
      <c r="I643" s="8369"/>
      <c r="J643" s="8370"/>
      <c r="K643" s="7586"/>
      <c r="L643" s="8374"/>
    </row>
    <row r="644" spans="1:12" ht="30" customHeight="1" x14ac:dyDescent="0.2">
      <c r="A644" s="7656"/>
      <c r="B644" s="7717"/>
      <c r="C644" s="7873"/>
      <c r="D644" s="7545">
        <f>D642</f>
        <v>806000000</v>
      </c>
      <c r="E644" s="7957"/>
      <c r="F644" s="6640">
        <v>48400000</v>
      </c>
      <c r="G644" s="8371"/>
      <c r="H644" s="8372"/>
      <c r="I644" s="8372"/>
      <c r="J644" s="8373"/>
      <c r="K644" s="7564"/>
      <c r="L644" s="8374"/>
    </row>
    <row r="645" spans="1:12" ht="30" customHeight="1" x14ac:dyDescent="0.2">
      <c r="A645" s="7654"/>
      <c r="B645" s="7652" t="s">
        <v>2524</v>
      </c>
      <c r="C645" s="7723" t="s">
        <v>1287</v>
      </c>
      <c r="D645" s="516">
        <v>806000000</v>
      </c>
      <c r="E645" s="3032">
        <v>0.06</v>
      </c>
      <c r="F645" s="516">
        <f>D645*E645</f>
        <v>48360000</v>
      </c>
      <c r="G645" s="7934" t="s">
        <v>6893</v>
      </c>
      <c r="H645" s="7935"/>
      <c r="I645" s="7935"/>
      <c r="J645" s="7936"/>
      <c r="K645" s="7563">
        <f>F645+F646+F647+40000</f>
        <v>51500000</v>
      </c>
      <c r="L645" s="8463" t="s">
        <v>7003</v>
      </c>
    </row>
    <row r="646" spans="1:12" ht="30" customHeight="1" x14ac:dyDescent="0.2">
      <c r="A646" s="7656"/>
      <c r="B646" s="7665"/>
      <c r="C646" s="7747"/>
      <c r="D646" s="516">
        <v>10000000</v>
      </c>
      <c r="E646" s="2696">
        <v>0.06</v>
      </c>
      <c r="F646" s="516">
        <f>D646*E646</f>
        <v>600000</v>
      </c>
      <c r="G646" s="8507"/>
      <c r="H646" s="8508"/>
      <c r="I646" s="8508"/>
      <c r="J646" s="8509"/>
      <c r="K646" s="7586"/>
      <c r="L646" s="8463"/>
    </row>
    <row r="647" spans="1:12" ht="30" customHeight="1" x14ac:dyDescent="0.2">
      <c r="A647" s="7656"/>
      <c r="B647" s="7665"/>
      <c r="C647" s="7747"/>
      <c r="D647" s="7861" t="s">
        <v>5704</v>
      </c>
      <c r="E647" s="7863"/>
      <c r="F647" s="438">
        <v>2500000</v>
      </c>
      <c r="G647" s="7937"/>
      <c r="H647" s="7938"/>
      <c r="I647" s="7938"/>
      <c r="J647" s="7939"/>
      <c r="K647" s="7564"/>
      <c r="L647" s="8463"/>
    </row>
    <row r="648" spans="1:12" ht="30" customHeight="1" x14ac:dyDescent="0.2">
      <c r="A648" s="7656"/>
      <c r="B648" s="7665"/>
      <c r="C648" s="7747"/>
      <c r="D648" s="3239">
        <f>D645+D646+51500000</f>
        <v>867500000</v>
      </c>
      <c r="E648" s="868">
        <v>0.06</v>
      </c>
      <c r="F648" s="6776">
        <f>D648*E648</f>
        <v>52050000</v>
      </c>
      <c r="G648" s="8510" t="s">
        <v>6061</v>
      </c>
      <c r="H648" s="8511"/>
      <c r="I648" s="8511"/>
      <c r="J648" s="8512"/>
      <c r="K648" s="7563"/>
      <c r="L648" s="7818" t="s">
        <v>6063</v>
      </c>
    </row>
    <row r="649" spans="1:12" ht="30" customHeight="1" x14ac:dyDescent="0.2">
      <c r="A649" s="7656"/>
      <c r="B649" s="7665"/>
      <c r="C649" s="7747"/>
      <c r="D649" s="8250" t="s">
        <v>6894</v>
      </c>
      <c r="E649" s="8519"/>
      <c r="F649" s="8251"/>
      <c r="G649" s="8513"/>
      <c r="H649" s="8514"/>
      <c r="I649" s="8514"/>
      <c r="J649" s="8515"/>
      <c r="K649" s="7586"/>
      <c r="L649" s="7855"/>
    </row>
    <row r="650" spans="1:12" ht="30" customHeight="1" x14ac:dyDescent="0.2">
      <c r="A650" s="7656"/>
      <c r="B650" s="7665"/>
      <c r="C650" s="7747"/>
      <c r="D650" s="3239">
        <f>D648-100000000</f>
        <v>767500000</v>
      </c>
      <c r="E650" s="868">
        <v>0.06</v>
      </c>
      <c r="F650" s="6776">
        <f>D650*E650</f>
        <v>46050000</v>
      </c>
      <c r="G650" s="8516"/>
      <c r="H650" s="8517"/>
      <c r="I650" s="8517"/>
      <c r="J650" s="8518"/>
      <c r="K650" s="7564"/>
      <c r="L650" s="7819"/>
    </row>
    <row r="651" spans="1:12" ht="30" customHeight="1" x14ac:dyDescent="0.2">
      <c r="A651" s="7656"/>
      <c r="B651" s="7665"/>
      <c r="C651" s="7747"/>
      <c r="D651" s="7563">
        <v>132500000</v>
      </c>
      <c r="E651" s="7659"/>
      <c r="F651" s="7563"/>
      <c r="G651" s="7991" t="s">
        <v>7582</v>
      </c>
      <c r="H651" s="7992"/>
      <c r="I651" s="7992"/>
      <c r="J651" s="7993"/>
      <c r="K651" s="7563"/>
      <c r="L651" s="6718"/>
    </row>
    <row r="652" spans="1:12" ht="30" customHeight="1" x14ac:dyDescent="0.2">
      <c r="A652" s="7656"/>
      <c r="B652" s="7665"/>
      <c r="C652" s="7747"/>
      <c r="D652" s="7564"/>
      <c r="E652" s="7660"/>
      <c r="F652" s="7564"/>
      <c r="G652" s="7994"/>
      <c r="H652" s="7995"/>
      <c r="I652" s="7995"/>
      <c r="J652" s="7996"/>
      <c r="K652" s="7586"/>
      <c r="L652" s="7222"/>
    </row>
    <row r="653" spans="1:12" ht="30" customHeight="1" x14ac:dyDescent="0.2">
      <c r="A653" s="7656"/>
      <c r="B653" s="7665"/>
      <c r="C653" s="7747"/>
      <c r="D653" s="7208">
        <v>102000000</v>
      </c>
      <c r="E653" s="2519"/>
      <c r="F653" s="7208"/>
      <c r="G653" s="7230"/>
      <c r="H653" s="7230"/>
      <c r="I653" s="7230"/>
      <c r="J653" s="7230"/>
      <c r="K653" s="7586"/>
      <c r="L653" s="7222"/>
    </row>
    <row r="654" spans="1:12" ht="30" customHeight="1" x14ac:dyDescent="0.2">
      <c r="A654" s="7656"/>
      <c r="B654" s="7665"/>
      <c r="C654" s="7747"/>
      <c r="D654" s="8497">
        <v>1020000000</v>
      </c>
      <c r="E654" s="8498">
        <v>7.0000000000000007E-2</v>
      </c>
      <c r="F654" s="8497">
        <f>D654*E654</f>
        <v>71400000</v>
      </c>
      <c r="G654" s="1965"/>
      <c r="H654" s="2297"/>
      <c r="I654" s="2297"/>
      <c r="J654" s="1928"/>
      <c r="K654" s="7564"/>
      <c r="L654" s="6718"/>
    </row>
    <row r="655" spans="1:12" ht="30" customHeight="1" x14ac:dyDescent="0.2">
      <c r="A655" s="7656"/>
      <c r="B655" s="7665"/>
      <c r="C655" s="7747"/>
      <c r="D655" s="8497"/>
      <c r="E655" s="8498"/>
      <c r="F655" s="8497"/>
      <c r="G655" s="6986">
        <v>15000000</v>
      </c>
      <c r="H655" s="6986" t="s">
        <v>8142</v>
      </c>
      <c r="I655" s="6986" t="s">
        <v>678</v>
      </c>
      <c r="J655" s="7563">
        <f>G655+G656</f>
        <v>35000000</v>
      </c>
      <c r="K655" s="7563">
        <f>F654-J655</f>
        <v>36400000</v>
      </c>
      <c r="L655" s="7005" t="s">
        <v>8146</v>
      </c>
    </row>
    <row r="656" spans="1:12" ht="30" customHeight="1" x14ac:dyDescent="0.2">
      <c r="A656" s="7656"/>
      <c r="B656" s="7665"/>
      <c r="C656" s="7747"/>
      <c r="D656" s="8497"/>
      <c r="E656" s="8498"/>
      <c r="F656" s="8497"/>
      <c r="G656" s="6986">
        <v>20000000</v>
      </c>
      <c r="H656" s="6986" t="s">
        <v>8156</v>
      </c>
      <c r="I656" s="6986" t="s">
        <v>678</v>
      </c>
      <c r="J656" s="7564"/>
      <c r="K656" s="7564"/>
      <c r="L656" s="7005" t="s">
        <v>8146</v>
      </c>
    </row>
    <row r="657" spans="1:12" ht="30" customHeight="1" x14ac:dyDescent="0.2">
      <c r="A657" s="7656"/>
      <c r="B657" s="7665"/>
      <c r="C657" s="7747"/>
      <c r="D657" s="8497"/>
      <c r="E657" s="8498"/>
      <c r="F657" s="8497"/>
      <c r="G657" s="7494" t="s">
        <v>8214</v>
      </c>
      <c r="H657" s="7495"/>
      <c r="I657" s="7495"/>
      <c r="J657" s="7768"/>
      <c r="K657" s="7563"/>
      <c r="L657" s="7042"/>
    </row>
    <row r="658" spans="1:12" ht="30" customHeight="1" x14ac:dyDescent="0.2">
      <c r="A658" s="7656"/>
      <c r="B658" s="7665"/>
      <c r="C658" s="7747"/>
      <c r="D658" s="8497"/>
      <c r="E658" s="8498"/>
      <c r="F658" s="8497"/>
      <c r="G658" s="7769"/>
      <c r="H658" s="7805"/>
      <c r="I658" s="7805"/>
      <c r="J658" s="7770"/>
      <c r="K658" s="7564"/>
      <c r="L658" s="7042"/>
    </row>
    <row r="659" spans="1:12" ht="30" customHeight="1" x14ac:dyDescent="0.2">
      <c r="A659" s="7656"/>
      <c r="B659" s="7665"/>
      <c r="C659" s="7747"/>
      <c r="D659" s="8497"/>
      <c r="E659" s="8498"/>
      <c r="F659" s="8497"/>
      <c r="G659" s="7991" t="s">
        <v>8302</v>
      </c>
      <c r="H659" s="7992"/>
      <c r="I659" s="7992"/>
      <c r="J659" s="7993"/>
      <c r="K659" s="7161"/>
      <c r="L659" s="7189"/>
    </row>
    <row r="660" spans="1:12" ht="30" customHeight="1" x14ac:dyDescent="0.2">
      <c r="A660" s="7656"/>
      <c r="B660" s="7665"/>
      <c r="C660" s="7747"/>
      <c r="D660" s="8027"/>
      <c r="E660" s="8029"/>
      <c r="F660" s="8027"/>
      <c r="G660" s="7997"/>
      <c r="H660" s="7998"/>
      <c r="I660" s="7998"/>
      <c r="J660" s="7999"/>
      <c r="K660" s="7161"/>
      <c r="L660" s="7189"/>
    </row>
    <row r="661" spans="1:12" ht="30" customHeight="1" x14ac:dyDescent="0.2">
      <c r="A661" s="7655"/>
      <c r="B661" s="7653"/>
      <c r="C661" s="7724"/>
      <c r="D661" s="7342">
        <v>650000000</v>
      </c>
      <c r="E661" s="7344">
        <v>6.5000000000000002E-2</v>
      </c>
      <c r="F661" s="7342">
        <f>D661*E661</f>
        <v>42250000</v>
      </c>
      <c r="G661" s="7732" t="s">
        <v>8448</v>
      </c>
      <c r="H661" s="7733"/>
      <c r="I661" s="7733"/>
      <c r="J661" s="7734"/>
      <c r="K661" s="7296"/>
      <c r="L661" s="7330"/>
    </row>
    <row r="662" spans="1:12" ht="30" customHeight="1" x14ac:dyDescent="0.2">
      <c r="A662" s="6708">
        <v>273</v>
      </c>
      <c r="B662" s="6665" t="s">
        <v>127</v>
      </c>
      <c r="C662" s="6710" t="s">
        <v>1291</v>
      </c>
      <c r="D662" s="6643">
        <v>20000000</v>
      </c>
      <c r="E662" s="6705">
        <v>0.05</v>
      </c>
      <c r="F662" s="6643">
        <f t="shared" si="55"/>
        <v>1000000</v>
      </c>
      <c r="G662" s="6643">
        <v>1000000</v>
      </c>
      <c r="H662" s="6643" t="s">
        <v>8164</v>
      </c>
      <c r="I662" s="6771" t="s">
        <v>480</v>
      </c>
      <c r="J662" s="6643">
        <f>G662</f>
        <v>1000000</v>
      </c>
      <c r="K662" s="6643">
        <f>F662-J662</f>
        <v>0</v>
      </c>
      <c r="L662" s="6716"/>
    </row>
    <row r="663" spans="1:12" ht="30" customHeight="1" x14ac:dyDescent="0.2">
      <c r="A663" s="7654">
        <v>274</v>
      </c>
      <c r="B663" s="7652" t="s">
        <v>128</v>
      </c>
      <c r="C663" s="7723" t="s">
        <v>1306</v>
      </c>
      <c r="D663" s="6635">
        <v>50000000</v>
      </c>
      <c r="E663" s="6705">
        <v>0.05</v>
      </c>
      <c r="F663" s="6643">
        <f>D663*E663</f>
        <v>2500000</v>
      </c>
      <c r="G663" s="6643">
        <v>19000000</v>
      </c>
      <c r="H663" s="6643" t="s">
        <v>8366</v>
      </c>
      <c r="I663" s="6771" t="s">
        <v>6358</v>
      </c>
      <c r="J663" s="6643">
        <f>G663</f>
        <v>19000000</v>
      </c>
      <c r="K663" s="6643"/>
      <c r="L663" s="6716" t="s">
        <v>7101</v>
      </c>
    </row>
    <row r="664" spans="1:12" ht="30" customHeight="1" x14ac:dyDescent="0.2">
      <c r="A664" s="7655"/>
      <c r="B664" s="7653"/>
      <c r="C664" s="7724"/>
      <c r="D664" s="6752">
        <v>200000000</v>
      </c>
      <c r="E664" s="6789">
        <v>5.5E-2</v>
      </c>
      <c r="F664" s="6752">
        <f>D664*E664</f>
        <v>11000000</v>
      </c>
      <c r="G664" s="7954" t="s">
        <v>7102</v>
      </c>
      <c r="H664" s="7955"/>
      <c r="I664" s="7955"/>
      <c r="J664" s="7956"/>
      <c r="K664" s="6643"/>
      <c r="L664" s="6716" t="s">
        <v>7100</v>
      </c>
    </row>
    <row r="665" spans="1:12" ht="30" customHeight="1" x14ac:dyDescent="0.2">
      <c r="A665" s="6708">
        <v>275</v>
      </c>
      <c r="B665" s="6665" t="s">
        <v>129</v>
      </c>
      <c r="C665" s="6684" t="s">
        <v>1291</v>
      </c>
      <c r="D665" s="6643">
        <v>130000000</v>
      </c>
      <c r="E665" s="6705">
        <v>0.05</v>
      </c>
      <c r="F665" s="6643">
        <f t="shared" si="55"/>
        <v>6500000</v>
      </c>
      <c r="G665" s="7954" t="s">
        <v>8293</v>
      </c>
      <c r="H665" s="7955"/>
      <c r="I665" s="7955"/>
      <c r="J665" s="7956"/>
      <c r="K665" s="6643">
        <f>F665-J665</f>
        <v>6500000</v>
      </c>
      <c r="L665" s="7199"/>
    </row>
    <row r="666" spans="1:12" ht="30" customHeight="1" x14ac:dyDescent="0.2">
      <c r="A666" s="6653">
        <v>277</v>
      </c>
      <c r="B666" s="6650" t="s">
        <v>131</v>
      </c>
      <c r="C666" s="6686" t="s">
        <v>2849</v>
      </c>
      <c r="D666" s="6642">
        <v>200000000</v>
      </c>
      <c r="E666" s="6647">
        <v>0.05</v>
      </c>
      <c r="F666" s="6642">
        <f t="shared" si="55"/>
        <v>10000000</v>
      </c>
      <c r="G666" s="6642">
        <v>5000000</v>
      </c>
      <c r="H666" s="6642" t="s">
        <v>3880</v>
      </c>
      <c r="I666" s="6770" t="s">
        <v>5698</v>
      </c>
      <c r="J666" s="6642">
        <f>G666</f>
        <v>5000000</v>
      </c>
      <c r="K666" s="6642">
        <f>F666-J666</f>
        <v>5000000</v>
      </c>
      <c r="L666" s="6911" t="s">
        <v>8031</v>
      </c>
    </row>
    <row r="667" spans="1:12" s="1539" customFormat="1" ht="30" customHeight="1" x14ac:dyDescent="0.2">
      <c r="A667" s="6653">
        <v>278</v>
      </c>
      <c r="B667" s="19" t="s">
        <v>620</v>
      </c>
      <c r="C667" s="6710" t="s">
        <v>3007</v>
      </c>
      <c r="D667" s="6635">
        <v>30000000</v>
      </c>
      <c r="E667" s="6705">
        <v>4.4999999999999998E-2</v>
      </c>
      <c r="F667" s="6635">
        <f t="shared" si="55"/>
        <v>1350000</v>
      </c>
      <c r="G667" s="6635">
        <v>1350000</v>
      </c>
      <c r="H667" s="6635" t="s">
        <v>8247</v>
      </c>
      <c r="I667" s="6715" t="s">
        <v>2066</v>
      </c>
      <c r="J667" s="6635">
        <f>G667</f>
        <v>1350000</v>
      </c>
      <c r="K667" s="6635">
        <f>F667-J667</f>
        <v>0</v>
      </c>
      <c r="L667" s="6716"/>
    </row>
    <row r="668" spans="1:12" ht="30" customHeight="1" x14ac:dyDescent="0.2">
      <c r="A668" s="6708">
        <v>279</v>
      </c>
      <c r="B668" s="6665" t="s">
        <v>132</v>
      </c>
      <c r="C668" s="6684" t="s">
        <v>402</v>
      </c>
      <c r="D668" s="6643">
        <v>11000000</v>
      </c>
      <c r="E668" s="6705">
        <v>4.4999999999999998E-2</v>
      </c>
      <c r="F668" s="6643">
        <v>500000</v>
      </c>
      <c r="G668" s="6643">
        <v>500000</v>
      </c>
      <c r="H668" s="6643" t="s">
        <v>4919</v>
      </c>
      <c r="I668" s="6771" t="s">
        <v>5587</v>
      </c>
      <c r="J668" s="6643">
        <f t="shared" ref="J668:J678" si="56">G668</f>
        <v>500000</v>
      </c>
      <c r="K668" s="6643">
        <f t="shared" ref="K668:K678" si="57">F668-J668</f>
        <v>0</v>
      </c>
      <c r="L668" s="6780" t="s">
        <v>6246</v>
      </c>
    </row>
    <row r="669" spans="1:12" ht="30" customHeight="1" x14ac:dyDescent="0.2">
      <c r="A669" s="6708">
        <v>280</v>
      </c>
      <c r="B669" s="6711" t="s">
        <v>458</v>
      </c>
      <c r="C669" s="6684" t="s">
        <v>1107</v>
      </c>
      <c r="D669" s="6635">
        <v>20000000</v>
      </c>
      <c r="E669" s="6705">
        <v>0.05</v>
      </c>
      <c r="F669" s="6635">
        <f t="shared" si="55"/>
        <v>1000000</v>
      </c>
      <c r="G669" s="6635">
        <v>1200000</v>
      </c>
      <c r="H669" s="6635" t="s">
        <v>8366</v>
      </c>
      <c r="I669" s="6635" t="s">
        <v>3756</v>
      </c>
      <c r="J669" s="6635">
        <f t="shared" si="56"/>
        <v>1200000</v>
      </c>
      <c r="K669" s="6635">
        <f t="shared" si="57"/>
        <v>-200000</v>
      </c>
      <c r="L669" s="6742"/>
    </row>
    <row r="670" spans="1:12" ht="30" customHeight="1" x14ac:dyDescent="0.2">
      <c r="A670" s="6655">
        <v>281</v>
      </c>
      <c r="B670" s="6711" t="s">
        <v>133</v>
      </c>
      <c r="C670" s="6684" t="s">
        <v>1290</v>
      </c>
      <c r="D670" s="6643">
        <v>40000000</v>
      </c>
      <c r="E670" s="6649">
        <v>0.05</v>
      </c>
      <c r="F670" s="6643">
        <f t="shared" si="55"/>
        <v>2000000</v>
      </c>
      <c r="G670" s="6643">
        <v>2000000</v>
      </c>
      <c r="H670" s="6643" t="s">
        <v>8245</v>
      </c>
      <c r="I670" s="6643" t="s">
        <v>635</v>
      </c>
      <c r="J670" s="6643">
        <f t="shared" si="56"/>
        <v>2000000</v>
      </c>
      <c r="K670" s="6643">
        <f t="shared" si="57"/>
        <v>0</v>
      </c>
      <c r="L670" s="6665"/>
    </row>
    <row r="671" spans="1:12" ht="30" customHeight="1" x14ac:dyDescent="0.2">
      <c r="A671" s="6708">
        <v>282</v>
      </c>
      <c r="B671" s="6665" t="s">
        <v>1024</v>
      </c>
      <c r="C671" s="6684" t="s">
        <v>371</v>
      </c>
      <c r="D671" s="6643">
        <v>20000000</v>
      </c>
      <c r="E671" s="6705">
        <v>0.04</v>
      </c>
      <c r="F671" s="6643">
        <f t="shared" si="55"/>
        <v>800000</v>
      </c>
      <c r="G671" s="6643"/>
      <c r="H671" s="6643"/>
      <c r="I671" s="6643" t="s">
        <v>2453</v>
      </c>
      <c r="J671" s="6643">
        <f t="shared" si="56"/>
        <v>0</v>
      </c>
      <c r="K671" s="6643">
        <f t="shared" si="57"/>
        <v>800000</v>
      </c>
      <c r="L671" s="6665"/>
    </row>
    <row r="672" spans="1:12" ht="30" customHeight="1" x14ac:dyDescent="0.2">
      <c r="A672" s="7879"/>
      <c r="B672" s="7717" t="s">
        <v>134</v>
      </c>
      <c r="C672" s="7873" t="s">
        <v>1294</v>
      </c>
      <c r="D672" s="7559">
        <v>85885000</v>
      </c>
      <c r="E672" s="7683">
        <v>0.05</v>
      </c>
      <c r="F672" s="7559">
        <v>4294250</v>
      </c>
      <c r="G672" s="6635">
        <v>1320000</v>
      </c>
      <c r="H672" s="6641" t="s">
        <v>7974</v>
      </c>
      <c r="I672" s="6641" t="s">
        <v>630</v>
      </c>
      <c r="J672" s="6635">
        <f>G672</f>
        <v>1320000</v>
      </c>
      <c r="K672" s="6635"/>
      <c r="L672" s="6780" t="s">
        <v>7785</v>
      </c>
    </row>
    <row r="673" spans="1:13" ht="30" customHeight="1" x14ac:dyDescent="0.2">
      <c r="A673" s="7879"/>
      <c r="B673" s="7717"/>
      <c r="C673" s="7873"/>
      <c r="D673" s="7560"/>
      <c r="E673" s="7684"/>
      <c r="F673" s="7560"/>
      <c r="G673" s="7232">
        <v>4294000</v>
      </c>
      <c r="H673" s="7236" t="s">
        <v>5200</v>
      </c>
      <c r="I673" s="7236" t="s">
        <v>630</v>
      </c>
      <c r="J673" s="7232">
        <f>G673</f>
        <v>4294000</v>
      </c>
      <c r="K673" s="7236"/>
      <c r="L673" s="7288"/>
    </row>
    <row r="674" spans="1:13" ht="30" customHeight="1" x14ac:dyDescent="0.2">
      <c r="A674" s="7879"/>
      <c r="B674" s="7717"/>
      <c r="C674" s="7873"/>
      <c r="D674" s="6664">
        <v>12000000</v>
      </c>
      <c r="E674" s="6669">
        <v>7.0000000000000007E-2</v>
      </c>
      <c r="F674" s="6664">
        <f>D674*E674</f>
        <v>840000.00000000012</v>
      </c>
      <c r="G674" s="7470" t="s">
        <v>7769</v>
      </c>
      <c r="H674" s="7493"/>
      <c r="I674" s="7493"/>
      <c r="J674" s="7510"/>
      <c r="K674" s="6641"/>
      <c r="L674" s="6808" t="s">
        <v>8392</v>
      </c>
    </row>
    <row r="675" spans="1:13" ht="30" customHeight="1" x14ac:dyDescent="0.2">
      <c r="A675" s="7879"/>
      <c r="B675" s="7717"/>
      <c r="C675" s="7873"/>
      <c r="D675" s="6679">
        <v>16000000</v>
      </c>
      <c r="E675" s="6677">
        <v>7.0000000000000007E-2</v>
      </c>
      <c r="F675" s="6679">
        <f>D675*E675</f>
        <v>1120000</v>
      </c>
      <c r="G675" s="6635"/>
      <c r="H675" s="6641"/>
      <c r="I675" s="7236"/>
      <c r="J675" s="6635"/>
      <c r="K675" s="6641"/>
      <c r="L675" s="6808" t="s">
        <v>8389</v>
      </c>
    </row>
    <row r="676" spans="1:13" ht="30" customHeight="1" x14ac:dyDescent="0.2">
      <c r="A676" s="7879"/>
      <c r="B676" s="7717"/>
      <c r="C676" s="7873"/>
      <c r="D676" s="7296">
        <v>12000000</v>
      </c>
      <c r="E676" s="7303"/>
      <c r="F676" s="7296"/>
      <c r="G676" s="7732" t="s">
        <v>8390</v>
      </c>
      <c r="H676" s="7733"/>
      <c r="I676" s="7733"/>
      <c r="J676" s="7734"/>
      <c r="K676" s="7295"/>
      <c r="L676" s="6809" t="s">
        <v>8391</v>
      </c>
    </row>
    <row r="677" spans="1:13" ht="30" customHeight="1" x14ac:dyDescent="0.2">
      <c r="A677" s="7879"/>
      <c r="B677" s="7717"/>
      <c r="C677" s="7873"/>
      <c r="D677" s="7313">
        <v>28000000</v>
      </c>
      <c r="E677" s="7312"/>
      <c r="F677" s="7313"/>
      <c r="G677" s="7292"/>
      <c r="H677" s="7295"/>
      <c r="I677" s="7295"/>
      <c r="J677" s="7292"/>
      <c r="K677" s="7295"/>
      <c r="L677" s="6808"/>
    </row>
    <row r="678" spans="1:13" ht="30" customHeight="1" x14ac:dyDescent="0.2">
      <c r="A678" s="7305"/>
      <c r="B678" s="7299" t="s">
        <v>4246</v>
      </c>
      <c r="C678" s="7319" t="s">
        <v>889</v>
      </c>
      <c r="D678" s="6643">
        <v>67000000</v>
      </c>
      <c r="E678" s="6649">
        <v>0.05</v>
      </c>
      <c r="F678" s="6643">
        <f>D678*E678</f>
        <v>3350000</v>
      </c>
      <c r="G678" s="6635">
        <v>3350000</v>
      </c>
      <c r="H678" s="6635" t="s">
        <v>4919</v>
      </c>
      <c r="I678" s="6635" t="s">
        <v>4865</v>
      </c>
      <c r="J678" s="6635">
        <f t="shared" si="56"/>
        <v>3350000</v>
      </c>
      <c r="K678" s="6641">
        <f t="shared" si="57"/>
        <v>0</v>
      </c>
      <c r="L678" s="6780"/>
    </row>
    <row r="679" spans="1:13" ht="30" customHeight="1" x14ac:dyDescent="0.2">
      <c r="A679" s="7654"/>
      <c r="B679" s="7652" t="s">
        <v>1158</v>
      </c>
      <c r="C679" s="8341" t="s">
        <v>371</v>
      </c>
      <c r="D679" s="1455">
        <v>195000000</v>
      </c>
      <c r="E679" s="1929">
        <v>0.05</v>
      </c>
      <c r="F679" s="1455">
        <f>D679*E679</f>
        <v>9750000</v>
      </c>
      <c r="G679" s="7056"/>
      <c r="H679" s="7056"/>
      <c r="I679" s="7056" t="s">
        <v>2219</v>
      </c>
      <c r="J679" s="7056">
        <f>G679+G680</f>
        <v>0</v>
      </c>
      <c r="K679" s="7056">
        <f>F679-J679</f>
        <v>9750000</v>
      </c>
      <c r="L679" s="1388" t="s">
        <v>6942</v>
      </c>
      <c r="M679" t="s">
        <v>5056</v>
      </c>
    </row>
    <row r="680" spans="1:13" ht="30" customHeight="1" x14ac:dyDescent="0.2">
      <c r="A680" s="7655"/>
      <c r="B680" s="7653"/>
      <c r="C680" s="8343"/>
      <c r="D680" s="1455">
        <v>200000000</v>
      </c>
      <c r="E680" s="1929">
        <v>7.0000000000000007E-2</v>
      </c>
      <c r="F680" s="1455">
        <f>D680*E680</f>
        <v>14000000.000000002</v>
      </c>
      <c r="G680" s="7056"/>
      <c r="H680" s="7056"/>
      <c r="I680" s="7056" t="s">
        <v>2219</v>
      </c>
      <c r="J680" s="7056"/>
      <c r="K680" s="7056"/>
      <c r="L680" s="7110" t="s">
        <v>8235</v>
      </c>
    </row>
    <row r="681" spans="1:13" ht="30" customHeight="1" x14ac:dyDescent="0.2">
      <c r="A681" s="6653">
        <v>286</v>
      </c>
      <c r="B681" s="6711" t="s">
        <v>1622</v>
      </c>
      <c r="C681" s="6710"/>
      <c r="D681" s="6635">
        <v>35000000</v>
      </c>
      <c r="E681" s="1027">
        <v>0.05</v>
      </c>
      <c r="F681" s="6635">
        <v>1700000</v>
      </c>
      <c r="G681" s="6635">
        <v>1700000</v>
      </c>
      <c r="H681" s="6635" t="s">
        <v>8215</v>
      </c>
      <c r="I681" s="18" t="s">
        <v>307</v>
      </c>
      <c r="J681" s="6635">
        <f>G681</f>
        <v>1700000</v>
      </c>
      <c r="K681" s="6635">
        <f>F681-J681</f>
        <v>0</v>
      </c>
      <c r="L681" s="6698"/>
    </row>
    <row r="682" spans="1:13" ht="30" customHeight="1" x14ac:dyDescent="0.2">
      <c r="A682" s="7654">
        <v>287</v>
      </c>
      <c r="B682" s="7652" t="s">
        <v>137</v>
      </c>
      <c r="C682" s="7723" t="s">
        <v>1294</v>
      </c>
      <c r="D682" s="6643">
        <v>15000000</v>
      </c>
      <c r="E682" s="6649">
        <v>0.05</v>
      </c>
      <c r="F682" s="6643">
        <f t="shared" si="55"/>
        <v>750000</v>
      </c>
      <c r="G682" s="7563">
        <v>3000000</v>
      </c>
      <c r="H682" s="7563" t="s">
        <v>8398</v>
      </c>
      <c r="I682" s="7561" t="s">
        <v>8416</v>
      </c>
      <c r="J682" s="7563">
        <f>G682</f>
        <v>3000000</v>
      </c>
      <c r="K682" s="7563">
        <f>(F682+F683)-J682</f>
        <v>0</v>
      </c>
      <c r="L682" s="7332" t="s">
        <v>8419</v>
      </c>
    </row>
    <row r="683" spans="1:13" ht="30" customHeight="1" x14ac:dyDescent="0.2">
      <c r="A683" s="7655"/>
      <c r="B683" s="7653"/>
      <c r="C683" s="7724"/>
      <c r="D683" s="6643">
        <v>45000000</v>
      </c>
      <c r="E683" s="6649">
        <v>0.05</v>
      </c>
      <c r="F683" s="6643">
        <f t="shared" si="55"/>
        <v>2250000</v>
      </c>
      <c r="G683" s="7564"/>
      <c r="H683" s="7564"/>
      <c r="I683" s="7562"/>
      <c r="J683" s="7564"/>
      <c r="K683" s="7564"/>
      <c r="L683" s="7333" t="s">
        <v>8420</v>
      </c>
    </row>
    <row r="684" spans="1:13" ht="30" customHeight="1" x14ac:dyDescent="0.2">
      <c r="A684" s="6708">
        <v>289</v>
      </c>
      <c r="B684" s="6665" t="s">
        <v>637</v>
      </c>
      <c r="C684" s="6684" t="s">
        <v>1299</v>
      </c>
      <c r="D684" s="6643">
        <v>25000000</v>
      </c>
      <c r="E684" s="6705">
        <v>0.06</v>
      </c>
      <c r="F684" s="6643">
        <f t="shared" si="55"/>
        <v>1500000</v>
      </c>
      <c r="G684" s="7114">
        <v>1500000</v>
      </c>
      <c r="H684" s="7114" t="s">
        <v>8267</v>
      </c>
      <c r="I684" s="18" t="s">
        <v>4554</v>
      </c>
      <c r="J684" s="7114">
        <f t="shared" ref="J684" si="58">G684</f>
        <v>1500000</v>
      </c>
      <c r="K684" s="6643">
        <f t="shared" ref="K684:K690" si="59">F684-J684</f>
        <v>0</v>
      </c>
      <c r="L684" s="6665"/>
    </row>
    <row r="685" spans="1:13" ht="30" customHeight="1" x14ac:dyDescent="0.2">
      <c r="A685" s="6660">
        <v>290</v>
      </c>
      <c r="B685" s="6711" t="s">
        <v>3848</v>
      </c>
      <c r="C685" s="6684" t="s">
        <v>1288</v>
      </c>
      <c r="D685" s="6643">
        <v>1150000000</v>
      </c>
      <c r="E685" s="6705">
        <v>7.0000000000000007E-2</v>
      </c>
      <c r="F685" s="6643">
        <f>D685*E685</f>
        <v>80500000.000000015</v>
      </c>
      <c r="G685" s="6635"/>
      <c r="H685" s="6635"/>
      <c r="I685" s="6635" t="s">
        <v>4095</v>
      </c>
      <c r="J685" s="6635">
        <f>G685</f>
        <v>0</v>
      </c>
      <c r="K685" s="6643">
        <f t="shared" si="59"/>
        <v>80500000.000000015</v>
      </c>
      <c r="L685" s="6716" t="s">
        <v>3859</v>
      </c>
    </row>
    <row r="686" spans="1:13" ht="30" customHeight="1" x14ac:dyDescent="0.2">
      <c r="A686" s="7654">
        <v>292</v>
      </c>
      <c r="B686" s="7652" t="s">
        <v>140</v>
      </c>
      <c r="C686" s="6683" t="s">
        <v>371</v>
      </c>
      <c r="D686" s="6643">
        <v>400000000</v>
      </c>
      <c r="E686" s="6705">
        <v>7.0000000000000007E-2</v>
      </c>
      <c r="F686" s="6643">
        <f t="shared" si="55"/>
        <v>28000000.000000004</v>
      </c>
      <c r="G686" s="6641"/>
      <c r="H686" s="6641"/>
      <c r="I686" s="6688" t="s">
        <v>4552</v>
      </c>
      <c r="J686" s="6641">
        <f>G686</f>
        <v>0</v>
      </c>
      <c r="K686" s="6641">
        <f>F686-J686</f>
        <v>28000000.000000004</v>
      </c>
      <c r="L686" s="6665"/>
    </row>
    <row r="687" spans="1:13" ht="30" customHeight="1" x14ac:dyDescent="0.2">
      <c r="A687" s="7655"/>
      <c r="B687" s="7653"/>
      <c r="C687" s="6907"/>
      <c r="D687" s="6899">
        <v>1000000000</v>
      </c>
      <c r="E687" s="6910"/>
      <c r="F687" s="6899"/>
      <c r="G687" s="6898"/>
      <c r="H687" s="6898"/>
      <c r="I687" s="6908"/>
      <c r="J687" s="6898"/>
      <c r="K687" s="6898"/>
      <c r="L687" s="6909" t="s">
        <v>8027</v>
      </c>
    </row>
    <row r="688" spans="1:13" ht="30" customHeight="1" x14ac:dyDescent="0.2">
      <c r="A688" s="7654">
        <v>293</v>
      </c>
      <c r="B688" s="7652" t="s">
        <v>141</v>
      </c>
      <c r="C688" s="7723" t="s">
        <v>1299</v>
      </c>
      <c r="D688" s="7563">
        <v>100000000</v>
      </c>
      <c r="E688" s="7659">
        <v>0.05</v>
      </c>
      <c r="F688" s="7563">
        <f>D688*E688</f>
        <v>5000000</v>
      </c>
      <c r="G688" s="6641">
        <v>5000000</v>
      </c>
      <c r="H688" s="6641" t="s">
        <v>8267</v>
      </c>
      <c r="I688" s="6688" t="s">
        <v>2181</v>
      </c>
      <c r="J688" s="6641">
        <f t="shared" ref="J688:J700" si="60">G688</f>
        <v>5000000</v>
      </c>
      <c r="K688" s="6641">
        <f>F688-J688</f>
        <v>0</v>
      </c>
      <c r="L688" s="6716"/>
    </row>
    <row r="689" spans="1:12" ht="30" customHeight="1" x14ac:dyDescent="0.2">
      <c r="A689" s="7655"/>
      <c r="B689" s="7653"/>
      <c r="C689" s="7724"/>
      <c r="D689" s="7564"/>
      <c r="E689" s="7660"/>
      <c r="F689" s="7564"/>
      <c r="G689" s="7159">
        <v>9800000</v>
      </c>
      <c r="H689" s="7159" t="s">
        <v>3880</v>
      </c>
      <c r="I689" s="7178" t="s">
        <v>2540</v>
      </c>
      <c r="J689" s="7159">
        <f>G689</f>
        <v>9800000</v>
      </c>
      <c r="K689" s="7159"/>
      <c r="L689" s="7188"/>
    </row>
    <row r="690" spans="1:12" ht="30" customHeight="1" x14ac:dyDescent="0.2">
      <c r="A690" s="7654">
        <v>295</v>
      </c>
      <c r="B690" s="7652" t="s">
        <v>142</v>
      </c>
      <c r="C690" s="7723" t="s">
        <v>1299</v>
      </c>
      <c r="D690" s="7563">
        <v>100000000</v>
      </c>
      <c r="E690" s="7659">
        <v>0.05</v>
      </c>
      <c r="F690" s="7563">
        <f t="shared" si="55"/>
        <v>5000000</v>
      </c>
      <c r="G690" s="6635"/>
      <c r="H690" s="6635"/>
      <c r="I690" s="6635" t="s">
        <v>5203</v>
      </c>
      <c r="J690" s="6635">
        <f t="shared" si="60"/>
        <v>0</v>
      </c>
      <c r="K690" s="6635">
        <f t="shared" si="59"/>
        <v>5000000</v>
      </c>
      <c r="L690" s="6716"/>
    </row>
    <row r="691" spans="1:12" ht="30" customHeight="1" x14ac:dyDescent="0.2">
      <c r="A691" s="7655"/>
      <c r="B691" s="7653"/>
      <c r="C691" s="7724"/>
      <c r="D691" s="7564"/>
      <c r="E691" s="7660"/>
      <c r="F691" s="7564"/>
      <c r="G691" s="6641"/>
      <c r="H691" s="6641"/>
      <c r="I691" s="6641" t="s">
        <v>5203</v>
      </c>
      <c r="J691" s="6641">
        <f t="shared" si="60"/>
        <v>0</v>
      </c>
      <c r="K691" s="6641">
        <f>F690-J691</f>
        <v>5000000</v>
      </c>
      <c r="L691" s="6716"/>
    </row>
    <row r="692" spans="1:12" ht="30" customHeight="1" x14ac:dyDescent="0.2">
      <c r="A692" s="6659"/>
      <c r="B692" s="6711" t="s">
        <v>4556</v>
      </c>
      <c r="C692" s="6683" t="s">
        <v>1299</v>
      </c>
      <c r="D692" s="6643">
        <v>45000000</v>
      </c>
      <c r="E692" s="6705">
        <v>0.06</v>
      </c>
      <c r="F692" s="6643">
        <f t="shared" si="55"/>
        <v>2700000</v>
      </c>
      <c r="G692" s="6641">
        <v>2700000</v>
      </c>
      <c r="H692" s="6641" t="s">
        <v>7945</v>
      </c>
      <c r="I692" s="6641" t="s">
        <v>7957</v>
      </c>
      <c r="J692" s="6641">
        <f t="shared" si="60"/>
        <v>2700000</v>
      </c>
      <c r="K692" s="6641">
        <f t="shared" ref="K692:K699" si="61">F692-J692</f>
        <v>0</v>
      </c>
      <c r="L692" s="6716"/>
    </row>
    <row r="693" spans="1:12" ht="30" customHeight="1" x14ac:dyDescent="0.2">
      <c r="A693" s="6708">
        <v>296</v>
      </c>
      <c r="B693" s="6665" t="s">
        <v>143</v>
      </c>
      <c r="C693" s="6710" t="s">
        <v>1306</v>
      </c>
      <c r="D693" s="6643">
        <v>60000000</v>
      </c>
      <c r="E693" s="6705">
        <v>0.05</v>
      </c>
      <c r="F693" s="6643">
        <f t="shared" si="55"/>
        <v>3000000</v>
      </c>
      <c r="G693" s="6641">
        <v>3000000</v>
      </c>
      <c r="H693" s="6641" t="s">
        <v>8424</v>
      </c>
      <c r="I693" s="6645" t="s">
        <v>8431</v>
      </c>
      <c r="J693" s="6641">
        <f t="shared" si="60"/>
        <v>3000000</v>
      </c>
      <c r="K693" s="6641">
        <f t="shared" si="61"/>
        <v>0</v>
      </c>
      <c r="L693" s="6665"/>
    </row>
    <row r="694" spans="1:12" ht="30" customHeight="1" x14ac:dyDescent="0.2">
      <c r="A694" s="7300">
        <v>298</v>
      </c>
      <c r="B694" s="7298" t="s">
        <v>145</v>
      </c>
      <c r="C694" s="7316" t="s">
        <v>1134</v>
      </c>
      <c r="D694" s="7295">
        <v>40000000</v>
      </c>
      <c r="E694" s="7302">
        <v>0.05</v>
      </c>
      <c r="F694" s="7295">
        <f t="shared" si="55"/>
        <v>2000000</v>
      </c>
      <c r="G694" s="6635">
        <v>2000000</v>
      </c>
      <c r="H694" s="6635" t="s">
        <v>8398</v>
      </c>
      <c r="I694" s="6715" t="s">
        <v>4150</v>
      </c>
      <c r="J694" s="6635">
        <f t="shared" si="60"/>
        <v>2000000</v>
      </c>
      <c r="K694" s="6635">
        <f t="shared" si="61"/>
        <v>0</v>
      </c>
      <c r="L694" s="6724"/>
    </row>
    <row r="695" spans="1:12" ht="30" customHeight="1" x14ac:dyDescent="0.2">
      <c r="A695" s="7654">
        <v>300</v>
      </c>
      <c r="B695" s="7652" t="s">
        <v>147</v>
      </c>
      <c r="C695" s="7723" t="s">
        <v>890</v>
      </c>
      <c r="D695" s="7563">
        <v>178000000</v>
      </c>
      <c r="E695" s="7659">
        <v>5.8999999999999997E-2</v>
      </c>
      <c r="F695" s="7563">
        <v>10500000</v>
      </c>
      <c r="G695" s="7563">
        <v>12250000</v>
      </c>
      <c r="H695" s="7563" t="s">
        <v>8366</v>
      </c>
      <c r="I695" s="7561" t="s">
        <v>3469</v>
      </c>
      <c r="J695" s="7563">
        <f t="shared" si="60"/>
        <v>12250000</v>
      </c>
      <c r="K695" s="7563">
        <f t="shared" si="61"/>
        <v>-1750000</v>
      </c>
      <c r="L695" s="6724"/>
    </row>
    <row r="696" spans="1:12" ht="30" customHeight="1" x14ac:dyDescent="0.2">
      <c r="A696" s="7656"/>
      <c r="B696" s="7665"/>
      <c r="C696" s="7747"/>
      <c r="D696" s="7586"/>
      <c r="E696" s="7676"/>
      <c r="F696" s="7586"/>
      <c r="G696" s="7586"/>
      <c r="H696" s="7586"/>
      <c r="I696" s="7672"/>
      <c r="J696" s="7586"/>
      <c r="K696" s="7586"/>
      <c r="L696" s="7811"/>
    </row>
    <row r="697" spans="1:12" ht="30" customHeight="1" x14ac:dyDescent="0.2">
      <c r="A697" s="7655"/>
      <c r="B697" s="7653"/>
      <c r="C697" s="7724"/>
      <c r="D697" s="7564"/>
      <c r="E697" s="7660"/>
      <c r="F697" s="7564"/>
      <c r="G697" s="7564"/>
      <c r="H697" s="7564"/>
      <c r="I697" s="7562"/>
      <c r="J697" s="7564"/>
      <c r="K697" s="7564"/>
      <c r="L697" s="7812"/>
    </row>
    <row r="698" spans="1:12" ht="30" customHeight="1" x14ac:dyDescent="0.2">
      <c r="A698" s="1028">
        <v>301</v>
      </c>
      <c r="B698" s="19" t="s">
        <v>2347</v>
      </c>
      <c r="C698" s="7147"/>
      <c r="D698" s="7111">
        <v>10000000</v>
      </c>
      <c r="E698" s="7146">
        <v>0.04</v>
      </c>
      <c r="F698" s="7111">
        <f>D698*E698</f>
        <v>400000</v>
      </c>
      <c r="G698" s="6643">
        <v>400000</v>
      </c>
      <c r="H698" s="6643" t="s">
        <v>8267</v>
      </c>
      <c r="I698" s="6690" t="s">
        <v>723</v>
      </c>
      <c r="J698" s="6643">
        <f t="shared" si="60"/>
        <v>400000</v>
      </c>
      <c r="K698" s="6643">
        <f t="shared" si="61"/>
        <v>0</v>
      </c>
      <c r="L698" s="6724"/>
    </row>
    <row r="699" spans="1:12" ht="30" customHeight="1" x14ac:dyDescent="0.2">
      <c r="A699" s="7654">
        <v>302</v>
      </c>
      <c r="B699" s="7652" t="s">
        <v>149</v>
      </c>
      <c r="C699" s="7723" t="s">
        <v>1296</v>
      </c>
      <c r="D699" s="7563">
        <v>100000000</v>
      </c>
      <c r="E699" s="7659">
        <v>0.05</v>
      </c>
      <c r="F699" s="7563">
        <f>D699*E699</f>
        <v>5000000</v>
      </c>
      <c r="G699" s="6643"/>
      <c r="H699" s="6643"/>
      <c r="I699" s="6690" t="s">
        <v>3179</v>
      </c>
      <c r="J699" s="6643">
        <f t="shared" si="60"/>
        <v>0</v>
      </c>
      <c r="K699" s="6635">
        <f t="shared" si="61"/>
        <v>5000000</v>
      </c>
      <c r="L699" s="6724"/>
    </row>
    <row r="700" spans="1:12" ht="30" customHeight="1" x14ac:dyDescent="0.2">
      <c r="A700" s="7655"/>
      <c r="B700" s="7653"/>
      <c r="C700" s="7724"/>
      <c r="D700" s="7564"/>
      <c r="E700" s="7660"/>
      <c r="F700" s="7564"/>
      <c r="G700" s="6643"/>
      <c r="H700" s="6643"/>
      <c r="I700" s="6690" t="s">
        <v>3179</v>
      </c>
      <c r="J700" s="6643">
        <f t="shared" si="60"/>
        <v>0</v>
      </c>
      <c r="K700" s="6635">
        <f>F699-J700</f>
        <v>5000000</v>
      </c>
      <c r="L700" s="6724"/>
    </row>
    <row r="701" spans="1:12" ht="30" customHeight="1" x14ac:dyDescent="0.2">
      <c r="A701" s="7654"/>
      <c r="B701" s="7652" t="s">
        <v>6119</v>
      </c>
      <c r="C701" s="7723" t="s">
        <v>1796</v>
      </c>
      <c r="D701" s="6635">
        <v>2162000000</v>
      </c>
      <c r="E701" s="6705">
        <v>8.4000000000000005E-2</v>
      </c>
      <c r="F701" s="6635">
        <v>181608000</v>
      </c>
      <c r="G701" s="6637"/>
      <c r="H701" s="6638"/>
      <c r="I701" s="6638"/>
      <c r="J701" s="6692"/>
      <c r="K701" s="178"/>
      <c r="L701" s="6718"/>
    </row>
    <row r="702" spans="1:12" ht="30" customHeight="1" x14ac:dyDescent="0.2">
      <c r="A702" s="7656"/>
      <c r="B702" s="7665"/>
      <c r="C702" s="7747"/>
      <c r="D702" s="6642">
        <v>10000000</v>
      </c>
      <c r="E702" s="6648"/>
      <c r="F702" s="6642"/>
      <c r="G702" s="7991" t="s">
        <v>6120</v>
      </c>
      <c r="H702" s="7992"/>
      <c r="I702" s="7992"/>
      <c r="J702" s="7993"/>
      <c r="K702" s="178"/>
      <c r="L702" s="6724" t="s">
        <v>6047</v>
      </c>
    </row>
    <row r="703" spans="1:12" ht="30" customHeight="1" x14ac:dyDescent="0.2">
      <c r="A703" s="7656"/>
      <c r="B703" s="7665"/>
      <c r="C703" s="7747"/>
      <c r="D703" s="7563">
        <v>40000000</v>
      </c>
      <c r="E703" s="7659"/>
      <c r="F703" s="7563"/>
      <c r="G703" s="7732" t="s">
        <v>6286</v>
      </c>
      <c r="H703" s="7733"/>
      <c r="I703" s="7733"/>
      <c r="J703" s="7734"/>
      <c r="K703" s="233"/>
      <c r="L703" s="6724" t="s">
        <v>6285</v>
      </c>
    </row>
    <row r="704" spans="1:12" ht="30" customHeight="1" x14ac:dyDescent="0.2">
      <c r="A704" s="7656"/>
      <c r="B704" s="7665"/>
      <c r="C704" s="7747"/>
      <c r="D704" s="7586"/>
      <c r="E704" s="7676"/>
      <c r="F704" s="7586"/>
      <c r="G704" s="7732" t="s">
        <v>6287</v>
      </c>
      <c r="H704" s="7733"/>
      <c r="I704" s="7733"/>
      <c r="J704" s="7734"/>
      <c r="K704" s="233"/>
      <c r="L704" s="6732"/>
    </row>
    <row r="705" spans="1:12" ht="30" customHeight="1" x14ac:dyDescent="0.2">
      <c r="A705" s="7656"/>
      <c r="B705" s="7665"/>
      <c r="C705" s="7747"/>
      <c r="D705" s="7586"/>
      <c r="E705" s="7676"/>
      <c r="F705" s="7586"/>
      <c r="G705" s="7732" t="s">
        <v>6288</v>
      </c>
      <c r="H705" s="7733"/>
      <c r="I705" s="7733"/>
      <c r="J705" s="7734"/>
      <c r="K705" s="233"/>
      <c r="L705" s="6732"/>
    </row>
    <row r="706" spans="1:12" ht="30" customHeight="1" x14ac:dyDescent="0.2">
      <c r="A706" s="7656"/>
      <c r="B706" s="7665"/>
      <c r="C706" s="7747"/>
      <c r="D706" s="7586"/>
      <c r="E706" s="7676"/>
      <c r="F706" s="7586"/>
      <c r="G706" s="7732" t="s">
        <v>6289</v>
      </c>
      <c r="H706" s="7733"/>
      <c r="I706" s="7733"/>
      <c r="J706" s="7734"/>
      <c r="K706" s="233"/>
      <c r="L706" s="6732"/>
    </row>
    <row r="707" spans="1:12" ht="30" customHeight="1" x14ac:dyDescent="0.2">
      <c r="A707" s="7656"/>
      <c r="B707" s="7665"/>
      <c r="C707" s="7747"/>
      <c r="D707" s="7564"/>
      <c r="E707" s="7660"/>
      <c r="F707" s="7564"/>
      <c r="G707" s="7732" t="s">
        <v>6290</v>
      </c>
      <c r="H707" s="7733"/>
      <c r="I707" s="7733"/>
      <c r="J707" s="7734"/>
      <c r="K707" s="233"/>
      <c r="L707" s="6732"/>
    </row>
    <row r="708" spans="1:12" ht="30" customHeight="1" x14ac:dyDescent="0.2">
      <c r="A708" s="7656"/>
      <c r="B708" s="7665"/>
      <c r="C708" s="7747"/>
      <c r="D708" s="6678">
        <f>SUM(D701:D707)</f>
        <v>2212000000</v>
      </c>
      <c r="E708" s="6647"/>
      <c r="F708" s="6678">
        <v>186290000</v>
      </c>
      <c r="G708" s="7732" t="s">
        <v>6051</v>
      </c>
      <c r="H708" s="7733"/>
      <c r="I708" s="7733"/>
      <c r="J708" s="7734"/>
      <c r="K708" s="233"/>
      <c r="L708" s="6732"/>
    </row>
    <row r="709" spans="1:12" ht="30" customHeight="1" x14ac:dyDescent="0.2">
      <c r="A709" s="7656"/>
      <c r="B709" s="7665"/>
      <c r="C709" s="7747"/>
      <c r="D709" s="6635">
        <v>100000000</v>
      </c>
      <c r="E709" s="6705"/>
      <c r="F709" s="6635"/>
      <c r="G709" s="7732" t="s">
        <v>6291</v>
      </c>
      <c r="H709" s="7733"/>
      <c r="I709" s="7733"/>
      <c r="J709" s="7734"/>
      <c r="K709" s="233"/>
      <c r="L709" s="6732" t="s">
        <v>6338</v>
      </c>
    </row>
    <row r="710" spans="1:12" ht="30" customHeight="1" x14ac:dyDescent="0.2">
      <c r="A710" s="7656"/>
      <c r="B710" s="7665"/>
      <c r="C710" s="7747"/>
      <c r="D710" s="6635">
        <v>80000000</v>
      </c>
      <c r="E710" s="6705"/>
      <c r="F710" s="6635"/>
      <c r="G710" s="7732" t="s">
        <v>6292</v>
      </c>
      <c r="H710" s="7733"/>
      <c r="I710" s="7733"/>
      <c r="J710" s="7734"/>
      <c r="K710" s="233"/>
      <c r="L710" s="6732" t="s">
        <v>6337</v>
      </c>
    </row>
    <row r="711" spans="1:12" ht="30" customHeight="1" x14ac:dyDescent="0.2">
      <c r="A711" s="7656"/>
      <c r="B711" s="7665"/>
      <c r="C711" s="7747"/>
      <c r="D711" s="6641">
        <v>40000000</v>
      </c>
      <c r="E711" s="6647"/>
      <c r="F711" s="6641"/>
      <c r="G711" s="7732" t="s">
        <v>6382</v>
      </c>
      <c r="H711" s="7733"/>
      <c r="I711" s="7733"/>
      <c r="J711" s="7734"/>
      <c r="K711" s="233"/>
      <c r="L711" s="6732" t="s">
        <v>6339</v>
      </c>
    </row>
    <row r="712" spans="1:12" ht="30" customHeight="1" x14ac:dyDescent="0.2">
      <c r="A712" s="7656"/>
      <c r="B712" s="7665"/>
      <c r="C712" s="7747"/>
      <c r="D712" s="6678">
        <f>SUM(D708:D711)</f>
        <v>2432000000</v>
      </c>
      <c r="E712" s="6647"/>
      <c r="F712" s="6678">
        <v>198830000</v>
      </c>
      <c r="G712" s="7732" t="s">
        <v>6051</v>
      </c>
      <c r="H712" s="7733"/>
      <c r="I712" s="7733"/>
      <c r="J712" s="7734"/>
      <c r="K712" s="233"/>
      <c r="L712" s="6732" t="s">
        <v>6293</v>
      </c>
    </row>
    <row r="713" spans="1:12" ht="30" customHeight="1" x14ac:dyDescent="0.2">
      <c r="A713" s="7656"/>
      <c r="B713" s="7665"/>
      <c r="C713" s="7747"/>
      <c r="D713" s="6678">
        <f>2432000000-245000000</f>
        <v>2187000000</v>
      </c>
      <c r="E713" s="6647"/>
      <c r="F713" s="6678">
        <v>188940000</v>
      </c>
      <c r="G713" s="7732" t="s">
        <v>6294</v>
      </c>
      <c r="H713" s="7733"/>
      <c r="I713" s="7733"/>
      <c r="J713" s="7734"/>
      <c r="K713" s="233"/>
      <c r="L713" s="6732"/>
    </row>
    <row r="714" spans="1:12" ht="30" customHeight="1" x14ac:dyDescent="0.2">
      <c r="A714" s="7656"/>
      <c r="B714" s="7665"/>
      <c r="C714" s="7747"/>
      <c r="D714" s="7470" t="s">
        <v>6459</v>
      </c>
      <c r="E714" s="7493"/>
      <c r="F714" s="7510"/>
      <c r="G714" s="7732" t="s">
        <v>6755</v>
      </c>
      <c r="H714" s="7733"/>
      <c r="I714" s="7733"/>
      <c r="J714" s="7734"/>
      <c r="K714" s="233"/>
      <c r="L714" s="6732"/>
    </row>
    <row r="715" spans="1:12" ht="30" customHeight="1" x14ac:dyDescent="0.2">
      <c r="A715" s="7656"/>
      <c r="B715" s="7665"/>
      <c r="C715" s="7747"/>
      <c r="D715" s="6640">
        <v>2432000000</v>
      </c>
      <c r="E715" s="6640"/>
      <c r="F715" s="6640">
        <v>198830000</v>
      </c>
      <c r="G715" s="7732" t="s">
        <v>6740</v>
      </c>
      <c r="H715" s="7733"/>
      <c r="I715" s="7733"/>
      <c r="J715" s="7734"/>
      <c r="K715" s="233"/>
      <c r="L715" s="6732"/>
    </row>
    <row r="716" spans="1:12" ht="30" customHeight="1" x14ac:dyDescent="0.2">
      <c r="A716" s="7656"/>
      <c r="B716" s="7665"/>
      <c r="C716" s="7747"/>
      <c r="D716" s="6640">
        <f>2432000000-245000000</f>
        <v>2187000000</v>
      </c>
      <c r="E716" s="6640"/>
      <c r="F716" s="6640">
        <v>188940000</v>
      </c>
      <c r="G716" s="8520" t="s">
        <v>6294</v>
      </c>
      <c r="H716" s="8521"/>
      <c r="I716" s="8521"/>
      <c r="J716" s="8522"/>
      <c r="K716" s="233"/>
      <c r="L716" s="6732"/>
    </row>
    <row r="717" spans="1:12" ht="30" customHeight="1" x14ac:dyDescent="0.2">
      <c r="A717" s="7656"/>
      <c r="B717" s="7665"/>
      <c r="C717" s="7747"/>
      <c r="D717" s="6635">
        <v>120000000</v>
      </c>
      <c r="E717" s="6635"/>
      <c r="F717" s="6635"/>
      <c r="G717" s="7732" t="s">
        <v>7133</v>
      </c>
      <c r="H717" s="7733"/>
      <c r="I717" s="7733"/>
      <c r="J717" s="7734"/>
      <c r="K717" s="233"/>
      <c r="L717" s="6732" t="s">
        <v>6925</v>
      </c>
    </row>
    <row r="718" spans="1:12" ht="30" customHeight="1" x14ac:dyDescent="0.2">
      <c r="A718" s="7656"/>
      <c r="B718" s="7665"/>
      <c r="C718" s="7747"/>
      <c r="D718" s="6635">
        <v>50000000</v>
      </c>
      <c r="E718" s="6635"/>
      <c r="F718" s="6635"/>
      <c r="G718" s="7732" t="s">
        <v>7132</v>
      </c>
      <c r="H718" s="7733"/>
      <c r="I718" s="7733"/>
      <c r="J718" s="7734"/>
      <c r="K718" s="233"/>
      <c r="L718" s="6732" t="s">
        <v>6926</v>
      </c>
    </row>
    <row r="719" spans="1:12" ht="30" customHeight="1" x14ac:dyDescent="0.2">
      <c r="A719" s="7656"/>
      <c r="B719" s="7665"/>
      <c r="C719" s="7747"/>
      <c r="D719" s="6640">
        <f>D716+D717+D718</f>
        <v>2357000000</v>
      </c>
      <c r="E719" s="6640"/>
      <c r="F719" s="6640">
        <v>202540000</v>
      </c>
      <c r="G719" s="7732" t="s">
        <v>6294</v>
      </c>
      <c r="H719" s="7733"/>
      <c r="I719" s="7733"/>
      <c r="J719" s="7734"/>
      <c r="K719" s="233"/>
      <c r="L719" s="6732"/>
    </row>
    <row r="720" spans="1:12" ht="30" customHeight="1" x14ac:dyDescent="0.2">
      <c r="A720" s="7656"/>
      <c r="B720" s="7665"/>
      <c r="C720" s="7747"/>
      <c r="D720" s="8063" t="s">
        <v>7469</v>
      </c>
      <c r="E720" s="8064"/>
      <c r="F720" s="8065"/>
      <c r="G720" s="7732" t="s">
        <v>7468</v>
      </c>
      <c r="H720" s="7733"/>
      <c r="I720" s="7733"/>
      <c r="J720" s="7734"/>
      <c r="K720" s="227"/>
      <c r="L720" s="6732"/>
    </row>
    <row r="721" spans="1:12" ht="30" customHeight="1" x14ac:dyDescent="0.2">
      <c r="A721" s="7656"/>
      <c r="B721" s="7665"/>
      <c r="C721" s="7747"/>
      <c r="D721" s="8572"/>
      <c r="E721" s="8573"/>
      <c r="F721" s="8574"/>
      <c r="G721" s="6635"/>
      <c r="H721" s="6635"/>
      <c r="I721" s="6635" t="s">
        <v>785</v>
      </c>
      <c r="J721" s="6635">
        <f>G721</f>
        <v>0</v>
      </c>
      <c r="K721" s="227"/>
      <c r="L721" s="6732" t="s">
        <v>7492</v>
      </c>
    </row>
    <row r="722" spans="1:12" ht="30" customHeight="1" x14ac:dyDescent="0.2">
      <c r="A722" s="7656"/>
      <c r="B722" s="7665"/>
      <c r="C722" s="7747"/>
      <c r="D722" s="8572"/>
      <c r="E722" s="8573"/>
      <c r="F722" s="8574"/>
      <c r="G722" s="6635"/>
      <c r="H722" s="6635"/>
      <c r="I722" s="6635" t="s">
        <v>7758</v>
      </c>
      <c r="J722" s="6635">
        <f>G722</f>
        <v>0</v>
      </c>
      <c r="K722" s="227"/>
      <c r="L722" s="7046" t="s">
        <v>8174</v>
      </c>
    </row>
    <row r="723" spans="1:12" ht="30" customHeight="1" x14ac:dyDescent="0.2">
      <c r="A723" s="7656"/>
      <c r="B723" s="7665"/>
      <c r="C723" s="7747"/>
      <c r="D723" s="8572"/>
      <c r="E723" s="8573"/>
      <c r="F723" s="8574"/>
      <c r="G723" s="6635"/>
      <c r="H723" s="6635"/>
      <c r="I723" s="6635" t="s">
        <v>7758</v>
      </c>
      <c r="J723" s="6635">
        <f>G723</f>
        <v>0</v>
      </c>
      <c r="K723" s="233"/>
      <c r="L723" s="7046" t="s">
        <v>8174</v>
      </c>
    </row>
    <row r="724" spans="1:12" ht="30" customHeight="1" x14ac:dyDescent="0.2">
      <c r="A724" s="7656"/>
      <c r="B724" s="7665"/>
      <c r="C724" s="7747"/>
      <c r="D724" s="8066"/>
      <c r="E724" s="8067"/>
      <c r="F724" s="8068"/>
      <c r="G724" s="6635"/>
      <c r="H724" s="6635"/>
      <c r="I724" s="6635" t="s">
        <v>7758</v>
      </c>
      <c r="J724" s="6635">
        <f>G724</f>
        <v>0</v>
      </c>
      <c r="K724" s="227"/>
      <c r="L724" s="7046" t="s">
        <v>8174</v>
      </c>
    </row>
    <row r="725" spans="1:12" ht="30" customHeight="1" x14ac:dyDescent="0.2">
      <c r="A725" s="7656"/>
      <c r="B725" s="7665"/>
      <c r="C725" s="7747"/>
      <c r="D725" s="6643">
        <v>500000000</v>
      </c>
      <c r="E725" s="6649"/>
      <c r="F725" s="6643"/>
      <c r="G725" s="7732" t="s">
        <v>7656</v>
      </c>
      <c r="H725" s="7733"/>
      <c r="I725" s="7733"/>
      <c r="J725" s="7734"/>
      <c r="K725" s="227"/>
      <c r="L725" s="6732" t="s">
        <v>7654</v>
      </c>
    </row>
    <row r="726" spans="1:12" ht="30" customHeight="1" x14ac:dyDescent="0.2">
      <c r="A726" s="7656"/>
      <c r="B726" s="7665"/>
      <c r="C726" s="7747"/>
      <c r="D726" s="6643">
        <v>60000000</v>
      </c>
      <c r="E726" s="6649"/>
      <c r="F726" s="6643"/>
      <c r="G726" s="6635"/>
      <c r="H726" s="6635"/>
      <c r="I726" s="6635"/>
      <c r="J726" s="6635"/>
      <c r="K726" s="227"/>
      <c r="L726" s="6732" t="s">
        <v>7655</v>
      </c>
    </row>
    <row r="727" spans="1:12" ht="30" customHeight="1" x14ac:dyDescent="0.2">
      <c r="A727" s="7656"/>
      <c r="B727" s="7665"/>
      <c r="C727" s="7747"/>
      <c r="D727" s="6679">
        <v>560000000</v>
      </c>
      <c r="E727" s="6677">
        <v>0.09</v>
      </c>
      <c r="F727" s="6679">
        <f>D727*E727</f>
        <v>50400000</v>
      </c>
      <c r="G727" s="7732" t="s">
        <v>7657</v>
      </c>
      <c r="H727" s="7733"/>
      <c r="I727" s="7733"/>
      <c r="J727" s="7734"/>
      <c r="K727" s="227"/>
      <c r="L727" s="6732"/>
    </row>
    <row r="728" spans="1:12" ht="30" customHeight="1" x14ac:dyDescent="0.2">
      <c r="A728" s="7656"/>
      <c r="B728" s="7665"/>
      <c r="C728" s="7747"/>
      <c r="D728" s="6752">
        <f>D719+D727</f>
        <v>2917000000</v>
      </c>
      <c r="E728" s="6754"/>
      <c r="F728" s="6752"/>
      <c r="G728" s="7732" t="s">
        <v>7658</v>
      </c>
      <c r="H728" s="7733"/>
      <c r="I728" s="7733"/>
      <c r="J728" s="7734"/>
      <c r="K728" s="227"/>
      <c r="L728" s="6732"/>
    </row>
    <row r="729" spans="1:12" ht="30" customHeight="1" x14ac:dyDescent="0.2">
      <c r="A729" s="7656"/>
      <c r="B729" s="7665"/>
      <c r="C729" s="7747"/>
      <c r="D729" s="7494" t="s">
        <v>7916</v>
      </c>
      <c r="E729" s="7495"/>
      <c r="F729" s="7768"/>
      <c r="G729" s="6635">
        <v>50000000</v>
      </c>
      <c r="H729" s="6635" t="s">
        <v>3808</v>
      </c>
      <c r="I729" s="6635" t="s">
        <v>7917</v>
      </c>
      <c r="J729" s="7563">
        <f>G729+G730+G731+G732+G733</f>
        <v>150000000</v>
      </c>
      <c r="K729" s="7563"/>
      <c r="L729" s="6732" t="s">
        <v>7918</v>
      </c>
    </row>
    <row r="730" spans="1:12" ht="30" customHeight="1" x14ac:dyDescent="0.2">
      <c r="A730" s="7656"/>
      <c r="B730" s="7665"/>
      <c r="C730" s="7747"/>
      <c r="D730" s="7877"/>
      <c r="E730" s="7524"/>
      <c r="F730" s="7878"/>
      <c r="G730" s="6635">
        <v>50000000</v>
      </c>
      <c r="H730" s="6635" t="s">
        <v>7968</v>
      </c>
      <c r="I730" s="6635" t="s">
        <v>7972</v>
      </c>
      <c r="J730" s="7586"/>
      <c r="K730" s="7586"/>
      <c r="L730" s="6732" t="s">
        <v>8149</v>
      </c>
    </row>
    <row r="731" spans="1:12" ht="30" customHeight="1" x14ac:dyDescent="0.2">
      <c r="A731" s="7656"/>
      <c r="B731" s="7665"/>
      <c r="C731" s="7747"/>
      <c r="D731" s="7877"/>
      <c r="E731" s="7524"/>
      <c r="F731" s="7878"/>
      <c r="G731" s="6635">
        <v>15000000</v>
      </c>
      <c r="H731" s="6635" t="s">
        <v>8142</v>
      </c>
      <c r="I731" s="6635" t="s">
        <v>8148</v>
      </c>
      <c r="J731" s="7586"/>
      <c r="K731" s="7586"/>
      <c r="L731" s="6732" t="s">
        <v>8149</v>
      </c>
    </row>
    <row r="732" spans="1:12" ht="30" customHeight="1" x14ac:dyDescent="0.2">
      <c r="A732" s="7656"/>
      <c r="B732" s="7665"/>
      <c r="C732" s="7747"/>
      <c r="D732" s="7877"/>
      <c r="E732" s="7524"/>
      <c r="F732" s="7878"/>
      <c r="G732" s="7020">
        <v>25000000</v>
      </c>
      <c r="H732" s="7020" t="s">
        <v>8164</v>
      </c>
      <c r="I732" s="7020" t="s">
        <v>7758</v>
      </c>
      <c r="J732" s="7586"/>
      <c r="K732" s="7586"/>
      <c r="L732" s="7046" t="s">
        <v>8174</v>
      </c>
    </row>
    <row r="733" spans="1:12" ht="30" customHeight="1" x14ac:dyDescent="0.2">
      <c r="A733" s="7656"/>
      <c r="B733" s="7665"/>
      <c r="C733" s="7747"/>
      <c r="D733" s="7769"/>
      <c r="E733" s="7805"/>
      <c r="F733" s="7770"/>
      <c r="G733" s="7056">
        <v>10000000</v>
      </c>
      <c r="H733" s="7056" t="s">
        <v>8215</v>
      </c>
      <c r="I733" s="7056" t="s">
        <v>7972</v>
      </c>
      <c r="J733" s="7564"/>
      <c r="K733" s="7564"/>
      <c r="L733" s="7079" t="s">
        <v>8149</v>
      </c>
    </row>
    <row r="734" spans="1:12" ht="30" customHeight="1" x14ac:dyDescent="0.2">
      <c r="A734" s="7656"/>
      <c r="B734" s="7665"/>
      <c r="C734" s="7747"/>
      <c r="D734" s="7136"/>
      <c r="E734" s="7140"/>
      <c r="F734" s="7137"/>
      <c r="G734" s="7111">
        <v>10000000</v>
      </c>
      <c r="H734" s="7111" t="s">
        <v>8267</v>
      </c>
      <c r="I734" s="7111" t="s">
        <v>8148</v>
      </c>
      <c r="J734" s="7114"/>
      <c r="K734" s="7137"/>
      <c r="L734" s="7149" t="s">
        <v>8149</v>
      </c>
    </row>
    <row r="735" spans="1:12" ht="30" customHeight="1" x14ac:dyDescent="0.2">
      <c r="A735" s="7655"/>
      <c r="B735" s="7653"/>
      <c r="C735" s="7724"/>
      <c r="D735" s="6915">
        <v>3162000000</v>
      </c>
      <c r="E735" s="6915"/>
      <c r="F735" s="6915">
        <v>277390000</v>
      </c>
      <c r="G735" s="8000" t="s">
        <v>8062</v>
      </c>
      <c r="H735" s="8000"/>
      <c r="I735" s="8000"/>
      <c r="J735" s="8000"/>
      <c r="K735" s="6927"/>
      <c r="L735" s="6936" t="s">
        <v>8061</v>
      </c>
    </row>
    <row r="736" spans="1:12" ht="30" customHeight="1" x14ac:dyDescent="0.2">
      <c r="A736" s="7661">
        <v>305</v>
      </c>
      <c r="B736" s="7652" t="s">
        <v>152</v>
      </c>
      <c r="C736" s="7723" t="s">
        <v>1796</v>
      </c>
      <c r="D736" s="7203">
        <v>1200000000</v>
      </c>
      <c r="E736" s="7224">
        <v>7.0000000000000007E-2</v>
      </c>
      <c r="F736" s="7203">
        <f>D736*E736</f>
        <v>84000000.000000015</v>
      </c>
      <c r="G736" s="7732" t="s">
        <v>8343</v>
      </c>
      <c r="H736" s="7733"/>
      <c r="I736" s="7733"/>
      <c r="J736" s="7733"/>
      <c r="K736" s="7734"/>
      <c r="L736" s="345"/>
    </row>
    <row r="737" spans="1:12" ht="30" customHeight="1" x14ac:dyDescent="0.2">
      <c r="A737" s="7662"/>
      <c r="B737" s="7665"/>
      <c r="C737" s="7747"/>
      <c r="D737" s="7203"/>
      <c r="E737" s="7224"/>
      <c r="F737" s="7203"/>
      <c r="G737" s="7732" t="s">
        <v>8344</v>
      </c>
      <c r="H737" s="7733"/>
      <c r="I737" s="7733"/>
      <c r="J737" s="7733"/>
      <c r="K737" s="7734"/>
      <c r="L737" s="8463"/>
    </row>
    <row r="738" spans="1:12" ht="30" customHeight="1" x14ac:dyDescent="0.2">
      <c r="A738" s="7662"/>
      <c r="B738" s="7665"/>
      <c r="C738" s="7747"/>
      <c r="D738" s="7203"/>
      <c r="E738" s="7224"/>
      <c r="F738" s="7203"/>
      <c r="G738" s="6641">
        <v>7500000</v>
      </c>
      <c r="H738" s="6641" t="s">
        <v>5200</v>
      </c>
      <c r="I738" s="6641" t="s">
        <v>7519</v>
      </c>
      <c r="J738" s="7203">
        <f>G738</f>
        <v>7500000</v>
      </c>
      <c r="K738" s="7203"/>
      <c r="L738" s="8463"/>
    </row>
    <row r="739" spans="1:12" ht="30" customHeight="1" x14ac:dyDescent="0.2">
      <c r="A739" s="7662"/>
      <c r="B739" s="7665"/>
      <c r="C739" s="7747"/>
      <c r="D739" s="7203"/>
      <c r="E739" s="7224"/>
      <c r="F739" s="7203"/>
      <c r="G739" s="6641"/>
      <c r="H739" s="6641"/>
      <c r="I739" s="6641"/>
      <c r="J739" s="7203"/>
      <c r="K739" s="7203"/>
      <c r="L739" s="8463"/>
    </row>
    <row r="740" spans="1:12" ht="30" customHeight="1" x14ac:dyDescent="0.2">
      <c r="A740" s="7662"/>
      <c r="B740" s="7665"/>
      <c r="C740" s="7747"/>
      <c r="D740" s="7203"/>
      <c r="E740" s="7224"/>
      <c r="F740" s="7203"/>
      <c r="G740" s="6641"/>
      <c r="H740" s="6641"/>
      <c r="I740" s="6641"/>
      <c r="J740" s="7203"/>
      <c r="K740" s="7203"/>
      <c r="L740" s="8463"/>
    </row>
    <row r="741" spans="1:12" ht="30" customHeight="1" x14ac:dyDescent="0.2">
      <c r="A741" s="7662"/>
      <c r="B741" s="7665"/>
      <c r="C741" s="7747"/>
      <c r="D741" s="6643">
        <v>50000000</v>
      </c>
      <c r="E741" s="6649">
        <v>7.0000000000000007E-2</v>
      </c>
      <c r="F741" s="6643">
        <f>D741*E741</f>
        <v>3500000.0000000005</v>
      </c>
      <c r="G741" s="6635"/>
      <c r="H741" s="6635"/>
      <c r="I741" s="6635"/>
      <c r="J741" s="6635"/>
      <c r="K741" s="6635"/>
      <c r="L741" s="6732" t="s">
        <v>7640</v>
      </c>
    </row>
    <row r="742" spans="1:12" ht="30" customHeight="1" x14ac:dyDescent="0.2">
      <c r="A742" s="7662"/>
      <c r="B742" s="7665"/>
      <c r="C742" s="7724"/>
      <c r="D742" s="6752">
        <f>D736+D741</f>
        <v>1250000000</v>
      </c>
      <c r="E742" s="6754">
        <v>7.0000000000000007E-2</v>
      </c>
      <c r="F742" s="6752">
        <f>D742*E742</f>
        <v>87500000.000000015</v>
      </c>
      <c r="G742" s="7203"/>
      <c r="H742" s="7203"/>
      <c r="I742" s="7203"/>
      <c r="J742" s="7203"/>
      <c r="K742" s="6635"/>
      <c r="L742" s="345"/>
    </row>
    <row r="743" spans="1:12" ht="30" customHeight="1" x14ac:dyDescent="0.2">
      <c r="A743" s="7654">
        <v>307</v>
      </c>
      <c r="B743" s="7652" t="s">
        <v>154</v>
      </c>
      <c r="C743" s="7723" t="s">
        <v>1306</v>
      </c>
      <c r="D743" s="7563">
        <v>300000000</v>
      </c>
      <c r="E743" s="7659">
        <v>0.05</v>
      </c>
      <c r="F743" s="7563">
        <f t="shared" si="55"/>
        <v>15000000</v>
      </c>
      <c r="G743" s="6641">
        <v>15000000</v>
      </c>
      <c r="H743" s="6994" t="s">
        <v>7945</v>
      </c>
      <c r="I743" s="6645"/>
      <c r="J743" s="6641">
        <f>G743</f>
        <v>15000000</v>
      </c>
      <c r="K743" s="6641">
        <f>F743-J743</f>
        <v>0</v>
      </c>
      <c r="L743" s="6742" t="s">
        <v>7954</v>
      </c>
    </row>
    <row r="744" spans="1:12" ht="30" customHeight="1" x14ac:dyDescent="0.2">
      <c r="A744" s="7655"/>
      <c r="B744" s="7653"/>
      <c r="C744" s="7724"/>
      <c r="D744" s="7564"/>
      <c r="E744" s="7660"/>
      <c r="F744" s="7564"/>
      <c r="G744" s="7236">
        <v>15000000</v>
      </c>
      <c r="H744" s="7245" t="s">
        <v>8339</v>
      </c>
      <c r="I744" s="7245" t="s">
        <v>2409</v>
      </c>
      <c r="J744" s="7236">
        <f>G744</f>
        <v>15000000</v>
      </c>
      <c r="K744" s="7236">
        <f>F743-J744</f>
        <v>0</v>
      </c>
      <c r="L744" s="7256"/>
    </row>
    <row r="745" spans="1:12" ht="30" customHeight="1" x14ac:dyDescent="0.2">
      <c r="A745" s="7654">
        <v>308</v>
      </c>
      <c r="B745" s="7864" t="s">
        <v>155</v>
      </c>
      <c r="C745" s="7723" t="s">
        <v>1294</v>
      </c>
      <c r="D745" s="7563">
        <v>702000000</v>
      </c>
      <c r="E745" s="7659">
        <v>0.06</v>
      </c>
      <c r="F745" s="7563">
        <f t="shared" si="55"/>
        <v>42120000</v>
      </c>
      <c r="G745" s="6635">
        <v>20000000</v>
      </c>
      <c r="H745" s="6635" t="s">
        <v>8245</v>
      </c>
      <c r="I745" s="18" t="s">
        <v>1873</v>
      </c>
      <c r="J745" s="7563">
        <f>G745+G746</f>
        <v>32000000</v>
      </c>
      <c r="K745" s="7563">
        <f>F745-J745</f>
        <v>10120000</v>
      </c>
      <c r="L745" s="345"/>
    </row>
    <row r="746" spans="1:12" ht="30" customHeight="1" x14ac:dyDescent="0.2">
      <c r="A746" s="7655"/>
      <c r="B746" s="7866"/>
      <c r="C746" s="7724"/>
      <c r="D746" s="7564"/>
      <c r="E746" s="7660"/>
      <c r="F746" s="7564"/>
      <c r="G746" s="6635">
        <v>12000000</v>
      </c>
      <c r="H746" s="6635" t="s">
        <v>8398</v>
      </c>
      <c r="I746" s="18" t="s">
        <v>1873</v>
      </c>
      <c r="J746" s="7564"/>
      <c r="K746" s="7564"/>
      <c r="L746" s="735"/>
    </row>
    <row r="747" spans="1:12" ht="30" customHeight="1" x14ac:dyDescent="0.2">
      <c r="A747" s="6653">
        <v>309</v>
      </c>
      <c r="B747" s="6650" t="s">
        <v>1874</v>
      </c>
      <c r="C747" s="6710" t="s">
        <v>372</v>
      </c>
      <c r="D747" s="6643">
        <v>200000000</v>
      </c>
      <c r="E747" s="6649">
        <v>0.06</v>
      </c>
      <c r="F747" s="6643">
        <f>D747*E747</f>
        <v>12000000</v>
      </c>
      <c r="G747" s="6635">
        <v>12000000</v>
      </c>
      <c r="H747" s="6635" t="s">
        <v>8164</v>
      </c>
      <c r="I747" s="18" t="s">
        <v>1873</v>
      </c>
      <c r="J747" s="6635">
        <f>G747</f>
        <v>12000000</v>
      </c>
      <c r="K747" s="6635">
        <f>F747-J747</f>
        <v>0</v>
      </c>
      <c r="L747" s="710"/>
    </row>
    <row r="748" spans="1:12" ht="30" customHeight="1" x14ac:dyDescent="0.2">
      <c r="A748" s="6653">
        <v>310</v>
      </c>
      <c r="B748" s="6665" t="s">
        <v>157</v>
      </c>
      <c r="C748" s="6684" t="s">
        <v>392</v>
      </c>
      <c r="D748" s="6643">
        <v>100000000</v>
      </c>
      <c r="E748" s="6649">
        <v>0.05</v>
      </c>
      <c r="F748" s="6643">
        <f t="shared" ref="F748:F776" si="62">D748*E748</f>
        <v>5000000</v>
      </c>
      <c r="G748" s="6643"/>
      <c r="H748" s="6643"/>
      <c r="I748" s="6771" t="s">
        <v>4884</v>
      </c>
      <c r="J748" s="6643">
        <f>G748</f>
        <v>0</v>
      </c>
      <c r="K748" s="6643">
        <f t="shared" ref="K748:K758" si="63">F748-J748</f>
        <v>5000000</v>
      </c>
      <c r="L748" s="6742"/>
    </row>
    <row r="749" spans="1:12" ht="30" customHeight="1" x14ac:dyDescent="0.2">
      <c r="A749" s="7654">
        <v>311</v>
      </c>
      <c r="B749" s="7652" t="s">
        <v>158</v>
      </c>
      <c r="C749" s="7723" t="s">
        <v>889</v>
      </c>
      <c r="D749" s="6643">
        <v>85000000</v>
      </c>
      <c r="E749" s="6705">
        <v>0.05</v>
      </c>
      <c r="F749" s="6643">
        <f t="shared" si="62"/>
        <v>4250000</v>
      </c>
      <c r="G749" s="7563">
        <v>9250000</v>
      </c>
      <c r="H749" s="7563" t="s">
        <v>8186</v>
      </c>
      <c r="I749" s="7762" t="s">
        <v>3970</v>
      </c>
      <c r="J749" s="7563">
        <f>G749</f>
        <v>9250000</v>
      </c>
      <c r="K749" s="7563">
        <f>(F749+F750)-J749</f>
        <v>0</v>
      </c>
      <c r="L749" s="6670"/>
    </row>
    <row r="750" spans="1:12" ht="30" customHeight="1" x14ac:dyDescent="0.2">
      <c r="A750" s="7655"/>
      <c r="B750" s="7653"/>
      <c r="C750" s="7724"/>
      <c r="D750" s="6643">
        <v>100000000</v>
      </c>
      <c r="E750" s="6705">
        <v>0.05</v>
      </c>
      <c r="F750" s="6643">
        <f t="shared" si="62"/>
        <v>5000000</v>
      </c>
      <c r="G750" s="7564"/>
      <c r="H750" s="7564"/>
      <c r="I750" s="7763"/>
      <c r="J750" s="7564"/>
      <c r="K750" s="7564"/>
      <c r="L750" s="6671"/>
    </row>
    <row r="751" spans="1:12" ht="30" customHeight="1" x14ac:dyDescent="0.2">
      <c r="A751" s="6653">
        <v>312</v>
      </c>
      <c r="B751" s="6665" t="s">
        <v>159</v>
      </c>
      <c r="C751" s="6684"/>
      <c r="D751" s="6664"/>
      <c r="E751" s="2519"/>
      <c r="F751" s="6664">
        <f t="shared" si="62"/>
        <v>0</v>
      </c>
      <c r="G751" s="6643"/>
      <c r="H751" s="6643"/>
      <c r="I751" s="6771" t="s">
        <v>5916</v>
      </c>
      <c r="J751" s="6643">
        <f>G751</f>
        <v>0</v>
      </c>
      <c r="K751" s="6664">
        <f t="shared" si="63"/>
        <v>0</v>
      </c>
      <c r="L751" s="6665"/>
    </row>
    <row r="752" spans="1:12" ht="30" customHeight="1" x14ac:dyDescent="0.2">
      <c r="A752" s="3316">
        <v>313</v>
      </c>
      <c r="B752" s="6665" t="s">
        <v>161</v>
      </c>
      <c r="C752" s="6710" t="s">
        <v>1652</v>
      </c>
      <c r="D752" s="6635">
        <v>152000000</v>
      </c>
      <c r="E752" s="6705">
        <v>0.05</v>
      </c>
      <c r="F752" s="6635">
        <f>D752*E752</f>
        <v>7600000</v>
      </c>
      <c r="G752" s="6635">
        <v>7600000</v>
      </c>
      <c r="H752" s="6635" t="s">
        <v>8215</v>
      </c>
      <c r="I752" s="6715" t="s">
        <v>8221</v>
      </c>
      <c r="J752" s="6635">
        <f>G752</f>
        <v>7600000</v>
      </c>
      <c r="K752" s="6635">
        <f t="shared" si="63"/>
        <v>0</v>
      </c>
      <c r="L752" s="6727"/>
    </row>
    <row r="753" spans="1:12" ht="30" customHeight="1" x14ac:dyDescent="0.2">
      <c r="A753" s="7654">
        <v>315</v>
      </c>
      <c r="B753" s="7652" t="s">
        <v>163</v>
      </c>
      <c r="C753" s="7723" t="s">
        <v>1176</v>
      </c>
      <c r="D753" s="6635">
        <v>400000000</v>
      </c>
      <c r="E753" s="6705">
        <v>6.3E-2</v>
      </c>
      <c r="F753" s="6635">
        <v>25000000</v>
      </c>
      <c r="G753" s="6986"/>
      <c r="H753" s="6986"/>
      <c r="I753" s="6986"/>
      <c r="J753" s="6986"/>
      <c r="K753" s="6986"/>
      <c r="L753" s="6732" t="s">
        <v>7532</v>
      </c>
    </row>
    <row r="754" spans="1:12" ht="30" customHeight="1" x14ac:dyDescent="0.2">
      <c r="A754" s="7656"/>
      <c r="B754" s="7665"/>
      <c r="C754" s="7747"/>
      <c r="D754" s="6643">
        <v>100000000</v>
      </c>
      <c r="E754" s="6649">
        <v>0.05</v>
      </c>
      <c r="F754" s="6643">
        <f t="shared" ref="F754:F760" si="64">D754*E754</f>
        <v>5000000</v>
      </c>
      <c r="G754" s="6986"/>
      <c r="H754" s="6986"/>
      <c r="I754" s="6986"/>
      <c r="J754" s="6986"/>
      <c r="K754" s="6986"/>
      <c r="L754" s="7897" t="s">
        <v>8125</v>
      </c>
    </row>
    <row r="755" spans="1:12" ht="30" customHeight="1" x14ac:dyDescent="0.2">
      <c r="A755" s="7656"/>
      <c r="B755" s="7665"/>
      <c r="C755" s="7747"/>
      <c r="D755" s="6989">
        <v>100000000</v>
      </c>
      <c r="E755" s="6993">
        <v>7.0000000000000007E-2</v>
      </c>
      <c r="F755" s="6989">
        <f t="shared" si="64"/>
        <v>7000000.0000000009</v>
      </c>
      <c r="G755" s="6989"/>
      <c r="H755" s="6989"/>
      <c r="I755" s="6989"/>
      <c r="J755" s="6989"/>
      <c r="K755" s="6989"/>
      <c r="L755" s="7897"/>
    </row>
    <row r="756" spans="1:12" ht="30" customHeight="1" x14ac:dyDescent="0.2">
      <c r="A756" s="7655"/>
      <c r="B756" s="7653"/>
      <c r="C756" s="7724"/>
      <c r="D756" s="7013">
        <v>600000000</v>
      </c>
      <c r="E756" s="7014">
        <v>7.0000000000000007E-2</v>
      </c>
      <c r="F756" s="7013">
        <f t="shared" si="64"/>
        <v>42000000.000000007</v>
      </c>
      <c r="G756" s="7470" t="s">
        <v>8127</v>
      </c>
      <c r="H756" s="7493"/>
      <c r="I756" s="7493"/>
      <c r="J756" s="7510"/>
      <c r="K756" s="6989"/>
      <c r="L756" s="7009" t="s">
        <v>8126</v>
      </c>
    </row>
    <row r="757" spans="1:12" ht="30" customHeight="1" x14ac:dyDescent="0.2">
      <c r="A757" s="6708">
        <v>316</v>
      </c>
      <c r="B757" s="6652" t="s">
        <v>164</v>
      </c>
      <c r="C757" s="6684"/>
      <c r="D757" s="6643">
        <v>35000000</v>
      </c>
      <c r="E757" s="6649">
        <v>0.05</v>
      </c>
      <c r="F757" s="6643">
        <f t="shared" si="64"/>
        <v>1750000</v>
      </c>
      <c r="G757" s="6643">
        <v>1750000</v>
      </c>
      <c r="H757" s="6643" t="s">
        <v>8142</v>
      </c>
      <c r="I757" s="6689" t="s">
        <v>1724</v>
      </c>
      <c r="J757" s="6643">
        <f t="shared" ref="J757:J786" si="65">G757</f>
        <v>1750000</v>
      </c>
      <c r="K757" s="6643">
        <f t="shared" si="63"/>
        <v>0</v>
      </c>
      <c r="L757" s="6665"/>
    </row>
    <row r="758" spans="1:12" ht="30" customHeight="1" x14ac:dyDescent="0.2">
      <c r="A758" s="6708">
        <v>317</v>
      </c>
      <c r="B758" s="6665" t="s">
        <v>4529</v>
      </c>
      <c r="C758" s="6710" t="s">
        <v>359</v>
      </c>
      <c r="D758" s="6643">
        <v>300000000</v>
      </c>
      <c r="E758" s="6705">
        <v>0.05</v>
      </c>
      <c r="F758" s="6643">
        <f t="shared" si="64"/>
        <v>15000000</v>
      </c>
      <c r="G758" s="6635">
        <v>15000000</v>
      </c>
      <c r="H758" s="6635" t="s">
        <v>8164</v>
      </c>
      <c r="I758" s="6714" t="s">
        <v>2026</v>
      </c>
      <c r="J758" s="6635">
        <f>G758</f>
        <v>15000000</v>
      </c>
      <c r="K758" s="6643">
        <f t="shared" si="63"/>
        <v>0</v>
      </c>
      <c r="L758" s="6742"/>
    </row>
    <row r="759" spans="1:12" ht="30" customHeight="1" x14ac:dyDescent="0.2">
      <c r="A759" s="7654"/>
      <c r="B759" s="7652" t="s">
        <v>165</v>
      </c>
      <c r="C759" s="7723" t="s">
        <v>1287</v>
      </c>
      <c r="D759" s="6643">
        <v>210000000</v>
      </c>
      <c r="E759" s="6705">
        <v>0.06</v>
      </c>
      <c r="F759" s="6643">
        <f t="shared" si="64"/>
        <v>12600000</v>
      </c>
      <c r="G759" s="6635">
        <v>10000000</v>
      </c>
      <c r="H759" s="6635" t="s">
        <v>7979</v>
      </c>
      <c r="I759" s="6714" t="s">
        <v>2996</v>
      </c>
      <c r="J759" s="7563">
        <f>G759+G761</f>
        <v>30000000</v>
      </c>
      <c r="K759" s="7563">
        <f>(F759+F760+F761)-J759-100000</f>
        <v>13000000</v>
      </c>
      <c r="L759" s="6742" t="s">
        <v>2709</v>
      </c>
    </row>
    <row r="760" spans="1:12" ht="30" customHeight="1" x14ac:dyDescent="0.2">
      <c r="A760" s="7656"/>
      <c r="B760" s="7665"/>
      <c r="C760" s="7747"/>
      <c r="D760" s="6643">
        <v>200000000</v>
      </c>
      <c r="E760" s="6705">
        <v>0.06</v>
      </c>
      <c r="F760" s="6643">
        <f t="shared" si="64"/>
        <v>12000000</v>
      </c>
      <c r="G760" s="744">
        <v>20000000</v>
      </c>
      <c r="H760" s="744" t="s">
        <v>8215</v>
      </c>
      <c r="I760" s="7103" t="s">
        <v>8225</v>
      </c>
      <c r="J760" s="7586"/>
      <c r="K760" s="7586"/>
      <c r="L760" s="6742" t="s">
        <v>5090</v>
      </c>
    </row>
    <row r="761" spans="1:12" ht="30" customHeight="1" x14ac:dyDescent="0.2">
      <c r="A761" s="7655"/>
      <c r="B761" s="7653"/>
      <c r="C761" s="7724"/>
      <c r="D761" s="7470" t="s">
        <v>5163</v>
      </c>
      <c r="E761" s="7510"/>
      <c r="F761" s="6643">
        <v>18500000</v>
      </c>
      <c r="G761" s="6635">
        <v>20000000</v>
      </c>
      <c r="H761" s="6715" t="s">
        <v>8424</v>
      </c>
      <c r="I761" s="6714" t="s">
        <v>2996</v>
      </c>
      <c r="J761" s="7564"/>
      <c r="K761" s="7564"/>
      <c r="L761" s="6792" t="s">
        <v>6394</v>
      </c>
    </row>
    <row r="762" spans="1:12" ht="30" customHeight="1" x14ac:dyDescent="0.2">
      <c r="A762" s="7654">
        <v>318</v>
      </c>
      <c r="B762" s="7652" t="s">
        <v>167</v>
      </c>
      <c r="C762" s="7723"/>
      <c r="D762" s="6643">
        <v>80000000</v>
      </c>
      <c r="E762" s="6705">
        <v>0.05</v>
      </c>
      <c r="F762" s="6643">
        <f t="shared" si="62"/>
        <v>4000000</v>
      </c>
      <c r="G762" s="7563"/>
      <c r="H762" s="7563"/>
      <c r="I762" s="7772" t="s">
        <v>4452</v>
      </c>
      <c r="J762" s="7563">
        <f t="shared" si="65"/>
        <v>0</v>
      </c>
      <c r="K762" s="7563">
        <f>(F762+F763)-J762</f>
        <v>12500000</v>
      </c>
      <c r="L762" s="6742" t="s">
        <v>7002</v>
      </c>
    </row>
    <row r="763" spans="1:12" ht="30" customHeight="1" x14ac:dyDescent="0.2">
      <c r="A763" s="7656"/>
      <c r="B763" s="7665"/>
      <c r="C763" s="7747"/>
      <c r="D763" s="6643">
        <v>170000000</v>
      </c>
      <c r="E763" s="6705">
        <v>0.05</v>
      </c>
      <c r="F763" s="6643">
        <f t="shared" si="62"/>
        <v>8500000</v>
      </c>
      <c r="G763" s="7564"/>
      <c r="H763" s="7564"/>
      <c r="I763" s="7773"/>
      <c r="J763" s="7564"/>
      <c r="K763" s="7564"/>
      <c r="L763" s="6742" t="s">
        <v>5207</v>
      </c>
    </row>
    <row r="764" spans="1:12" ht="30" customHeight="1" x14ac:dyDescent="0.2">
      <c r="A764" s="7656"/>
      <c r="B764" s="7665"/>
      <c r="C764" s="7747"/>
      <c r="D764" s="6643">
        <v>30000000</v>
      </c>
      <c r="E764" s="6705">
        <v>0.06</v>
      </c>
      <c r="F764" s="6643">
        <f t="shared" si="62"/>
        <v>1800000</v>
      </c>
      <c r="G764" s="7732" t="s">
        <v>6953</v>
      </c>
      <c r="H764" s="7733"/>
      <c r="I764" s="7733"/>
      <c r="J764" s="7734"/>
      <c r="K764" s="7563">
        <f>F766-J766</f>
        <v>22800000</v>
      </c>
      <c r="L764" s="6742" t="s">
        <v>6954</v>
      </c>
    </row>
    <row r="765" spans="1:12" ht="30" customHeight="1" x14ac:dyDescent="0.2">
      <c r="A765" s="7656"/>
      <c r="B765" s="7665"/>
      <c r="C765" s="7747"/>
      <c r="D765" s="6643">
        <v>100000000</v>
      </c>
      <c r="E765" s="6705">
        <v>0.06</v>
      </c>
      <c r="F765" s="6643">
        <f t="shared" si="62"/>
        <v>6000000</v>
      </c>
      <c r="G765" s="7732" t="s">
        <v>7279</v>
      </c>
      <c r="H765" s="7733"/>
      <c r="I765" s="7733"/>
      <c r="J765" s="7734"/>
      <c r="K765" s="7586"/>
      <c r="L765" s="6742"/>
    </row>
    <row r="766" spans="1:12" ht="30" customHeight="1" x14ac:dyDescent="0.2">
      <c r="A766" s="7655"/>
      <c r="B766" s="7653"/>
      <c r="C766" s="7724"/>
      <c r="D766" s="6752">
        <v>380000000</v>
      </c>
      <c r="E766" s="6789">
        <v>0.06</v>
      </c>
      <c r="F766" s="6752">
        <f>D766*E766</f>
        <v>22800000</v>
      </c>
      <c r="G766" s="6635"/>
      <c r="H766" s="6635"/>
      <c r="I766" s="6635" t="s">
        <v>7520</v>
      </c>
      <c r="J766" s="6635">
        <f>G766</f>
        <v>0</v>
      </c>
      <c r="K766" s="7564"/>
      <c r="L766" s="6742"/>
    </row>
    <row r="767" spans="1:12" ht="30" customHeight="1" x14ac:dyDescent="0.2">
      <c r="A767" s="7654">
        <v>320</v>
      </c>
      <c r="B767" s="7652" t="s">
        <v>169</v>
      </c>
      <c r="C767" s="7723" t="s">
        <v>1300</v>
      </c>
      <c r="D767" s="7283">
        <v>135000000</v>
      </c>
      <c r="E767" s="2549">
        <v>0.06</v>
      </c>
      <c r="F767" s="7283">
        <v>8000000</v>
      </c>
      <c r="G767" s="7111">
        <v>16500000</v>
      </c>
      <c r="H767" s="7111" t="s">
        <v>8215</v>
      </c>
      <c r="I767" s="7144" t="s">
        <v>2078</v>
      </c>
      <c r="J767" s="7111">
        <f t="shared" si="65"/>
        <v>16500000</v>
      </c>
      <c r="K767" s="7111"/>
      <c r="L767" s="6742" t="s">
        <v>8348</v>
      </c>
    </row>
    <row r="768" spans="1:12" ht="30" customHeight="1" x14ac:dyDescent="0.2">
      <c r="A768" s="7656"/>
      <c r="B768" s="7665"/>
      <c r="C768" s="7747"/>
      <c r="D768" s="6752">
        <v>35000000</v>
      </c>
      <c r="E768" s="6789">
        <v>0.05</v>
      </c>
      <c r="F768" s="6752">
        <f>D768*E768</f>
        <v>1750000</v>
      </c>
      <c r="G768" s="7111">
        <v>10000000</v>
      </c>
      <c r="H768" s="7111" t="s">
        <v>8267</v>
      </c>
      <c r="I768" s="7144" t="s">
        <v>2078</v>
      </c>
      <c r="J768" s="7111">
        <f>G768</f>
        <v>10000000</v>
      </c>
      <c r="K768" s="7111"/>
      <c r="L768" s="6742" t="s">
        <v>3458</v>
      </c>
    </row>
    <row r="769" spans="1:12" ht="30" customHeight="1" x14ac:dyDescent="0.2">
      <c r="A769" s="7656"/>
      <c r="B769" s="7665"/>
      <c r="C769" s="7747"/>
      <c r="D769" s="6643">
        <v>50000000</v>
      </c>
      <c r="E769" s="6705">
        <v>0.05</v>
      </c>
      <c r="F769" s="6643">
        <f>D769*E769</f>
        <v>2500000</v>
      </c>
      <c r="G769" s="7732" t="s">
        <v>7402</v>
      </c>
      <c r="H769" s="7733"/>
      <c r="I769" s="7733"/>
      <c r="J769" s="7734"/>
      <c r="K769" s="6643"/>
      <c r="L769" s="6742" t="s">
        <v>7403</v>
      </c>
    </row>
    <row r="770" spans="1:12" ht="30" customHeight="1" x14ac:dyDescent="0.2">
      <c r="A770" s="7656"/>
      <c r="B770" s="7665"/>
      <c r="C770" s="7747"/>
      <c r="D770" s="6643">
        <v>35000000</v>
      </c>
      <c r="E770" s="6705">
        <v>0.05</v>
      </c>
      <c r="F770" s="6643">
        <f>D770*E770</f>
        <v>1750000</v>
      </c>
      <c r="G770" s="7732" t="s">
        <v>7404</v>
      </c>
      <c r="H770" s="7733"/>
      <c r="I770" s="7733"/>
      <c r="J770" s="7734"/>
      <c r="K770" s="6643"/>
      <c r="L770" s="6742" t="s">
        <v>7405</v>
      </c>
    </row>
    <row r="771" spans="1:12" ht="30" customHeight="1" x14ac:dyDescent="0.2">
      <c r="A771" s="7655"/>
      <c r="B771" s="7653"/>
      <c r="C771" s="7724"/>
      <c r="D771" s="6752">
        <v>85000000</v>
      </c>
      <c r="E771" s="6789">
        <v>0.05</v>
      </c>
      <c r="F771" s="6752">
        <f>D771*E771</f>
        <v>4250000</v>
      </c>
      <c r="G771" s="6643"/>
      <c r="H771" s="6643"/>
      <c r="I771" s="6646"/>
      <c r="J771" s="6643"/>
      <c r="K771" s="6643"/>
      <c r="L771" s="6742" t="s">
        <v>7024</v>
      </c>
    </row>
    <row r="772" spans="1:12" ht="30" customHeight="1" x14ac:dyDescent="0.2">
      <c r="A772" s="6653">
        <v>321</v>
      </c>
      <c r="B772" s="19" t="s">
        <v>171</v>
      </c>
      <c r="C772" s="6710" t="s">
        <v>3007</v>
      </c>
      <c r="D772" s="6635">
        <v>5000000</v>
      </c>
      <c r="E772" s="6705">
        <v>0.04</v>
      </c>
      <c r="F772" s="6635">
        <f t="shared" si="62"/>
        <v>200000</v>
      </c>
      <c r="G772" s="6635">
        <v>200000</v>
      </c>
      <c r="H772" s="6635" t="s">
        <v>6460</v>
      </c>
      <c r="I772" s="6715" t="s">
        <v>1097</v>
      </c>
      <c r="J772" s="6635">
        <f t="shared" si="65"/>
        <v>200000</v>
      </c>
      <c r="K772" s="6635">
        <f t="shared" ref="K772:K794" si="66">F772-J772</f>
        <v>0</v>
      </c>
      <c r="L772" s="6742"/>
    </row>
    <row r="773" spans="1:12" ht="30" customHeight="1" x14ac:dyDescent="0.2">
      <c r="A773" s="7654">
        <v>322</v>
      </c>
      <c r="B773" s="7652" t="s">
        <v>1378</v>
      </c>
      <c r="C773" s="7723" t="s">
        <v>1081</v>
      </c>
      <c r="D773" s="6635">
        <v>10000000</v>
      </c>
      <c r="E773" s="6705">
        <v>0.05</v>
      </c>
      <c r="F773" s="6635">
        <f t="shared" si="62"/>
        <v>500000</v>
      </c>
      <c r="G773" s="7563">
        <v>1500000</v>
      </c>
      <c r="H773" s="7563" t="s">
        <v>8398</v>
      </c>
      <c r="I773" s="7871" t="s">
        <v>1376</v>
      </c>
      <c r="J773" s="7563">
        <f t="shared" si="65"/>
        <v>1500000</v>
      </c>
      <c r="K773" s="7563">
        <f>F775-J773</f>
        <v>0</v>
      </c>
      <c r="L773" s="6742" t="s">
        <v>8405</v>
      </c>
    </row>
    <row r="774" spans="1:12" ht="30" customHeight="1" x14ac:dyDescent="0.2">
      <c r="A774" s="7656"/>
      <c r="B774" s="7665"/>
      <c r="C774" s="7747"/>
      <c r="D774" s="6643">
        <v>18000000</v>
      </c>
      <c r="E774" s="6649"/>
      <c r="F774" s="6643"/>
      <c r="G774" s="7586"/>
      <c r="H774" s="7586"/>
      <c r="I774" s="8575"/>
      <c r="J774" s="7586"/>
      <c r="K774" s="7586"/>
      <c r="L774" s="6742" t="s">
        <v>7728</v>
      </c>
    </row>
    <row r="775" spans="1:12" ht="30" customHeight="1" x14ac:dyDescent="0.2">
      <c r="A775" s="7655"/>
      <c r="B775" s="7653"/>
      <c r="C775" s="7724"/>
      <c r="D775" s="6752">
        <v>28000000</v>
      </c>
      <c r="E775" s="6754">
        <v>5.2999999999999999E-2</v>
      </c>
      <c r="F775" s="6752">
        <v>1500000</v>
      </c>
      <c r="G775" s="7564"/>
      <c r="H775" s="7564"/>
      <c r="I775" s="7872"/>
      <c r="J775" s="7564"/>
      <c r="K775" s="7564"/>
      <c r="L775" s="6742" t="s">
        <v>7178</v>
      </c>
    </row>
    <row r="776" spans="1:12" ht="30" customHeight="1" x14ac:dyDescent="0.2">
      <c r="A776" s="6708">
        <v>323</v>
      </c>
      <c r="B776" s="6652" t="s">
        <v>172</v>
      </c>
      <c r="C776" s="6684"/>
      <c r="D776" s="6643">
        <v>60000000</v>
      </c>
      <c r="E776" s="6649">
        <v>4.4999999999999998E-2</v>
      </c>
      <c r="F776" s="6643">
        <f t="shared" si="62"/>
        <v>2700000</v>
      </c>
      <c r="G776" s="6643"/>
      <c r="H776" s="6643"/>
      <c r="I776" s="6690"/>
      <c r="J776" s="6643">
        <f t="shared" si="65"/>
        <v>0</v>
      </c>
      <c r="K776" s="6643">
        <f t="shared" si="66"/>
        <v>2700000</v>
      </c>
      <c r="L776" s="6665"/>
    </row>
    <row r="777" spans="1:12" ht="30" customHeight="1" x14ac:dyDescent="0.2">
      <c r="A777" s="6708">
        <v>324</v>
      </c>
      <c r="B777" s="6665" t="s">
        <v>173</v>
      </c>
      <c r="C777" s="6684" t="s">
        <v>889</v>
      </c>
      <c r="D777" s="6643">
        <v>20000000</v>
      </c>
      <c r="E777" s="6705">
        <v>0.05</v>
      </c>
      <c r="F777" s="6643">
        <f>D777*E777</f>
        <v>1000000</v>
      </c>
      <c r="G777" s="6635">
        <v>1500000</v>
      </c>
      <c r="H777" s="6635" t="s">
        <v>8483</v>
      </c>
      <c r="I777" s="6715" t="s">
        <v>264</v>
      </c>
      <c r="J777" s="6635">
        <f t="shared" si="65"/>
        <v>1500000</v>
      </c>
      <c r="K777" s="6635">
        <f t="shared" si="66"/>
        <v>-500000</v>
      </c>
      <c r="L777" s="6718"/>
    </row>
    <row r="778" spans="1:12" ht="30" customHeight="1" x14ac:dyDescent="0.2">
      <c r="A778" s="7654">
        <v>325</v>
      </c>
      <c r="B778" s="7652" t="s">
        <v>270</v>
      </c>
      <c r="C778" s="7723" t="s">
        <v>262</v>
      </c>
      <c r="D778" s="7563">
        <v>1000000000</v>
      </c>
      <c r="E778" s="7659">
        <v>6.0999999999999999E-2</v>
      </c>
      <c r="F778" s="7563">
        <v>61400000</v>
      </c>
      <c r="G778" s="6635">
        <v>20000000</v>
      </c>
      <c r="H778" s="6635" t="s">
        <v>8164</v>
      </c>
      <c r="I778" s="6715" t="s">
        <v>8179</v>
      </c>
      <c r="J778" s="7563">
        <f>G778+G782+G779+G780+G781</f>
        <v>78970000</v>
      </c>
      <c r="K778" s="7563">
        <f t="shared" si="66"/>
        <v>-17570000</v>
      </c>
      <c r="L778" s="6683"/>
    </row>
    <row r="779" spans="1:12" ht="30" customHeight="1" x14ac:dyDescent="0.2">
      <c r="A779" s="7656"/>
      <c r="B779" s="7665"/>
      <c r="C779" s="7747"/>
      <c r="D779" s="7586"/>
      <c r="E779" s="7676"/>
      <c r="F779" s="7586"/>
      <c r="G779" s="7111">
        <v>20000000</v>
      </c>
      <c r="H779" s="7111" t="s">
        <v>8267</v>
      </c>
      <c r="I779" s="7144" t="s">
        <v>2927</v>
      </c>
      <c r="J779" s="7586"/>
      <c r="K779" s="7586"/>
      <c r="L779" s="7131"/>
    </row>
    <row r="780" spans="1:12" ht="30" customHeight="1" x14ac:dyDescent="0.2">
      <c r="A780" s="7656"/>
      <c r="B780" s="7665"/>
      <c r="C780" s="7747"/>
      <c r="D780" s="7586"/>
      <c r="E780" s="7676"/>
      <c r="F780" s="7586"/>
      <c r="G780" s="7203">
        <v>18000000</v>
      </c>
      <c r="H780" s="7203" t="s">
        <v>8339</v>
      </c>
      <c r="I780" s="7223" t="s">
        <v>2927</v>
      </c>
      <c r="J780" s="7586"/>
      <c r="K780" s="7586"/>
      <c r="L780" s="7221"/>
    </row>
    <row r="781" spans="1:12" ht="30" customHeight="1" x14ac:dyDescent="0.2">
      <c r="A781" s="7656"/>
      <c r="B781" s="7665"/>
      <c r="C781" s="7747"/>
      <c r="D781" s="7586"/>
      <c r="E781" s="7676"/>
      <c r="F781" s="7586"/>
      <c r="G781" s="7292">
        <v>10000000</v>
      </c>
      <c r="H781" s="7292" t="s">
        <v>5200</v>
      </c>
      <c r="I781" s="7329" t="s">
        <v>8179</v>
      </c>
      <c r="J781" s="7586"/>
      <c r="K781" s="7586"/>
      <c r="L781" s="7316"/>
    </row>
    <row r="782" spans="1:12" ht="30" customHeight="1" x14ac:dyDescent="0.2">
      <c r="A782" s="7655"/>
      <c r="B782" s="7653"/>
      <c r="C782" s="7724"/>
      <c r="D782" s="7564"/>
      <c r="E782" s="7660"/>
      <c r="F782" s="7564"/>
      <c r="G782" s="6635">
        <v>10970000</v>
      </c>
      <c r="H782" s="6635" t="s">
        <v>8398</v>
      </c>
      <c r="I782" s="7329" t="s">
        <v>2927</v>
      </c>
      <c r="J782" s="7564"/>
      <c r="K782" s="7564"/>
      <c r="L782" s="6683"/>
    </row>
    <row r="783" spans="1:12" ht="30" customHeight="1" x14ac:dyDescent="0.2">
      <c r="A783" s="6991"/>
      <c r="B783" s="6995" t="s">
        <v>8128</v>
      </c>
      <c r="C783" s="7001"/>
      <c r="D783" s="6988">
        <v>108000000</v>
      </c>
      <c r="E783" s="6997"/>
      <c r="F783" s="6988"/>
      <c r="G783" s="6986"/>
      <c r="H783" s="6986"/>
      <c r="I783" s="7006"/>
      <c r="J783" s="6988"/>
      <c r="K783" s="6988"/>
      <c r="L783" s="7003" t="s">
        <v>8129</v>
      </c>
    </row>
    <row r="784" spans="1:12" ht="30" customHeight="1" x14ac:dyDescent="0.2">
      <c r="A784" s="7654">
        <v>326</v>
      </c>
      <c r="B784" s="7652" t="s">
        <v>176</v>
      </c>
      <c r="C784" s="7723" t="s">
        <v>1300</v>
      </c>
      <c r="D784" s="7563">
        <v>500000000</v>
      </c>
      <c r="E784" s="7659">
        <v>0.05</v>
      </c>
      <c r="F784" s="7563">
        <f>D784*E784</f>
        <v>25000000</v>
      </c>
      <c r="G784" s="6635"/>
      <c r="H784" s="6635"/>
      <c r="I784" s="6715" t="s">
        <v>5099</v>
      </c>
      <c r="J784" s="7563">
        <f>G784+G785</f>
        <v>0</v>
      </c>
      <c r="K784" s="7563">
        <f t="shared" si="66"/>
        <v>25000000</v>
      </c>
      <c r="L784" s="7757" t="s">
        <v>8237</v>
      </c>
    </row>
    <row r="785" spans="1:12" ht="30" customHeight="1" x14ac:dyDescent="0.2">
      <c r="A785" s="7655"/>
      <c r="B785" s="7653"/>
      <c r="C785" s="7724"/>
      <c r="D785" s="7564"/>
      <c r="E785" s="7660"/>
      <c r="F785" s="7564"/>
      <c r="G785" s="6643"/>
      <c r="H785" s="6643"/>
      <c r="I785" s="6771" t="s">
        <v>2950</v>
      </c>
      <c r="J785" s="7564"/>
      <c r="K785" s="7564"/>
      <c r="L785" s="7758"/>
    </row>
    <row r="786" spans="1:12" ht="30" customHeight="1" x14ac:dyDescent="0.2">
      <c r="A786" s="6655">
        <v>327</v>
      </c>
      <c r="B786" s="6652" t="s">
        <v>1232</v>
      </c>
      <c r="C786" s="6684"/>
      <c r="D786" s="6643">
        <v>60000000</v>
      </c>
      <c r="E786" s="6649">
        <v>0.05</v>
      </c>
      <c r="F786" s="6643">
        <f t="shared" ref="F786:F799" si="67">D786*E786</f>
        <v>3000000</v>
      </c>
      <c r="G786" s="6643"/>
      <c r="H786" s="6643"/>
      <c r="I786" s="6771" t="s">
        <v>1231</v>
      </c>
      <c r="J786" s="6643">
        <f t="shared" si="65"/>
        <v>0</v>
      </c>
      <c r="K786" s="6643">
        <f t="shared" si="66"/>
        <v>3000000</v>
      </c>
      <c r="L786" s="6742"/>
    </row>
    <row r="787" spans="1:12" ht="30" customHeight="1" x14ac:dyDescent="0.2">
      <c r="A787" s="7654">
        <v>328</v>
      </c>
      <c r="B787" s="7652" t="s">
        <v>2675</v>
      </c>
      <c r="C787" s="7723" t="s">
        <v>942</v>
      </c>
      <c r="D787" s="6635">
        <v>900000000</v>
      </c>
      <c r="E787" s="6705">
        <v>7.0000000000000007E-2</v>
      </c>
      <c r="F787" s="6635">
        <f>D787*E787</f>
        <v>63000000.000000007</v>
      </c>
      <c r="G787" s="6635"/>
      <c r="H787" s="6635"/>
      <c r="I787" s="6715" t="s">
        <v>4147</v>
      </c>
      <c r="J787" s="6635">
        <f>G787</f>
        <v>0</v>
      </c>
      <c r="K787" s="6635">
        <f>54000000-14000000-J787</f>
        <v>40000000</v>
      </c>
      <c r="L787" s="6742"/>
    </row>
    <row r="788" spans="1:12" ht="30" customHeight="1" x14ac:dyDescent="0.2">
      <c r="A788" s="7656"/>
      <c r="B788" s="7665"/>
      <c r="C788" s="7747"/>
      <c r="D788" s="6635">
        <v>54000000</v>
      </c>
      <c r="E788" s="6705">
        <v>7.0000000000000007E-2</v>
      </c>
      <c r="F788" s="6635">
        <f>D788*E788</f>
        <v>3780000.0000000005</v>
      </c>
      <c r="G788" s="7732" t="s">
        <v>6812</v>
      </c>
      <c r="H788" s="7733"/>
      <c r="I788" s="7733"/>
      <c r="J788" s="7734"/>
      <c r="K788" s="6635"/>
      <c r="L788" s="7713" t="s">
        <v>7389</v>
      </c>
    </row>
    <row r="789" spans="1:12" ht="30" customHeight="1" x14ac:dyDescent="0.2">
      <c r="A789" s="7656"/>
      <c r="B789" s="7665"/>
      <c r="C789" s="7747"/>
      <c r="D789" s="6635">
        <v>50000000</v>
      </c>
      <c r="E789" s="6705">
        <v>0.06</v>
      </c>
      <c r="F789" s="6635">
        <f>D789*E789</f>
        <v>3000000</v>
      </c>
      <c r="G789" s="7732" t="s">
        <v>7388</v>
      </c>
      <c r="H789" s="7733"/>
      <c r="I789" s="7733"/>
      <c r="J789" s="7734"/>
      <c r="K789" s="6635"/>
      <c r="L789" s="7797"/>
    </row>
    <row r="790" spans="1:12" ht="30" customHeight="1" x14ac:dyDescent="0.2">
      <c r="A790" s="7656"/>
      <c r="B790" s="7665"/>
      <c r="C790" s="7747"/>
      <c r="D790" s="6635">
        <v>26000000</v>
      </c>
      <c r="E790" s="6705">
        <v>0.06</v>
      </c>
      <c r="F790" s="6635">
        <f>D790*E790</f>
        <v>1560000</v>
      </c>
      <c r="G790" s="7732" t="s">
        <v>7442</v>
      </c>
      <c r="H790" s="7733"/>
      <c r="I790" s="7733"/>
      <c r="J790" s="7734"/>
      <c r="K790" s="6635"/>
      <c r="L790" s="7714"/>
    </row>
    <row r="791" spans="1:12" ht="30" customHeight="1" x14ac:dyDescent="0.2">
      <c r="A791" s="7656"/>
      <c r="B791" s="7665"/>
      <c r="C791" s="7747"/>
      <c r="D791" s="7559">
        <f>SUM(D787:D790)</f>
        <v>1030000000</v>
      </c>
      <c r="E791" s="7683">
        <v>7.0000000000000007E-2</v>
      </c>
      <c r="F791" s="7559">
        <f>D791*E791</f>
        <v>72100000</v>
      </c>
      <c r="G791" s="6635">
        <v>13850000</v>
      </c>
      <c r="H791" s="6635" t="s">
        <v>7974</v>
      </c>
      <c r="I791" s="6635" t="s">
        <v>7976</v>
      </c>
      <c r="J791" s="7563">
        <f>G791+G792+G793</f>
        <v>43850000</v>
      </c>
      <c r="K791" s="7563"/>
      <c r="L791" s="6742" t="s">
        <v>7390</v>
      </c>
    </row>
    <row r="792" spans="1:12" ht="30" customHeight="1" x14ac:dyDescent="0.2">
      <c r="A792" s="7656"/>
      <c r="B792" s="7665"/>
      <c r="C792" s="7747"/>
      <c r="D792" s="8003"/>
      <c r="E792" s="8184"/>
      <c r="F792" s="8003"/>
      <c r="G792" s="6943">
        <v>20000000</v>
      </c>
      <c r="H792" s="6943" t="s">
        <v>8073</v>
      </c>
      <c r="I792" s="6943" t="s">
        <v>7976</v>
      </c>
      <c r="J792" s="7586"/>
      <c r="K792" s="7586"/>
      <c r="L792" s="6958"/>
    </row>
    <row r="793" spans="1:12" ht="30" customHeight="1" x14ac:dyDescent="0.2">
      <c r="A793" s="7655"/>
      <c r="B793" s="7653"/>
      <c r="C793" s="7724"/>
      <c r="D793" s="7560"/>
      <c r="E793" s="7684"/>
      <c r="F793" s="7560"/>
      <c r="G793" s="6986">
        <v>10000000</v>
      </c>
      <c r="H793" s="6986" t="s">
        <v>8142</v>
      </c>
      <c r="I793" s="6986" t="s">
        <v>8143</v>
      </c>
      <c r="J793" s="7564"/>
      <c r="K793" s="7564"/>
      <c r="L793" s="7015" t="s">
        <v>8144</v>
      </c>
    </row>
    <row r="794" spans="1:12" ht="30" customHeight="1" x14ac:dyDescent="0.2">
      <c r="A794" s="7654">
        <v>331</v>
      </c>
      <c r="B794" s="7652" t="s">
        <v>339</v>
      </c>
      <c r="C794" s="7723" t="s">
        <v>371</v>
      </c>
      <c r="D794" s="6635">
        <v>290000000</v>
      </c>
      <c r="E794" s="6705">
        <v>0.06</v>
      </c>
      <c r="F794" s="6635">
        <f t="shared" si="67"/>
        <v>17400000</v>
      </c>
      <c r="G794" s="6635">
        <v>17400000</v>
      </c>
      <c r="H794" s="6635" t="s">
        <v>8164</v>
      </c>
      <c r="I794" s="6635" t="s">
        <v>1840</v>
      </c>
      <c r="J794" s="6635">
        <f>G794</f>
        <v>17400000</v>
      </c>
      <c r="K794" s="6635">
        <f t="shared" si="66"/>
        <v>0</v>
      </c>
      <c r="L794" s="7029" t="s">
        <v>8194</v>
      </c>
    </row>
    <row r="795" spans="1:12" ht="30" customHeight="1" x14ac:dyDescent="0.2">
      <c r="A795" s="7655"/>
      <c r="B795" s="7653"/>
      <c r="C795" s="7724"/>
      <c r="D795" s="7022">
        <v>340000000</v>
      </c>
      <c r="E795" s="7037">
        <v>0.08</v>
      </c>
      <c r="F795" s="7022">
        <f t="shared" si="67"/>
        <v>27200000</v>
      </c>
      <c r="G795" s="7470" t="s">
        <v>8195</v>
      </c>
      <c r="H795" s="7493"/>
      <c r="I795" s="7493"/>
      <c r="J795" s="7510"/>
      <c r="K795" s="7020"/>
      <c r="L795" s="7029" t="s">
        <v>8217</v>
      </c>
    </row>
    <row r="796" spans="1:12" ht="30" customHeight="1" x14ac:dyDescent="0.2">
      <c r="A796" s="7654">
        <v>333</v>
      </c>
      <c r="B796" s="7652" t="s">
        <v>888</v>
      </c>
      <c r="C796" s="7723" t="s">
        <v>889</v>
      </c>
      <c r="D796" s="6643">
        <v>320000000</v>
      </c>
      <c r="E796" s="6705">
        <v>7.0000000000000007E-2</v>
      </c>
      <c r="F796" s="6643">
        <f t="shared" si="67"/>
        <v>22400000.000000004</v>
      </c>
      <c r="G796" s="6851">
        <v>21000000</v>
      </c>
      <c r="H796" s="6851" t="s">
        <v>7974</v>
      </c>
      <c r="I796" s="6865" t="s">
        <v>2864</v>
      </c>
      <c r="J796" s="7482">
        <f>G796+G797</f>
        <v>29400000</v>
      </c>
      <c r="K796" s="7482">
        <f>(F796+F797)-J796</f>
        <v>0</v>
      </c>
      <c r="L796" s="7818"/>
    </row>
    <row r="797" spans="1:12" ht="30" customHeight="1" x14ac:dyDescent="0.2">
      <c r="A797" s="7655"/>
      <c r="B797" s="7653"/>
      <c r="C797" s="7724"/>
      <c r="D797" s="6643">
        <v>100000000</v>
      </c>
      <c r="E797" s="6705">
        <v>7.0000000000000007E-2</v>
      </c>
      <c r="F797" s="6643">
        <f t="shared" si="67"/>
        <v>7000000.0000000009</v>
      </c>
      <c r="G797" s="6851">
        <v>8400000</v>
      </c>
      <c r="H797" s="6851" t="s">
        <v>7974</v>
      </c>
      <c r="I797" s="6865" t="s">
        <v>2864</v>
      </c>
      <c r="J797" s="7482"/>
      <c r="K797" s="7482"/>
      <c r="L797" s="7819"/>
    </row>
    <row r="798" spans="1:12" ht="30" customHeight="1" x14ac:dyDescent="0.2">
      <c r="A798" s="7654">
        <v>335</v>
      </c>
      <c r="B798" s="7652" t="s">
        <v>1276</v>
      </c>
      <c r="C798" s="7723" t="s">
        <v>889</v>
      </c>
      <c r="D798" s="6643">
        <v>15000000</v>
      </c>
      <c r="E798" s="6705">
        <v>0.05</v>
      </c>
      <c r="F798" s="6643">
        <f t="shared" si="67"/>
        <v>750000</v>
      </c>
      <c r="G798" s="6643">
        <v>1500000</v>
      </c>
      <c r="H798" s="6643" t="s">
        <v>7968</v>
      </c>
      <c r="I798" s="6771" t="s">
        <v>7973</v>
      </c>
      <c r="J798" s="6643">
        <f>G798</f>
        <v>1500000</v>
      </c>
      <c r="K798" s="6643">
        <f>F798-J798</f>
        <v>-750000</v>
      </c>
      <c r="L798" s="6742"/>
    </row>
    <row r="799" spans="1:12" ht="30" customHeight="1" x14ac:dyDescent="0.2">
      <c r="A799" s="7655"/>
      <c r="B799" s="7653"/>
      <c r="C799" s="7724"/>
      <c r="D799" s="7059">
        <v>40000000</v>
      </c>
      <c r="E799" s="7077">
        <v>0.06</v>
      </c>
      <c r="F799" s="7059">
        <f t="shared" si="67"/>
        <v>2400000</v>
      </c>
      <c r="G799" s="7059"/>
      <c r="H799" s="7059"/>
      <c r="I799" s="7084"/>
      <c r="J799" s="7059"/>
      <c r="K799" s="7058"/>
      <c r="L799" s="7102" t="s">
        <v>8216</v>
      </c>
    </row>
    <row r="800" spans="1:12" ht="30" customHeight="1" x14ac:dyDescent="0.2">
      <c r="A800" s="7654">
        <v>336</v>
      </c>
      <c r="B800" s="7652" t="s">
        <v>2576</v>
      </c>
      <c r="C800" s="7723" t="s">
        <v>889</v>
      </c>
      <c r="D800" s="6752">
        <v>210000000</v>
      </c>
      <c r="E800" s="6789">
        <v>0.05</v>
      </c>
      <c r="F800" s="6752">
        <f>D800*E800</f>
        <v>10500000</v>
      </c>
      <c r="G800" s="6986">
        <v>10000000</v>
      </c>
      <c r="H800" s="6986" t="s">
        <v>8025</v>
      </c>
      <c r="I800" s="7006" t="s">
        <v>8102</v>
      </c>
      <c r="J800" s="6986">
        <f>G800</f>
        <v>10000000</v>
      </c>
      <c r="K800" s="7563"/>
      <c r="L800" s="6742" t="s">
        <v>7015</v>
      </c>
    </row>
    <row r="801" spans="1:12" ht="30" customHeight="1" x14ac:dyDescent="0.2">
      <c r="A801" s="7656"/>
      <c r="B801" s="7665"/>
      <c r="C801" s="7747"/>
      <c r="D801" s="6643">
        <v>10000000</v>
      </c>
      <c r="E801" s="6705"/>
      <c r="F801" s="6643"/>
      <c r="G801" s="6986">
        <v>4700000</v>
      </c>
      <c r="H801" s="6986" t="s">
        <v>8156</v>
      </c>
      <c r="I801" s="7006" t="s">
        <v>8157</v>
      </c>
      <c r="J801" s="6986">
        <f>G801</f>
        <v>4700000</v>
      </c>
      <c r="K801" s="7586"/>
      <c r="L801" s="6652"/>
    </row>
    <row r="802" spans="1:12" ht="30" customHeight="1" x14ac:dyDescent="0.2">
      <c r="A802" s="7656"/>
      <c r="B802" s="7665"/>
      <c r="C802" s="7747"/>
      <c r="D802" s="6643">
        <v>10000000</v>
      </c>
      <c r="E802" s="6705"/>
      <c r="F802" s="6643"/>
      <c r="G802" s="6986"/>
      <c r="H802" s="6986"/>
      <c r="I802" s="7006"/>
      <c r="J802" s="6986"/>
      <c r="K802" s="7586"/>
      <c r="L802" s="6721" t="s">
        <v>6380</v>
      </c>
    </row>
    <row r="803" spans="1:12" ht="30" customHeight="1" x14ac:dyDescent="0.2">
      <c r="A803" s="7656"/>
      <c r="B803" s="7665"/>
      <c r="C803" s="7747"/>
      <c r="D803" s="6643">
        <v>10000000</v>
      </c>
      <c r="E803" s="6705"/>
      <c r="F803" s="6643"/>
      <c r="G803" s="6986"/>
      <c r="H803" s="6986"/>
      <c r="I803" s="7006"/>
      <c r="J803" s="6986"/>
      <c r="K803" s="7586"/>
      <c r="L803" s="6721" t="s">
        <v>6381</v>
      </c>
    </row>
    <row r="804" spans="1:12" ht="30" customHeight="1" x14ac:dyDescent="0.2">
      <c r="A804" s="7656"/>
      <c r="B804" s="7665"/>
      <c r="C804" s="7747"/>
      <c r="D804" s="6643">
        <v>10000000</v>
      </c>
      <c r="E804" s="6705"/>
      <c r="F804" s="6643"/>
      <c r="G804" s="6986"/>
      <c r="H804" s="6986"/>
      <c r="I804" s="7006"/>
      <c r="J804" s="6986"/>
      <c r="K804" s="7586"/>
      <c r="L804" s="6721" t="s">
        <v>7126</v>
      </c>
    </row>
    <row r="805" spans="1:12" ht="30" customHeight="1" x14ac:dyDescent="0.2">
      <c r="A805" s="7656"/>
      <c r="B805" s="7665"/>
      <c r="C805" s="7747"/>
      <c r="D805" s="6643">
        <v>10000000</v>
      </c>
      <c r="E805" s="6705"/>
      <c r="F805" s="6643"/>
      <c r="G805" s="6986"/>
      <c r="H805" s="6986"/>
      <c r="I805" s="7006"/>
      <c r="J805" s="6986"/>
      <c r="K805" s="7586"/>
      <c r="L805" s="6721" t="s">
        <v>7127</v>
      </c>
    </row>
    <row r="806" spans="1:12" ht="30" customHeight="1" x14ac:dyDescent="0.2">
      <c r="A806" s="7656"/>
      <c r="B806" s="7665"/>
      <c r="C806" s="7747"/>
      <c r="D806" s="6643">
        <v>10000000</v>
      </c>
      <c r="E806" s="6705"/>
      <c r="F806" s="6643"/>
      <c r="G806" s="6986"/>
      <c r="H806" s="6986"/>
      <c r="I806" s="7006"/>
      <c r="J806" s="6986"/>
      <c r="K806" s="7564"/>
      <c r="L806" s="6721" t="s">
        <v>7128</v>
      </c>
    </row>
    <row r="807" spans="1:12" ht="30" customHeight="1" x14ac:dyDescent="0.2">
      <c r="A807" s="7655"/>
      <c r="B807" s="7653"/>
      <c r="C807" s="7724"/>
      <c r="D807" s="6752">
        <f>SUM(D801:D806)</f>
        <v>60000000</v>
      </c>
      <c r="E807" s="6789"/>
      <c r="F807" s="6752"/>
      <c r="G807" s="7732" t="s">
        <v>7437</v>
      </c>
      <c r="H807" s="7733"/>
      <c r="I807" s="7733"/>
      <c r="J807" s="7734"/>
      <c r="K807" s="6643"/>
      <c r="L807" s="6721" t="s">
        <v>7016</v>
      </c>
    </row>
    <row r="808" spans="1:12" ht="30" customHeight="1" x14ac:dyDescent="0.2">
      <c r="A808" s="6659">
        <v>337</v>
      </c>
      <c r="B808" s="6711" t="s">
        <v>1304</v>
      </c>
      <c r="C808" s="6683" t="s">
        <v>889</v>
      </c>
      <c r="D808" s="6643">
        <v>355000000</v>
      </c>
      <c r="E808" s="6705">
        <v>7.0000000000000007E-2</v>
      </c>
      <c r="F808" s="6643">
        <v>25000000</v>
      </c>
      <c r="G808" s="7954" t="s">
        <v>8030</v>
      </c>
      <c r="H808" s="7955"/>
      <c r="I808" s="7955"/>
      <c r="J808" s="7956"/>
      <c r="K808" s="6641">
        <f>F808-J808</f>
        <v>25000000</v>
      </c>
      <c r="L808" s="6721" t="s">
        <v>5337</v>
      </c>
    </row>
    <row r="809" spans="1:12" ht="30" customHeight="1" x14ac:dyDescent="0.2">
      <c r="A809" s="7654"/>
      <c r="B809" s="7703" t="s">
        <v>1677</v>
      </c>
      <c r="C809" s="7723" t="s">
        <v>889</v>
      </c>
      <c r="D809" s="3251">
        <v>235500000</v>
      </c>
      <c r="E809" s="6705">
        <v>7.0000000000000007E-2</v>
      </c>
      <c r="F809" s="6643">
        <f t="shared" ref="F809:F854" si="68">D809*E809</f>
        <v>16485000.000000002</v>
      </c>
      <c r="G809" s="6634"/>
      <c r="H809" s="6636"/>
      <c r="I809" s="6636"/>
      <c r="J809" s="6636"/>
      <c r="K809" s="1604"/>
      <c r="L809" s="6721" t="s">
        <v>5300</v>
      </c>
    </row>
    <row r="810" spans="1:12" ht="30" customHeight="1" x14ac:dyDescent="0.2">
      <c r="A810" s="7656"/>
      <c r="B810" s="7704"/>
      <c r="C810" s="7747"/>
      <c r="D810" s="3247">
        <v>300000000</v>
      </c>
      <c r="E810" s="3249">
        <v>7.0000000000000007E-2</v>
      </c>
      <c r="F810" s="3247">
        <f t="shared" si="68"/>
        <v>21000000.000000004</v>
      </c>
      <c r="G810" s="7732" t="s">
        <v>5290</v>
      </c>
      <c r="H810" s="7733"/>
      <c r="I810" s="7733"/>
      <c r="J810" s="7733"/>
      <c r="K810" s="7734"/>
      <c r="L810" s="6721"/>
    </row>
    <row r="811" spans="1:12" ht="30" customHeight="1" x14ac:dyDescent="0.2">
      <c r="A811" s="7656"/>
      <c r="B811" s="7704"/>
      <c r="C811" s="7747"/>
      <c r="D811" s="3247">
        <v>30000000</v>
      </c>
      <c r="E811" s="3249">
        <v>7.0000000000000007E-2</v>
      </c>
      <c r="F811" s="3247">
        <f t="shared" si="68"/>
        <v>2100000</v>
      </c>
      <c r="G811" s="7732" t="s">
        <v>5299</v>
      </c>
      <c r="H811" s="7733"/>
      <c r="I811" s="7733"/>
      <c r="J811" s="7733"/>
      <c r="K811" s="7734"/>
      <c r="L811" s="6721"/>
    </row>
    <row r="812" spans="1:12" ht="30" customHeight="1" x14ac:dyDescent="0.2">
      <c r="A812" s="7656"/>
      <c r="B812" s="7704"/>
      <c r="C812" s="7747"/>
      <c r="D812" s="3248">
        <v>20000000</v>
      </c>
      <c r="E812" s="3250">
        <v>7.0000000000000007E-2</v>
      </c>
      <c r="F812" s="3248">
        <f>D812*E812</f>
        <v>1400000.0000000002</v>
      </c>
      <c r="G812" s="7732" t="s">
        <v>5296</v>
      </c>
      <c r="H812" s="7733"/>
      <c r="I812" s="7733"/>
      <c r="J812" s="7733"/>
      <c r="K812" s="7734"/>
      <c r="L812" s="6721"/>
    </row>
    <row r="813" spans="1:12" ht="30" customHeight="1" x14ac:dyDescent="0.2">
      <c r="A813" s="7656"/>
      <c r="B813" s="7704"/>
      <c r="C813" s="7747"/>
      <c r="D813" s="3248">
        <v>12000000</v>
      </c>
      <c r="E813" s="3250">
        <v>7.0000000000000007E-2</v>
      </c>
      <c r="F813" s="3248">
        <f>D813*E813</f>
        <v>840000.00000000012</v>
      </c>
      <c r="G813" s="7732" t="s">
        <v>5291</v>
      </c>
      <c r="H813" s="7733"/>
      <c r="I813" s="7733"/>
      <c r="J813" s="7733"/>
      <c r="K813" s="7734"/>
      <c r="L813" s="6721"/>
    </row>
    <row r="814" spans="1:12" ht="30" customHeight="1" x14ac:dyDescent="0.2">
      <c r="A814" s="7656"/>
      <c r="B814" s="7704"/>
      <c r="C814" s="7747"/>
      <c r="D814" s="6640">
        <f>SUM(D810:D813)</f>
        <v>362000000</v>
      </c>
      <c r="E814" s="6676">
        <v>7.0000000000000007E-2</v>
      </c>
      <c r="F814" s="6640">
        <f>D814*E814</f>
        <v>25340000.000000004</v>
      </c>
      <c r="G814" s="7732" t="s">
        <v>5544</v>
      </c>
      <c r="H814" s="7733"/>
      <c r="I814" s="7733"/>
      <c r="J814" s="7733"/>
      <c r="K814" s="7734"/>
      <c r="L814" s="6721"/>
    </row>
    <row r="815" spans="1:12" ht="30" customHeight="1" x14ac:dyDescent="0.2">
      <c r="A815" s="7656"/>
      <c r="B815" s="7704"/>
      <c r="C815" s="7747"/>
      <c r="D815" s="8015">
        <f>D809+D814</f>
        <v>597500000</v>
      </c>
      <c r="E815" s="8016"/>
      <c r="F815" s="3248">
        <f>F809+F814</f>
        <v>41825000.000000007</v>
      </c>
      <c r="G815" s="6634"/>
      <c r="H815" s="6636"/>
      <c r="I815" s="6636"/>
      <c r="J815" s="6636"/>
      <c r="K815" s="1604"/>
      <c r="L815" s="6721"/>
    </row>
    <row r="816" spans="1:12" ht="30" customHeight="1" x14ac:dyDescent="0.2">
      <c r="A816" s="7656"/>
      <c r="B816" s="7704"/>
      <c r="C816" s="7747"/>
      <c r="D816" s="6757">
        <v>45000000</v>
      </c>
      <c r="E816" s="6722">
        <v>7.0000000000000007E-2</v>
      </c>
      <c r="F816" s="6757">
        <f>D816*E816</f>
        <v>3150000.0000000005</v>
      </c>
      <c r="G816" s="7732" t="s">
        <v>5292</v>
      </c>
      <c r="H816" s="7733"/>
      <c r="I816" s="7733"/>
      <c r="J816" s="7733"/>
      <c r="K816" s="7734"/>
      <c r="L816" s="6721"/>
    </row>
    <row r="817" spans="1:12" ht="30" customHeight="1" x14ac:dyDescent="0.2">
      <c r="A817" s="7656"/>
      <c r="B817" s="7704"/>
      <c r="C817" s="7747"/>
      <c r="D817" s="6757">
        <v>100000000</v>
      </c>
      <c r="E817" s="6722">
        <v>7.0000000000000007E-2</v>
      </c>
      <c r="F817" s="6757">
        <f>D817*E817</f>
        <v>7000000.0000000009</v>
      </c>
      <c r="G817" s="7732" t="s">
        <v>5293</v>
      </c>
      <c r="H817" s="7733"/>
      <c r="I817" s="7733"/>
      <c r="J817" s="7733"/>
      <c r="K817" s="7734"/>
      <c r="L817" s="6721"/>
    </row>
    <row r="818" spans="1:12" ht="30" customHeight="1" x14ac:dyDescent="0.2">
      <c r="A818" s="7656"/>
      <c r="B818" s="7704"/>
      <c r="C818" s="7747"/>
      <c r="D818" s="6757">
        <v>80000000</v>
      </c>
      <c r="E818" s="6722">
        <v>7.0000000000000007E-2</v>
      </c>
      <c r="F818" s="6757">
        <f t="shared" ref="F818:F819" si="69">D818*E818</f>
        <v>5600000.0000000009</v>
      </c>
      <c r="G818" s="7732" t="s">
        <v>5294</v>
      </c>
      <c r="H818" s="7733"/>
      <c r="I818" s="7733"/>
      <c r="J818" s="7733"/>
      <c r="K818" s="7734"/>
      <c r="L818" s="6721"/>
    </row>
    <row r="819" spans="1:12" ht="30" customHeight="1" x14ac:dyDescent="0.2">
      <c r="A819" s="7656"/>
      <c r="B819" s="7704"/>
      <c r="C819" s="7747"/>
      <c r="D819" s="6757">
        <v>55000000</v>
      </c>
      <c r="E819" s="6722">
        <v>7.0000000000000007E-2</v>
      </c>
      <c r="F819" s="6757">
        <f t="shared" si="69"/>
        <v>3850000.0000000005</v>
      </c>
      <c r="G819" s="7732" t="s">
        <v>5295</v>
      </c>
      <c r="H819" s="7733"/>
      <c r="I819" s="7733"/>
      <c r="J819" s="7733"/>
      <c r="K819" s="7734"/>
      <c r="L819" s="6721"/>
    </row>
    <row r="820" spans="1:12" ht="30" customHeight="1" x14ac:dyDescent="0.2">
      <c r="A820" s="7656"/>
      <c r="B820" s="7704"/>
      <c r="C820" s="7747"/>
      <c r="D820" s="7858">
        <f>D815+D816+D817+D818+D819</f>
        <v>877500000</v>
      </c>
      <c r="E820" s="7860"/>
      <c r="F820" s="6757">
        <f>F815+F816+F817+F818+F819</f>
        <v>61425000.000000007</v>
      </c>
      <c r="G820" s="7806" t="s">
        <v>3673</v>
      </c>
      <c r="H820" s="7807"/>
      <c r="I820" s="7807"/>
      <c r="J820" s="7807"/>
      <c r="K820" s="7808"/>
      <c r="L820" s="6721"/>
    </row>
    <row r="821" spans="1:12" ht="30" customHeight="1" x14ac:dyDescent="0.2">
      <c r="A821" s="7656"/>
      <c r="B821" s="7704"/>
      <c r="C821" s="7747"/>
      <c r="D821" s="6762">
        <v>150000000</v>
      </c>
      <c r="E821" s="6738">
        <v>7.0000000000000007E-2</v>
      </c>
      <c r="F821" s="6762">
        <f>D821*E821</f>
        <v>10500000.000000002</v>
      </c>
      <c r="G821" s="7732" t="s">
        <v>5298</v>
      </c>
      <c r="H821" s="7733"/>
      <c r="I821" s="7733"/>
      <c r="J821" s="7733"/>
      <c r="K821" s="7734"/>
      <c r="L821" s="6721"/>
    </row>
    <row r="822" spans="1:12" ht="30" customHeight="1" x14ac:dyDescent="0.2">
      <c r="A822" s="7656"/>
      <c r="B822" s="7704"/>
      <c r="C822" s="7747"/>
      <c r="D822" s="6762">
        <v>100000000</v>
      </c>
      <c r="E822" s="6738">
        <v>7.0000000000000007E-2</v>
      </c>
      <c r="F822" s="6762">
        <f>D822*E822</f>
        <v>7000000.0000000009</v>
      </c>
      <c r="G822" s="7732" t="s">
        <v>5297</v>
      </c>
      <c r="H822" s="7733"/>
      <c r="I822" s="7733"/>
      <c r="J822" s="7733"/>
      <c r="K822" s="7734"/>
      <c r="L822" s="6721"/>
    </row>
    <row r="823" spans="1:12" ht="30" customHeight="1" x14ac:dyDescent="0.2">
      <c r="A823" s="7656"/>
      <c r="B823" s="7704"/>
      <c r="C823" s="7747"/>
      <c r="D823" s="8004">
        <f>D820+D821+D822</f>
        <v>1127500000</v>
      </c>
      <c r="E823" s="8005"/>
      <c r="F823" s="6762">
        <f>F820+F821+F822</f>
        <v>78925000.000000015</v>
      </c>
      <c r="G823" s="8085" t="s">
        <v>3882</v>
      </c>
      <c r="H823" s="8086"/>
      <c r="I823" s="8086"/>
      <c r="J823" s="8086"/>
      <c r="K823" s="8087"/>
      <c r="L823" s="6721"/>
    </row>
    <row r="824" spans="1:12" ht="30" customHeight="1" x14ac:dyDescent="0.2">
      <c r="A824" s="7656"/>
      <c r="B824" s="7704"/>
      <c r="C824" s="7747"/>
      <c r="D824" s="6731">
        <v>70000000</v>
      </c>
      <c r="E824" s="3245">
        <v>7.0000000000000007E-2</v>
      </c>
      <c r="F824" s="6731">
        <f>D824*E824</f>
        <v>4900000.0000000009</v>
      </c>
      <c r="G824" s="7732" t="s">
        <v>5543</v>
      </c>
      <c r="H824" s="7733"/>
      <c r="I824" s="7733"/>
      <c r="J824" s="7733"/>
      <c r="K824" s="7734"/>
      <c r="L824" s="6721"/>
    </row>
    <row r="825" spans="1:12" ht="30" customHeight="1" x14ac:dyDescent="0.2">
      <c r="A825" s="7656"/>
      <c r="B825" s="7704"/>
      <c r="C825" s="7747"/>
      <c r="D825" s="7883">
        <f>D823+D824</f>
        <v>1197500000</v>
      </c>
      <c r="E825" s="7884"/>
      <c r="F825" s="6731">
        <f>F823+F824</f>
        <v>83825000.000000015</v>
      </c>
      <c r="G825" s="8255" t="s">
        <v>4366</v>
      </c>
      <c r="H825" s="8256"/>
      <c r="I825" s="8256"/>
      <c r="J825" s="8256"/>
      <c r="K825" s="8257"/>
      <c r="L825" s="6721"/>
    </row>
    <row r="826" spans="1:12" ht="30" customHeight="1" x14ac:dyDescent="0.2">
      <c r="A826" s="7656"/>
      <c r="B826" s="7704"/>
      <c r="C826" s="7747"/>
      <c r="D826" s="3239">
        <v>79115000</v>
      </c>
      <c r="E826" s="3246">
        <v>7.0000000000000007E-2</v>
      </c>
      <c r="F826" s="3239">
        <f>D826*E826</f>
        <v>5538050.0000000009</v>
      </c>
      <c r="G826" s="7732" t="s">
        <v>4974</v>
      </c>
      <c r="H826" s="7733"/>
      <c r="I826" s="7733"/>
      <c r="J826" s="7733"/>
      <c r="K826" s="7734"/>
      <c r="L826" s="6721"/>
    </row>
    <row r="827" spans="1:12" ht="30" customHeight="1" x14ac:dyDescent="0.2">
      <c r="A827" s="7656"/>
      <c r="B827" s="7704"/>
      <c r="C827" s="7747"/>
      <c r="D827" s="3239">
        <v>100000000</v>
      </c>
      <c r="E827" s="3246">
        <v>7.0000000000000007E-2</v>
      </c>
      <c r="F827" s="3239">
        <f>D827*E827</f>
        <v>7000000.0000000009</v>
      </c>
      <c r="G827" s="7732" t="s">
        <v>4973</v>
      </c>
      <c r="H827" s="7733"/>
      <c r="I827" s="7733"/>
      <c r="J827" s="7733"/>
      <c r="K827" s="7734"/>
      <c r="L827" s="6721"/>
    </row>
    <row r="828" spans="1:12" ht="30" customHeight="1" x14ac:dyDescent="0.2">
      <c r="A828" s="7656"/>
      <c r="B828" s="7704"/>
      <c r="C828" s="7747"/>
      <c r="D828" s="3239">
        <f>71051000-166000</f>
        <v>70885000</v>
      </c>
      <c r="E828" s="3246">
        <v>7.0000000000000007E-2</v>
      </c>
      <c r="F828" s="3239">
        <f>D828*E828</f>
        <v>4961950.0000000009</v>
      </c>
      <c r="G828" s="8099" t="s">
        <v>5165</v>
      </c>
      <c r="H828" s="8100"/>
      <c r="I828" s="8100"/>
      <c r="J828" s="8100"/>
      <c r="K828" s="8101"/>
      <c r="L828" s="6721"/>
    </row>
    <row r="829" spans="1:12" ht="30" customHeight="1" x14ac:dyDescent="0.2">
      <c r="A829" s="7656"/>
      <c r="B829" s="7704"/>
      <c r="C829" s="7747"/>
      <c r="D829" s="3239">
        <v>100000000</v>
      </c>
      <c r="E829" s="3240">
        <v>7.0000000000000007E-2</v>
      </c>
      <c r="F829" s="3239">
        <f>D829*E829</f>
        <v>7000000.0000000009</v>
      </c>
      <c r="G829" s="7732" t="s">
        <v>5018</v>
      </c>
      <c r="H829" s="7733"/>
      <c r="I829" s="7733"/>
      <c r="J829" s="7733"/>
      <c r="K829" s="7734"/>
      <c r="L829" s="6721"/>
    </row>
    <row r="830" spans="1:12" ht="30" customHeight="1" x14ac:dyDescent="0.2">
      <c r="A830" s="7656"/>
      <c r="B830" s="7704"/>
      <c r="C830" s="7747"/>
      <c r="D830" s="8350">
        <f>D825+D826+D827+D828+D829</f>
        <v>1547500000</v>
      </c>
      <c r="E830" s="8351"/>
      <c r="F830" s="8326">
        <f>F825+F826+F827+F828+F829</f>
        <v>108325000.00000001</v>
      </c>
      <c r="G830" s="8258" t="s">
        <v>4975</v>
      </c>
      <c r="H830" s="8259"/>
      <c r="I830" s="8259"/>
      <c r="J830" s="8259"/>
      <c r="K830" s="8260"/>
      <c r="L830" s="1540" t="s">
        <v>4976</v>
      </c>
    </row>
    <row r="831" spans="1:12" ht="30" customHeight="1" x14ac:dyDescent="0.2">
      <c r="A831" s="7656"/>
      <c r="B831" s="7704"/>
      <c r="C831" s="7747"/>
      <c r="D831" s="8352"/>
      <c r="E831" s="8353"/>
      <c r="F831" s="8327"/>
      <c r="G831" s="6634"/>
      <c r="H831" s="7482"/>
      <c r="I831" s="7494" t="s">
        <v>1720</v>
      </c>
      <c r="J831" s="7482">
        <f>G831+G832</f>
        <v>0</v>
      </c>
      <c r="K831" s="7563">
        <f>F830-G831</f>
        <v>108325000.00000001</v>
      </c>
      <c r="L831" s="3824" t="s">
        <v>4906</v>
      </c>
    </row>
    <row r="832" spans="1:12" ht="30" customHeight="1" x14ac:dyDescent="0.2">
      <c r="A832" s="7656"/>
      <c r="B832" s="7704"/>
      <c r="C832" s="7747"/>
      <c r="D832" s="8354"/>
      <c r="E832" s="8355"/>
      <c r="F832" s="8328"/>
      <c r="G832" s="6634"/>
      <c r="H832" s="7482"/>
      <c r="I832" s="7769"/>
      <c r="J832" s="7482"/>
      <c r="K832" s="7564"/>
      <c r="L832" s="3824"/>
    </row>
    <row r="833" spans="1:12" ht="30" customHeight="1" x14ac:dyDescent="0.2">
      <c r="A833" s="7656"/>
      <c r="B833" s="7704"/>
      <c r="C833" s="7747"/>
      <c r="D833" s="3826">
        <v>70000000</v>
      </c>
      <c r="E833" s="6768">
        <v>7.0000000000000007E-2</v>
      </c>
      <c r="F833" s="3826">
        <f t="shared" ref="F833:F840" si="70">D833*E833</f>
        <v>4900000.0000000009</v>
      </c>
      <c r="G833" s="7732" t="s">
        <v>5542</v>
      </c>
      <c r="H833" s="7733"/>
      <c r="I833" s="7733"/>
      <c r="J833" s="7733"/>
      <c r="K833" s="7734"/>
      <c r="L833" s="3824"/>
    </row>
    <row r="834" spans="1:12" ht="30" customHeight="1" x14ac:dyDescent="0.2">
      <c r="A834" s="7656"/>
      <c r="B834" s="7704"/>
      <c r="C834" s="7747"/>
      <c r="D834" s="3826">
        <v>34000000</v>
      </c>
      <c r="E834" s="3948">
        <v>7.0000000000000007E-2</v>
      </c>
      <c r="F834" s="3826">
        <f t="shared" si="70"/>
        <v>2380000</v>
      </c>
      <c r="G834" s="7732" t="s">
        <v>5669</v>
      </c>
      <c r="H834" s="7733"/>
      <c r="I834" s="7733"/>
      <c r="J834" s="7733"/>
      <c r="K834" s="7734"/>
      <c r="L834" s="3824"/>
    </row>
    <row r="835" spans="1:12" ht="30" customHeight="1" x14ac:dyDescent="0.2">
      <c r="A835" s="7656"/>
      <c r="B835" s="7704"/>
      <c r="C835" s="7747"/>
      <c r="D835" s="3826">
        <v>100000000</v>
      </c>
      <c r="E835" s="295">
        <v>7.0000000000000007E-2</v>
      </c>
      <c r="F835" s="3826">
        <f t="shared" si="70"/>
        <v>7000000.0000000009</v>
      </c>
      <c r="G835" s="7732" t="s">
        <v>5670</v>
      </c>
      <c r="H835" s="7733"/>
      <c r="I835" s="7733"/>
      <c r="J835" s="7733"/>
      <c r="K835" s="7734"/>
      <c r="L835" s="3824"/>
    </row>
    <row r="836" spans="1:12" ht="30" customHeight="1" x14ac:dyDescent="0.2">
      <c r="A836" s="7656"/>
      <c r="B836" s="7704"/>
      <c r="C836" s="7747"/>
      <c r="D836" s="3826">
        <v>66000000</v>
      </c>
      <c r="E836" s="295">
        <v>7.0000000000000007E-2</v>
      </c>
      <c r="F836" s="3826">
        <f t="shared" si="70"/>
        <v>4620000</v>
      </c>
      <c r="G836" s="7732" t="s">
        <v>5672</v>
      </c>
      <c r="H836" s="7733"/>
      <c r="I836" s="7733"/>
      <c r="J836" s="7733"/>
      <c r="K836" s="7734"/>
      <c r="L836" s="3824"/>
    </row>
    <row r="837" spans="1:12" ht="30" customHeight="1" x14ac:dyDescent="0.2">
      <c r="A837" s="7656"/>
      <c r="B837" s="7704"/>
      <c r="C837" s="7747"/>
      <c r="D837" s="3826">
        <v>100000000</v>
      </c>
      <c r="E837" s="295">
        <v>7.0000000000000007E-2</v>
      </c>
      <c r="F837" s="3826">
        <f t="shared" si="70"/>
        <v>7000000.0000000009</v>
      </c>
      <c r="G837" s="7732" t="s">
        <v>5671</v>
      </c>
      <c r="H837" s="7733"/>
      <c r="I837" s="7733"/>
      <c r="J837" s="7733"/>
      <c r="K837" s="7734"/>
      <c r="L837" s="3824"/>
    </row>
    <row r="838" spans="1:12" ht="30" customHeight="1" x14ac:dyDescent="0.2">
      <c r="A838" s="7656"/>
      <c r="B838" s="7704"/>
      <c r="C838" s="7747"/>
      <c r="D838" s="3826">
        <v>100000000</v>
      </c>
      <c r="E838" s="295">
        <v>7.0000000000000007E-2</v>
      </c>
      <c r="F838" s="3826">
        <f t="shared" si="70"/>
        <v>7000000.0000000009</v>
      </c>
      <c r="G838" s="7732" t="s">
        <v>5673</v>
      </c>
      <c r="H838" s="7733"/>
      <c r="I838" s="7733"/>
      <c r="J838" s="7733"/>
      <c r="K838" s="7734"/>
      <c r="L838" s="3824"/>
    </row>
    <row r="839" spans="1:12" ht="30" customHeight="1" x14ac:dyDescent="0.2">
      <c r="A839" s="7656"/>
      <c r="B839" s="7704"/>
      <c r="C839" s="7747"/>
      <c r="D839" s="3826">
        <v>100000000</v>
      </c>
      <c r="E839" s="295">
        <v>7.0000000000000007E-2</v>
      </c>
      <c r="F839" s="3826">
        <f t="shared" si="70"/>
        <v>7000000.0000000009</v>
      </c>
      <c r="G839" s="7732" t="s">
        <v>5673</v>
      </c>
      <c r="H839" s="7733"/>
      <c r="I839" s="7733"/>
      <c r="J839" s="7733"/>
      <c r="K839" s="7734"/>
      <c r="L839" s="3824"/>
    </row>
    <row r="840" spans="1:12" ht="30" customHeight="1" x14ac:dyDescent="0.2">
      <c r="A840" s="7656"/>
      <c r="B840" s="7704"/>
      <c r="C840" s="7747"/>
      <c r="D840" s="3826">
        <v>100000000</v>
      </c>
      <c r="E840" s="3949">
        <v>7.0000000000000007E-2</v>
      </c>
      <c r="F840" s="3826">
        <f t="shared" si="70"/>
        <v>7000000.0000000009</v>
      </c>
      <c r="G840" s="7732" t="s">
        <v>5674</v>
      </c>
      <c r="H840" s="7733"/>
      <c r="I840" s="7733"/>
      <c r="J840" s="7733"/>
      <c r="K840" s="7734"/>
      <c r="L840" s="3824"/>
    </row>
    <row r="841" spans="1:12" ht="30" customHeight="1" x14ac:dyDescent="0.2">
      <c r="A841" s="7656"/>
      <c r="B841" s="7704"/>
      <c r="C841" s="7747"/>
      <c r="D841" s="8248">
        <f>D830+D833+D834+D835+D836+D837+D838+D839+D840</f>
        <v>2217500000</v>
      </c>
      <c r="E841" s="8249"/>
      <c r="F841" s="3826">
        <f>F830+F833+F834+F835+F836+F837+F838+F839+F840</f>
        <v>155225000.00000003</v>
      </c>
      <c r="G841" s="6635"/>
      <c r="H841" s="6635"/>
      <c r="I841" s="6635" t="s">
        <v>1720</v>
      </c>
      <c r="J841" s="6635">
        <f>G841</f>
        <v>0</v>
      </c>
      <c r="K841" s="6635">
        <f>F841-J841</f>
        <v>155225000.00000003</v>
      </c>
      <c r="L841" s="3825"/>
    </row>
    <row r="842" spans="1:12" ht="30" customHeight="1" x14ac:dyDescent="0.2">
      <c r="A842" s="7656"/>
      <c r="B842" s="7704"/>
      <c r="C842" s="7747"/>
      <c r="D842" s="6635">
        <v>105500000</v>
      </c>
      <c r="E842" s="6705">
        <v>7.0000000000000007E-2</v>
      </c>
      <c r="F842" s="6635">
        <f>D842*E842</f>
        <v>7385000.0000000009</v>
      </c>
      <c r="G842" s="7732" t="s">
        <v>6309</v>
      </c>
      <c r="H842" s="7733"/>
      <c r="I842" s="7733"/>
      <c r="J842" s="7734"/>
      <c r="K842" s="6635"/>
      <c r="L842" s="3825"/>
    </row>
    <row r="843" spans="1:12" ht="30" customHeight="1" x14ac:dyDescent="0.2">
      <c r="A843" s="7656"/>
      <c r="B843" s="7704"/>
      <c r="C843" s="7747"/>
      <c r="D843" s="6635">
        <v>130000000</v>
      </c>
      <c r="E843" s="6705">
        <v>7.0000000000000007E-2</v>
      </c>
      <c r="F843" s="6635">
        <f>D843*E843</f>
        <v>9100000</v>
      </c>
      <c r="G843" s="7732" t="s">
        <v>6310</v>
      </c>
      <c r="H843" s="7733"/>
      <c r="I843" s="7733"/>
      <c r="J843" s="7733"/>
      <c r="K843" s="7734"/>
      <c r="L843" s="3825"/>
    </row>
    <row r="844" spans="1:12" ht="30" customHeight="1" x14ac:dyDescent="0.2">
      <c r="A844" s="7656"/>
      <c r="B844" s="7704"/>
      <c r="C844" s="7747"/>
      <c r="D844" s="8545">
        <f>D841+D842+D843</f>
        <v>2453000000</v>
      </c>
      <c r="E844" s="8546"/>
      <c r="F844" s="8026">
        <f>D844*0.07</f>
        <v>171710000.00000003</v>
      </c>
      <c r="G844" s="6635">
        <v>10000000</v>
      </c>
      <c r="H844" s="6635" t="s">
        <v>7968</v>
      </c>
      <c r="I844" s="6635" t="s">
        <v>3524</v>
      </c>
      <c r="J844" s="7563">
        <f>G844+G853+G845+G846+G847+G848+G849+G850+G851+G852</f>
        <v>157000000</v>
      </c>
      <c r="K844" s="7563"/>
      <c r="L844" s="3825"/>
    </row>
    <row r="845" spans="1:12" ht="30" customHeight="1" x14ac:dyDescent="0.2">
      <c r="A845" s="7656"/>
      <c r="B845" s="7704"/>
      <c r="C845" s="7747"/>
      <c r="D845" s="8561"/>
      <c r="E845" s="8562"/>
      <c r="F845" s="8497"/>
      <c r="G845" s="6635">
        <v>20000000</v>
      </c>
      <c r="H845" s="6635" t="s">
        <v>7974</v>
      </c>
      <c r="I845" s="6635" t="s">
        <v>3524</v>
      </c>
      <c r="J845" s="7586"/>
      <c r="K845" s="7586"/>
      <c r="L845" s="3825"/>
    </row>
    <row r="846" spans="1:12" ht="30" customHeight="1" x14ac:dyDescent="0.2">
      <c r="A846" s="7656"/>
      <c r="B846" s="7704"/>
      <c r="C846" s="7747"/>
      <c r="D846" s="8561"/>
      <c r="E846" s="8562"/>
      <c r="F846" s="8497"/>
      <c r="G846" s="6635">
        <v>15000000</v>
      </c>
      <c r="H846" s="6635" t="s">
        <v>8081</v>
      </c>
      <c r="I846" s="6635" t="s">
        <v>1720</v>
      </c>
      <c r="J846" s="7586"/>
      <c r="K846" s="7586"/>
      <c r="L846" s="3825"/>
    </row>
    <row r="847" spans="1:12" ht="30" customHeight="1" x14ac:dyDescent="0.2">
      <c r="A847" s="7656"/>
      <c r="B847" s="7704"/>
      <c r="C847" s="7747"/>
      <c r="D847" s="8561"/>
      <c r="E847" s="8562"/>
      <c r="F847" s="8497"/>
      <c r="G847" s="6635">
        <v>30000000</v>
      </c>
      <c r="H847" s="6635" t="s">
        <v>8186</v>
      </c>
      <c r="I847" s="6635" t="s">
        <v>1720</v>
      </c>
      <c r="J847" s="7586"/>
      <c r="K847" s="7586"/>
      <c r="L847" s="3825" t="s">
        <v>8205</v>
      </c>
    </row>
    <row r="848" spans="1:12" ht="30" customHeight="1" x14ac:dyDescent="0.2">
      <c r="A848" s="7656"/>
      <c r="B848" s="7704"/>
      <c r="C848" s="7747"/>
      <c r="D848" s="8561"/>
      <c r="E848" s="8562"/>
      <c r="F848" s="8497"/>
      <c r="G848" s="7056">
        <v>7000000</v>
      </c>
      <c r="H848" s="7056" t="s">
        <v>8215</v>
      </c>
      <c r="I848" s="7056" t="s">
        <v>8219</v>
      </c>
      <c r="J848" s="7586"/>
      <c r="K848" s="7586"/>
      <c r="L848" s="3825"/>
    </row>
    <row r="849" spans="1:17" ht="30" customHeight="1" x14ac:dyDescent="0.2">
      <c r="A849" s="7656"/>
      <c r="B849" s="7704"/>
      <c r="C849" s="7747"/>
      <c r="D849" s="8561"/>
      <c r="E849" s="8562"/>
      <c r="F849" s="8497"/>
      <c r="G849" s="7056">
        <v>20000000</v>
      </c>
      <c r="H849" s="7056" t="s">
        <v>8215</v>
      </c>
      <c r="I849" s="7056" t="s">
        <v>1720</v>
      </c>
      <c r="J849" s="7586"/>
      <c r="K849" s="7586"/>
      <c r="L849" s="3825"/>
    </row>
    <row r="850" spans="1:17" ht="30" customHeight="1" x14ac:dyDescent="0.2">
      <c r="A850" s="7656"/>
      <c r="B850" s="7704"/>
      <c r="C850" s="7747"/>
      <c r="D850" s="8561"/>
      <c r="E850" s="8562"/>
      <c r="F850" s="8497"/>
      <c r="G850" s="7056">
        <v>10000000</v>
      </c>
      <c r="H850" s="7056" t="s">
        <v>3880</v>
      </c>
      <c r="I850" s="7056" t="s">
        <v>1720</v>
      </c>
      <c r="J850" s="7586"/>
      <c r="K850" s="7586"/>
      <c r="L850" s="3825"/>
    </row>
    <row r="851" spans="1:17" ht="30" customHeight="1" x14ac:dyDescent="0.2">
      <c r="A851" s="7656"/>
      <c r="B851" s="7704"/>
      <c r="C851" s="7747"/>
      <c r="D851" s="8561"/>
      <c r="E851" s="8562"/>
      <c r="F851" s="8497"/>
      <c r="G851" s="7203">
        <v>15000000</v>
      </c>
      <c r="H851" s="7203" t="s">
        <v>8339</v>
      </c>
      <c r="I851" s="7203" t="s">
        <v>1720</v>
      </c>
      <c r="J851" s="7586"/>
      <c r="K851" s="7586"/>
      <c r="L851" s="3825"/>
    </row>
    <row r="852" spans="1:17" ht="30" customHeight="1" x14ac:dyDescent="0.2">
      <c r="A852" s="7656"/>
      <c r="B852" s="7704"/>
      <c r="C852" s="7747"/>
      <c r="D852" s="8561"/>
      <c r="E852" s="8562"/>
      <c r="F852" s="8497"/>
      <c r="G852" s="7232">
        <v>30000000</v>
      </c>
      <c r="H852" s="7232" t="s">
        <v>5200</v>
      </c>
      <c r="I852" s="7232" t="s">
        <v>8364</v>
      </c>
      <c r="J852" s="7586"/>
      <c r="K852" s="7586"/>
      <c r="L852" s="3825" t="s">
        <v>8365</v>
      </c>
    </row>
    <row r="853" spans="1:17" ht="30" customHeight="1" x14ac:dyDescent="0.2">
      <c r="A853" s="7655"/>
      <c r="B853" s="7705"/>
      <c r="C853" s="7724"/>
      <c r="D853" s="8547"/>
      <c r="E853" s="8548"/>
      <c r="F853" s="8027"/>
      <c r="G853" s="6635"/>
      <c r="H853" s="6635"/>
      <c r="I853" s="6635"/>
      <c r="J853" s="7564"/>
      <c r="K853" s="7564"/>
      <c r="L853" s="3825"/>
    </row>
    <row r="854" spans="1:17" ht="30" customHeight="1" x14ac:dyDescent="0.2">
      <c r="A854" s="6655">
        <v>339</v>
      </c>
      <c r="B854" s="6713" t="s">
        <v>170</v>
      </c>
      <c r="C854" s="6684" t="s">
        <v>1306</v>
      </c>
      <c r="D854" s="6635">
        <v>200000000</v>
      </c>
      <c r="E854" s="6705">
        <v>7.0000000000000007E-2</v>
      </c>
      <c r="F854" s="6635">
        <f t="shared" si="68"/>
        <v>14000000.000000002</v>
      </c>
      <c r="G854" s="233"/>
      <c r="H854" s="233"/>
      <c r="I854" s="1388"/>
      <c r="J854" s="233"/>
      <c r="K854" s="387"/>
      <c r="L854" s="6733"/>
      <c r="M854" s="386"/>
      <c r="N854" s="386"/>
      <c r="O854" s="386"/>
      <c r="P854" s="386"/>
      <c r="Q854" s="386"/>
    </row>
    <row r="855" spans="1:17" ht="30" customHeight="1" x14ac:dyDescent="0.2">
      <c r="A855" s="7654"/>
      <c r="B855" s="7652" t="s">
        <v>67</v>
      </c>
      <c r="C855" s="7723" t="s">
        <v>1138</v>
      </c>
      <c r="D855" s="7563">
        <v>111000000</v>
      </c>
      <c r="E855" s="7659">
        <v>0.05</v>
      </c>
      <c r="F855" s="7563">
        <v>6000000</v>
      </c>
      <c r="G855" s="6635"/>
      <c r="H855" s="6635"/>
      <c r="I855" s="6635" t="s">
        <v>7290</v>
      </c>
      <c r="J855" s="6635">
        <f>G855</f>
        <v>0</v>
      </c>
      <c r="K855" s="6703">
        <f t="shared" ref="K855:K866" si="71">F855-J855</f>
        <v>6000000</v>
      </c>
      <c r="L855" s="6733" t="s">
        <v>7291</v>
      </c>
      <c r="M855" s="6733"/>
      <c r="N855" s="6733"/>
      <c r="O855" s="6733"/>
      <c r="P855" s="386"/>
      <c r="Q855" s="386"/>
    </row>
    <row r="856" spans="1:17" ht="30" customHeight="1" x14ac:dyDescent="0.2">
      <c r="A856" s="7655"/>
      <c r="B856" s="7653"/>
      <c r="C856" s="7724"/>
      <c r="D856" s="7564"/>
      <c r="E856" s="7660"/>
      <c r="F856" s="7564"/>
      <c r="G856" s="6643"/>
      <c r="H856" s="6643"/>
      <c r="I856" s="6693" t="s">
        <v>1720</v>
      </c>
      <c r="J856" s="6635">
        <f>G856</f>
        <v>0</v>
      </c>
      <c r="K856" s="6703">
        <f>F855-J856</f>
        <v>6000000</v>
      </c>
      <c r="L856" s="6724"/>
      <c r="M856" s="6363"/>
      <c r="N856" s="6363"/>
      <c r="O856" s="6363"/>
      <c r="P856" s="386"/>
      <c r="Q856" s="386"/>
    </row>
    <row r="857" spans="1:17" ht="30" customHeight="1" x14ac:dyDescent="0.2">
      <c r="A857" s="7654"/>
      <c r="B857" s="7652" t="s">
        <v>7780</v>
      </c>
      <c r="C857" s="7723"/>
      <c r="D857" s="7563">
        <v>700000000</v>
      </c>
      <c r="E857" s="7659">
        <v>0.08</v>
      </c>
      <c r="F857" s="7563">
        <f>D857*E857</f>
        <v>56000000</v>
      </c>
      <c r="G857" s="6643">
        <v>20000000</v>
      </c>
      <c r="H857" s="6643" t="s">
        <v>7945</v>
      </c>
      <c r="I857" s="6693" t="s">
        <v>3503</v>
      </c>
      <c r="J857" s="7563">
        <f>G857+G858+G859</f>
        <v>56000000</v>
      </c>
      <c r="K857" s="7816">
        <f>F857-J857</f>
        <v>0</v>
      </c>
      <c r="L857" s="7811" t="s">
        <v>7781</v>
      </c>
      <c r="M857" s="6363"/>
      <c r="N857" s="6363"/>
      <c r="O857" s="6363"/>
      <c r="P857" s="386"/>
      <c r="Q857" s="386"/>
    </row>
    <row r="858" spans="1:17" ht="30" customHeight="1" x14ac:dyDescent="0.2">
      <c r="A858" s="7656"/>
      <c r="B858" s="7665"/>
      <c r="C858" s="7747"/>
      <c r="D858" s="7586"/>
      <c r="E858" s="7676"/>
      <c r="F858" s="7586"/>
      <c r="G858" s="6852">
        <v>20000000</v>
      </c>
      <c r="H858" s="6852" t="s">
        <v>7974</v>
      </c>
      <c r="I858" s="6861" t="s">
        <v>3503</v>
      </c>
      <c r="J858" s="7586"/>
      <c r="K858" s="7882"/>
      <c r="L858" s="7897"/>
      <c r="M858" s="6363"/>
      <c r="N858" s="6363"/>
      <c r="O858" s="6363"/>
      <c r="P858" s="386"/>
      <c r="Q858" s="386"/>
    </row>
    <row r="859" spans="1:17" ht="30" customHeight="1" x14ac:dyDescent="0.2">
      <c r="A859" s="7655"/>
      <c r="B859" s="7653"/>
      <c r="C859" s="7724"/>
      <c r="D859" s="7564"/>
      <c r="E859" s="7660"/>
      <c r="F859" s="7564"/>
      <c r="G859" s="6963">
        <v>16000000</v>
      </c>
      <c r="H859" s="6963" t="s">
        <v>8111</v>
      </c>
      <c r="I859" s="6972" t="s">
        <v>3503</v>
      </c>
      <c r="J859" s="7564"/>
      <c r="K859" s="7817"/>
      <c r="L859" s="7812"/>
      <c r="M859" s="6363"/>
      <c r="N859" s="6363"/>
      <c r="O859" s="6363"/>
      <c r="P859" s="386"/>
      <c r="Q859" s="386"/>
    </row>
    <row r="860" spans="1:17" ht="30" customHeight="1" x14ac:dyDescent="0.2">
      <c r="A860" s="7654">
        <v>341</v>
      </c>
      <c r="B860" s="7652" t="s">
        <v>1357</v>
      </c>
      <c r="C860" s="7723" t="s">
        <v>889</v>
      </c>
      <c r="D860" s="7563">
        <v>150000000</v>
      </c>
      <c r="E860" s="7659">
        <f>F860/D860</f>
        <v>4.6666666666666669E-2</v>
      </c>
      <c r="F860" s="7563">
        <v>7000000</v>
      </c>
      <c r="G860" s="6643">
        <v>7000000</v>
      </c>
      <c r="H860" s="6643" t="s">
        <v>2109</v>
      </c>
      <c r="I860" s="6693" t="s">
        <v>4842</v>
      </c>
      <c r="J860" s="6635">
        <f>G860</f>
        <v>7000000</v>
      </c>
      <c r="K860" s="6639">
        <f t="shared" si="71"/>
        <v>0</v>
      </c>
      <c r="L860" s="6733"/>
      <c r="M860" s="386"/>
      <c r="N860" s="386"/>
      <c r="O860" s="386"/>
      <c r="P860" s="386"/>
      <c r="Q860" s="386"/>
    </row>
    <row r="861" spans="1:17" ht="30" customHeight="1" x14ac:dyDescent="0.2">
      <c r="A861" s="7655"/>
      <c r="B861" s="7653"/>
      <c r="C861" s="7724"/>
      <c r="D861" s="7564"/>
      <c r="E861" s="7660"/>
      <c r="F861" s="7564"/>
      <c r="G861" s="7114">
        <v>7000000</v>
      </c>
      <c r="H861" s="7114" t="s">
        <v>8267</v>
      </c>
      <c r="I861" s="7136" t="s">
        <v>4842</v>
      </c>
      <c r="J861" s="7114">
        <f>G861</f>
        <v>7000000</v>
      </c>
      <c r="K861" s="7143">
        <f>F860-J861</f>
        <v>0</v>
      </c>
      <c r="L861" s="7148"/>
      <c r="M861" s="386"/>
      <c r="N861" s="386"/>
      <c r="O861" s="386"/>
      <c r="P861" s="386"/>
      <c r="Q861" s="386"/>
    </row>
    <row r="862" spans="1:17" ht="30" customHeight="1" x14ac:dyDescent="0.2">
      <c r="A862" s="7654">
        <v>342</v>
      </c>
      <c r="B862" s="7652" t="s">
        <v>71</v>
      </c>
      <c r="C862" s="7723" t="s">
        <v>2363</v>
      </c>
      <c r="D862" s="7563">
        <v>70000000</v>
      </c>
      <c r="E862" s="7659">
        <v>0.05</v>
      </c>
      <c r="F862" s="7563">
        <f>D862*E862</f>
        <v>3500000</v>
      </c>
      <c r="G862" s="6643">
        <v>3500000</v>
      </c>
      <c r="H862" s="6643" t="s">
        <v>3808</v>
      </c>
      <c r="I862" s="6693" t="s">
        <v>4108</v>
      </c>
      <c r="J862" s="6643">
        <f t="shared" ref="J862:J885" si="72">G862</f>
        <v>3500000</v>
      </c>
      <c r="K862" s="6703">
        <f t="shared" si="71"/>
        <v>0</v>
      </c>
      <c r="L862" s="6733"/>
      <c r="M862" s="386"/>
      <c r="N862" s="386"/>
      <c r="O862" s="386"/>
      <c r="P862" s="386"/>
      <c r="Q862" s="386"/>
    </row>
    <row r="863" spans="1:17" ht="30" customHeight="1" x14ac:dyDescent="0.2">
      <c r="A863" s="7655"/>
      <c r="B863" s="7653"/>
      <c r="C863" s="7724"/>
      <c r="D863" s="7564"/>
      <c r="E863" s="7660"/>
      <c r="F863" s="7564"/>
      <c r="G863" s="7059">
        <v>3500000</v>
      </c>
      <c r="H863" s="7059" t="s">
        <v>8215</v>
      </c>
      <c r="I863" s="7069" t="s">
        <v>4108</v>
      </c>
      <c r="J863" s="7059">
        <f t="shared" si="72"/>
        <v>3500000</v>
      </c>
      <c r="K863" s="7074">
        <f>F862-J863</f>
        <v>0</v>
      </c>
      <c r="L863" s="7073"/>
      <c r="M863" s="386"/>
      <c r="N863" s="386"/>
      <c r="O863" s="386"/>
      <c r="P863" s="386"/>
      <c r="Q863" s="386"/>
    </row>
    <row r="864" spans="1:17" ht="30" customHeight="1" x14ac:dyDescent="0.2">
      <c r="A864" s="6708">
        <v>343</v>
      </c>
      <c r="B864" s="19" t="s">
        <v>1365</v>
      </c>
      <c r="C864" s="6710" t="s">
        <v>1796</v>
      </c>
      <c r="D864" s="6635">
        <v>8000000</v>
      </c>
      <c r="E864" s="6705">
        <v>0.04</v>
      </c>
      <c r="F864" s="6635">
        <f>D864*E864</f>
        <v>320000</v>
      </c>
      <c r="G864" s="6635">
        <v>320000</v>
      </c>
      <c r="H864" s="6635" t="s">
        <v>8366</v>
      </c>
      <c r="I864" s="6635" t="s">
        <v>8372</v>
      </c>
      <c r="J864" s="6635">
        <f t="shared" si="72"/>
        <v>320000</v>
      </c>
      <c r="K864" s="6639">
        <f t="shared" si="71"/>
        <v>0</v>
      </c>
      <c r="L864" s="6723"/>
      <c r="M864" s="386"/>
      <c r="N864" s="386"/>
      <c r="O864" s="386"/>
      <c r="P864" s="386"/>
      <c r="Q864" s="386"/>
    </row>
    <row r="865" spans="1:17" ht="30" customHeight="1" x14ac:dyDescent="0.2">
      <c r="A865" s="6708"/>
      <c r="B865" s="6665" t="s">
        <v>6727</v>
      </c>
      <c r="C865" s="6710"/>
      <c r="D865" s="6635">
        <v>20000000</v>
      </c>
      <c r="E865" s="6705">
        <v>0.05</v>
      </c>
      <c r="F865" s="6635">
        <f>D865*E865</f>
        <v>1000000</v>
      </c>
      <c r="G865" s="6635">
        <v>1000000</v>
      </c>
      <c r="H865" s="6635" t="s">
        <v>3880</v>
      </c>
      <c r="I865" s="6635" t="s">
        <v>7722</v>
      </c>
      <c r="J865" s="6635">
        <f t="shared" si="72"/>
        <v>1000000</v>
      </c>
      <c r="K865" s="6639">
        <f t="shared" si="71"/>
        <v>0</v>
      </c>
      <c r="L865" s="6639"/>
      <c r="M865" s="386"/>
      <c r="N865" s="386"/>
      <c r="O865" s="386"/>
      <c r="P865" s="386"/>
      <c r="Q865" s="386"/>
    </row>
    <row r="866" spans="1:17" ht="30" customHeight="1" x14ac:dyDescent="0.2">
      <c r="A866" s="6655">
        <v>344</v>
      </c>
      <c r="B866" s="6652" t="s">
        <v>1373</v>
      </c>
      <c r="C866" s="6684"/>
      <c r="D866" s="7252">
        <v>50000000</v>
      </c>
      <c r="E866" s="7254"/>
      <c r="F866" s="7252"/>
      <c r="G866" s="6643">
        <v>17000000</v>
      </c>
      <c r="H866" s="6643" t="s">
        <v>5200</v>
      </c>
      <c r="I866" s="6693" t="s">
        <v>8358</v>
      </c>
      <c r="J866" s="6643">
        <f t="shared" si="72"/>
        <v>17000000</v>
      </c>
      <c r="K866" s="6704">
        <f t="shared" si="71"/>
        <v>-17000000</v>
      </c>
      <c r="L866" s="6733" t="s">
        <v>8359</v>
      </c>
      <c r="M866" s="386"/>
      <c r="N866" s="386"/>
      <c r="O866" s="386"/>
      <c r="P866" s="386"/>
      <c r="Q866" s="386"/>
    </row>
    <row r="867" spans="1:17" ht="30" customHeight="1" x14ac:dyDescent="0.2">
      <c r="A867" s="7654">
        <v>345</v>
      </c>
      <c r="B867" s="7652" t="s">
        <v>2080</v>
      </c>
      <c r="C867" s="7723" t="s">
        <v>1299</v>
      </c>
      <c r="D867" s="7563">
        <v>60000000</v>
      </c>
      <c r="E867" s="7659">
        <v>7.0000000000000007E-2</v>
      </c>
      <c r="F867" s="7563">
        <f>D867*E867</f>
        <v>4200000</v>
      </c>
      <c r="G867" s="6643"/>
      <c r="H867" s="6643"/>
      <c r="I867" s="6693" t="s">
        <v>4126</v>
      </c>
      <c r="J867" s="6643">
        <f t="shared" si="72"/>
        <v>0</v>
      </c>
      <c r="K867" s="6703">
        <f>G867-J867</f>
        <v>0</v>
      </c>
      <c r="L867" s="6733"/>
      <c r="M867" s="386"/>
      <c r="N867" s="386"/>
      <c r="O867" s="386"/>
      <c r="P867" s="386"/>
      <c r="Q867" s="386"/>
    </row>
    <row r="868" spans="1:17" ht="30" customHeight="1" x14ac:dyDescent="0.2">
      <c r="A868" s="7655"/>
      <c r="B868" s="7653"/>
      <c r="C868" s="7724"/>
      <c r="D868" s="7564"/>
      <c r="E868" s="7660"/>
      <c r="F868" s="7564"/>
      <c r="G868" s="6643"/>
      <c r="H868" s="6643"/>
      <c r="I868" s="6693" t="s">
        <v>4126</v>
      </c>
      <c r="J868" s="6643">
        <f t="shared" si="72"/>
        <v>0</v>
      </c>
      <c r="K868" s="6703">
        <f>G868-J868</f>
        <v>0</v>
      </c>
      <c r="L868" s="6733"/>
      <c r="M868" s="386"/>
      <c r="N868" s="386"/>
      <c r="O868" s="386"/>
      <c r="P868" s="386"/>
      <c r="Q868" s="386"/>
    </row>
    <row r="869" spans="1:17" ht="30" customHeight="1" x14ac:dyDescent="0.2">
      <c r="A869" s="6655">
        <v>346</v>
      </c>
      <c r="B869" s="6652" t="s">
        <v>1380</v>
      </c>
      <c r="C869" s="6684" t="s">
        <v>1172</v>
      </c>
      <c r="D869" s="6643">
        <v>5000000</v>
      </c>
      <c r="E869" s="6705">
        <v>0.05</v>
      </c>
      <c r="F869" s="6643">
        <f>D869*E869</f>
        <v>250000</v>
      </c>
      <c r="G869" s="6643"/>
      <c r="H869" s="6643"/>
      <c r="I869" s="6693" t="s">
        <v>1381</v>
      </c>
      <c r="J869" s="6643">
        <f t="shared" si="72"/>
        <v>0</v>
      </c>
      <c r="K869" s="6703">
        <f t="shared" ref="K869:K891" si="73">F869-J869</f>
        <v>250000</v>
      </c>
      <c r="L869" s="6733"/>
      <c r="M869" s="386"/>
      <c r="N869" s="386"/>
      <c r="O869" s="386"/>
      <c r="P869" s="386"/>
      <c r="Q869" s="386"/>
    </row>
    <row r="870" spans="1:17" ht="30" customHeight="1" x14ac:dyDescent="0.2">
      <c r="A870" s="6708">
        <v>347</v>
      </c>
      <c r="B870" s="6665" t="s">
        <v>178</v>
      </c>
      <c r="C870" s="6710" t="s">
        <v>1796</v>
      </c>
      <c r="D870" s="6635">
        <v>130000000</v>
      </c>
      <c r="E870" s="6705">
        <v>0.05</v>
      </c>
      <c r="F870" s="6635">
        <f>D870*E870</f>
        <v>6500000</v>
      </c>
      <c r="G870" s="6643"/>
      <c r="H870" s="6643"/>
      <c r="I870" s="6693" t="s">
        <v>3951</v>
      </c>
      <c r="J870" s="6643">
        <f t="shared" si="72"/>
        <v>0</v>
      </c>
      <c r="K870" s="6703">
        <f t="shared" si="73"/>
        <v>6500000</v>
      </c>
      <c r="L870" s="6733"/>
      <c r="M870" s="386"/>
      <c r="N870" s="386"/>
      <c r="O870" s="386"/>
      <c r="P870" s="386"/>
      <c r="Q870" s="386"/>
    </row>
    <row r="871" spans="1:17" ht="30" customHeight="1" x14ac:dyDescent="0.2">
      <c r="A871" s="6708">
        <v>348</v>
      </c>
      <c r="B871" s="19" t="s">
        <v>1408</v>
      </c>
      <c r="C871" s="6710" t="s">
        <v>1306</v>
      </c>
      <c r="D871" s="6635">
        <v>50000000</v>
      </c>
      <c r="E871" s="6705">
        <v>0.04</v>
      </c>
      <c r="F871" s="6635">
        <f>D871*E871</f>
        <v>2000000</v>
      </c>
      <c r="G871" s="6635">
        <v>2000000</v>
      </c>
      <c r="H871" s="6635" t="s">
        <v>8111</v>
      </c>
      <c r="I871" s="6693" t="s">
        <v>5992</v>
      </c>
      <c r="J871" s="6643">
        <f t="shared" si="72"/>
        <v>2000000</v>
      </c>
      <c r="K871" s="6703">
        <f t="shared" si="73"/>
        <v>0</v>
      </c>
      <c r="L871" s="6733"/>
      <c r="M871" s="386"/>
      <c r="N871" s="386"/>
      <c r="O871" s="386"/>
      <c r="P871" s="386"/>
      <c r="Q871" s="386"/>
    </row>
    <row r="872" spans="1:17" ht="30" customHeight="1" x14ac:dyDescent="0.2">
      <c r="A872" s="6655">
        <v>350</v>
      </c>
      <c r="B872" s="6652" t="s">
        <v>1554</v>
      </c>
      <c r="C872" s="6684"/>
      <c r="D872" s="6643">
        <v>110000000</v>
      </c>
      <c r="E872" s="7898" t="s">
        <v>1556</v>
      </c>
      <c r="F872" s="7899"/>
      <c r="G872" s="6643"/>
      <c r="H872" s="6643"/>
      <c r="I872" s="6693" t="s">
        <v>3469</v>
      </c>
      <c r="J872" s="6643">
        <f t="shared" si="72"/>
        <v>0</v>
      </c>
      <c r="K872" s="6704">
        <f t="shared" si="73"/>
        <v>0</v>
      </c>
      <c r="L872" s="6733"/>
      <c r="M872" s="386"/>
      <c r="N872" s="386"/>
      <c r="O872" s="386"/>
      <c r="P872" s="386"/>
      <c r="Q872" s="386"/>
    </row>
    <row r="873" spans="1:17" ht="30" customHeight="1" x14ac:dyDescent="0.2">
      <c r="A873" s="7654"/>
      <c r="B873" s="7652" t="s">
        <v>1558</v>
      </c>
      <c r="C873" s="7723" t="s">
        <v>1172</v>
      </c>
      <c r="D873" s="6635">
        <v>680000000</v>
      </c>
      <c r="E873" s="6705">
        <v>7.0000000000000007E-2</v>
      </c>
      <c r="F873" s="6635">
        <f t="shared" ref="F873:F889" si="74">D873*E873</f>
        <v>47600000.000000007</v>
      </c>
      <c r="G873" s="7732" t="s">
        <v>7680</v>
      </c>
      <c r="H873" s="7733"/>
      <c r="I873" s="7733"/>
      <c r="J873" s="7734"/>
      <c r="K873" s="6703">
        <f t="shared" si="73"/>
        <v>47600000.000000007</v>
      </c>
      <c r="L873" s="6724" t="s">
        <v>7488</v>
      </c>
      <c r="M873" s="386"/>
      <c r="N873" s="386"/>
      <c r="O873" s="386"/>
      <c r="P873" s="386"/>
      <c r="Q873" s="386"/>
    </row>
    <row r="874" spans="1:17" ht="30" customHeight="1" x14ac:dyDescent="0.2">
      <c r="A874" s="7655"/>
      <c r="B874" s="7653"/>
      <c r="C874" s="7724"/>
      <c r="D874" s="6641">
        <v>30000000</v>
      </c>
      <c r="E874" s="6647">
        <v>7.0000000000000007E-2</v>
      </c>
      <c r="F874" s="6641">
        <f t="shared" si="74"/>
        <v>2100000</v>
      </c>
      <c r="G874" s="7494" t="s">
        <v>7187</v>
      </c>
      <c r="H874" s="7495"/>
      <c r="I874" s="7495"/>
      <c r="J874" s="7768"/>
      <c r="K874" s="6706"/>
      <c r="L874" s="6724" t="s">
        <v>7223</v>
      </c>
      <c r="M874" s="386"/>
      <c r="N874" s="386"/>
      <c r="O874" s="386"/>
      <c r="P874" s="386"/>
      <c r="Q874" s="386"/>
    </row>
    <row r="875" spans="1:17" ht="30" customHeight="1" x14ac:dyDescent="0.2">
      <c r="A875" s="7654"/>
      <c r="B875" s="7652" t="s">
        <v>7184</v>
      </c>
      <c r="C875" s="7723" t="s">
        <v>1172</v>
      </c>
      <c r="D875" s="7563">
        <v>200000000</v>
      </c>
      <c r="E875" s="7659">
        <v>7.0000000000000007E-2</v>
      </c>
      <c r="F875" s="7563">
        <f>D875*E875</f>
        <v>14000000.000000002</v>
      </c>
      <c r="G875" s="7877"/>
      <c r="H875" s="7524"/>
      <c r="I875" s="7524"/>
      <c r="J875" s="7878"/>
      <c r="K875" s="7816"/>
      <c r="L875" s="1660" t="s">
        <v>7186</v>
      </c>
      <c r="M875" s="386"/>
      <c r="N875" s="386"/>
      <c r="O875" s="386"/>
      <c r="P875" s="386"/>
      <c r="Q875" s="386"/>
    </row>
    <row r="876" spans="1:17" ht="30" customHeight="1" x14ac:dyDescent="0.2">
      <c r="A876" s="7655"/>
      <c r="B876" s="7653"/>
      <c r="C876" s="7724"/>
      <c r="D876" s="7564"/>
      <c r="E876" s="7660"/>
      <c r="F876" s="7564"/>
      <c r="G876" s="7769"/>
      <c r="H876" s="7805"/>
      <c r="I876" s="7805"/>
      <c r="J876" s="7770"/>
      <c r="K876" s="7817"/>
      <c r="L876" s="6724" t="s">
        <v>7185</v>
      </c>
      <c r="M876" s="386"/>
      <c r="N876" s="386"/>
      <c r="O876" s="386"/>
      <c r="P876" s="386"/>
      <c r="Q876" s="386"/>
    </row>
    <row r="877" spans="1:17" ht="30" customHeight="1" x14ac:dyDescent="0.2">
      <c r="A877" s="7654"/>
      <c r="B877" s="7652" t="s">
        <v>1558</v>
      </c>
      <c r="C877" s="7723" t="s">
        <v>1172</v>
      </c>
      <c r="D877" s="7563">
        <v>860000000</v>
      </c>
      <c r="E877" s="7659">
        <v>7.0000000000000007E-2</v>
      </c>
      <c r="F877" s="7563">
        <f>D877*E877</f>
        <v>60200000.000000007</v>
      </c>
      <c r="G877" s="7732" t="s">
        <v>7225</v>
      </c>
      <c r="H877" s="7733"/>
      <c r="I877" s="7733"/>
      <c r="J877" s="7734"/>
      <c r="K877" s="6703"/>
      <c r="L877" s="6724" t="s">
        <v>7226</v>
      </c>
      <c r="M877" s="386"/>
      <c r="N877" s="386"/>
      <c r="O877" s="386"/>
      <c r="P877" s="386"/>
      <c r="Q877" s="386"/>
    </row>
    <row r="878" spans="1:17" ht="30" customHeight="1" x14ac:dyDescent="0.2">
      <c r="A878" s="7656"/>
      <c r="B878" s="7665"/>
      <c r="C878" s="7747"/>
      <c r="D878" s="7586"/>
      <c r="E878" s="7676"/>
      <c r="F878" s="7586"/>
      <c r="G878" s="7991" t="s">
        <v>8212</v>
      </c>
      <c r="H878" s="7992"/>
      <c r="I878" s="7992"/>
      <c r="J878" s="7993"/>
      <c r="K878" s="7816"/>
      <c r="L878" s="7044"/>
      <c r="M878" s="386"/>
      <c r="N878" s="386"/>
      <c r="O878" s="386"/>
      <c r="P878" s="386"/>
      <c r="Q878" s="386"/>
    </row>
    <row r="879" spans="1:17" ht="30" customHeight="1" x14ac:dyDescent="0.2">
      <c r="A879" s="7656"/>
      <c r="B879" s="7665"/>
      <c r="C879" s="7747"/>
      <c r="D879" s="7564"/>
      <c r="E879" s="7660"/>
      <c r="F879" s="7564"/>
      <c r="G879" s="7997"/>
      <c r="H879" s="7998"/>
      <c r="I879" s="7998"/>
      <c r="J879" s="7999"/>
      <c r="K879" s="7817"/>
      <c r="L879" s="7044"/>
      <c r="M879" s="386"/>
      <c r="N879" s="386"/>
      <c r="O879" s="386"/>
      <c r="P879" s="386"/>
      <c r="Q879" s="386"/>
    </row>
    <row r="880" spans="1:17" ht="30" customHeight="1" x14ac:dyDescent="0.2">
      <c r="A880" s="7656"/>
      <c r="B880" s="7665"/>
      <c r="C880" s="7747"/>
      <c r="D880" s="7494" t="s">
        <v>8287</v>
      </c>
      <c r="E880" s="7495"/>
      <c r="F880" s="7768"/>
      <c r="G880" s="7991" t="s">
        <v>8288</v>
      </c>
      <c r="H880" s="7992"/>
      <c r="I880" s="7992"/>
      <c r="J880" s="7993"/>
      <c r="K880" s="7142"/>
      <c r="L880" s="7141"/>
      <c r="M880" s="386"/>
      <c r="N880" s="386"/>
      <c r="O880" s="386"/>
      <c r="P880" s="386"/>
      <c r="Q880" s="386"/>
    </row>
    <row r="881" spans="1:17" ht="30" customHeight="1" x14ac:dyDescent="0.2">
      <c r="A881" s="7656"/>
      <c r="B881" s="7665"/>
      <c r="C881" s="7747"/>
      <c r="D881" s="7877"/>
      <c r="E881" s="7524"/>
      <c r="F881" s="7878"/>
      <c r="G881" s="7732" t="s">
        <v>8286</v>
      </c>
      <c r="H881" s="7733"/>
      <c r="I881" s="7733"/>
      <c r="J881" s="7734"/>
      <c r="K881" s="7143"/>
      <c r="L881" s="7141"/>
      <c r="M881" s="386"/>
      <c r="N881" s="386"/>
      <c r="O881" s="386"/>
      <c r="P881" s="386"/>
      <c r="Q881" s="386"/>
    </row>
    <row r="882" spans="1:17" ht="30" customHeight="1" x14ac:dyDescent="0.2">
      <c r="A882" s="7655"/>
      <c r="B882" s="7653"/>
      <c r="C882" s="7724"/>
      <c r="D882" s="7769"/>
      <c r="E882" s="7805"/>
      <c r="F882" s="7770"/>
      <c r="G882" s="7732" t="s">
        <v>8285</v>
      </c>
      <c r="H882" s="7733"/>
      <c r="I882" s="7733"/>
      <c r="J882" s="7734"/>
      <c r="K882" s="7143"/>
      <c r="L882" s="7141"/>
      <c r="M882" s="386"/>
      <c r="N882" s="386"/>
      <c r="O882" s="386"/>
      <c r="P882" s="386"/>
      <c r="Q882" s="386"/>
    </row>
    <row r="883" spans="1:17" ht="30" customHeight="1" x14ac:dyDescent="0.2">
      <c r="A883" s="6708">
        <v>352</v>
      </c>
      <c r="B883" s="6665" t="s">
        <v>1561</v>
      </c>
      <c r="C883" s="6710" t="s">
        <v>1081</v>
      </c>
      <c r="D883" s="6635">
        <v>50000000</v>
      </c>
      <c r="E883" s="6705">
        <v>7.0000000000000007E-2</v>
      </c>
      <c r="F883" s="6635">
        <f t="shared" si="74"/>
        <v>3500000.0000000005</v>
      </c>
      <c r="G883" s="6643"/>
      <c r="H883" s="6643"/>
      <c r="I883" s="6771" t="s">
        <v>3517</v>
      </c>
      <c r="J883" s="6643">
        <f t="shared" si="72"/>
        <v>0</v>
      </c>
      <c r="K883" s="6703">
        <f t="shared" si="73"/>
        <v>3500000.0000000005</v>
      </c>
      <c r="L883" s="6733" t="s">
        <v>7311</v>
      </c>
      <c r="M883" s="386"/>
      <c r="N883" s="386"/>
      <c r="O883" s="386"/>
      <c r="P883" s="386"/>
      <c r="Q883" s="386"/>
    </row>
    <row r="884" spans="1:17" ht="30" customHeight="1" x14ac:dyDescent="0.2">
      <c r="A884" s="7654">
        <v>353</v>
      </c>
      <c r="B884" s="7652" t="s">
        <v>1565</v>
      </c>
      <c r="C884" s="6710" t="s">
        <v>1172</v>
      </c>
      <c r="D884" s="6643">
        <v>50000000</v>
      </c>
      <c r="E884" s="6705">
        <v>0.05</v>
      </c>
      <c r="F884" s="6643">
        <f t="shared" si="74"/>
        <v>2500000</v>
      </c>
      <c r="G884" s="6643">
        <v>2500000</v>
      </c>
      <c r="H884" s="6643" t="s">
        <v>8142</v>
      </c>
      <c r="I884" s="6693" t="s">
        <v>8147</v>
      </c>
      <c r="J884" s="6643">
        <f t="shared" si="72"/>
        <v>2500000</v>
      </c>
      <c r="K884" s="6703">
        <f t="shared" si="73"/>
        <v>0</v>
      </c>
      <c r="L884" s="6733"/>
      <c r="M884" s="386"/>
      <c r="N884" s="386"/>
      <c r="O884" s="386"/>
      <c r="P884" s="386"/>
      <c r="Q884" s="386"/>
    </row>
    <row r="885" spans="1:17" ht="30" customHeight="1" x14ac:dyDescent="0.2">
      <c r="A885" s="7656"/>
      <c r="B885" s="7665"/>
      <c r="C885" s="6710" t="s">
        <v>1299</v>
      </c>
      <c r="D885" s="6643">
        <v>20000000</v>
      </c>
      <c r="E885" s="6705">
        <v>0.05</v>
      </c>
      <c r="F885" s="6643">
        <f t="shared" si="74"/>
        <v>1000000</v>
      </c>
      <c r="G885" s="1455">
        <v>1000000</v>
      </c>
      <c r="H885" s="1455" t="s">
        <v>8339</v>
      </c>
      <c r="I885" s="1455" t="s">
        <v>3718</v>
      </c>
      <c r="J885" s="1455">
        <f t="shared" si="72"/>
        <v>1000000</v>
      </c>
      <c r="K885" s="6703">
        <f t="shared" si="73"/>
        <v>0</v>
      </c>
      <c r="L885" s="6733"/>
      <c r="M885" s="386"/>
      <c r="N885" s="386"/>
      <c r="O885" s="386"/>
      <c r="P885" s="386"/>
      <c r="Q885" s="386"/>
    </row>
    <row r="886" spans="1:17" ht="30" customHeight="1" x14ac:dyDescent="0.2">
      <c r="A886" s="7654">
        <v>355</v>
      </c>
      <c r="B886" s="7652" t="s">
        <v>1582</v>
      </c>
      <c r="C886" s="7723" t="s">
        <v>2644</v>
      </c>
      <c r="D886" s="6635">
        <v>265000000</v>
      </c>
      <c r="E886" s="6705">
        <v>0.05</v>
      </c>
      <c r="F886" s="6635">
        <f t="shared" si="74"/>
        <v>13250000</v>
      </c>
      <c r="G886" s="6635">
        <v>5000000</v>
      </c>
      <c r="H886" s="6635" t="s">
        <v>7987</v>
      </c>
      <c r="I886" s="6775" t="s">
        <v>2460</v>
      </c>
      <c r="J886" s="7563">
        <f>G887+G888+G886</f>
        <v>16250000</v>
      </c>
      <c r="K886" s="7816">
        <f>(F886+F887)-J886</f>
        <v>0</v>
      </c>
      <c r="L886" s="6733"/>
      <c r="M886" s="386"/>
      <c r="N886" s="386"/>
      <c r="O886" s="386"/>
      <c r="P886" s="386"/>
      <c r="Q886" s="386"/>
    </row>
    <row r="887" spans="1:17" ht="30" customHeight="1" x14ac:dyDescent="0.2">
      <c r="A887" s="7656"/>
      <c r="B887" s="7665"/>
      <c r="C887" s="7747"/>
      <c r="D887" s="7563">
        <v>60000000</v>
      </c>
      <c r="E887" s="7659">
        <v>0.05</v>
      </c>
      <c r="F887" s="7563">
        <f t="shared" si="74"/>
        <v>3000000</v>
      </c>
      <c r="G887" s="6635">
        <v>10000000</v>
      </c>
      <c r="H887" s="6635" t="s">
        <v>8240</v>
      </c>
      <c r="I887" s="6775" t="s">
        <v>2460</v>
      </c>
      <c r="J887" s="7586"/>
      <c r="K887" s="7882"/>
      <c r="L887" s="6723"/>
      <c r="M887" s="386"/>
      <c r="N887" s="386"/>
      <c r="O887" s="386"/>
      <c r="P887" s="386"/>
      <c r="Q887" s="386"/>
    </row>
    <row r="888" spans="1:17" ht="30" customHeight="1" x14ac:dyDescent="0.2">
      <c r="A888" s="7655"/>
      <c r="B888" s="7653"/>
      <c r="C888" s="7724"/>
      <c r="D888" s="7564"/>
      <c r="E888" s="7660"/>
      <c r="F888" s="7564"/>
      <c r="G888" s="7292">
        <v>1250000</v>
      </c>
      <c r="H888" s="7292" t="s">
        <v>8245</v>
      </c>
      <c r="I888" s="7349" t="s">
        <v>8394</v>
      </c>
      <c r="J888" s="7564"/>
      <c r="K888" s="7817"/>
      <c r="L888" s="7332"/>
      <c r="M888" s="386"/>
      <c r="N888" s="386"/>
      <c r="O888" s="386"/>
      <c r="P888" s="386"/>
      <c r="Q888" s="386"/>
    </row>
    <row r="889" spans="1:17" ht="30" customHeight="1" x14ac:dyDescent="0.2">
      <c r="A889" s="6708"/>
      <c r="B889" s="6665" t="s">
        <v>6208</v>
      </c>
      <c r="C889" s="6710"/>
      <c r="D889" s="6635">
        <v>20000000</v>
      </c>
      <c r="E889" s="6705">
        <v>0.04</v>
      </c>
      <c r="F889" s="6635">
        <f t="shared" si="74"/>
        <v>800000</v>
      </c>
      <c r="G889" s="6635">
        <v>800000</v>
      </c>
      <c r="H889" s="6635" t="s">
        <v>8267</v>
      </c>
      <c r="I889" s="6775" t="s">
        <v>6909</v>
      </c>
      <c r="J889" s="6635">
        <f>G889</f>
        <v>800000</v>
      </c>
      <c r="K889" s="6639">
        <f t="shared" si="73"/>
        <v>0</v>
      </c>
      <c r="L889" s="6723"/>
      <c r="M889" s="386"/>
      <c r="N889" s="386"/>
      <c r="O889" s="386"/>
      <c r="P889" s="386"/>
      <c r="Q889" s="386"/>
    </row>
    <row r="890" spans="1:17" ht="30" customHeight="1" x14ac:dyDescent="0.2">
      <c r="A890" s="6708">
        <v>358</v>
      </c>
      <c r="B890" s="6665" t="s">
        <v>1597</v>
      </c>
      <c r="C890" s="6710"/>
      <c r="D890" s="6644"/>
      <c r="E890" s="2519"/>
      <c r="F890" s="6644"/>
      <c r="G890" s="6635"/>
      <c r="H890" s="6635"/>
      <c r="I890" s="6775" t="s">
        <v>1598</v>
      </c>
      <c r="J890" s="6635">
        <f>G890</f>
        <v>0</v>
      </c>
      <c r="K890" s="1030">
        <f t="shared" si="73"/>
        <v>0</v>
      </c>
      <c r="L890" s="6733"/>
      <c r="M890" s="386"/>
      <c r="N890" s="386"/>
      <c r="O890" s="386"/>
      <c r="P890" s="386"/>
      <c r="Q890" s="386"/>
    </row>
    <row r="891" spans="1:17" ht="30" customHeight="1" x14ac:dyDescent="0.2">
      <c r="A891" s="6653">
        <v>359</v>
      </c>
      <c r="B891" s="6665" t="s">
        <v>1599</v>
      </c>
      <c r="C891" s="6710"/>
      <c r="D891" s="6644"/>
      <c r="E891" s="2519"/>
      <c r="F891" s="6644"/>
      <c r="G891" s="6643"/>
      <c r="H891" s="6643"/>
      <c r="I891" s="472" t="s">
        <v>1600</v>
      </c>
      <c r="J891" s="6635">
        <f>G891</f>
        <v>0</v>
      </c>
      <c r="K891" s="1030">
        <f t="shared" si="73"/>
        <v>0</v>
      </c>
      <c r="L891" s="6702"/>
      <c r="M891" s="386"/>
      <c r="N891" s="386"/>
      <c r="O891" s="386"/>
      <c r="P891" s="386"/>
      <c r="Q891" s="386"/>
    </row>
    <row r="892" spans="1:17" ht="30" customHeight="1" x14ac:dyDescent="0.2">
      <c r="A892" s="8620">
        <v>360</v>
      </c>
      <c r="B892" s="8621" t="s">
        <v>1614</v>
      </c>
      <c r="C892" s="8622" t="s">
        <v>889</v>
      </c>
      <c r="D892" s="2548">
        <v>290000000</v>
      </c>
      <c r="E892" s="2549">
        <v>0.05</v>
      </c>
      <c r="F892" s="2548">
        <f>D892*E892</f>
        <v>14500000</v>
      </c>
      <c r="G892" s="8623" t="s">
        <v>8213</v>
      </c>
      <c r="H892" s="8624"/>
      <c r="I892" s="8624"/>
      <c r="J892" s="8625"/>
      <c r="K892" s="8207">
        <f>(F892+F893+F894)-J892</f>
        <v>36100000</v>
      </c>
      <c r="L892" s="8532" t="s">
        <v>8449</v>
      </c>
      <c r="M892" s="386"/>
      <c r="N892" s="386"/>
      <c r="O892" s="386"/>
      <c r="P892" s="386"/>
      <c r="Q892" s="386"/>
    </row>
    <row r="893" spans="1:17" ht="30" customHeight="1" x14ac:dyDescent="0.2">
      <c r="A893" s="8620"/>
      <c r="B893" s="8621"/>
      <c r="C893" s="8622"/>
      <c r="D893" s="2548">
        <v>210000000</v>
      </c>
      <c r="E893" s="2549">
        <v>0.06</v>
      </c>
      <c r="F893" s="2548">
        <f>D893*E893</f>
        <v>12600000</v>
      </c>
      <c r="G893" s="8626"/>
      <c r="H893" s="8627"/>
      <c r="I893" s="8627"/>
      <c r="J893" s="8628"/>
      <c r="K893" s="8583"/>
      <c r="L893" s="8654"/>
      <c r="M893" s="386"/>
      <c r="N893" s="386"/>
      <c r="O893" s="386"/>
      <c r="P893" s="386"/>
      <c r="Q893" s="386"/>
    </row>
    <row r="894" spans="1:17" ht="30" customHeight="1" x14ac:dyDescent="0.2">
      <c r="A894" s="8620"/>
      <c r="B894" s="8621"/>
      <c r="C894" s="8622"/>
      <c r="D894" s="2548">
        <v>150000000</v>
      </c>
      <c r="E894" s="2549">
        <v>0.06</v>
      </c>
      <c r="F894" s="2548">
        <f>D894*E894</f>
        <v>9000000</v>
      </c>
      <c r="G894" s="8629"/>
      <c r="H894" s="8630"/>
      <c r="I894" s="8630"/>
      <c r="J894" s="8631"/>
      <c r="K894" s="8208"/>
      <c r="L894" s="8533"/>
      <c r="M894" s="386"/>
      <c r="N894" s="386"/>
      <c r="O894" s="386"/>
      <c r="P894" s="386"/>
      <c r="Q894" s="386"/>
    </row>
    <row r="895" spans="1:17" ht="30" customHeight="1" x14ac:dyDescent="0.2">
      <c r="A895" s="7879">
        <v>361</v>
      </c>
      <c r="B895" s="7652" t="s">
        <v>1612</v>
      </c>
      <c r="C895" s="7723" t="s">
        <v>371</v>
      </c>
      <c r="D895" s="7563">
        <v>2815000000</v>
      </c>
      <c r="E895" s="7659"/>
      <c r="F895" s="7563">
        <v>106650000</v>
      </c>
      <c r="G895" s="8026">
        <v>18000000</v>
      </c>
      <c r="H895" s="8545" t="s">
        <v>5156</v>
      </c>
      <c r="I895" s="8546"/>
      <c r="J895" s="7816"/>
      <c r="K895" s="7816"/>
      <c r="L895" s="6732" t="s">
        <v>4625</v>
      </c>
      <c r="M895" s="386"/>
      <c r="N895" s="386"/>
      <c r="O895" s="386"/>
      <c r="P895" s="386"/>
      <c r="Q895" s="386"/>
    </row>
    <row r="896" spans="1:17" ht="30" customHeight="1" x14ac:dyDescent="0.2">
      <c r="A896" s="7879"/>
      <c r="B896" s="7665"/>
      <c r="C896" s="7747"/>
      <c r="D896" s="7586"/>
      <c r="E896" s="7676"/>
      <c r="F896" s="7586"/>
      <c r="G896" s="8027"/>
      <c r="H896" s="8547"/>
      <c r="I896" s="8548"/>
      <c r="J896" s="7882"/>
      <c r="K896" s="7882"/>
      <c r="L896" s="6732" t="s">
        <v>4626</v>
      </c>
      <c r="M896" s="386"/>
      <c r="N896" s="386"/>
      <c r="O896" s="386"/>
      <c r="P896" s="386"/>
      <c r="Q896" s="386"/>
    </row>
    <row r="897" spans="1:17" ht="30" customHeight="1" x14ac:dyDescent="0.2">
      <c r="A897" s="7879"/>
      <c r="B897" s="7665"/>
      <c r="C897" s="7747"/>
      <c r="D897" s="7586"/>
      <c r="E897" s="7676"/>
      <c r="F897" s="7586"/>
      <c r="G897" s="6635">
        <v>10000000</v>
      </c>
      <c r="H897" s="6635" t="s">
        <v>7968</v>
      </c>
      <c r="I897" s="6635" t="s">
        <v>7267</v>
      </c>
      <c r="J897" s="7882"/>
      <c r="K897" s="7882"/>
      <c r="L897" s="6732" t="s">
        <v>7268</v>
      </c>
      <c r="M897" s="386"/>
      <c r="N897" s="386"/>
      <c r="O897" s="386"/>
      <c r="P897" s="386"/>
      <c r="Q897" s="386"/>
    </row>
    <row r="898" spans="1:17" ht="30" customHeight="1" x14ac:dyDescent="0.2">
      <c r="A898" s="7879"/>
      <c r="B898" s="7665"/>
      <c r="C898" s="7747"/>
      <c r="D898" s="7586"/>
      <c r="E898" s="7676"/>
      <c r="F898" s="7586"/>
      <c r="G898" s="6635">
        <v>20000000</v>
      </c>
      <c r="H898" s="6635" t="s">
        <v>7979</v>
      </c>
      <c r="I898" s="6635" t="s">
        <v>7984</v>
      </c>
      <c r="J898" s="7882"/>
      <c r="K898" s="7882"/>
      <c r="L898" s="6867" t="s">
        <v>7268</v>
      </c>
      <c r="M898" s="386"/>
      <c r="N898" s="386"/>
      <c r="O898" s="386"/>
      <c r="P898" s="386"/>
      <c r="Q898" s="386"/>
    </row>
    <row r="899" spans="1:17" ht="30" customHeight="1" x14ac:dyDescent="0.2">
      <c r="A899" s="7879"/>
      <c r="B899" s="7665"/>
      <c r="C899" s="7747"/>
      <c r="D899" s="7586"/>
      <c r="E899" s="7676"/>
      <c r="F899" s="7586"/>
      <c r="G899" s="6635">
        <v>5000000</v>
      </c>
      <c r="H899" s="6635" t="s">
        <v>7987</v>
      </c>
      <c r="I899" s="6635" t="s">
        <v>3152</v>
      </c>
      <c r="J899" s="7882"/>
      <c r="K899" s="7882"/>
      <c r="L899" s="6732"/>
      <c r="M899" s="386"/>
      <c r="N899" s="386"/>
      <c r="O899" s="386"/>
      <c r="P899" s="386"/>
      <c r="Q899" s="386"/>
    </row>
    <row r="900" spans="1:17" ht="30" customHeight="1" x14ac:dyDescent="0.2">
      <c r="A900" s="7879"/>
      <c r="B900" s="7665"/>
      <c r="C900" s="7747"/>
      <c r="D900" s="7586"/>
      <c r="E900" s="7676"/>
      <c r="F900" s="7586"/>
      <c r="G900" s="6635">
        <v>10000000</v>
      </c>
      <c r="H900" s="6635" t="s">
        <v>8073</v>
      </c>
      <c r="I900" s="6635" t="s">
        <v>6217</v>
      </c>
      <c r="J900" s="7882"/>
      <c r="K900" s="7882"/>
      <c r="L900" s="6732"/>
      <c r="M900" s="386"/>
      <c r="N900" s="386"/>
      <c r="O900" s="386"/>
      <c r="P900" s="386"/>
      <c r="Q900" s="386"/>
    </row>
    <row r="901" spans="1:17" ht="30" customHeight="1" x14ac:dyDescent="0.2">
      <c r="A901" s="7879"/>
      <c r="B901" s="7665"/>
      <c r="C901" s="7747"/>
      <c r="D901" s="7586"/>
      <c r="E901" s="7676"/>
      <c r="F901" s="7586"/>
      <c r="G901" s="6635">
        <v>20000000</v>
      </c>
      <c r="H901" s="6635" t="s">
        <v>8186</v>
      </c>
      <c r="I901" s="7020" t="s">
        <v>6217</v>
      </c>
      <c r="J901" s="7882"/>
      <c r="K901" s="7882"/>
      <c r="L901" s="6732"/>
      <c r="M901" s="386"/>
      <c r="N901" s="386"/>
      <c r="O901" s="386"/>
      <c r="P901" s="386"/>
      <c r="Q901" s="386"/>
    </row>
    <row r="902" spans="1:17" ht="30" customHeight="1" x14ac:dyDescent="0.2">
      <c r="A902" s="7879"/>
      <c r="B902" s="7665"/>
      <c r="C902" s="7747"/>
      <c r="D902" s="7586"/>
      <c r="E902" s="7676"/>
      <c r="F902" s="7586"/>
      <c r="G902" s="7112">
        <v>4000000</v>
      </c>
      <c r="H902" s="7111" t="s">
        <v>8267</v>
      </c>
      <c r="I902" s="7135" t="s">
        <v>7267</v>
      </c>
      <c r="J902" s="7882"/>
      <c r="K902" s="7882"/>
      <c r="L902" s="7149" t="s">
        <v>7268</v>
      </c>
      <c r="M902" s="386"/>
      <c r="N902" s="386"/>
      <c r="O902" s="386"/>
      <c r="P902" s="386"/>
      <c r="Q902" s="386"/>
    </row>
    <row r="903" spans="1:17" ht="30" customHeight="1" x14ac:dyDescent="0.2">
      <c r="A903" s="7879"/>
      <c r="B903" s="7665"/>
      <c r="C903" s="7747"/>
      <c r="D903" s="7586"/>
      <c r="E903" s="7676"/>
      <c r="F903" s="7586"/>
      <c r="G903" s="7112">
        <v>5000000</v>
      </c>
      <c r="H903" s="7111" t="s">
        <v>8267</v>
      </c>
      <c r="I903" s="7111" t="s">
        <v>6217</v>
      </c>
      <c r="J903" s="7882"/>
      <c r="K903" s="7882"/>
      <c r="L903" s="7275"/>
      <c r="M903" s="386"/>
      <c r="N903" s="386"/>
      <c r="O903" s="386"/>
      <c r="P903" s="386"/>
      <c r="Q903" s="386"/>
    </row>
    <row r="904" spans="1:17" ht="30" customHeight="1" x14ac:dyDescent="0.2">
      <c r="A904" s="7879"/>
      <c r="B904" s="7665"/>
      <c r="C904" s="7747"/>
      <c r="D904" s="7586"/>
      <c r="E904" s="7676"/>
      <c r="F904" s="7586"/>
      <c r="G904" s="7236">
        <v>7700000</v>
      </c>
      <c r="H904" s="7232" t="s">
        <v>5200</v>
      </c>
      <c r="I904" s="7262" t="s">
        <v>7267</v>
      </c>
      <c r="J904" s="7882"/>
      <c r="K904" s="7882"/>
      <c r="L904" s="7275" t="s">
        <v>7268</v>
      </c>
      <c r="M904" s="386"/>
      <c r="N904" s="386"/>
      <c r="O904" s="386"/>
      <c r="P904" s="386"/>
      <c r="Q904" s="386"/>
    </row>
    <row r="905" spans="1:17" ht="30" customHeight="1" x14ac:dyDescent="0.2">
      <c r="A905" s="7879"/>
      <c r="B905" s="7665"/>
      <c r="C905" s="7747"/>
      <c r="D905" s="7586"/>
      <c r="E905" s="7676"/>
      <c r="F905" s="7586"/>
      <c r="G905" s="7295">
        <v>15000000</v>
      </c>
      <c r="H905" s="7293" t="s">
        <v>8245</v>
      </c>
      <c r="I905" s="7292" t="s">
        <v>6217</v>
      </c>
      <c r="J905" s="7882"/>
      <c r="K905" s="7882"/>
      <c r="L905" s="7335"/>
      <c r="M905" s="386"/>
      <c r="N905" s="386"/>
      <c r="O905" s="386"/>
      <c r="P905" s="386"/>
      <c r="Q905" s="386"/>
    </row>
    <row r="906" spans="1:17" ht="30" customHeight="1" x14ac:dyDescent="0.2">
      <c r="A906" s="7879"/>
      <c r="B906" s="7665"/>
      <c r="C906" s="7724"/>
      <c r="D906" s="7564"/>
      <c r="E906" s="7660"/>
      <c r="F906" s="7564"/>
      <c r="G906" s="7295">
        <v>20000000</v>
      </c>
      <c r="H906" s="7293" t="s">
        <v>8398</v>
      </c>
      <c r="I906" s="7292" t="s">
        <v>6217</v>
      </c>
      <c r="J906" s="7817"/>
      <c r="K906" s="7817"/>
      <c r="L906" s="7335"/>
      <c r="M906" s="386"/>
      <c r="N906" s="386"/>
      <c r="O906" s="386"/>
      <c r="P906" s="386"/>
      <c r="Q906" s="386"/>
    </row>
    <row r="907" spans="1:17" ht="30" customHeight="1" x14ac:dyDescent="0.2">
      <c r="A907" s="7879"/>
      <c r="B907" s="7665"/>
      <c r="C907" s="7723" t="s">
        <v>371</v>
      </c>
      <c r="D907" s="7563">
        <v>2815000000</v>
      </c>
      <c r="E907" s="7659"/>
      <c r="F907" s="7563">
        <v>106650000</v>
      </c>
      <c r="G907" s="8026">
        <v>18000000</v>
      </c>
      <c r="H907" s="8545" t="s">
        <v>5156</v>
      </c>
      <c r="I907" s="8546"/>
      <c r="J907" s="7816"/>
      <c r="K907" s="7816"/>
      <c r="L907" s="6732"/>
      <c r="M907" s="386"/>
      <c r="N907" s="386"/>
      <c r="O907" s="386"/>
      <c r="P907" s="386"/>
      <c r="Q907" s="386"/>
    </row>
    <row r="908" spans="1:17" ht="30" customHeight="1" x14ac:dyDescent="0.2">
      <c r="A908" s="7879"/>
      <c r="B908" s="7665"/>
      <c r="C908" s="7747"/>
      <c r="D908" s="7586"/>
      <c r="E908" s="7676"/>
      <c r="F908" s="7586"/>
      <c r="G908" s="8027"/>
      <c r="H908" s="8547"/>
      <c r="I908" s="8548"/>
      <c r="J908" s="7882"/>
      <c r="K908" s="7882"/>
      <c r="L908" s="6732"/>
      <c r="M908" s="386"/>
      <c r="N908" s="386"/>
      <c r="O908" s="386"/>
      <c r="P908" s="386"/>
      <c r="Q908" s="386"/>
    </row>
    <row r="909" spans="1:17" ht="30" customHeight="1" x14ac:dyDescent="0.2">
      <c r="A909" s="7879"/>
      <c r="B909" s="7665"/>
      <c r="C909" s="7747"/>
      <c r="D909" s="7586"/>
      <c r="E909" s="7676"/>
      <c r="F909" s="7586"/>
      <c r="G909" s="6635"/>
      <c r="H909" s="6635"/>
      <c r="I909" s="6635"/>
      <c r="J909" s="7882"/>
      <c r="K909" s="7882"/>
      <c r="L909" s="6732"/>
      <c r="M909" s="386"/>
      <c r="N909" s="386"/>
      <c r="O909" s="386"/>
      <c r="P909" s="386"/>
      <c r="Q909" s="386"/>
    </row>
    <row r="910" spans="1:17" ht="30" customHeight="1" x14ac:dyDescent="0.2">
      <c r="A910" s="7879"/>
      <c r="B910" s="7665"/>
      <c r="C910" s="7747"/>
      <c r="D910" s="7586"/>
      <c r="E910" s="7676"/>
      <c r="F910" s="7586"/>
      <c r="G910" s="6635"/>
      <c r="H910" s="6635"/>
      <c r="I910" s="6635"/>
      <c r="J910" s="7882"/>
      <c r="K910" s="7882"/>
      <c r="L910" s="6732"/>
      <c r="M910" s="386"/>
      <c r="N910" s="386"/>
      <c r="O910" s="386"/>
      <c r="P910" s="386"/>
      <c r="Q910" s="386"/>
    </row>
    <row r="911" spans="1:17" ht="30" customHeight="1" x14ac:dyDescent="0.2">
      <c r="A911" s="7879"/>
      <c r="B911" s="7665"/>
      <c r="C911" s="7747"/>
      <c r="D911" s="7586"/>
      <c r="E911" s="7676"/>
      <c r="F911" s="7586"/>
      <c r="G911" s="6635"/>
      <c r="H911" s="233"/>
      <c r="I911" s="233"/>
      <c r="J911" s="7882"/>
      <c r="K911" s="7882"/>
      <c r="L911" s="6732"/>
      <c r="M911" s="386"/>
      <c r="N911" s="386"/>
      <c r="O911" s="386"/>
      <c r="P911" s="386"/>
      <c r="Q911" s="386"/>
    </row>
    <row r="912" spans="1:17" ht="30" customHeight="1" x14ac:dyDescent="0.2">
      <c r="A912" s="7879"/>
      <c r="B912" s="7665"/>
      <c r="C912" s="7747"/>
      <c r="D912" s="7586"/>
      <c r="E912" s="7676"/>
      <c r="F912" s="7586"/>
      <c r="G912" s="6635"/>
      <c r="H912" s="233"/>
      <c r="I912" s="233"/>
      <c r="J912" s="7882"/>
      <c r="K912" s="7882"/>
      <c r="L912" s="6732"/>
      <c r="M912" s="386"/>
      <c r="N912" s="386"/>
      <c r="O912" s="386"/>
      <c r="P912" s="386"/>
      <c r="Q912" s="386"/>
    </row>
    <row r="913" spans="1:17" ht="30" customHeight="1" x14ac:dyDescent="0.2">
      <c r="A913" s="7879"/>
      <c r="B913" s="7653"/>
      <c r="C913" s="7724"/>
      <c r="D913" s="7564"/>
      <c r="E913" s="7660"/>
      <c r="F913" s="7564"/>
      <c r="G913" s="6635"/>
      <c r="H913" s="6635"/>
      <c r="I913" s="6635"/>
      <c r="J913" s="7817"/>
      <c r="K913" s="7817"/>
      <c r="L913" s="6732"/>
      <c r="M913" s="386"/>
      <c r="N913" s="386"/>
      <c r="O913" s="386"/>
      <c r="P913" s="386"/>
      <c r="Q913" s="386"/>
    </row>
    <row r="914" spans="1:17" ht="30" customHeight="1" x14ac:dyDescent="0.2">
      <c r="A914" s="6653"/>
      <c r="B914" s="6665" t="s">
        <v>4179</v>
      </c>
      <c r="C914" s="6710" t="s">
        <v>2278</v>
      </c>
      <c r="D914" s="6635">
        <v>30000000</v>
      </c>
      <c r="E914" s="6705">
        <v>6.5000000000000002E-2</v>
      </c>
      <c r="F914" s="6635">
        <f>D914*E914</f>
        <v>1950000</v>
      </c>
      <c r="G914" s="6635"/>
      <c r="H914" s="6635"/>
      <c r="I914" s="6635" t="s">
        <v>2369</v>
      </c>
      <c r="J914" s="6635">
        <f>G914</f>
        <v>0</v>
      </c>
      <c r="K914" s="6639">
        <f>F914-J914</f>
        <v>1950000</v>
      </c>
      <c r="L914" s="6733"/>
      <c r="M914" s="6733"/>
      <c r="N914" s="6733"/>
      <c r="O914" s="6733"/>
      <c r="P914" s="386"/>
      <c r="Q914" s="386"/>
    </row>
    <row r="915" spans="1:17" ht="30" customHeight="1" x14ac:dyDescent="0.2">
      <c r="A915" s="7654">
        <v>362</v>
      </c>
      <c r="B915" s="7652" t="s">
        <v>1619</v>
      </c>
      <c r="C915" s="7723" t="s">
        <v>1652</v>
      </c>
      <c r="D915" s="6643">
        <v>360000000</v>
      </c>
      <c r="E915" s="6705">
        <v>4.4999999999999998E-2</v>
      </c>
      <c r="F915" s="6643">
        <v>16500000</v>
      </c>
      <c r="G915" s="6643">
        <v>16500000</v>
      </c>
      <c r="H915" s="6643" t="s">
        <v>8247</v>
      </c>
      <c r="I915" s="472" t="s">
        <v>4776</v>
      </c>
      <c r="J915" s="6643">
        <f t="shared" ref="J915:J931" si="75">G915</f>
        <v>16500000</v>
      </c>
      <c r="K915" s="6703">
        <f t="shared" ref="K915:K931" si="76">F915-J915</f>
        <v>0</v>
      </c>
      <c r="L915" s="6733"/>
      <c r="M915" s="6733"/>
      <c r="N915" s="6733"/>
      <c r="O915" s="6733"/>
      <c r="P915" s="386"/>
      <c r="Q915" s="386"/>
    </row>
    <row r="916" spans="1:17" ht="30" customHeight="1" x14ac:dyDescent="0.2">
      <c r="A916" s="7656"/>
      <c r="B916" s="7665"/>
      <c r="C916" s="7747"/>
      <c r="D916" s="7296">
        <v>360000000</v>
      </c>
      <c r="E916" s="7324">
        <v>0.06</v>
      </c>
      <c r="F916" s="7296">
        <f>D916*E916</f>
        <v>21600000</v>
      </c>
      <c r="G916" s="7732" t="s">
        <v>8428</v>
      </c>
      <c r="H916" s="7733"/>
      <c r="I916" s="7733"/>
      <c r="J916" s="7734"/>
      <c r="K916" s="7325"/>
      <c r="L916" s="7336"/>
      <c r="M916" s="6363"/>
      <c r="N916" s="6363"/>
      <c r="O916" s="6363"/>
      <c r="P916" s="386"/>
      <c r="Q916" s="386"/>
    </row>
    <row r="917" spans="1:17" ht="30" customHeight="1" x14ac:dyDescent="0.2">
      <c r="A917" s="7656"/>
      <c r="B917" s="7665"/>
      <c r="C917" s="7747"/>
      <c r="D917" s="7296">
        <v>100000000</v>
      </c>
      <c r="E917" s="7324"/>
      <c r="F917" s="7296"/>
      <c r="G917" s="8000" t="s">
        <v>8429</v>
      </c>
      <c r="H917" s="8000"/>
      <c r="I917" s="8000"/>
      <c r="J917" s="8000"/>
      <c r="K917" s="7325"/>
      <c r="L917" s="7336"/>
      <c r="M917" s="6363"/>
      <c r="N917" s="6363"/>
      <c r="O917" s="6363"/>
      <c r="P917" s="386"/>
      <c r="Q917" s="386"/>
    </row>
    <row r="918" spans="1:17" ht="30" customHeight="1" x14ac:dyDescent="0.2">
      <c r="A918" s="7655"/>
      <c r="B918" s="7653"/>
      <c r="C918" s="7724"/>
      <c r="D918" s="7342">
        <v>460000000</v>
      </c>
      <c r="E918" s="7351">
        <v>0.06</v>
      </c>
      <c r="F918" s="7342">
        <f>D918*E918</f>
        <v>27600000</v>
      </c>
      <c r="G918" s="7732" t="s">
        <v>8430</v>
      </c>
      <c r="H918" s="7733"/>
      <c r="I918" s="7733"/>
      <c r="J918" s="7734"/>
      <c r="K918" s="7325"/>
      <c r="L918" s="7336" t="s">
        <v>8395</v>
      </c>
      <c r="M918" s="6363"/>
      <c r="N918" s="6363"/>
      <c r="O918" s="6363"/>
      <c r="P918" s="386"/>
      <c r="Q918" s="386"/>
    </row>
    <row r="919" spans="1:17" ht="30" customHeight="1" x14ac:dyDescent="0.2">
      <c r="A919" s="7654">
        <v>363</v>
      </c>
      <c r="B919" s="7652" t="s">
        <v>8067</v>
      </c>
      <c r="C919" s="7723" t="s">
        <v>1172</v>
      </c>
      <c r="D919" s="6643">
        <v>33000000</v>
      </c>
      <c r="E919" s="6705">
        <v>0.05</v>
      </c>
      <c r="F919" s="6643">
        <f>D919*E919</f>
        <v>1650000</v>
      </c>
      <c r="G919" s="7563"/>
      <c r="H919" s="7563"/>
      <c r="I919" s="7889" t="s">
        <v>1621</v>
      </c>
      <c r="J919" s="7563">
        <f t="shared" si="75"/>
        <v>0</v>
      </c>
      <c r="K919" s="7816">
        <f>(F919+F920)-J919</f>
        <v>2150000</v>
      </c>
      <c r="L919" s="6733"/>
      <c r="M919" s="386"/>
      <c r="N919" s="386"/>
      <c r="O919" s="386"/>
      <c r="P919" s="386"/>
      <c r="Q919" s="386"/>
    </row>
    <row r="920" spans="1:17" ht="30" customHeight="1" x14ac:dyDescent="0.2">
      <c r="A920" s="7656"/>
      <c r="B920" s="7665"/>
      <c r="C920" s="7747"/>
      <c r="D920" s="6914">
        <v>10000000</v>
      </c>
      <c r="E920" s="6928">
        <v>0.05</v>
      </c>
      <c r="F920" s="6914">
        <f>D920*E920</f>
        <v>500000</v>
      </c>
      <c r="G920" s="7564"/>
      <c r="H920" s="7564"/>
      <c r="I920" s="7890"/>
      <c r="J920" s="7564"/>
      <c r="K920" s="7817"/>
      <c r="L920" s="6733"/>
      <c r="M920" s="386"/>
      <c r="N920" s="386"/>
      <c r="O920" s="386"/>
      <c r="P920" s="386"/>
      <c r="Q920" s="386"/>
    </row>
    <row r="921" spans="1:17" ht="30" customHeight="1" x14ac:dyDescent="0.2">
      <c r="A921" s="7656"/>
      <c r="B921" s="7665"/>
      <c r="C921" s="7747"/>
      <c r="D921" s="6914">
        <v>100000000</v>
      </c>
      <c r="E921" s="6928">
        <v>7.0000000000000007E-2</v>
      </c>
      <c r="F921" s="6914">
        <f t="shared" ref="F921:F922" si="77">D921*E921</f>
        <v>7000000.0000000009</v>
      </c>
      <c r="G921" s="7732" t="s">
        <v>8063</v>
      </c>
      <c r="H921" s="7733"/>
      <c r="I921" s="7733"/>
      <c r="J921" s="7734"/>
      <c r="K921" s="6929"/>
      <c r="L921" s="7811" t="s">
        <v>8065</v>
      </c>
      <c r="M921" s="386"/>
      <c r="N921" s="386"/>
      <c r="O921" s="386"/>
      <c r="P921" s="386"/>
      <c r="Q921" s="386"/>
    </row>
    <row r="922" spans="1:17" ht="30" customHeight="1" x14ac:dyDescent="0.2">
      <c r="A922" s="7655"/>
      <c r="B922" s="7653"/>
      <c r="C922" s="7724"/>
      <c r="D922" s="6914">
        <v>100000000</v>
      </c>
      <c r="E922" s="6928">
        <v>7.0000000000000007E-2</v>
      </c>
      <c r="F922" s="6914">
        <f t="shared" si="77"/>
        <v>7000000.0000000009</v>
      </c>
      <c r="G922" s="7732" t="s">
        <v>8064</v>
      </c>
      <c r="H922" s="7733"/>
      <c r="I922" s="7733"/>
      <c r="J922" s="7734"/>
      <c r="K922" s="6929"/>
      <c r="L922" s="7812"/>
      <c r="M922" s="386"/>
      <c r="N922" s="386"/>
      <c r="O922" s="386"/>
      <c r="P922" s="386"/>
      <c r="Q922" s="386"/>
    </row>
    <row r="923" spans="1:17" ht="30" customHeight="1" x14ac:dyDescent="0.2">
      <c r="A923" s="7654">
        <v>364</v>
      </c>
      <c r="B923" s="7652" t="s">
        <v>6247</v>
      </c>
      <c r="C923" s="7723" t="s">
        <v>1172</v>
      </c>
      <c r="D923" s="6635">
        <v>150000000</v>
      </c>
      <c r="E923" s="6705">
        <v>0.06</v>
      </c>
      <c r="F923" s="6635">
        <f>D923*E923</f>
        <v>9000000</v>
      </c>
      <c r="G923" s="6643"/>
      <c r="H923" s="6643"/>
      <c r="I923" s="472"/>
      <c r="J923" s="227"/>
      <c r="K923" s="847"/>
      <c r="L923" s="6733"/>
      <c r="M923" s="386"/>
      <c r="N923" s="386"/>
      <c r="O923" s="386"/>
      <c r="P923" s="386"/>
      <c r="Q923" s="386"/>
    </row>
    <row r="924" spans="1:17" ht="30" customHeight="1" x14ac:dyDescent="0.2">
      <c r="A924" s="7656"/>
      <c r="B924" s="7665"/>
      <c r="C924" s="7747"/>
      <c r="D924" s="7494" t="s">
        <v>7497</v>
      </c>
      <c r="E924" s="7495"/>
      <c r="F924" s="7768"/>
      <c r="G924" s="6643"/>
      <c r="H924" s="6643"/>
      <c r="I924" s="472" t="s">
        <v>2776</v>
      </c>
      <c r="J924" s="7563">
        <f>G924+G925+G926</f>
        <v>0</v>
      </c>
      <c r="K924" s="7816">
        <f>(F923+D923)-J924</f>
        <v>159000000</v>
      </c>
      <c r="L924" s="6724"/>
      <c r="M924" s="386"/>
      <c r="N924" s="386"/>
      <c r="O924" s="386"/>
      <c r="P924" s="386"/>
      <c r="Q924" s="386"/>
    </row>
    <row r="925" spans="1:17" ht="30" customHeight="1" x14ac:dyDescent="0.2">
      <c r="A925" s="7656"/>
      <c r="B925" s="7665"/>
      <c r="C925" s="7747"/>
      <c r="D925" s="7877"/>
      <c r="E925" s="7524"/>
      <c r="F925" s="7878"/>
      <c r="G925" s="6643"/>
      <c r="H925" s="6643"/>
      <c r="I925" s="472" t="s">
        <v>2776</v>
      </c>
      <c r="J925" s="7586"/>
      <c r="K925" s="7882"/>
      <c r="L925" s="6724"/>
      <c r="M925" s="386"/>
      <c r="N925" s="386"/>
      <c r="O925" s="386"/>
      <c r="P925" s="386"/>
      <c r="Q925" s="386"/>
    </row>
    <row r="926" spans="1:17" ht="30" customHeight="1" x14ac:dyDescent="0.2">
      <c r="A926" s="7656"/>
      <c r="B926" s="7665"/>
      <c r="C926" s="7747"/>
      <c r="D926" s="7769"/>
      <c r="E926" s="7805"/>
      <c r="F926" s="7770"/>
      <c r="G926" s="6643"/>
      <c r="H926" s="6643"/>
      <c r="I926" s="472" t="s">
        <v>2776</v>
      </c>
      <c r="J926" s="7564"/>
      <c r="K926" s="7817"/>
      <c r="L926" s="6724"/>
      <c r="M926" s="386"/>
      <c r="N926" s="386"/>
      <c r="O926" s="386"/>
      <c r="P926" s="386"/>
      <c r="Q926" s="386"/>
    </row>
    <row r="927" spans="1:17" ht="30" customHeight="1" x14ac:dyDescent="0.2">
      <c r="A927" s="7655"/>
      <c r="B927" s="7653"/>
      <c r="C927" s="7724"/>
      <c r="D927" s="6644"/>
      <c r="E927" s="2519"/>
      <c r="F927" s="6643">
        <v>6000000</v>
      </c>
      <c r="G927" s="6643"/>
      <c r="H927" s="6643"/>
      <c r="I927" s="472"/>
      <c r="J927" s="7"/>
      <c r="K927" s="6703">
        <f t="shared" si="76"/>
        <v>6000000</v>
      </c>
      <c r="L927" s="6724"/>
      <c r="M927" s="386"/>
      <c r="N927" s="386"/>
      <c r="O927" s="386"/>
      <c r="P927" s="386"/>
      <c r="Q927" s="386"/>
    </row>
    <row r="928" spans="1:17" ht="30" customHeight="1" x14ac:dyDescent="0.2">
      <c r="A928" s="6708">
        <v>365</v>
      </c>
      <c r="B928" s="6665" t="s">
        <v>1639</v>
      </c>
      <c r="C928" s="6710" t="s">
        <v>1718</v>
      </c>
      <c r="D928" s="6643">
        <v>250000000</v>
      </c>
      <c r="E928" s="6705">
        <v>0.05</v>
      </c>
      <c r="F928" s="6643">
        <f>D928*E928</f>
        <v>12500000</v>
      </c>
      <c r="G928" s="6635"/>
      <c r="H928" s="6635"/>
      <c r="I928" s="6635" t="s">
        <v>2808</v>
      </c>
      <c r="J928" s="6635">
        <f t="shared" si="75"/>
        <v>0</v>
      </c>
      <c r="K928" s="6703">
        <f t="shared" si="76"/>
        <v>12500000</v>
      </c>
      <c r="L928" s="6724"/>
      <c r="M928" s="386"/>
      <c r="N928" s="386"/>
      <c r="O928" s="386"/>
      <c r="P928" s="386"/>
      <c r="Q928" s="386"/>
    </row>
    <row r="929" spans="1:17" ht="30" customHeight="1" x14ac:dyDescent="0.2">
      <c r="A929" s="7654">
        <v>366</v>
      </c>
      <c r="B929" s="7652" t="s">
        <v>4684</v>
      </c>
      <c r="C929" s="7723" t="s">
        <v>1107</v>
      </c>
      <c r="D929" s="6635">
        <v>70000000</v>
      </c>
      <c r="E929" s="6705">
        <v>6.3E-2</v>
      </c>
      <c r="F929" s="6635">
        <v>4400000</v>
      </c>
      <c r="G929" s="7563">
        <v>11150000</v>
      </c>
      <c r="H929" s="7563" t="s">
        <v>3808</v>
      </c>
      <c r="I929" s="7889" t="s">
        <v>4781</v>
      </c>
      <c r="J929" s="7563">
        <f>G929</f>
        <v>11150000</v>
      </c>
      <c r="K929" s="7816">
        <f>(F929+F930)-J929</f>
        <v>0</v>
      </c>
      <c r="L929" s="6733"/>
      <c r="M929" s="386"/>
      <c r="N929" s="386"/>
      <c r="O929" s="386"/>
      <c r="P929" s="386"/>
      <c r="Q929" s="386"/>
    </row>
    <row r="930" spans="1:17" ht="30" customHeight="1" x14ac:dyDescent="0.2">
      <c r="A930" s="7655"/>
      <c r="B930" s="7653"/>
      <c r="C930" s="7724"/>
      <c r="D930" s="6643">
        <v>135000000</v>
      </c>
      <c r="E930" s="6649">
        <v>0.05</v>
      </c>
      <c r="F930" s="6643">
        <f>D930*E930</f>
        <v>6750000</v>
      </c>
      <c r="G930" s="7564"/>
      <c r="H930" s="7564"/>
      <c r="I930" s="7890"/>
      <c r="J930" s="7564"/>
      <c r="K930" s="7817"/>
      <c r="L930" s="6733"/>
      <c r="M930" s="386"/>
      <c r="N930" s="386"/>
      <c r="O930" s="386"/>
      <c r="P930" s="386"/>
      <c r="Q930" s="386"/>
    </row>
    <row r="931" spans="1:17" ht="30" customHeight="1" x14ac:dyDescent="0.2">
      <c r="A931" s="6854">
        <v>367</v>
      </c>
      <c r="B931" s="6855" t="s">
        <v>1666</v>
      </c>
      <c r="C931" s="6859" t="s">
        <v>1172</v>
      </c>
      <c r="D931" s="6643">
        <v>21000000</v>
      </c>
      <c r="E931" s="6705">
        <v>0.05</v>
      </c>
      <c r="F931" s="6643">
        <f>D931*E931</f>
        <v>1050000</v>
      </c>
      <c r="G931" s="6643">
        <v>1000000</v>
      </c>
      <c r="H931" s="6643" t="s">
        <v>2109</v>
      </c>
      <c r="I931" s="472" t="s">
        <v>6259</v>
      </c>
      <c r="J931" s="6643">
        <f t="shared" si="75"/>
        <v>1000000</v>
      </c>
      <c r="K931" s="6703">
        <f t="shared" si="76"/>
        <v>50000</v>
      </c>
      <c r="L931" s="6733"/>
      <c r="M931" s="386"/>
      <c r="N931" s="386"/>
      <c r="O931" s="386"/>
      <c r="P931" s="386"/>
      <c r="Q931" s="386"/>
    </row>
    <row r="932" spans="1:17" ht="30" customHeight="1" x14ac:dyDescent="0.2">
      <c r="A932" s="7654">
        <v>368</v>
      </c>
      <c r="B932" s="7652" t="s">
        <v>1793</v>
      </c>
      <c r="C932" s="7723" t="s">
        <v>392</v>
      </c>
      <c r="D932" s="7482">
        <v>818000000</v>
      </c>
      <c r="E932" s="7870">
        <v>7.0000000000000007E-2</v>
      </c>
      <c r="F932" s="7482">
        <f>D932*E932</f>
        <v>57260000.000000007</v>
      </c>
      <c r="G932" s="6643">
        <v>7000000</v>
      </c>
      <c r="H932" s="6643" t="s">
        <v>7945</v>
      </c>
      <c r="I932" s="472" t="s">
        <v>7967</v>
      </c>
      <c r="J932" s="7482">
        <f>G932+G933+G934</f>
        <v>57260000</v>
      </c>
      <c r="K932" s="7499">
        <f>F932-J932</f>
        <v>0</v>
      </c>
      <c r="L932" s="6723"/>
      <c r="M932" s="386"/>
      <c r="N932" s="386"/>
      <c r="O932" s="386"/>
      <c r="P932" s="386"/>
      <c r="Q932" s="386"/>
    </row>
    <row r="933" spans="1:17" ht="30" customHeight="1" x14ac:dyDescent="0.2">
      <c r="A933" s="7656"/>
      <c r="B933" s="7665"/>
      <c r="C933" s="7747"/>
      <c r="D933" s="7482"/>
      <c r="E933" s="7870"/>
      <c r="F933" s="7482"/>
      <c r="G933" s="6852">
        <v>20000000</v>
      </c>
      <c r="H933" s="6852" t="s">
        <v>7974</v>
      </c>
      <c r="I933" s="472" t="s">
        <v>2579</v>
      </c>
      <c r="J933" s="7482"/>
      <c r="K933" s="7499"/>
      <c r="L933" s="6723"/>
      <c r="M933" s="386"/>
      <c r="N933" s="386"/>
      <c r="O933" s="386"/>
      <c r="P933" s="386"/>
      <c r="Q933" s="386"/>
    </row>
    <row r="934" spans="1:17" ht="30" customHeight="1" x14ac:dyDescent="0.2">
      <c r="A934" s="7656"/>
      <c r="B934" s="7665"/>
      <c r="C934" s="7747"/>
      <c r="D934" s="7482"/>
      <c r="E934" s="7870"/>
      <c r="F934" s="7482"/>
      <c r="G934" s="6852">
        <v>30260000</v>
      </c>
      <c r="H934" s="6852" t="s">
        <v>7979</v>
      </c>
      <c r="I934" s="472" t="s">
        <v>2579</v>
      </c>
      <c r="J934" s="7482"/>
      <c r="K934" s="7499"/>
      <c r="L934" s="6864"/>
      <c r="M934" s="386"/>
      <c r="N934" s="386"/>
      <c r="O934" s="386"/>
      <c r="P934" s="386"/>
      <c r="Q934" s="386"/>
    </row>
    <row r="935" spans="1:17" ht="30" customHeight="1" x14ac:dyDescent="0.2">
      <c r="A935" s="7655"/>
      <c r="B935" s="7653"/>
      <c r="C935" s="7724"/>
      <c r="D935" s="6825">
        <v>318000000</v>
      </c>
      <c r="E935" s="6828">
        <v>0.08</v>
      </c>
      <c r="F935" s="6825">
        <f>D935*E935</f>
        <v>25440000</v>
      </c>
      <c r="G935" s="7059">
        <v>7260000</v>
      </c>
      <c r="H935" s="7059" t="s">
        <v>8240</v>
      </c>
      <c r="I935" s="472" t="s">
        <v>2579</v>
      </c>
      <c r="J935" s="6825">
        <f>G935</f>
        <v>7260000</v>
      </c>
      <c r="K935" s="1113" t="s">
        <v>8242</v>
      </c>
      <c r="L935" s="6841" t="s">
        <v>7966</v>
      </c>
      <c r="M935" s="386"/>
      <c r="N935" s="386"/>
      <c r="O935" s="386"/>
      <c r="P935" s="386"/>
      <c r="Q935" s="386"/>
    </row>
    <row r="936" spans="1:17" ht="30" customHeight="1" x14ac:dyDescent="0.2">
      <c r="A936" s="7654"/>
      <c r="B936" s="7652" t="s">
        <v>5590</v>
      </c>
      <c r="C936" s="7723" t="s">
        <v>371</v>
      </c>
      <c r="D936" s="7563">
        <v>286000000</v>
      </c>
      <c r="E936" s="7659">
        <v>7.0000000000000007E-2</v>
      </c>
      <c r="F936" s="7563">
        <f>D936*E936</f>
        <v>20020000.000000004</v>
      </c>
      <c r="G936" s="7563">
        <v>20200000</v>
      </c>
      <c r="H936" s="7563" t="s">
        <v>8186</v>
      </c>
      <c r="I936" s="7889" t="s">
        <v>8199</v>
      </c>
      <c r="J936" s="7563">
        <f>G936</f>
        <v>20200000</v>
      </c>
      <c r="K936" s="7816">
        <f>F936-J936</f>
        <v>-179999.99999999627</v>
      </c>
      <c r="L936" s="6723" t="s">
        <v>5556</v>
      </c>
      <c r="M936" s="386"/>
      <c r="N936" s="386"/>
      <c r="O936" s="386"/>
      <c r="P936" s="386"/>
      <c r="Q936" s="386"/>
    </row>
    <row r="937" spans="1:17" ht="30" customHeight="1" x14ac:dyDescent="0.2">
      <c r="A937" s="7656"/>
      <c r="B937" s="7665"/>
      <c r="C937" s="7747"/>
      <c r="D937" s="7586"/>
      <c r="E937" s="7676"/>
      <c r="F937" s="7586"/>
      <c r="G937" s="7586"/>
      <c r="H937" s="7586"/>
      <c r="I937" s="8036"/>
      <c r="J937" s="7586"/>
      <c r="K937" s="7882"/>
      <c r="L937" s="6723" t="s">
        <v>5591</v>
      </c>
      <c r="M937" s="386"/>
      <c r="N937" s="386"/>
      <c r="O937" s="386"/>
      <c r="P937" s="386"/>
      <c r="Q937" s="386"/>
    </row>
    <row r="938" spans="1:17" ht="30" customHeight="1" x14ac:dyDescent="0.2">
      <c r="A938" s="7655"/>
      <c r="B938" s="7653"/>
      <c r="C938" s="7724"/>
      <c r="D938" s="7564"/>
      <c r="E938" s="7660"/>
      <c r="F938" s="7564"/>
      <c r="G938" s="7564"/>
      <c r="H938" s="7564"/>
      <c r="I938" s="7890"/>
      <c r="J938" s="7564"/>
      <c r="K938" s="7817"/>
      <c r="L938" s="6723" t="s">
        <v>7023</v>
      </c>
      <c r="M938" s="386"/>
      <c r="N938" s="386"/>
      <c r="O938" s="386"/>
      <c r="P938" s="386"/>
      <c r="Q938" s="386"/>
    </row>
    <row r="939" spans="1:17" ht="30" customHeight="1" x14ac:dyDescent="0.2">
      <c r="A939" s="7879">
        <v>369</v>
      </c>
      <c r="B939" s="7717" t="s">
        <v>1676</v>
      </c>
      <c r="C939" s="7873" t="s">
        <v>1652</v>
      </c>
      <c r="D939" s="6643">
        <v>250000000</v>
      </c>
      <c r="E939" s="6649">
        <v>0.05</v>
      </c>
      <c r="F939" s="6643">
        <f t="shared" ref="F939:F947" si="78">D939*E939</f>
        <v>12500000</v>
      </c>
      <c r="G939" s="7482">
        <v>10700000</v>
      </c>
      <c r="H939" s="7482" t="s">
        <v>2109</v>
      </c>
      <c r="I939" s="7778" t="s">
        <v>4896</v>
      </c>
      <c r="J939" s="7563">
        <f>G939+G941+G942</f>
        <v>30700000</v>
      </c>
      <c r="K939" s="7563">
        <f>(F939+F940+F941+F942)-J939</f>
        <v>-2900000</v>
      </c>
      <c r="L939" s="6723"/>
      <c r="M939" s="386"/>
      <c r="N939" s="386"/>
      <c r="O939" s="386"/>
      <c r="P939" s="386"/>
      <c r="Q939" s="386"/>
    </row>
    <row r="940" spans="1:17" ht="30" customHeight="1" x14ac:dyDescent="0.2">
      <c r="A940" s="7879"/>
      <c r="B940" s="7717"/>
      <c r="C940" s="7873"/>
      <c r="D940" s="6643">
        <v>150000000</v>
      </c>
      <c r="E940" s="6649">
        <v>0.06</v>
      </c>
      <c r="F940" s="6643">
        <f t="shared" si="78"/>
        <v>9000000</v>
      </c>
      <c r="G940" s="7482"/>
      <c r="H940" s="7482"/>
      <c r="I940" s="7778"/>
      <c r="J940" s="7586"/>
      <c r="K940" s="7586"/>
      <c r="L940" s="6732"/>
      <c r="M940" s="386"/>
      <c r="N940" s="386"/>
      <c r="O940" s="386"/>
      <c r="P940" s="386"/>
      <c r="Q940" s="386"/>
    </row>
    <row r="941" spans="1:17" ht="30" customHeight="1" x14ac:dyDescent="0.2">
      <c r="A941" s="7879"/>
      <c r="B941" s="7717"/>
      <c r="C941" s="7873"/>
      <c r="D941" s="6643">
        <v>50000000</v>
      </c>
      <c r="E941" s="6649">
        <v>0.06</v>
      </c>
      <c r="F941" s="6643">
        <f t="shared" si="78"/>
        <v>3000000</v>
      </c>
      <c r="G941" s="6914">
        <v>10000000</v>
      </c>
      <c r="H941" s="6914" t="s">
        <v>7987</v>
      </c>
      <c r="I941" s="6925" t="s">
        <v>6581</v>
      </c>
      <c r="J941" s="7586"/>
      <c r="K941" s="7586"/>
      <c r="L941" s="6723"/>
      <c r="M941" s="386"/>
      <c r="N941" s="386"/>
      <c r="O941" s="386"/>
      <c r="P941" s="386"/>
      <c r="Q941" s="386"/>
    </row>
    <row r="942" spans="1:17" ht="30" customHeight="1" x14ac:dyDescent="0.2">
      <c r="A942" s="7654"/>
      <c r="B942" s="7652"/>
      <c r="C942" s="7723"/>
      <c r="D942" s="6642">
        <v>55000000</v>
      </c>
      <c r="E942" s="6648">
        <v>0.06</v>
      </c>
      <c r="F942" s="6642">
        <f t="shared" si="78"/>
        <v>3300000</v>
      </c>
      <c r="G942" s="6916">
        <v>10000000</v>
      </c>
      <c r="H942" s="6916" t="s">
        <v>6460</v>
      </c>
      <c r="I942" s="6931" t="s">
        <v>6581</v>
      </c>
      <c r="J942" s="7564"/>
      <c r="K942" s="7564"/>
      <c r="L942" s="6732"/>
      <c r="M942" s="386"/>
      <c r="N942" s="386"/>
      <c r="O942" s="386"/>
      <c r="P942" s="386"/>
      <c r="Q942" s="386"/>
    </row>
    <row r="943" spans="1:17" ht="30" customHeight="1" x14ac:dyDescent="0.2">
      <c r="A943" s="7879"/>
      <c r="B943" s="7717" t="s">
        <v>5179</v>
      </c>
      <c r="C943" s="7723" t="s">
        <v>3390</v>
      </c>
      <c r="D943" s="6635">
        <v>400000000</v>
      </c>
      <c r="E943" s="6705">
        <v>7.0000000000000007E-2</v>
      </c>
      <c r="F943" s="6635">
        <f t="shared" si="78"/>
        <v>28000000.000000004</v>
      </c>
      <c r="G943" s="6635">
        <v>37100000</v>
      </c>
      <c r="H943" s="6685" t="s">
        <v>8186</v>
      </c>
      <c r="I943" s="6635" t="s">
        <v>6581</v>
      </c>
      <c r="J943" s="6635">
        <f>G943</f>
        <v>37100000</v>
      </c>
      <c r="K943" s="7563">
        <f>(F944+F943)-J943</f>
        <v>0</v>
      </c>
      <c r="L943" s="6733" t="s">
        <v>8076</v>
      </c>
      <c r="M943" s="386"/>
      <c r="N943" s="386"/>
      <c r="O943" s="386"/>
      <c r="P943" s="386"/>
      <c r="Q943" s="386"/>
    </row>
    <row r="944" spans="1:17" ht="30" customHeight="1" x14ac:dyDescent="0.2">
      <c r="A944" s="7879"/>
      <c r="B944" s="7717"/>
      <c r="C944" s="7724"/>
      <c r="D944" s="6635">
        <v>130000000</v>
      </c>
      <c r="E944" s="6705">
        <v>7.0000000000000007E-2</v>
      </c>
      <c r="F944" s="6635">
        <f t="shared" si="78"/>
        <v>9100000</v>
      </c>
      <c r="G944" s="7470" t="s">
        <v>7586</v>
      </c>
      <c r="H944" s="7493"/>
      <c r="I944" s="7493"/>
      <c r="J944" s="7510"/>
      <c r="K944" s="7564"/>
      <c r="L944" s="6733" t="s">
        <v>7587</v>
      </c>
      <c r="M944" s="386"/>
      <c r="N944" s="386"/>
      <c r="O944" s="386"/>
      <c r="P944" s="386"/>
      <c r="Q944" s="386"/>
    </row>
    <row r="945" spans="1:17" ht="30" customHeight="1" x14ac:dyDescent="0.2">
      <c r="A945" s="6655"/>
      <c r="B945" s="6651" t="s">
        <v>5182</v>
      </c>
      <c r="C945" s="6684" t="s">
        <v>3390</v>
      </c>
      <c r="D945" s="6643">
        <v>150000000</v>
      </c>
      <c r="E945" s="6649">
        <v>0.06</v>
      </c>
      <c r="F945" s="6643">
        <f t="shared" si="78"/>
        <v>9000000</v>
      </c>
      <c r="G945" s="6643"/>
      <c r="H945" s="6643"/>
      <c r="I945" s="6693" t="s">
        <v>5761</v>
      </c>
      <c r="J945" s="6643">
        <f>G945</f>
        <v>0</v>
      </c>
      <c r="K945" s="6643">
        <f>F945-J945</f>
        <v>9000000</v>
      </c>
      <c r="L945" s="6724" t="s">
        <v>7366</v>
      </c>
      <c r="M945" s="386"/>
      <c r="N945" s="386"/>
      <c r="O945" s="386"/>
      <c r="P945" s="386"/>
      <c r="Q945" s="386"/>
    </row>
    <row r="946" spans="1:17" ht="30" customHeight="1" x14ac:dyDescent="0.2">
      <c r="A946" s="7654">
        <v>370</v>
      </c>
      <c r="B946" s="7703" t="s">
        <v>1696</v>
      </c>
      <c r="C946" s="7723" t="s">
        <v>3323</v>
      </c>
      <c r="D946" s="6981">
        <v>200000000</v>
      </c>
      <c r="E946" s="6982">
        <v>0.05</v>
      </c>
      <c r="F946" s="6981">
        <f t="shared" si="78"/>
        <v>10000000</v>
      </c>
      <c r="G946" s="6643"/>
      <c r="H946" s="6643"/>
      <c r="I946" s="472" t="s">
        <v>3400</v>
      </c>
      <c r="J946" s="6643">
        <f t="shared" ref="J946:J968" si="79">G946</f>
        <v>0</v>
      </c>
      <c r="K946" s="6703">
        <f>F946-J946</f>
        <v>10000000</v>
      </c>
      <c r="L946" s="6733"/>
      <c r="M946" s="386"/>
      <c r="N946" s="386"/>
      <c r="O946" s="386"/>
      <c r="P946" s="386"/>
      <c r="Q946" s="386"/>
    </row>
    <row r="947" spans="1:17" ht="30" customHeight="1" x14ac:dyDescent="0.2">
      <c r="A947" s="7656"/>
      <c r="B947" s="7704"/>
      <c r="C947" s="7747"/>
      <c r="D947" s="6981">
        <v>50000000</v>
      </c>
      <c r="E947" s="6982">
        <v>0.05</v>
      </c>
      <c r="F947" s="6981">
        <f t="shared" si="78"/>
        <v>2500000</v>
      </c>
      <c r="G947" s="7732" t="s">
        <v>8110</v>
      </c>
      <c r="H947" s="7733"/>
      <c r="I947" s="7733"/>
      <c r="J947" s="7734"/>
      <c r="K947" s="6974"/>
      <c r="L947" s="6975" t="s">
        <v>7158</v>
      </c>
      <c r="M947" s="386"/>
      <c r="N947" s="386"/>
      <c r="O947" s="386"/>
      <c r="P947" s="386"/>
      <c r="Q947" s="386"/>
    </row>
    <row r="948" spans="1:17" ht="30" customHeight="1" x14ac:dyDescent="0.2">
      <c r="A948" s="7656"/>
      <c r="B948" s="7704"/>
      <c r="C948" s="7747"/>
      <c r="D948" s="6980">
        <v>80000000</v>
      </c>
      <c r="E948" s="679"/>
      <c r="F948" s="6980"/>
      <c r="G948" s="8085" t="s">
        <v>7391</v>
      </c>
      <c r="H948" s="8086"/>
      <c r="I948" s="8086"/>
      <c r="J948" s="8087"/>
      <c r="K948" s="6703"/>
      <c r="L948" s="6723" t="s">
        <v>7392</v>
      </c>
      <c r="M948" s="386"/>
      <c r="N948" s="386"/>
      <c r="O948" s="386"/>
      <c r="P948" s="386"/>
      <c r="Q948" s="386"/>
    </row>
    <row r="949" spans="1:17" ht="30" customHeight="1" x14ac:dyDescent="0.2">
      <c r="A949" s="7656"/>
      <c r="B949" s="7704"/>
      <c r="C949" s="7747"/>
      <c r="D949" s="6980">
        <v>70000000</v>
      </c>
      <c r="E949" s="679"/>
      <c r="F949" s="6980"/>
      <c r="G949" s="8085" t="s">
        <v>7393</v>
      </c>
      <c r="H949" s="8086"/>
      <c r="I949" s="8086"/>
      <c r="J949" s="8087"/>
      <c r="K949" s="6703"/>
      <c r="L949" s="6723" t="s">
        <v>7392</v>
      </c>
      <c r="M949" s="386"/>
      <c r="N949" s="386"/>
      <c r="O949" s="386"/>
      <c r="P949" s="386"/>
      <c r="Q949" s="386"/>
    </row>
    <row r="950" spans="1:17" ht="30" customHeight="1" x14ac:dyDescent="0.2">
      <c r="A950" s="7656"/>
      <c r="B950" s="7704"/>
      <c r="C950" s="7747"/>
      <c r="D950" s="6980">
        <v>30000000</v>
      </c>
      <c r="E950" s="679"/>
      <c r="F950" s="6980"/>
      <c r="G950" s="8085" t="s">
        <v>7394</v>
      </c>
      <c r="H950" s="8086"/>
      <c r="I950" s="8086"/>
      <c r="J950" s="8087"/>
      <c r="K950" s="6703"/>
      <c r="L950" s="6723" t="s">
        <v>7392</v>
      </c>
      <c r="M950" s="386"/>
      <c r="N950" s="386"/>
      <c r="O950" s="386"/>
      <c r="P950" s="386"/>
      <c r="Q950" s="386"/>
    </row>
    <row r="951" spans="1:17" ht="30" customHeight="1" x14ac:dyDescent="0.2">
      <c r="A951" s="7656"/>
      <c r="B951" s="7704"/>
      <c r="C951" s="7747"/>
      <c r="D951" s="6979">
        <v>10000000</v>
      </c>
      <c r="E951" s="679"/>
      <c r="F951" s="6979"/>
      <c r="G951" s="8085" t="s">
        <v>8108</v>
      </c>
      <c r="H951" s="8086"/>
      <c r="I951" s="8086"/>
      <c r="J951" s="8087"/>
      <c r="K951" s="6974"/>
      <c r="L951" s="2726" t="s">
        <v>8109</v>
      </c>
      <c r="M951" s="386"/>
      <c r="N951" s="386"/>
      <c r="O951" s="386"/>
      <c r="P951" s="386"/>
      <c r="Q951" s="386"/>
    </row>
    <row r="952" spans="1:17" ht="30" customHeight="1" x14ac:dyDescent="0.2">
      <c r="A952" s="7656"/>
      <c r="B952" s="7704"/>
      <c r="C952" s="7747"/>
      <c r="D952" s="5344">
        <v>250000000</v>
      </c>
      <c r="E952" s="5345">
        <v>5.3999999999999999E-2</v>
      </c>
      <c r="F952" s="5344">
        <f>D952*E952</f>
        <v>13500000</v>
      </c>
      <c r="G952" s="1455">
        <v>13500000</v>
      </c>
      <c r="H952" s="1455" t="s">
        <v>8111</v>
      </c>
      <c r="I952" s="1455" t="s">
        <v>3400</v>
      </c>
      <c r="J952" s="1455">
        <f>G952</f>
        <v>13500000</v>
      </c>
      <c r="K952" s="5940">
        <f>F952-J952</f>
        <v>0</v>
      </c>
      <c r="L952" s="5584"/>
      <c r="M952" s="386"/>
      <c r="N952" s="386"/>
      <c r="O952" s="386"/>
      <c r="P952" s="386"/>
      <c r="Q952" s="386"/>
    </row>
    <row r="953" spans="1:17" ht="30" customHeight="1" x14ac:dyDescent="0.2">
      <c r="A953" s="7655"/>
      <c r="B953" s="7705"/>
      <c r="C953" s="7724"/>
      <c r="D953" s="298"/>
      <c r="E953" s="7425"/>
      <c r="F953" s="298"/>
      <c r="G953" s="8209" t="s">
        <v>8473</v>
      </c>
      <c r="H953" s="8210"/>
      <c r="I953" s="8210"/>
      <c r="J953" s="8210"/>
      <c r="K953" s="8211"/>
      <c r="L953" s="5584"/>
      <c r="M953" s="386"/>
      <c r="N953" s="386"/>
      <c r="O953" s="386"/>
      <c r="P953" s="386"/>
      <c r="Q953" s="386"/>
    </row>
    <row r="954" spans="1:17" ht="30" customHeight="1" x14ac:dyDescent="0.2">
      <c r="A954" s="6655">
        <v>372</v>
      </c>
      <c r="B954" s="6652" t="s">
        <v>1706</v>
      </c>
      <c r="C954" s="6684"/>
      <c r="D954" s="6664"/>
      <c r="E954" s="2519"/>
      <c r="F954" s="6664"/>
      <c r="G954" s="6643"/>
      <c r="H954" s="6643"/>
      <c r="I954" s="472"/>
      <c r="J954" s="6643">
        <f t="shared" si="79"/>
        <v>0</v>
      </c>
      <c r="K954" s="6704"/>
      <c r="L954" s="6733"/>
      <c r="M954" s="386"/>
      <c r="N954" s="386"/>
      <c r="O954" s="386"/>
      <c r="P954" s="386"/>
      <c r="Q954" s="386"/>
    </row>
    <row r="955" spans="1:17" ht="30" customHeight="1" x14ac:dyDescent="0.2">
      <c r="A955" s="7654"/>
      <c r="B955" s="7652" t="s">
        <v>1725</v>
      </c>
      <c r="C955" s="7723" t="s">
        <v>1718</v>
      </c>
      <c r="D955" s="6635">
        <v>20000000</v>
      </c>
      <c r="E955" s="6705">
        <v>0.05</v>
      </c>
      <c r="F955" s="6635">
        <f>D955*E955</f>
        <v>1000000</v>
      </c>
      <c r="G955" s="7563">
        <v>3000000</v>
      </c>
      <c r="H955" s="7563" t="s">
        <v>8164</v>
      </c>
      <c r="I955" s="7563" t="s">
        <v>3486</v>
      </c>
      <c r="J955" s="7563">
        <f t="shared" si="79"/>
        <v>3000000</v>
      </c>
      <c r="K955" s="7816">
        <f>(F955+F956+F957)-J955</f>
        <v>0</v>
      </c>
      <c r="L955" s="6733"/>
      <c r="M955" s="386"/>
      <c r="N955" s="386"/>
      <c r="O955" s="386"/>
      <c r="P955" s="386"/>
      <c r="Q955" s="386"/>
    </row>
    <row r="956" spans="1:17" ht="30" customHeight="1" x14ac:dyDescent="0.2">
      <c r="A956" s="7656"/>
      <c r="B956" s="7665"/>
      <c r="C956" s="7747"/>
      <c r="D956" s="6643">
        <v>10000000</v>
      </c>
      <c r="E956" s="6705">
        <v>0.05</v>
      </c>
      <c r="F956" s="6635">
        <f>D956*E956</f>
        <v>500000</v>
      </c>
      <c r="G956" s="7564"/>
      <c r="H956" s="7564"/>
      <c r="I956" s="7564"/>
      <c r="J956" s="7564"/>
      <c r="K956" s="7817"/>
      <c r="L956" s="6733"/>
      <c r="M956" s="386"/>
      <c r="N956" s="386"/>
      <c r="O956" s="386"/>
      <c r="P956" s="386"/>
      <c r="Q956" s="386"/>
    </row>
    <row r="957" spans="1:17" ht="30" customHeight="1" x14ac:dyDescent="0.2">
      <c r="A957" s="7656"/>
      <c r="B957" s="7665"/>
      <c r="C957" s="7747"/>
      <c r="D957" s="7563">
        <v>30000000</v>
      </c>
      <c r="E957" s="7659">
        <v>0.05</v>
      </c>
      <c r="F957" s="7563">
        <f>D957*E957</f>
        <v>1500000</v>
      </c>
      <c r="G957" s="7732" t="s">
        <v>7005</v>
      </c>
      <c r="H957" s="7733"/>
      <c r="I957" s="7733"/>
      <c r="J957" s="7734"/>
      <c r="K957" s="6703"/>
      <c r="L957" s="7811" t="s">
        <v>7004</v>
      </c>
      <c r="M957" s="386"/>
      <c r="N957" s="386"/>
      <c r="O957" s="386"/>
      <c r="P957" s="386"/>
      <c r="Q957" s="386"/>
    </row>
    <row r="958" spans="1:17" ht="30" customHeight="1" x14ac:dyDescent="0.2">
      <c r="A958" s="7656"/>
      <c r="B958" s="7665"/>
      <c r="C958" s="7747"/>
      <c r="D958" s="7586"/>
      <c r="E958" s="7676"/>
      <c r="F958" s="7586"/>
      <c r="G958" s="7732" t="s">
        <v>7006</v>
      </c>
      <c r="H958" s="7733"/>
      <c r="I958" s="7733"/>
      <c r="J958" s="7734"/>
      <c r="K958" s="6703"/>
      <c r="L958" s="7897"/>
      <c r="M958" s="386"/>
      <c r="N958" s="386"/>
      <c r="O958" s="386"/>
      <c r="P958" s="386"/>
      <c r="Q958" s="386"/>
    </row>
    <row r="959" spans="1:17" ht="30" customHeight="1" x14ac:dyDescent="0.2">
      <c r="A959" s="7655"/>
      <c r="B959" s="7653"/>
      <c r="C959" s="7724"/>
      <c r="D959" s="7564"/>
      <c r="E959" s="7660"/>
      <c r="F959" s="7564"/>
      <c r="G959" s="7732" t="s">
        <v>7007</v>
      </c>
      <c r="H959" s="7733"/>
      <c r="I959" s="7733"/>
      <c r="J959" s="7734"/>
      <c r="K959" s="6703"/>
      <c r="L959" s="7812"/>
      <c r="M959" s="386"/>
      <c r="N959" s="386"/>
      <c r="O959" s="386"/>
      <c r="P959" s="386"/>
      <c r="Q959" s="386"/>
    </row>
    <row r="960" spans="1:17" ht="30" customHeight="1" x14ac:dyDescent="0.2">
      <c r="A960" s="6655">
        <v>374</v>
      </c>
      <c r="B960" s="6652" t="s">
        <v>1727</v>
      </c>
      <c r="C960" s="6684"/>
      <c r="D960" s="6664"/>
      <c r="E960" s="6669"/>
      <c r="F960" s="6664"/>
      <c r="G960" s="6643"/>
      <c r="H960" s="6643"/>
      <c r="I960" s="472"/>
      <c r="J960" s="6643">
        <f t="shared" si="79"/>
        <v>0</v>
      </c>
      <c r="K960" s="6704">
        <f t="shared" ref="K960:K973" si="80">F960-J960</f>
        <v>0</v>
      </c>
      <c r="L960" s="6733"/>
      <c r="M960" s="386"/>
      <c r="N960" s="386"/>
      <c r="O960" s="386"/>
      <c r="P960" s="386"/>
      <c r="Q960" s="386"/>
    </row>
    <row r="961" spans="1:17" ht="30" customHeight="1" x14ac:dyDescent="0.2">
      <c r="A961" s="7654">
        <v>375</v>
      </c>
      <c r="B961" s="7652" t="s">
        <v>6040</v>
      </c>
      <c r="C961" s="7723" t="s">
        <v>889</v>
      </c>
      <c r="D961" s="7563">
        <v>2000000000</v>
      </c>
      <c r="E961" s="7659">
        <v>7.0000000000000007E-2</v>
      </c>
      <c r="F961" s="7563">
        <f>D961*E961</f>
        <v>140000000</v>
      </c>
      <c r="G961" s="6635">
        <v>20000000</v>
      </c>
      <c r="H961" s="6635" t="s">
        <v>8186</v>
      </c>
      <c r="I961" s="6635" t="s">
        <v>8203</v>
      </c>
      <c r="J961" s="7563">
        <f>G961+G962+G963+G964</f>
        <v>40000000</v>
      </c>
      <c r="K961" s="7816">
        <f>F961-J961</f>
        <v>100000000</v>
      </c>
      <c r="L961" s="7674" t="s">
        <v>7841</v>
      </c>
      <c r="M961" s="386"/>
      <c r="N961" s="386"/>
      <c r="O961" s="386"/>
      <c r="P961" s="386"/>
      <c r="Q961" s="386"/>
    </row>
    <row r="962" spans="1:17" ht="30" customHeight="1" x14ac:dyDescent="0.2">
      <c r="A962" s="7656"/>
      <c r="B962" s="7665"/>
      <c r="C962" s="7747"/>
      <c r="D962" s="7586"/>
      <c r="E962" s="7676"/>
      <c r="F962" s="7586"/>
      <c r="G962" s="6643">
        <v>20000000</v>
      </c>
      <c r="H962" s="6643" t="s">
        <v>8240</v>
      </c>
      <c r="I962" s="7056" t="s">
        <v>8203</v>
      </c>
      <c r="J962" s="7586"/>
      <c r="K962" s="7882"/>
      <c r="L962" s="8186"/>
      <c r="M962" s="386"/>
      <c r="N962" s="386"/>
      <c r="O962" s="386"/>
      <c r="P962" s="386"/>
      <c r="Q962" s="386"/>
    </row>
    <row r="963" spans="1:17" ht="30" customHeight="1" x14ac:dyDescent="0.2">
      <c r="A963" s="7656"/>
      <c r="B963" s="7665"/>
      <c r="C963" s="7747"/>
      <c r="D963" s="7586"/>
      <c r="E963" s="7676"/>
      <c r="F963" s="7586"/>
      <c r="G963" s="6643"/>
      <c r="H963" s="6643"/>
      <c r="I963" s="6693" t="s">
        <v>4403</v>
      </c>
      <c r="J963" s="7586"/>
      <c r="K963" s="7882"/>
      <c r="L963" s="7675"/>
      <c r="M963" s="386"/>
      <c r="N963" s="386"/>
      <c r="O963" s="386"/>
      <c r="P963" s="386"/>
      <c r="Q963" s="386"/>
    </row>
    <row r="964" spans="1:17" ht="30" customHeight="1" x14ac:dyDescent="0.2">
      <c r="A964" s="7656"/>
      <c r="B964" s="7665"/>
      <c r="C964" s="7747"/>
      <c r="D964" s="7586"/>
      <c r="E964" s="7676"/>
      <c r="F964" s="7586"/>
      <c r="G964" s="6643"/>
      <c r="H964" s="6643"/>
      <c r="I964" s="6693" t="s">
        <v>4403</v>
      </c>
      <c r="J964" s="7564"/>
      <c r="K964" s="7817"/>
      <c r="L964" s="6072" t="s">
        <v>7842</v>
      </c>
      <c r="M964" s="386"/>
      <c r="N964" s="386"/>
      <c r="O964" s="386"/>
      <c r="P964" s="386"/>
      <c r="Q964" s="386"/>
    </row>
    <row r="965" spans="1:17" ht="30" customHeight="1" x14ac:dyDescent="0.2">
      <c r="A965" s="7655"/>
      <c r="B965" s="7653"/>
      <c r="C965" s="7724"/>
      <c r="D965" s="7564"/>
      <c r="E965" s="7660"/>
      <c r="F965" s="7564"/>
      <c r="G965" s="7552" t="s">
        <v>7843</v>
      </c>
      <c r="H965" s="7843"/>
      <c r="I965" s="7843"/>
      <c r="J965" s="7844"/>
      <c r="K965" s="6703"/>
      <c r="L965" s="6745"/>
      <c r="M965" s="386"/>
      <c r="N965" s="386"/>
      <c r="O965" s="386"/>
      <c r="P965" s="386"/>
      <c r="Q965" s="386"/>
    </row>
    <row r="966" spans="1:17" ht="30" customHeight="1" x14ac:dyDescent="0.2">
      <c r="A966" s="7654">
        <v>376</v>
      </c>
      <c r="B966" s="7652" t="s">
        <v>3580</v>
      </c>
      <c r="C966" s="7723" t="s">
        <v>262</v>
      </c>
      <c r="D966" s="6643">
        <v>50000000</v>
      </c>
      <c r="E966" s="6705">
        <v>0.06</v>
      </c>
      <c r="F966" s="6643">
        <f>D966*E966</f>
        <v>3000000</v>
      </c>
      <c r="G966" s="6643">
        <v>3000000</v>
      </c>
      <c r="H966" s="6643" t="s">
        <v>8156</v>
      </c>
      <c r="I966" s="472" t="s">
        <v>8158</v>
      </c>
      <c r="J966" s="6643">
        <f t="shared" si="79"/>
        <v>3000000</v>
      </c>
      <c r="K966" s="6703">
        <f t="shared" si="80"/>
        <v>0</v>
      </c>
      <c r="L966" s="7811" t="s">
        <v>8521</v>
      </c>
      <c r="M966" s="386"/>
      <c r="N966" s="386"/>
      <c r="O966" s="386"/>
      <c r="P966" s="386"/>
      <c r="Q966" s="386"/>
    </row>
    <row r="967" spans="1:17" ht="30" customHeight="1" x14ac:dyDescent="0.2">
      <c r="A967" s="7655"/>
      <c r="B967" s="7653"/>
      <c r="C967" s="7724"/>
      <c r="D967" s="7417">
        <v>50000000</v>
      </c>
      <c r="E967" s="7422">
        <v>7.0000000000000007E-2</v>
      </c>
      <c r="F967" s="7417">
        <f>D967*E967</f>
        <v>3500000.0000000005</v>
      </c>
      <c r="G967" s="7397"/>
      <c r="H967" s="7397"/>
      <c r="I967" s="472"/>
      <c r="J967" s="7397"/>
      <c r="K967" s="7410"/>
      <c r="L967" s="7812"/>
      <c r="M967" s="386"/>
      <c r="N967" s="386"/>
      <c r="O967" s="386"/>
      <c r="P967" s="386"/>
      <c r="Q967" s="386"/>
    </row>
    <row r="968" spans="1:17" ht="30" customHeight="1" x14ac:dyDescent="0.2">
      <c r="A968" s="6655">
        <v>377</v>
      </c>
      <c r="B968" s="6652" t="s">
        <v>1752</v>
      </c>
      <c r="C968" s="6684" t="s">
        <v>1652</v>
      </c>
      <c r="D968" s="6643">
        <v>153000000</v>
      </c>
      <c r="E968" s="6705">
        <v>7.0000000000000007E-2</v>
      </c>
      <c r="F968" s="6643">
        <f>D968*E968</f>
        <v>10710000.000000002</v>
      </c>
      <c r="G968" s="6643">
        <v>10710000</v>
      </c>
      <c r="H968" s="6643" t="s">
        <v>8215</v>
      </c>
      <c r="I968" s="472" t="s">
        <v>1952</v>
      </c>
      <c r="J968" s="6643">
        <f t="shared" si="79"/>
        <v>10710000</v>
      </c>
      <c r="K968" s="6703">
        <f t="shared" si="80"/>
        <v>0</v>
      </c>
      <c r="L968" s="6733"/>
      <c r="M968" s="386"/>
      <c r="N968" s="386"/>
      <c r="O968" s="386"/>
      <c r="P968" s="386"/>
      <c r="Q968" s="386"/>
    </row>
    <row r="969" spans="1:17" ht="30" customHeight="1" x14ac:dyDescent="0.2">
      <c r="A969" s="7654">
        <v>378</v>
      </c>
      <c r="B969" s="7652" t="s">
        <v>1790</v>
      </c>
      <c r="C969" s="7723" t="s">
        <v>889</v>
      </c>
      <c r="D969" s="7563">
        <v>300000000</v>
      </c>
      <c r="E969" s="7659">
        <v>5.0999999999999997E-2</v>
      </c>
      <c r="F969" s="7563">
        <v>15500000</v>
      </c>
      <c r="G969" s="8092" t="s">
        <v>8090</v>
      </c>
      <c r="H969" s="8093"/>
      <c r="I969" s="8093"/>
      <c r="J969" s="8094"/>
      <c r="K969" s="6703">
        <f t="shared" si="80"/>
        <v>15500000</v>
      </c>
      <c r="L969" s="6733" t="s">
        <v>8091</v>
      </c>
      <c r="M969" s="386"/>
      <c r="N969" s="386"/>
      <c r="O969" s="386"/>
      <c r="P969" s="386"/>
      <c r="Q969" s="386"/>
    </row>
    <row r="970" spans="1:17" ht="30" customHeight="1" x14ac:dyDescent="0.2">
      <c r="A970" s="7656"/>
      <c r="B970" s="7665"/>
      <c r="C970" s="7747"/>
      <c r="D970" s="7586"/>
      <c r="E970" s="7676"/>
      <c r="F970" s="7586"/>
      <c r="G970" s="7238">
        <v>5000000</v>
      </c>
      <c r="H970" s="7238" t="s">
        <v>8164</v>
      </c>
      <c r="I970" s="472" t="s">
        <v>8184</v>
      </c>
      <c r="J970" s="7563">
        <f>G970+G971</f>
        <v>10000000</v>
      </c>
      <c r="K970" s="7816"/>
      <c r="L970" s="7264"/>
      <c r="M970" s="386"/>
      <c r="N970" s="386"/>
      <c r="O970" s="386"/>
      <c r="P970" s="386"/>
      <c r="Q970" s="386"/>
    </row>
    <row r="971" spans="1:17" ht="30" customHeight="1" x14ac:dyDescent="0.2">
      <c r="A971" s="7656"/>
      <c r="B971" s="7665"/>
      <c r="C971" s="7724"/>
      <c r="D971" s="7564"/>
      <c r="E971" s="7660"/>
      <c r="F971" s="7564"/>
      <c r="G971" s="7238">
        <v>5000000</v>
      </c>
      <c r="H971" s="7238" t="s">
        <v>8339</v>
      </c>
      <c r="I971" s="472" t="s">
        <v>3062</v>
      </c>
      <c r="J971" s="7564"/>
      <c r="K971" s="7817"/>
      <c r="L971" s="7264"/>
      <c r="M971" s="386"/>
      <c r="N971" s="386"/>
      <c r="O971" s="386"/>
      <c r="P971" s="386"/>
      <c r="Q971" s="386"/>
    </row>
    <row r="972" spans="1:17" ht="30" customHeight="1" x14ac:dyDescent="0.2">
      <c r="A972" s="7655"/>
      <c r="B972" s="7653"/>
      <c r="C972" s="7039" t="s">
        <v>2849</v>
      </c>
      <c r="D972" s="6943">
        <v>150000000</v>
      </c>
      <c r="E972" s="6955">
        <v>7.0000000000000007E-2</v>
      </c>
      <c r="F972" s="6943">
        <f>D972*E972</f>
        <v>10500000.000000002</v>
      </c>
      <c r="G972" s="6946"/>
      <c r="H972" s="6946"/>
      <c r="I972" s="472"/>
      <c r="J972" s="6946"/>
      <c r="K972" s="6952"/>
      <c r="L972" s="5584" t="s">
        <v>8092</v>
      </c>
      <c r="M972" s="386"/>
      <c r="N972" s="386"/>
      <c r="O972" s="386"/>
      <c r="P972" s="386"/>
      <c r="Q972" s="386"/>
    </row>
    <row r="973" spans="1:17" ht="30" customHeight="1" x14ac:dyDescent="0.2">
      <c r="A973" s="7326">
        <v>379</v>
      </c>
      <c r="B973" s="19" t="s">
        <v>1753</v>
      </c>
      <c r="C973" s="6710" t="s">
        <v>372</v>
      </c>
      <c r="D973" s="6635">
        <v>60000000</v>
      </c>
      <c r="E973" s="6705">
        <v>0.05</v>
      </c>
      <c r="F973" s="6635">
        <f>D973*E973</f>
        <v>3000000</v>
      </c>
      <c r="G973" s="6635">
        <v>3000000</v>
      </c>
      <c r="H973" s="6635" t="s">
        <v>8186</v>
      </c>
      <c r="I973" s="6775" t="s">
        <v>8196</v>
      </c>
      <c r="J973" s="6635">
        <f>G973</f>
        <v>3000000</v>
      </c>
      <c r="K973" s="6639">
        <f t="shared" si="80"/>
        <v>0</v>
      </c>
      <c r="L973" s="6702"/>
      <c r="M973" s="386"/>
      <c r="N973" s="386"/>
      <c r="O973" s="386"/>
      <c r="P973" s="386"/>
      <c r="Q973" s="386"/>
    </row>
    <row r="974" spans="1:17" ht="30" customHeight="1" x14ac:dyDescent="0.2">
      <c r="A974" s="7654">
        <v>381</v>
      </c>
      <c r="B974" s="8132" t="s">
        <v>1797</v>
      </c>
      <c r="C974" s="8134" t="s">
        <v>889</v>
      </c>
      <c r="D974" s="8145">
        <v>50000000</v>
      </c>
      <c r="E974" s="8590">
        <v>0.05</v>
      </c>
      <c r="F974" s="8145">
        <f>D974*E974</f>
        <v>2500000</v>
      </c>
      <c r="G974" s="7345">
        <v>25000000</v>
      </c>
      <c r="H974" s="7345" t="s">
        <v>8247</v>
      </c>
      <c r="I974" s="7391" t="s">
        <v>8249</v>
      </c>
      <c r="J974" s="7345">
        <f>G974</f>
        <v>25000000</v>
      </c>
      <c r="K974" s="7346"/>
      <c r="L974" s="8532" t="s">
        <v>8407</v>
      </c>
      <c r="M974" s="386"/>
      <c r="N974" s="386"/>
      <c r="O974" s="386"/>
      <c r="P974" s="386"/>
      <c r="Q974" s="386"/>
    </row>
    <row r="975" spans="1:17" ht="30" customHeight="1" x14ac:dyDescent="0.2">
      <c r="A975" s="7655"/>
      <c r="B975" s="8133"/>
      <c r="C975" s="8135"/>
      <c r="D975" s="8147"/>
      <c r="E975" s="8591"/>
      <c r="F975" s="8147"/>
      <c r="G975" s="7345">
        <v>4000000</v>
      </c>
      <c r="H975" s="7345" t="s">
        <v>8398</v>
      </c>
      <c r="I975" s="7391" t="s">
        <v>2584</v>
      </c>
      <c r="J975" s="7345">
        <f>G975</f>
        <v>4000000</v>
      </c>
      <c r="K975" s="7346"/>
      <c r="L975" s="8533"/>
      <c r="M975" s="386"/>
      <c r="N975" s="386"/>
      <c r="O975" s="386"/>
      <c r="P975" s="386"/>
      <c r="Q975" s="386"/>
    </row>
    <row r="976" spans="1:17" ht="30" customHeight="1" x14ac:dyDescent="0.2">
      <c r="A976" s="6655">
        <v>382</v>
      </c>
      <c r="B976" s="6652" t="s">
        <v>1812</v>
      </c>
      <c r="C976" s="6684" t="s">
        <v>262</v>
      </c>
      <c r="D976" s="6643">
        <v>150000000</v>
      </c>
      <c r="E976" s="6705"/>
      <c r="F976" s="6643"/>
      <c r="G976" s="6643"/>
      <c r="H976" s="6643"/>
      <c r="I976" s="472"/>
      <c r="J976" s="6643"/>
      <c r="K976" s="6703"/>
      <c r="L976" s="6733"/>
      <c r="M976" s="386"/>
      <c r="N976" s="386"/>
      <c r="O976" s="386"/>
      <c r="P976" s="386"/>
      <c r="Q976" s="386"/>
    </row>
    <row r="977" spans="1:17" ht="30" customHeight="1" x14ac:dyDescent="0.2">
      <c r="A977" s="6655">
        <v>383</v>
      </c>
      <c r="B977" s="6652" t="s">
        <v>1823</v>
      </c>
      <c r="C977" s="6684" t="s">
        <v>262</v>
      </c>
      <c r="D977" s="6643">
        <v>10000000</v>
      </c>
      <c r="E977" s="6705">
        <v>7.0000000000000007E-2</v>
      </c>
      <c r="F977" s="6643">
        <f t="shared" ref="F977:F1007" si="81">D977*E977</f>
        <v>700000.00000000012</v>
      </c>
      <c r="G977" s="6643">
        <v>700000</v>
      </c>
      <c r="H977" s="6643" t="s">
        <v>8073</v>
      </c>
      <c r="I977" s="472" t="s">
        <v>2928</v>
      </c>
      <c r="J977" s="6643">
        <f>G977</f>
        <v>700000</v>
      </c>
      <c r="K977" s="6703">
        <f>F977-J977</f>
        <v>0</v>
      </c>
      <c r="L977" s="6733"/>
      <c r="M977" s="386"/>
      <c r="N977" s="386"/>
      <c r="O977" s="386"/>
      <c r="P977" s="386"/>
      <c r="Q977" s="386"/>
    </row>
    <row r="978" spans="1:17" ht="30" customHeight="1" x14ac:dyDescent="0.2">
      <c r="A978" s="624">
        <v>384</v>
      </c>
      <c r="B978" s="6652" t="s">
        <v>1861</v>
      </c>
      <c r="C978" s="6684" t="s">
        <v>262</v>
      </c>
      <c r="D978" s="6643">
        <v>150000000</v>
      </c>
      <c r="E978" s="6705">
        <v>7.0000000000000007E-2</v>
      </c>
      <c r="F978" s="6643">
        <f t="shared" si="81"/>
        <v>10500000.000000002</v>
      </c>
      <c r="G978" s="6643">
        <v>21000000</v>
      </c>
      <c r="H978" s="6643" t="s">
        <v>8245</v>
      </c>
      <c r="I978" s="472" t="s">
        <v>8380</v>
      </c>
      <c r="J978" s="6643">
        <f>G978</f>
        <v>21000000</v>
      </c>
      <c r="K978" s="6703">
        <f>F978-J978</f>
        <v>-10499999.999999998</v>
      </c>
      <c r="L978" s="6733" t="s">
        <v>8393</v>
      </c>
      <c r="M978" s="386"/>
      <c r="N978" s="386"/>
      <c r="O978" s="386"/>
      <c r="P978" s="386"/>
      <c r="Q978" s="386"/>
    </row>
    <row r="979" spans="1:17" ht="30" customHeight="1" x14ac:dyDescent="0.2">
      <c r="A979" s="7654">
        <v>385</v>
      </c>
      <c r="B979" s="7652" t="s">
        <v>1877</v>
      </c>
      <c r="C979" s="7723" t="s">
        <v>1652</v>
      </c>
      <c r="D979" s="6643">
        <v>12000000</v>
      </c>
      <c r="E979" s="6705">
        <v>0.05</v>
      </c>
      <c r="F979" s="6635">
        <f>D979*E979</f>
        <v>600000</v>
      </c>
      <c r="G979" s="7563">
        <v>17500000</v>
      </c>
      <c r="H979" s="7563" t="s">
        <v>8111</v>
      </c>
      <c r="I979" s="7563" t="s">
        <v>6266</v>
      </c>
      <c r="J979" s="7563">
        <f>G979</f>
        <v>17500000</v>
      </c>
      <c r="K979" s="7816">
        <f>(F985+F987)-J979</f>
        <v>0</v>
      </c>
      <c r="L979" s="6733" t="s">
        <v>6267</v>
      </c>
      <c r="M979" s="386"/>
      <c r="N979" s="386"/>
      <c r="O979" s="386"/>
      <c r="P979" s="386"/>
      <c r="Q979" s="386"/>
    </row>
    <row r="980" spans="1:17" ht="30" customHeight="1" x14ac:dyDescent="0.2">
      <c r="A980" s="7656"/>
      <c r="B980" s="7665"/>
      <c r="C980" s="7747"/>
      <c r="D980" s="6635">
        <v>31000000</v>
      </c>
      <c r="E980" s="6705">
        <v>0.05</v>
      </c>
      <c r="F980" s="6634">
        <f>D980*E980</f>
        <v>1550000</v>
      </c>
      <c r="G980" s="7586"/>
      <c r="H980" s="7586"/>
      <c r="I980" s="7586"/>
      <c r="J980" s="7586"/>
      <c r="K980" s="7882"/>
      <c r="L980" s="5469" t="s">
        <v>7105</v>
      </c>
      <c r="M980" s="386"/>
      <c r="N980" s="386"/>
      <c r="O980" s="386"/>
      <c r="P980" s="386"/>
      <c r="Q980" s="386"/>
    </row>
    <row r="981" spans="1:17" ht="30" customHeight="1" x14ac:dyDescent="0.2">
      <c r="A981" s="7656"/>
      <c r="B981" s="7665"/>
      <c r="C981" s="7747"/>
      <c r="D981" s="6769">
        <f>SUM(D979:D980)</f>
        <v>43000000</v>
      </c>
      <c r="E981" s="6789">
        <v>0.05</v>
      </c>
      <c r="F981" s="6769">
        <f>D981*E981</f>
        <v>2150000</v>
      </c>
      <c r="G981" s="7564"/>
      <c r="H981" s="7564"/>
      <c r="I981" s="7564"/>
      <c r="J981" s="7564"/>
      <c r="K981" s="7817"/>
      <c r="L981" s="6723"/>
      <c r="M981" s="386"/>
      <c r="N981" s="386"/>
      <c r="O981" s="386"/>
      <c r="P981" s="386"/>
      <c r="Q981" s="386"/>
    </row>
    <row r="982" spans="1:17" ht="30" customHeight="1" x14ac:dyDescent="0.2">
      <c r="A982" s="7656"/>
      <c r="B982" s="7665"/>
      <c r="C982" s="7747"/>
      <c r="D982" s="6635">
        <v>7000000</v>
      </c>
      <c r="E982" s="6705"/>
      <c r="F982" s="6635"/>
      <c r="G982" s="8092" t="s">
        <v>7145</v>
      </c>
      <c r="H982" s="8093"/>
      <c r="I982" s="8093"/>
      <c r="J982" s="8094"/>
      <c r="K982" s="6706"/>
      <c r="L982" s="6723"/>
      <c r="M982" s="386"/>
      <c r="N982" s="386"/>
      <c r="O982" s="386"/>
      <c r="P982" s="386"/>
      <c r="Q982" s="386"/>
    </row>
    <row r="983" spans="1:17" ht="30" customHeight="1" x14ac:dyDescent="0.2">
      <c r="A983" s="7656"/>
      <c r="B983" s="7665"/>
      <c r="C983" s="7747"/>
      <c r="D983" s="6635">
        <v>100000000</v>
      </c>
      <c r="E983" s="6705"/>
      <c r="F983" s="6635"/>
      <c r="G983" s="8092" t="s">
        <v>7147</v>
      </c>
      <c r="H983" s="8093"/>
      <c r="I983" s="8093"/>
      <c r="J983" s="8094"/>
      <c r="K983" s="6706"/>
      <c r="L983" s="6723"/>
      <c r="M983" s="386"/>
      <c r="N983" s="386"/>
      <c r="O983" s="386"/>
      <c r="P983" s="386"/>
      <c r="Q983" s="386"/>
    </row>
    <row r="984" spans="1:17" ht="30" customHeight="1" x14ac:dyDescent="0.2">
      <c r="A984" s="7656"/>
      <c r="B984" s="7665"/>
      <c r="C984" s="7747"/>
      <c r="D984" s="6635">
        <v>50000000</v>
      </c>
      <c r="E984" s="6705"/>
      <c r="F984" s="6635"/>
      <c r="G984" s="8092" t="s">
        <v>7146</v>
      </c>
      <c r="H984" s="8093"/>
      <c r="I984" s="8093"/>
      <c r="J984" s="8094"/>
      <c r="K984" s="6706"/>
      <c r="L984" s="6723"/>
      <c r="M984" s="386"/>
      <c r="N984" s="386"/>
      <c r="O984" s="386"/>
      <c r="P984" s="386"/>
      <c r="Q984" s="386"/>
    </row>
    <row r="985" spans="1:17" ht="30" customHeight="1" x14ac:dyDescent="0.2">
      <c r="A985" s="7656"/>
      <c r="B985" s="7665"/>
      <c r="C985" s="7747"/>
      <c r="D985" s="8026">
        <v>200000000</v>
      </c>
      <c r="E985" s="8028">
        <v>7.0000000000000007E-2</v>
      </c>
      <c r="F985" s="8026">
        <f>D985*E985</f>
        <v>14000000.000000002</v>
      </c>
      <c r="G985" s="7563"/>
      <c r="H985" s="7563"/>
      <c r="I985" s="7889" t="s">
        <v>7551</v>
      </c>
      <c r="J985" s="7563">
        <f>G985</f>
        <v>0</v>
      </c>
      <c r="K985" s="6706"/>
      <c r="L985" s="5469" t="s">
        <v>7212</v>
      </c>
      <c r="M985" s="386"/>
      <c r="N985" s="386"/>
      <c r="O985" s="386"/>
      <c r="P985" s="386"/>
      <c r="Q985" s="386"/>
    </row>
    <row r="986" spans="1:17" ht="30" customHeight="1" x14ac:dyDescent="0.2">
      <c r="A986" s="7656"/>
      <c r="B986" s="7665"/>
      <c r="C986" s="7747"/>
      <c r="D986" s="8027"/>
      <c r="E986" s="8029"/>
      <c r="F986" s="8027"/>
      <c r="G986" s="7564"/>
      <c r="H986" s="7564"/>
      <c r="I986" s="7890"/>
      <c r="J986" s="7564"/>
      <c r="K986" s="6706"/>
      <c r="L986" s="5584" t="s">
        <v>7213</v>
      </c>
      <c r="M986" s="386"/>
      <c r="N986" s="386"/>
      <c r="O986" s="386"/>
      <c r="P986" s="386"/>
      <c r="Q986" s="386"/>
    </row>
    <row r="987" spans="1:17" ht="30" customHeight="1" x14ac:dyDescent="0.2">
      <c r="A987" s="7655"/>
      <c r="B987" s="7653"/>
      <c r="C987" s="7724"/>
      <c r="D987" s="6794">
        <v>50000000</v>
      </c>
      <c r="E987" s="6795">
        <v>7.0000000000000007E-2</v>
      </c>
      <c r="F987" s="6794">
        <f>D987*E987</f>
        <v>3500000.0000000005</v>
      </c>
      <c r="G987" s="8092" t="s">
        <v>7359</v>
      </c>
      <c r="H987" s="8093"/>
      <c r="I987" s="8093"/>
      <c r="J987" s="8094"/>
      <c r="K987" s="6706"/>
      <c r="L987" s="5584" t="s">
        <v>7360</v>
      </c>
      <c r="M987" s="386"/>
      <c r="N987" s="386"/>
      <c r="O987" s="386"/>
      <c r="P987" s="386"/>
      <c r="Q987" s="386"/>
    </row>
    <row r="988" spans="1:17" ht="30" customHeight="1" x14ac:dyDescent="0.2">
      <c r="A988" s="7654">
        <v>386</v>
      </c>
      <c r="B988" s="7652" t="s">
        <v>3092</v>
      </c>
      <c r="C988" s="7723" t="s">
        <v>1306</v>
      </c>
      <c r="D988" s="6641">
        <v>100000000</v>
      </c>
      <c r="E988" s="6647">
        <v>7.0000000000000007E-2</v>
      </c>
      <c r="F988" s="6641">
        <f t="shared" si="81"/>
        <v>7000000.0000000009</v>
      </c>
      <c r="G988" s="6643">
        <v>7000000</v>
      </c>
      <c r="H988" s="6635" t="s">
        <v>8316</v>
      </c>
      <c r="I988" s="6775" t="s">
        <v>4476</v>
      </c>
      <c r="J988" s="6641">
        <f t="shared" ref="J988:J992" si="82">G988</f>
        <v>7000000</v>
      </c>
      <c r="K988" s="6702">
        <f>F988-J988</f>
        <v>0</v>
      </c>
      <c r="L988" s="6723"/>
      <c r="M988" s="386"/>
      <c r="N988" s="386"/>
      <c r="O988" s="386"/>
      <c r="P988" s="386"/>
      <c r="Q988" s="386"/>
    </row>
    <row r="989" spans="1:17" ht="30" customHeight="1" x14ac:dyDescent="0.2">
      <c r="A989" s="7656"/>
      <c r="B989" s="7665"/>
      <c r="C989" s="7747"/>
      <c r="D989" s="7470" t="s">
        <v>7540</v>
      </c>
      <c r="E989" s="7493"/>
      <c r="F989" s="7510"/>
      <c r="G989" s="6643"/>
      <c r="H989" s="6635"/>
      <c r="I989" s="6775"/>
      <c r="J989" s="6641"/>
      <c r="K989" s="6702"/>
      <c r="L989" s="6723"/>
      <c r="M989" s="386"/>
      <c r="N989" s="386"/>
      <c r="O989" s="386"/>
      <c r="P989" s="386"/>
      <c r="Q989" s="386"/>
    </row>
    <row r="990" spans="1:17" ht="30" customHeight="1" x14ac:dyDescent="0.2">
      <c r="A990" s="7655"/>
      <c r="B990" s="7653"/>
      <c r="C990" s="7724"/>
      <c r="D990" s="7470" t="s">
        <v>7751</v>
      </c>
      <c r="E990" s="7493"/>
      <c r="F990" s="7510"/>
      <c r="G990" s="6643"/>
      <c r="H990" s="6635"/>
      <c r="I990" s="6775" t="s">
        <v>7766</v>
      </c>
      <c r="J990" s="6641">
        <f>G990</f>
        <v>0</v>
      </c>
      <c r="K990" s="6702"/>
      <c r="L990" s="6723" t="s">
        <v>7750</v>
      </c>
      <c r="M990" s="386"/>
      <c r="N990" s="386"/>
      <c r="O990" s="386"/>
      <c r="P990" s="386"/>
      <c r="Q990" s="386"/>
    </row>
    <row r="991" spans="1:17" ht="30" customHeight="1" x14ac:dyDescent="0.2">
      <c r="A991" s="6708">
        <v>387</v>
      </c>
      <c r="B991" s="6665" t="s">
        <v>1923</v>
      </c>
      <c r="C991" s="6710" t="s">
        <v>1306</v>
      </c>
      <c r="D991" s="6635">
        <v>75000000</v>
      </c>
      <c r="E991" s="6705">
        <v>0.05</v>
      </c>
      <c r="F991" s="6635">
        <f t="shared" si="81"/>
        <v>3750000</v>
      </c>
      <c r="G991" s="6635">
        <v>3750000</v>
      </c>
      <c r="H991" s="6775" t="s">
        <v>8398</v>
      </c>
      <c r="I991" s="6775" t="s">
        <v>6581</v>
      </c>
      <c r="J991" s="6641">
        <f t="shared" si="82"/>
        <v>3750000</v>
      </c>
      <c r="K991" s="6639">
        <f>F991-J991</f>
        <v>0</v>
      </c>
      <c r="L991" s="6733"/>
      <c r="M991" s="386"/>
      <c r="N991" s="386"/>
      <c r="O991" s="386"/>
      <c r="P991" s="386"/>
      <c r="Q991" s="386"/>
    </row>
    <row r="992" spans="1:17" ht="30" customHeight="1" x14ac:dyDescent="0.2">
      <c r="A992" s="7183"/>
      <c r="B992" s="7171" t="s">
        <v>1953</v>
      </c>
      <c r="C992" s="7184" t="s">
        <v>1306</v>
      </c>
      <c r="D992" s="7157">
        <v>150000000</v>
      </c>
      <c r="E992" s="7182">
        <v>0.05</v>
      </c>
      <c r="F992" s="7157">
        <f t="shared" si="81"/>
        <v>7500000</v>
      </c>
      <c r="G992" s="7157">
        <v>7500000</v>
      </c>
      <c r="H992" s="7157" t="s">
        <v>3880</v>
      </c>
      <c r="I992" s="7198" t="s">
        <v>7312</v>
      </c>
      <c r="J992" s="7157">
        <f t="shared" si="82"/>
        <v>7500000</v>
      </c>
      <c r="K992" s="6639">
        <f>G992-J992</f>
        <v>0</v>
      </c>
      <c r="L992" s="6745"/>
      <c r="M992" s="386"/>
      <c r="N992" s="386"/>
      <c r="O992" s="386"/>
      <c r="P992" s="386"/>
      <c r="Q992" s="386"/>
    </row>
    <row r="993" spans="1:17" ht="30" customHeight="1" x14ac:dyDescent="0.2">
      <c r="A993" s="7656">
        <v>390</v>
      </c>
      <c r="B993" s="7665" t="s">
        <v>1996</v>
      </c>
      <c r="C993" s="7747" t="s">
        <v>889</v>
      </c>
      <c r="D993" s="6643">
        <v>5000000</v>
      </c>
      <c r="E993" s="6649">
        <v>0.05</v>
      </c>
      <c r="F993" s="6643">
        <f t="shared" si="81"/>
        <v>250000</v>
      </c>
      <c r="G993" s="6643">
        <v>1750000</v>
      </c>
      <c r="H993" s="6643" t="s">
        <v>7945</v>
      </c>
      <c r="I993" s="472" t="s">
        <v>2533</v>
      </c>
      <c r="J993" s="6643">
        <f>G993</f>
        <v>1750000</v>
      </c>
      <c r="K993" s="6703">
        <f>(F993+F994+F995+F996)-J993</f>
        <v>0</v>
      </c>
      <c r="L993" s="6733"/>
      <c r="M993" s="386"/>
      <c r="N993" s="386"/>
      <c r="O993" s="386"/>
      <c r="P993" s="386"/>
      <c r="Q993" s="386"/>
    </row>
    <row r="994" spans="1:17" ht="30" customHeight="1" x14ac:dyDescent="0.2">
      <c r="A994" s="7656"/>
      <c r="B994" s="7665"/>
      <c r="C994" s="7747"/>
      <c r="D994" s="6643">
        <v>10000000</v>
      </c>
      <c r="E994" s="6649">
        <v>0.05</v>
      </c>
      <c r="F994" s="6643">
        <f t="shared" si="81"/>
        <v>500000</v>
      </c>
      <c r="G994" s="8092" t="s">
        <v>7034</v>
      </c>
      <c r="H994" s="8093"/>
      <c r="I994" s="8093"/>
      <c r="J994" s="8094"/>
      <c r="K994" s="6703"/>
      <c r="L994" s="7811" t="s">
        <v>7012</v>
      </c>
      <c r="M994" s="386"/>
      <c r="N994" s="386"/>
      <c r="O994" s="386"/>
      <c r="P994" s="386"/>
      <c r="Q994" s="386"/>
    </row>
    <row r="995" spans="1:17" ht="30" customHeight="1" x14ac:dyDescent="0.2">
      <c r="A995" s="7656"/>
      <c r="B995" s="7665"/>
      <c r="C995" s="7747"/>
      <c r="D995" s="6643">
        <v>10000000</v>
      </c>
      <c r="E995" s="6649">
        <v>0.05</v>
      </c>
      <c r="F995" s="6643">
        <f t="shared" si="81"/>
        <v>500000</v>
      </c>
      <c r="G995" s="8092" t="s">
        <v>7035</v>
      </c>
      <c r="H995" s="8093"/>
      <c r="I995" s="8093"/>
      <c r="J995" s="8094"/>
      <c r="K995" s="6703"/>
      <c r="L995" s="7897"/>
      <c r="M995" s="386"/>
      <c r="N995" s="386"/>
      <c r="O995" s="386"/>
      <c r="P995" s="386"/>
      <c r="Q995" s="386"/>
    </row>
    <row r="996" spans="1:17" ht="30" customHeight="1" x14ac:dyDescent="0.2">
      <c r="A996" s="7655"/>
      <c r="B996" s="7653"/>
      <c r="C996" s="7724"/>
      <c r="D996" s="6643">
        <v>10000000</v>
      </c>
      <c r="E996" s="6649">
        <v>0.05</v>
      </c>
      <c r="F996" s="6643">
        <f t="shared" si="81"/>
        <v>500000</v>
      </c>
      <c r="G996" s="8092" t="s">
        <v>7036</v>
      </c>
      <c r="H996" s="8093"/>
      <c r="I996" s="8093"/>
      <c r="J996" s="8094"/>
      <c r="K996" s="6703"/>
      <c r="L996" s="7812"/>
      <c r="M996" s="386"/>
      <c r="N996" s="386"/>
      <c r="O996" s="386"/>
      <c r="P996" s="386"/>
      <c r="Q996" s="386"/>
    </row>
    <row r="997" spans="1:17" ht="30" customHeight="1" x14ac:dyDescent="0.2">
      <c r="A997" s="7654">
        <v>391</v>
      </c>
      <c r="B997" s="7652" t="s">
        <v>2003</v>
      </c>
      <c r="C997" s="7723" t="s">
        <v>3390</v>
      </c>
      <c r="D997" s="7563">
        <v>1000000000</v>
      </c>
      <c r="E997" s="7659">
        <v>0.05</v>
      </c>
      <c r="F997" s="7563">
        <f t="shared" si="81"/>
        <v>50000000</v>
      </c>
      <c r="G997" s="6635"/>
      <c r="H997" s="6635"/>
      <c r="I997" s="6635"/>
      <c r="J997" s="7563"/>
      <c r="K997" s="7816"/>
      <c r="L997" s="6639"/>
      <c r="M997" s="386"/>
      <c r="N997" s="386"/>
      <c r="O997" s="386"/>
      <c r="P997" s="386"/>
      <c r="Q997" s="386"/>
    </row>
    <row r="998" spans="1:17" ht="30" customHeight="1" x14ac:dyDescent="0.2">
      <c r="A998" s="7656"/>
      <c r="B998" s="7665"/>
      <c r="C998" s="7747"/>
      <c r="D998" s="7586"/>
      <c r="E998" s="7676"/>
      <c r="F998" s="7586"/>
      <c r="G998" s="6635"/>
      <c r="H998" s="6635"/>
      <c r="I998" s="6635"/>
      <c r="J998" s="7586"/>
      <c r="K998" s="7882"/>
      <c r="L998" s="6639"/>
      <c r="M998" s="386"/>
      <c r="N998" s="386"/>
      <c r="O998" s="386"/>
      <c r="P998" s="386"/>
      <c r="Q998" s="386"/>
    </row>
    <row r="999" spans="1:17" ht="30" customHeight="1" x14ac:dyDescent="0.2">
      <c r="A999" s="7655"/>
      <c r="B999" s="7653"/>
      <c r="C999" s="7724"/>
      <c r="D999" s="7564"/>
      <c r="E999" s="7660"/>
      <c r="F999" s="7564"/>
      <c r="G999" s="6635"/>
      <c r="H999" s="6635"/>
      <c r="I999" s="6635"/>
      <c r="J999" s="7564"/>
      <c r="K999" s="7817"/>
      <c r="L999" s="6639"/>
      <c r="M999" s="386"/>
      <c r="N999" s="386"/>
      <c r="O999" s="386"/>
      <c r="P999" s="386"/>
      <c r="Q999" s="386"/>
    </row>
    <row r="1000" spans="1:17" ht="30" customHeight="1" x14ac:dyDescent="0.2">
      <c r="A1000" s="6655">
        <v>392</v>
      </c>
      <c r="B1000" s="6652" t="s">
        <v>2048</v>
      </c>
      <c r="C1000" s="6684" t="s">
        <v>1294</v>
      </c>
      <c r="D1000" s="6643">
        <v>50000000</v>
      </c>
      <c r="E1000" s="6705">
        <v>0.05</v>
      </c>
      <c r="F1000" s="6643">
        <f t="shared" si="81"/>
        <v>2500000</v>
      </c>
      <c r="G1000" s="6643"/>
      <c r="H1000" s="6643"/>
      <c r="I1000" s="472" t="s">
        <v>3047</v>
      </c>
      <c r="J1000" s="6643">
        <f>G1000</f>
        <v>0</v>
      </c>
      <c r="K1000" s="6703">
        <f>F1000-J1000</f>
        <v>2500000</v>
      </c>
      <c r="L1000" s="6733"/>
      <c r="M1000" s="386"/>
      <c r="N1000" s="386"/>
      <c r="O1000" s="386"/>
      <c r="P1000" s="386"/>
      <c r="Q1000" s="386"/>
    </row>
    <row r="1001" spans="1:17" ht="30" customHeight="1" x14ac:dyDescent="0.2">
      <c r="A1001" s="6708"/>
      <c r="B1001" s="19" t="s">
        <v>2040</v>
      </c>
      <c r="C1001" s="6710"/>
      <c r="D1001" s="6635">
        <v>70000000</v>
      </c>
      <c r="E1001" s="6705">
        <v>0.05</v>
      </c>
      <c r="F1001" s="6635">
        <f t="shared" si="81"/>
        <v>3500000</v>
      </c>
      <c r="G1001" s="6635"/>
      <c r="H1001" s="6635"/>
      <c r="I1001" s="6635" t="s">
        <v>3701</v>
      </c>
      <c r="J1001" s="6635">
        <f>G1001</f>
        <v>0</v>
      </c>
      <c r="K1001" s="6639">
        <f>F1001-J1001</f>
        <v>3500000</v>
      </c>
      <c r="L1001" s="6733"/>
      <c r="M1001" s="386"/>
      <c r="N1001" s="386"/>
      <c r="O1001" s="386"/>
      <c r="P1001" s="386"/>
      <c r="Q1001" s="386"/>
    </row>
    <row r="1002" spans="1:17" ht="30" customHeight="1" x14ac:dyDescent="0.2">
      <c r="A1002" s="7654"/>
      <c r="B1002" s="6740" t="s">
        <v>2052</v>
      </c>
      <c r="C1002" s="8024" t="s">
        <v>1306</v>
      </c>
      <c r="D1002" s="6750">
        <v>600000000</v>
      </c>
      <c r="E1002" s="6739">
        <v>0.06</v>
      </c>
      <c r="F1002" s="6750">
        <f t="shared" si="81"/>
        <v>36000000</v>
      </c>
      <c r="G1002" s="7482"/>
      <c r="H1002" s="7482"/>
      <c r="I1002" s="8300"/>
      <c r="J1002" s="7768"/>
      <c r="K1002" s="6703"/>
      <c r="L1002" s="6733"/>
      <c r="M1002" s="386"/>
      <c r="N1002" s="386"/>
      <c r="O1002" s="386"/>
      <c r="P1002" s="386"/>
      <c r="Q1002" s="386"/>
    </row>
    <row r="1003" spans="1:17" ht="30" customHeight="1" x14ac:dyDescent="0.2">
      <c r="A1003" s="7656"/>
      <c r="B1003" s="6740" t="s">
        <v>2049</v>
      </c>
      <c r="C1003" s="8024"/>
      <c r="D1003" s="6750">
        <v>310000000</v>
      </c>
      <c r="E1003" s="679">
        <v>0.06</v>
      </c>
      <c r="F1003" s="6750">
        <f t="shared" si="81"/>
        <v>18600000</v>
      </c>
      <c r="G1003" s="7482"/>
      <c r="H1003" s="7482"/>
      <c r="I1003" s="8300"/>
      <c r="J1003" s="7878"/>
      <c r="K1003" s="6703"/>
      <c r="L1003" s="6733"/>
      <c r="M1003" s="386"/>
      <c r="N1003" s="386"/>
      <c r="O1003" s="386"/>
      <c r="P1003" s="386"/>
      <c r="Q1003" s="386"/>
    </row>
    <row r="1004" spans="1:17" ht="30" customHeight="1" x14ac:dyDescent="0.2">
      <c r="A1004" s="7656"/>
      <c r="B1004" s="6740" t="s">
        <v>2053</v>
      </c>
      <c r="C1004" s="8024"/>
      <c r="D1004" s="6750">
        <v>50000000</v>
      </c>
      <c r="E1004" s="679">
        <v>0.06</v>
      </c>
      <c r="F1004" s="6750">
        <f t="shared" si="81"/>
        <v>3000000</v>
      </c>
      <c r="G1004" s="7482"/>
      <c r="H1004" s="7482"/>
      <c r="I1004" s="8300"/>
      <c r="J1004" s="7878"/>
      <c r="K1004" s="6703"/>
      <c r="L1004" s="6733"/>
      <c r="M1004" s="386"/>
      <c r="N1004" s="386"/>
      <c r="O1004" s="386"/>
      <c r="P1004" s="386"/>
      <c r="Q1004" s="386"/>
    </row>
    <row r="1005" spans="1:17" ht="30" customHeight="1" x14ac:dyDescent="0.2">
      <c r="A1005" s="7656"/>
      <c r="B1005" s="6740" t="s">
        <v>2050</v>
      </c>
      <c r="C1005" s="8024"/>
      <c r="D1005" s="6750">
        <v>110000000</v>
      </c>
      <c r="E1005" s="679">
        <v>0.06</v>
      </c>
      <c r="F1005" s="6750">
        <f t="shared" si="81"/>
        <v>6600000</v>
      </c>
      <c r="G1005" s="7482"/>
      <c r="H1005" s="7482"/>
      <c r="I1005" s="8300"/>
      <c r="J1005" s="7878"/>
      <c r="K1005" s="6703"/>
      <c r="L1005" s="6733"/>
      <c r="M1005" s="386"/>
      <c r="N1005" s="386"/>
      <c r="O1005" s="386"/>
      <c r="P1005" s="386"/>
      <c r="Q1005" s="386"/>
    </row>
    <row r="1006" spans="1:17" ht="30" customHeight="1" x14ac:dyDescent="0.2">
      <c r="A1006" s="7656"/>
      <c r="B1006" s="6740" t="s">
        <v>2051</v>
      </c>
      <c r="C1006" s="8025"/>
      <c r="D1006" s="6750">
        <v>100000000</v>
      </c>
      <c r="E1006" s="679">
        <v>0.06</v>
      </c>
      <c r="F1006" s="6750">
        <f t="shared" si="81"/>
        <v>6000000</v>
      </c>
      <c r="G1006" s="7482"/>
      <c r="H1006" s="7482"/>
      <c r="I1006" s="8300"/>
      <c r="J1006" s="7878"/>
      <c r="K1006" s="6703"/>
      <c r="L1006" s="6733"/>
      <c r="M1006" s="386"/>
      <c r="N1006" s="386"/>
      <c r="O1006" s="386"/>
      <c r="P1006" s="386"/>
      <c r="Q1006" s="386"/>
    </row>
    <row r="1007" spans="1:17" ht="30" customHeight="1" x14ac:dyDescent="0.2">
      <c r="A1007" s="7656"/>
      <c r="B1007" s="6763" t="s">
        <v>4588</v>
      </c>
      <c r="C1007" s="6748"/>
      <c r="D1007" s="6749">
        <v>50000000</v>
      </c>
      <c r="E1007" s="6738">
        <v>0.06</v>
      </c>
      <c r="F1007" s="6749">
        <f t="shared" si="81"/>
        <v>3000000</v>
      </c>
      <c r="G1007" s="7482"/>
      <c r="H1007" s="7482"/>
      <c r="I1007" s="8300"/>
      <c r="J1007" s="7770"/>
      <c r="K1007" s="6706"/>
      <c r="L1007" s="6723"/>
      <c r="M1007" s="386"/>
      <c r="N1007" s="386"/>
      <c r="O1007" s="386"/>
      <c r="P1007" s="386"/>
      <c r="Q1007" s="386"/>
    </row>
    <row r="1008" spans="1:17" ht="30" customHeight="1" x14ac:dyDescent="0.2">
      <c r="A1008" s="7656"/>
      <c r="B1008" s="8021" t="s">
        <v>3423</v>
      </c>
      <c r="C1008" s="8023" t="s">
        <v>1306</v>
      </c>
      <c r="D1008" s="8001">
        <f>SUM(D1002:D1007)</f>
        <v>1220000000</v>
      </c>
      <c r="E1008" s="8083"/>
      <c r="F1008" s="8001">
        <f>SUM(F1002:F1007)</f>
        <v>73200000</v>
      </c>
      <c r="G1008" s="6635">
        <v>20000000</v>
      </c>
      <c r="H1008" s="6635" t="s">
        <v>6460</v>
      </c>
      <c r="I1008" s="6775" t="s">
        <v>8035</v>
      </c>
      <c r="J1008" s="7563">
        <f>G1008+G1010+G1011+G1012+G1009</f>
        <v>55000000</v>
      </c>
      <c r="K1008" s="7816">
        <f>F1008-J1008</f>
        <v>18200000</v>
      </c>
      <c r="L1008" s="6723"/>
      <c r="M1008" s="386"/>
      <c r="N1008" s="386"/>
      <c r="O1008" s="386"/>
      <c r="P1008" s="386"/>
      <c r="Q1008" s="386"/>
    </row>
    <row r="1009" spans="1:17" ht="30" customHeight="1" x14ac:dyDescent="0.2">
      <c r="A1009" s="7656"/>
      <c r="B1009" s="8269"/>
      <c r="C1009" s="8024"/>
      <c r="D1009" s="8041"/>
      <c r="E1009" s="8142"/>
      <c r="F1009" s="8041"/>
      <c r="G1009" s="6989">
        <v>20000000</v>
      </c>
      <c r="H1009" s="6989" t="s">
        <v>8156</v>
      </c>
      <c r="I1009" s="7008" t="s">
        <v>7294</v>
      </c>
      <c r="J1009" s="7586"/>
      <c r="K1009" s="7882"/>
      <c r="L1009" s="6732" t="s">
        <v>7295</v>
      </c>
      <c r="M1009" s="386"/>
      <c r="N1009" s="386"/>
      <c r="O1009" s="386"/>
      <c r="P1009" s="386"/>
      <c r="Q1009" s="386"/>
    </row>
    <row r="1010" spans="1:17" ht="30" customHeight="1" x14ac:dyDescent="0.2">
      <c r="A1010" s="7656"/>
      <c r="B1010" s="8269"/>
      <c r="C1010" s="8024"/>
      <c r="D1010" s="8041"/>
      <c r="E1010" s="8142"/>
      <c r="F1010" s="8041"/>
      <c r="G1010" s="6643">
        <v>15000000</v>
      </c>
      <c r="H1010" s="6643" t="s">
        <v>8186</v>
      </c>
      <c r="I1010" s="7053" t="s">
        <v>8035</v>
      </c>
      <c r="J1010" s="7586"/>
      <c r="K1010" s="7882"/>
      <c r="L1010" s="6724" t="s">
        <v>8202</v>
      </c>
      <c r="M1010" s="386"/>
      <c r="N1010" s="386"/>
      <c r="O1010" s="386"/>
      <c r="P1010" s="386"/>
      <c r="Q1010" s="386"/>
    </row>
    <row r="1011" spans="1:17" ht="30" customHeight="1" x14ac:dyDescent="0.2">
      <c r="A1011" s="7656"/>
      <c r="B1011" s="8269"/>
      <c r="C1011" s="8024"/>
      <c r="D1011" s="8041"/>
      <c r="E1011" s="8142"/>
      <c r="F1011" s="8041"/>
      <c r="G1011" s="6643"/>
      <c r="H1011" s="6643"/>
      <c r="I1011" s="472"/>
      <c r="J1011" s="7586"/>
      <c r="K1011" s="7882"/>
      <c r="L1011" s="6732"/>
      <c r="M1011" s="386"/>
      <c r="N1011" s="386"/>
      <c r="O1011" s="386"/>
      <c r="P1011" s="386"/>
      <c r="Q1011" s="386"/>
    </row>
    <row r="1012" spans="1:17" ht="30" customHeight="1" x14ac:dyDescent="0.2">
      <c r="A1012" s="7655"/>
      <c r="B1012" s="8022"/>
      <c r="C1012" s="8025"/>
      <c r="D1012" s="8002"/>
      <c r="E1012" s="8084"/>
      <c r="F1012" s="8002"/>
      <c r="G1012" s="6643"/>
      <c r="H1012" s="6643"/>
      <c r="I1012" s="472"/>
      <c r="J1012" s="7564"/>
      <c r="K1012" s="7817"/>
      <c r="L1012" s="6732"/>
      <c r="M1012" s="386"/>
      <c r="N1012" s="386"/>
      <c r="O1012" s="386"/>
      <c r="P1012" s="386"/>
      <c r="Q1012" s="386"/>
    </row>
    <row r="1013" spans="1:17" ht="30" customHeight="1" x14ac:dyDescent="0.2">
      <c r="A1013" s="7654"/>
      <c r="B1013" s="7652" t="s">
        <v>2069</v>
      </c>
      <c r="C1013" s="7723" t="s">
        <v>3323</v>
      </c>
      <c r="D1013" s="7563">
        <v>200000000</v>
      </c>
      <c r="E1013" s="7659">
        <v>7.0000000000000007E-2</v>
      </c>
      <c r="F1013" s="7563">
        <f t="shared" ref="F1013:F1020" si="83">D1013*E1013</f>
        <v>14000000.000000002</v>
      </c>
      <c r="G1013" s="6643">
        <v>14000000</v>
      </c>
      <c r="H1013" s="6643" t="s">
        <v>3808</v>
      </c>
      <c r="I1013" s="472" t="s">
        <v>1076</v>
      </c>
      <c r="J1013" s="6635">
        <f>G1013</f>
        <v>14000000</v>
      </c>
      <c r="K1013" s="6639">
        <f>F1013-J1013</f>
        <v>0</v>
      </c>
      <c r="L1013" s="6723" t="s">
        <v>7915</v>
      </c>
      <c r="M1013" s="386"/>
      <c r="N1013" s="386"/>
      <c r="O1013" s="386"/>
      <c r="P1013" s="386"/>
      <c r="Q1013" s="386"/>
    </row>
    <row r="1014" spans="1:17" ht="30" customHeight="1" x14ac:dyDescent="0.2">
      <c r="A1014" s="7655"/>
      <c r="B1014" s="7653"/>
      <c r="C1014" s="7724"/>
      <c r="D1014" s="7564"/>
      <c r="E1014" s="7660"/>
      <c r="F1014" s="7564"/>
      <c r="G1014" s="6643">
        <v>14000000</v>
      </c>
      <c r="H1014" s="6643" t="s">
        <v>8424</v>
      </c>
      <c r="I1014" s="472" t="s">
        <v>1076</v>
      </c>
      <c r="J1014" s="6643">
        <f>G1014</f>
        <v>14000000</v>
      </c>
      <c r="K1014" s="6703">
        <f>F1013-J1014</f>
        <v>0</v>
      </c>
      <c r="L1014" s="6723" t="s">
        <v>1313</v>
      </c>
      <c r="M1014" s="386"/>
      <c r="N1014" s="386"/>
      <c r="O1014" s="386"/>
      <c r="P1014" s="386"/>
      <c r="Q1014" s="386"/>
    </row>
    <row r="1015" spans="1:17" ht="30" customHeight="1" x14ac:dyDescent="0.2">
      <c r="A1015" s="6655"/>
      <c r="B1015" s="6652" t="s">
        <v>2089</v>
      </c>
      <c r="C1015" s="6684" t="s">
        <v>2278</v>
      </c>
      <c r="D1015" s="6643">
        <v>13000000</v>
      </c>
      <c r="E1015" s="6705">
        <v>0.05</v>
      </c>
      <c r="F1015" s="6643">
        <f t="shared" si="83"/>
        <v>650000</v>
      </c>
      <c r="G1015" s="6643"/>
      <c r="H1015" s="6643"/>
      <c r="I1015" s="472" t="s">
        <v>2984</v>
      </c>
      <c r="J1015" s="6643">
        <f>G1015</f>
        <v>0</v>
      </c>
      <c r="K1015" s="6703">
        <f>F1015-J1015</f>
        <v>650000</v>
      </c>
      <c r="L1015" s="6733"/>
      <c r="M1015" s="386"/>
      <c r="N1015" s="386"/>
      <c r="O1015" s="386"/>
      <c r="P1015" s="386"/>
      <c r="Q1015" s="386"/>
    </row>
    <row r="1016" spans="1:17" ht="30" customHeight="1" x14ac:dyDescent="0.2">
      <c r="A1016" s="7654"/>
      <c r="B1016" s="7652" t="s">
        <v>2128</v>
      </c>
      <c r="C1016" s="7723" t="s">
        <v>1287</v>
      </c>
      <c r="D1016" s="6643">
        <v>50000000</v>
      </c>
      <c r="E1016" s="6705">
        <v>0.04</v>
      </c>
      <c r="F1016" s="6643">
        <f t="shared" si="83"/>
        <v>2000000</v>
      </c>
      <c r="G1016" s="7563"/>
      <c r="H1016" s="7563"/>
      <c r="I1016" s="7889" t="s">
        <v>5845</v>
      </c>
      <c r="J1016" s="7563">
        <f>G1016+G1017</f>
        <v>0</v>
      </c>
      <c r="K1016" s="7816">
        <f>(F1016+F1017)-J1016</f>
        <v>7000000</v>
      </c>
      <c r="L1016" s="7816"/>
      <c r="M1016" s="386"/>
      <c r="N1016" s="386"/>
      <c r="O1016" s="386"/>
      <c r="P1016" s="386"/>
      <c r="Q1016" s="386"/>
    </row>
    <row r="1017" spans="1:17" ht="30" customHeight="1" x14ac:dyDescent="0.2">
      <c r="A1017" s="7655"/>
      <c r="B1017" s="7653"/>
      <c r="C1017" s="7724"/>
      <c r="D1017" s="6642">
        <v>100000000</v>
      </c>
      <c r="E1017" s="6647">
        <v>0.05</v>
      </c>
      <c r="F1017" s="6642">
        <f t="shared" si="83"/>
        <v>5000000</v>
      </c>
      <c r="G1017" s="7564"/>
      <c r="H1017" s="7564"/>
      <c r="I1017" s="7890"/>
      <c r="J1017" s="7564"/>
      <c r="K1017" s="7817"/>
      <c r="L1017" s="7817"/>
      <c r="M1017" s="386"/>
      <c r="N1017" s="386"/>
      <c r="O1017" s="386"/>
      <c r="P1017" s="386"/>
      <c r="Q1017" s="386"/>
    </row>
    <row r="1018" spans="1:17" ht="30" customHeight="1" x14ac:dyDescent="0.2">
      <c r="A1018" s="7654"/>
      <c r="B1018" s="7652" t="s">
        <v>2129</v>
      </c>
      <c r="C1018" s="7723" t="s">
        <v>372</v>
      </c>
      <c r="D1018" s="7394">
        <v>100000000</v>
      </c>
      <c r="E1018" s="6705">
        <v>0.05</v>
      </c>
      <c r="F1018" s="6635">
        <f t="shared" si="83"/>
        <v>5000000</v>
      </c>
      <c r="G1018" s="6635">
        <v>5000000</v>
      </c>
      <c r="H1018" s="6635" t="s">
        <v>8483</v>
      </c>
      <c r="I1018" s="6775" t="s">
        <v>3581</v>
      </c>
      <c r="J1018" s="6635">
        <f>G1018</f>
        <v>5000000</v>
      </c>
      <c r="K1018" s="6639">
        <f>F1018-J1018</f>
        <v>0</v>
      </c>
      <c r="L1018" s="7414" t="s">
        <v>8491</v>
      </c>
      <c r="M1018" s="386"/>
      <c r="N1018" s="386"/>
      <c r="O1018" s="386"/>
      <c r="P1018" s="386"/>
      <c r="Q1018" s="386"/>
    </row>
    <row r="1019" spans="1:17" ht="30" customHeight="1" x14ac:dyDescent="0.2">
      <c r="A1019" s="7655"/>
      <c r="B1019" s="7653"/>
      <c r="C1019" s="7724"/>
      <c r="D1019" s="7394">
        <v>100000000</v>
      </c>
      <c r="E1019" s="7411">
        <v>0.06</v>
      </c>
      <c r="F1019" s="7394">
        <f t="shared" si="83"/>
        <v>6000000</v>
      </c>
      <c r="G1019" s="7394"/>
      <c r="H1019" s="7394"/>
      <c r="I1019" s="7421"/>
      <c r="J1019" s="7394"/>
      <c r="K1019" s="7395"/>
      <c r="L1019" s="7414" t="s">
        <v>8492</v>
      </c>
      <c r="M1019" s="386"/>
      <c r="N1019" s="386"/>
      <c r="O1019" s="386"/>
      <c r="P1019" s="386"/>
      <c r="Q1019" s="386"/>
    </row>
    <row r="1020" spans="1:17" s="1539" customFormat="1" ht="30" customHeight="1" x14ac:dyDescent="0.2">
      <c r="A1020" s="6708"/>
      <c r="B1020" s="6665" t="s">
        <v>2208</v>
      </c>
      <c r="C1020" s="6710" t="s">
        <v>1306</v>
      </c>
      <c r="D1020" s="6635">
        <v>30000000</v>
      </c>
      <c r="E1020" s="6705">
        <v>0.05</v>
      </c>
      <c r="F1020" s="6635">
        <f t="shared" si="83"/>
        <v>1500000</v>
      </c>
      <c r="G1020" s="6635">
        <v>1500000</v>
      </c>
      <c r="H1020" s="6635" t="s">
        <v>8247</v>
      </c>
      <c r="I1020" s="6635" t="s">
        <v>3204</v>
      </c>
      <c r="J1020" s="6635">
        <f>G1020</f>
        <v>1500000</v>
      </c>
      <c r="K1020" s="6635">
        <f>F1020-J1020</f>
        <v>0</v>
      </c>
      <c r="L1020" s="6733"/>
      <c r="M1020" s="387"/>
      <c r="N1020" s="387"/>
      <c r="O1020" s="387"/>
      <c r="P1020" s="387"/>
      <c r="Q1020" s="387"/>
    </row>
    <row r="1021" spans="1:17" ht="30" customHeight="1" x14ac:dyDescent="0.2">
      <c r="A1021" s="6655"/>
      <c r="B1021" s="6652" t="s">
        <v>2303</v>
      </c>
      <c r="C1021" s="6684"/>
      <c r="D1021" s="6643">
        <v>100000000</v>
      </c>
      <c r="E1021" s="6705">
        <v>0.05</v>
      </c>
      <c r="F1021" s="6643">
        <f>D1021*E1021</f>
        <v>5000000</v>
      </c>
      <c r="G1021" s="6643"/>
      <c r="H1021" s="6643"/>
      <c r="I1021" s="472"/>
      <c r="J1021" s="6643">
        <f t="shared" ref="J1021:J1029" si="84">G1021</f>
        <v>0</v>
      </c>
      <c r="K1021" s="6703">
        <f>F1021-J1021</f>
        <v>5000000</v>
      </c>
      <c r="L1021" s="6733" t="s">
        <v>7287</v>
      </c>
      <c r="M1021" s="386"/>
      <c r="N1021" s="386"/>
      <c r="O1021" s="386"/>
      <c r="P1021" s="386"/>
      <c r="Q1021" s="386"/>
    </row>
    <row r="1022" spans="1:17" ht="30" customHeight="1" x14ac:dyDescent="0.2">
      <c r="A1022" s="7654"/>
      <c r="B1022" s="7652" t="s">
        <v>8318</v>
      </c>
      <c r="C1022" s="7723"/>
      <c r="D1022" s="7677"/>
      <c r="E1022" s="7691"/>
      <c r="F1022" s="7677"/>
      <c r="G1022" s="7161">
        <v>10000000</v>
      </c>
      <c r="H1022" s="7161" t="s">
        <v>8316</v>
      </c>
      <c r="I1022" s="472" t="s">
        <v>8317</v>
      </c>
      <c r="J1022" s="7161">
        <f t="shared" ref="J1022" si="85">G1022</f>
        <v>10000000</v>
      </c>
      <c r="K1022" s="7181"/>
      <c r="L1022" s="7192"/>
      <c r="M1022" s="386"/>
      <c r="N1022" s="386"/>
      <c r="O1022" s="386"/>
      <c r="P1022" s="386"/>
      <c r="Q1022" s="386"/>
    </row>
    <row r="1023" spans="1:17" ht="30" customHeight="1" x14ac:dyDescent="0.2">
      <c r="A1023" s="7655"/>
      <c r="B1023" s="7653"/>
      <c r="C1023" s="7724"/>
      <c r="D1023" s="7678"/>
      <c r="E1023" s="7693"/>
      <c r="F1023" s="7678"/>
      <c r="G1023" s="7161">
        <v>6500000</v>
      </c>
      <c r="H1023" s="7161" t="s">
        <v>8316</v>
      </c>
      <c r="I1023" s="472" t="s">
        <v>8317</v>
      </c>
      <c r="J1023" s="7161">
        <f>G1023</f>
        <v>6500000</v>
      </c>
      <c r="K1023" s="7181"/>
      <c r="L1023" s="7192"/>
      <c r="M1023" s="386"/>
      <c r="N1023" s="386"/>
      <c r="O1023" s="386"/>
      <c r="P1023" s="386"/>
      <c r="Q1023" s="386"/>
    </row>
    <row r="1024" spans="1:17" ht="30" customHeight="1" x14ac:dyDescent="0.2">
      <c r="A1024" s="6655"/>
      <c r="B1024" s="6652" t="s">
        <v>5996</v>
      </c>
      <c r="C1024" s="6684" t="s">
        <v>1306</v>
      </c>
      <c r="D1024" s="6643">
        <v>25000000</v>
      </c>
      <c r="E1024" s="6705">
        <v>0.04</v>
      </c>
      <c r="F1024" s="6643">
        <f>D1024*E1024</f>
        <v>1000000</v>
      </c>
      <c r="G1024" s="6643"/>
      <c r="H1024" s="6643"/>
      <c r="I1024" s="472" t="s">
        <v>2346</v>
      </c>
      <c r="J1024" s="6643">
        <f t="shared" si="84"/>
        <v>0</v>
      </c>
      <c r="K1024" s="6703">
        <f>F1024-J1024</f>
        <v>1000000</v>
      </c>
      <c r="L1024" s="6733"/>
      <c r="M1024" s="386"/>
      <c r="N1024" s="386"/>
      <c r="O1024" s="386"/>
      <c r="P1024" s="386"/>
      <c r="Q1024" s="386"/>
    </row>
    <row r="1025" spans="1:17" ht="30" customHeight="1" x14ac:dyDescent="0.2">
      <c r="A1025" s="6655"/>
      <c r="B1025" s="6652" t="s">
        <v>2385</v>
      </c>
      <c r="C1025" s="6684"/>
      <c r="D1025" s="6664"/>
      <c r="E1025" s="2519"/>
      <c r="F1025" s="6664"/>
      <c r="G1025" s="6643"/>
      <c r="H1025" s="6643"/>
      <c r="I1025" s="472"/>
      <c r="J1025" s="6643">
        <f t="shared" si="84"/>
        <v>0</v>
      </c>
      <c r="K1025" s="6704">
        <f>F1025-J1025</f>
        <v>0</v>
      </c>
      <c r="L1025" s="6733"/>
      <c r="M1025" s="386"/>
      <c r="N1025" s="386"/>
      <c r="O1025" s="386"/>
      <c r="P1025" s="386"/>
      <c r="Q1025" s="386"/>
    </row>
    <row r="1026" spans="1:17" ht="30" customHeight="1" x14ac:dyDescent="0.2">
      <c r="A1026" s="7654"/>
      <c r="B1026" s="7652" t="s">
        <v>2388</v>
      </c>
      <c r="C1026" s="7723" t="s">
        <v>1172</v>
      </c>
      <c r="D1026" s="7563">
        <v>120000000</v>
      </c>
      <c r="E1026" s="7659">
        <v>0.05</v>
      </c>
      <c r="F1026" s="7563">
        <f>D1026*E1026</f>
        <v>6000000</v>
      </c>
      <c r="G1026" s="6643"/>
      <c r="H1026" s="6643"/>
      <c r="I1026" s="472" t="s">
        <v>6933</v>
      </c>
      <c r="J1026" s="6643">
        <f>G1026</f>
        <v>0</v>
      </c>
      <c r="K1026" s="6702"/>
      <c r="L1026" s="7732" t="s">
        <v>7426</v>
      </c>
      <c r="M1026" s="7733"/>
      <c r="N1026" s="7733"/>
      <c r="O1026" s="7734"/>
      <c r="P1026" s="386"/>
      <c r="Q1026" s="386"/>
    </row>
    <row r="1027" spans="1:17" ht="30" customHeight="1" x14ac:dyDescent="0.2">
      <c r="A1027" s="7656"/>
      <c r="B1027" s="7665"/>
      <c r="C1027" s="7747"/>
      <c r="D1027" s="7586"/>
      <c r="E1027" s="7676"/>
      <c r="F1027" s="7586"/>
      <c r="G1027" s="6643"/>
      <c r="H1027" s="6643"/>
      <c r="I1027" s="472" t="s">
        <v>6933</v>
      </c>
      <c r="J1027" s="6643">
        <f>G1027</f>
        <v>0</v>
      </c>
      <c r="K1027" s="6702"/>
      <c r="L1027" s="6672"/>
      <c r="M1027" s="6734"/>
      <c r="N1027" s="6734"/>
      <c r="O1027" s="6734"/>
      <c r="P1027" s="386"/>
      <c r="Q1027" s="386"/>
    </row>
    <row r="1028" spans="1:17" ht="30" customHeight="1" x14ac:dyDescent="0.2">
      <c r="A1028" s="7655"/>
      <c r="B1028" s="7653"/>
      <c r="C1028" s="7724"/>
      <c r="D1028" s="7564"/>
      <c r="E1028" s="7660"/>
      <c r="F1028" s="7564"/>
      <c r="G1028" s="6643"/>
      <c r="H1028" s="6643"/>
      <c r="I1028" s="472" t="s">
        <v>6933</v>
      </c>
      <c r="J1028" s="6643">
        <f>G1028</f>
        <v>0</v>
      </c>
      <c r="K1028" s="6702"/>
      <c r="L1028" s="6672"/>
      <c r="M1028" s="6734"/>
      <c r="N1028" s="6734"/>
      <c r="O1028" s="6734"/>
      <c r="P1028" s="386"/>
      <c r="Q1028" s="386"/>
    </row>
    <row r="1029" spans="1:17" ht="30" customHeight="1" x14ac:dyDescent="0.2">
      <c r="A1029" s="7654"/>
      <c r="B1029" s="7652" t="s">
        <v>2647</v>
      </c>
      <c r="C1029" s="6683" t="s">
        <v>1652</v>
      </c>
      <c r="D1029" s="6643">
        <v>100000000</v>
      </c>
      <c r="E1029" s="6705">
        <v>0.05</v>
      </c>
      <c r="F1029" s="6643">
        <f t="shared" ref="F1029:F1058" si="86">D1029*E1029</f>
        <v>5000000</v>
      </c>
      <c r="G1029" s="6635">
        <v>5000000</v>
      </c>
      <c r="H1029" s="6635" t="s">
        <v>7979</v>
      </c>
      <c r="I1029" s="6635" t="s">
        <v>7981</v>
      </c>
      <c r="J1029" s="6635">
        <f t="shared" si="84"/>
        <v>5000000</v>
      </c>
      <c r="K1029" s="6639">
        <f>F1029-J1029</f>
        <v>0</v>
      </c>
      <c r="L1029" s="6866" t="s">
        <v>6829</v>
      </c>
      <c r="M1029" s="386"/>
      <c r="N1029" s="386"/>
      <c r="O1029" s="386"/>
      <c r="P1029" s="386"/>
      <c r="Q1029" s="386"/>
    </row>
    <row r="1030" spans="1:17" ht="30" customHeight="1" x14ac:dyDescent="0.2">
      <c r="A1030" s="7656"/>
      <c r="B1030" s="7665"/>
      <c r="C1030" s="7723" t="s">
        <v>3390</v>
      </c>
      <c r="D1030" s="7563">
        <v>1000000000</v>
      </c>
      <c r="E1030" s="7659">
        <v>6.5000000000000002E-2</v>
      </c>
      <c r="F1030" s="7563">
        <f>D1030*E1030</f>
        <v>65000000</v>
      </c>
      <c r="G1030" s="6635">
        <v>20000000</v>
      </c>
      <c r="H1030" s="6635" t="s">
        <v>8247</v>
      </c>
      <c r="I1030" s="6635" t="s">
        <v>7679</v>
      </c>
      <c r="J1030" s="7563">
        <f>G1030+G1031+G1032+G1033</f>
        <v>65000000</v>
      </c>
      <c r="K1030" s="7816">
        <f>F1030-J1030</f>
        <v>0</v>
      </c>
      <c r="L1030" s="7094" t="s">
        <v>6829</v>
      </c>
      <c r="M1030" s="386"/>
      <c r="N1030" s="386"/>
      <c r="O1030" s="386"/>
      <c r="P1030" s="386"/>
      <c r="Q1030" s="386"/>
    </row>
    <row r="1031" spans="1:17" ht="30" customHeight="1" x14ac:dyDescent="0.2">
      <c r="A1031" s="7656"/>
      <c r="B1031" s="7665"/>
      <c r="C1031" s="7747"/>
      <c r="D1031" s="7586"/>
      <c r="E1031" s="7676"/>
      <c r="F1031" s="7586"/>
      <c r="G1031" s="6641">
        <v>18000000</v>
      </c>
      <c r="H1031" s="6641" t="s">
        <v>8247</v>
      </c>
      <c r="I1031" s="6635" t="s">
        <v>7692</v>
      </c>
      <c r="J1031" s="7586"/>
      <c r="K1031" s="7882"/>
      <c r="L1031" s="7094" t="s">
        <v>6829</v>
      </c>
      <c r="M1031" s="386"/>
      <c r="N1031" s="386"/>
      <c r="O1031" s="386"/>
      <c r="P1031" s="386"/>
      <c r="Q1031" s="386"/>
    </row>
    <row r="1032" spans="1:17" ht="30" customHeight="1" x14ac:dyDescent="0.2">
      <c r="A1032" s="7656"/>
      <c r="B1032" s="7665"/>
      <c r="C1032" s="7747"/>
      <c r="D1032" s="7586"/>
      <c r="E1032" s="7676"/>
      <c r="F1032" s="7586"/>
      <c r="G1032" s="7112">
        <v>20000000</v>
      </c>
      <c r="H1032" s="7112" t="s">
        <v>8267</v>
      </c>
      <c r="I1032" s="7112" t="s">
        <v>8273</v>
      </c>
      <c r="J1032" s="7586"/>
      <c r="K1032" s="7882"/>
      <c r="L1032" s="7148" t="s">
        <v>6829</v>
      </c>
      <c r="M1032" s="386"/>
      <c r="N1032" s="386"/>
      <c r="O1032" s="386"/>
      <c r="P1032" s="386"/>
      <c r="Q1032" s="386"/>
    </row>
    <row r="1033" spans="1:17" ht="30" customHeight="1" x14ac:dyDescent="0.2">
      <c r="A1033" s="7656"/>
      <c r="B1033" s="7665"/>
      <c r="C1033" s="7747"/>
      <c r="D1033" s="7564"/>
      <c r="E1033" s="7660"/>
      <c r="F1033" s="7564"/>
      <c r="G1033" s="7087">
        <v>7000000</v>
      </c>
      <c r="H1033" s="7482" t="s">
        <v>8267</v>
      </c>
      <c r="I1033" s="7482" t="s">
        <v>8273</v>
      </c>
      <c r="J1033" s="7564"/>
      <c r="K1033" s="7817"/>
      <c r="L1033" s="7148" t="s">
        <v>6829</v>
      </c>
      <c r="M1033" s="386"/>
      <c r="N1033" s="386"/>
      <c r="O1033" s="386"/>
      <c r="P1033" s="386"/>
      <c r="Q1033" s="386"/>
    </row>
    <row r="1034" spans="1:17" ht="30" customHeight="1" x14ac:dyDescent="0.2">
      <c r="A1034" s="7656"/>
      <c r="B1034" s="7665"/>
      <c r="C1034" s="7747"/>
      <c r="D1034" s="7563">
        <v>1000000000</v>
      </c>
      <c r="E1034" s="7659"/>
      <c r="F1034" s="7563"/>
      <c r="G1034" s="7159">
        <v>5000000</v>
      </c>
      <c r="H1034" s="7482"/>
      <c r="I1034" s="7482"/>
      <c r="J1034" s="7563">
        <f>G1034+G1035</f>
        <v>15000000</v>
      </c>
      <c r="K1034" s="7816"/>
      <c r="L1034" s="7190" t="s">
        <v>7642</v>
      </c>
      <c r="M1034" s="386"/>
      <c r="N1034" s="386"/>
      <c r="O1034" s="386"/>
      <c r="P1034" s="386"/>
      <c r="Q1034" s="386"/>
    </row>
    <row r="1035" spans="1:17" ht="30" customHeight="1" x14ac:dyDescent="0.2">
      <c r="A1035" s="7655"/>
      <c r="B1035" s="7653"/>
      <c r="C1035" s="7724"/>
      <c r="D1035" s="7564"/>
      <c r="E1035" s="7660"/>
      <c r="F1035" s="7564"/>
      <c r="G1035" s="7159">
        <v>10000000</v>
      </c>
      <c r="H1035" s="7161" t="s">
        <v>3880</v>
      </c>
      <c r="I1035" s="7161" t="s">
        <v>8298</v>
      </c>
      <c r="J1035" s="7564"/>
      <c r="K1035" s="7817"/>
      <c r="L1035" s="898" t="s">
        <v>8299</v>
      </c>
      <c r="M1035" s="386"/>
      <c r="N1035" s="386"/>
      <c r="O1035" s="386"/>
      <c r="P1035" s="386"/>
      <c r="Q1035" s="386"/>
    </row>
    <row r="1036" spans="1:17" ht="30" customHeight="1" x14ac:dyDescent="0.2">
      <c r="A1036" s="7654"/>
      <c r="B1036" s="7652" t="s">
        <v>5465</v>
      </c>
      <c r="C1036" s="7723" t="s">
        <v>1299</v>
      </c>
      <c r="D1036" s="6643">
        <v>20000000</v>
      </c>
      <c r="E1036" s="6705">
        <v>0.05</v>
      </c>
      <c r="F1036" s="6643">
        <f t="shared" si="86"/>
        <v>1000000</v>
      </c>
      <c r="G1036" s="7563">
        <v>2800000</v>
      </c>
      <c r="H1036" s="7563" t="s">
        <v>5200</v>
      </c>
      <c r="I1036" s="7889" t="s">
        <v>4124</v>
      </c>
      <c r="J1036" s="7563">
        <f>G1036</f>
        <v>2800000</v>
      </c>
      <c r="K1036" s="7816">
        <f>(F1036+F1037)-J1036</f>
        <v>-600000</v>
      </c>
      <c r="L1036" s="6733"/>
      <c r="M1036" s="386"/>
      <c r="N1036" s="386"/>
      <c r="O1036" s="386"/>
      <c r="P1036" s="386"/>
      <c r="Q1036" s="386"/>
    </row>
    <row r="1037" spans="1:17" ht="30" customHeight="1" x14ac:dyDescent="0.2">
      <c r="A1037" s="7655"/>
      <c r="B1037" s="7653"/>
      <c r="C1037" s="7724"/>
      <c r="D1037" s="6643">
        <v>20000000</v>
      </c>
      <c r="E1037" s="6705">
        <v>0.06</v>
      </c>
      <c r="F1037" s="6643">
        <f t="shared" si="86"/>
        <v>1200000</v>
      </c>
      <c r="G1037" s="7564"/>
      <c r="H1037" s="7564"/>
      <c r="I1037" s="7890"/>
      <c r="J1037" s="7564"/>
      <c r="K1037" s="7817"/>
      <c r="L1037" s="6733"/>
      <c r="M1037" s="386"/>
      <c r="N1037" s="386"/>
      <c r="O1037" s="386"/>
      <c r="P1037" s="386"/>
      <c r="Q1037" s="386"/>
    </row>
    <row r="1038" spans="1:17" ht="30" customHeight="1" x14ac:dyDescent="0.2">
      <c r="A1038" s="7654"/>
      <c r="B1038" s="7652" t="s">
        <v>5464</v>
      </c>
      <c r="C1038" s="7723" t="s">
        <v>402</v>
      </c>
      <c r="D1038" s="6814">
        <v>30000000</v>
      </c>
      <c r="E1038" s="2519">
        <v>0.06</v>
      </c>
      <c r="F1038" s="6814">
        <f t="shared" si="86"/>
        <v>1800000</v>
      </c>
      <c r="G1038" s="8294" t="s">
        <v>7939</v>
      </c>
      <c r="H1038" s="8295"/>
      <c r="I1038" s="8295"/>
      <c r="J1038" s="8296"/>
      <c r="K1038" s="7499"/>
      <c r="L1038" s="6733" t="s">
        <v>7938</v>
      </c>
      <c r="M1038" s="386"/>
      <c r="N1038" s="386"/>
      <c r="O1038" s="386"/>
      <c r="P1038" s="386"/>
      <c r="Q1038" s="386"/>
    </row>
    <row r="1039" spans="1:17" ht="30" customHeight="1" x14ac:dyDescent="0.2">
      <c r="A1039" s="7655"/>
      <c r="B1039" s="7653"/>
      <c r="C1039" s="7724"/>
      <c r="D1039" s="6643">
        <v>20000000</v>
      </c>
      <c r="E1039" s="6705">
        <v>0.06</v>
      </c>
      <c r="F1039" s="6643">
        <f t="shared" si="86"/>
        <v>1200000</v>
      </c>
      <c r="G1039" s="8297"/>
      <c r="H1039" s="8298"/>
      <c r="I1039" s="8298"/>
      <c r="J1039" s="8299"/>
      <c r="K1039" s="7499"/>
      <c r="L1039" s="6724"/>
      <c r="M1039" s="386"/>
      <c r="N1039" s="386"/>
      <c r="O1039" s="386"/>
      <c r="P1039" s="386"/>
      <c r="Q1039" s="386"/>
    </row>
    <row r="1040" spans="1:17" ht="30" customHeight="1" x14ac:dyDescent="0.2">
      <c r="A1040" s="7654"/>
      <c r="B1040" s="7652" t="s">
        <v>234</v>
      </c>
      <c r="C1040" s="7723" t="s">
        <v>1172</v>
      </c>
      <c r="D1040" s="6814">
        <v>60000000</v>
      </c>
      <c r="E1040" s="2519">
        <v>0.05</v>
      </c>
      <c r="F1040" s="6814">
        <f t="shared" si="86"/>
        <v>3000000</v>
      </c>
      <c r="G1040" s="8294" t="s">
        <v>7940</v>
      </c>
      <c r="H1040" s="8295"/>
      <c r="I1040" s="8295"/>
      <c r="J1040" s="8296"/>
      <c r="K1040" s="7816"/>
      <c r="L1040" s="6724" t="s">
        <v>7937</v>
      </c>
      <c r="M1040" s="386"/>
      <c r="N1040" s="386"/>
      <c r="O1040" s="386"/>
      <c r="P1040" s="386"/>
      <c r="Q1040" s="386"/>
    </row>
    <row r="1041" spans="1:17" ht="30" customHeight="1" x14ac:dyDescent="0.2">
      <c r="A1041" s="7656"/>
      <c r="B1041" s="7665"/>
      <c r="C1041" s="7747"/>
      <c r="D1041" s="6643">
        <v>30000000</v>
      </c>
      <c r="E1041" s="6705">
        <v>0.06</v>
      </c>
      <c r="F1041" s="6643">
        <f t="shared" si="86"/>
        <v>1800000</v>
      </c>
      <c r="G1041" s="8632"/>
      <c r="H1041" s="8633"/>
      <c r="I1041" s="8633"/>
      <c r="J1041" s="8634"/>
      <c r="K1041" s="7817"/>
      <c r="L1041" s="6724"/>
      <c r="M1041" s="386"/>
      <c r="N1041" s="386"/>
      <c r="O1041" s="386"/>
      <c r="P1041" s="386"/>
      <c r="Q1041" s="386"/>
    </row>
    <row r="1042" spans="1:17" ht="30" customHeight="1" x14ac:dyDescent="0.2">
      <c r="A1042" s="7655"/>
      <c r="B1042" s="7653"/>
      <c r="C1042" s="7724"/>
      <c r="D1042" s="6821">
        <v>100000000</v>
      </c>
      <c r="E1042" s="6822">
        <v>7.0000000000000007E-2</v>
      </c>
      <c r="F1042" s="6821">
        <f t="shared" si="86"/>
        <v>7000000.0000000009</v>
      </c>
      <c r="G1042" s="8297"/>
      <c r="H1042" s="8298"/>
      <c r="I1042" s="8298"/>
      <c r="J1042" s="8299"/>
      <c r="K1042" s="6819"/>
      <c r="L1042" s="6818" t="s">
        <v>7936</v>
      </c>
      <c r="M1042" s="386"/>
      <c r="N1042" s="386"/>
      <c r="O1042" s="386"/>
      <c r="P1042" s="386"/>
      <c r="Q1042" s="386"/>
    </row>
    <row r="1043" spans="1:17" ht="30" customHeight="1" x14ac:dyDescent="0.2">
      <c r="A1043" s="7654"/>
      <c r="B1043" s="7652" t="s">
        <v>4946</v>
      </c>
      <c r="C1043" s="7723" t="s">
        <v>1299</v>
      </c>
      <c r="D1043" s="6643">
        <v>10000000</v>
      </c>
      <c r="E1043" s="6705">
        <v>7.0000000000000007E-2</v>
      </c>
      <c r="F1043" s="6643">
        <f>D1043*E1043</f>
        <v>700000.00000000012</v>
      </c>
      <c r="G1043" s="7563">
        <v>3200000</v>
      </c>
      <c r="H1043" s="7563" t="s">
        <v>8267</v>
      </c>
      <c r="I1043" s="7563" t="s">
        <v>8275</v>
      </c>
      <c r="J1043" s="7563">
        <f>G1043</f>
        <v>3200000</v>
      </c>
      <c r="K1043" s="7563">
        <f>(F1043+F1044)-J1043</f>
        <v>0</v>
      </c>
      <c r="L1043" s="6724"/>
      <c r="M1043" s="386"/>
      <c r="N1043" s="386"/>
      <c r="O1043" s="386"/>
      <c r="P1043" s="386"/>
      <c r="Q1043" s="386"/>
    </row>
    <row r="1044" spans="1:17" ht="30" customHeight="1" x14ac:dyDescent="0.2">
      <c r="A1044" s="7655"/>
      <c r="B1044" s="7653"/>
      <c r="C1044" s="7724"/>
      <c r="D1044" s="6643">
        <v>50000000</v>
      </c>
      <c r="E1044" s="6705">
        <v>0.05</v>
      </c>
      <c r="F1044" s="6643">
        <f>D1044*E1044</f>
        <v>2500000</v>
      </c>
      <c r="G1044" s="7564"/>
      <c r="H1044" s="7564"/>
      <c r="I1044" s="7564"/>
      <c r="J1044" s="7564"/>
      <c r="K1044" s="7564"/>
      <c r="L1044" s="6724"/>
      <c r="M1044" s="386"/>
      <c r="N1044" s="386"/>
      <c r="O1044" s="386"/>
      <c r="P1044" s="386"/>
      <c r="Q1044" s="386"/>
    </row>
    <row r="1045" spans="1:17" ht="30" customHeight="1" x14ac:dyDescent="0.2">
      <c r="A1045" s="7654"/>
      <c r="B1045" s="7652" t="s">
        <v>2471</v>
      </c>
      <c r="C1045" s="7723" t="s">
        <v>889</v>
      </c>
      <c r="D1045" s="6643">
        <v>110120000</v>
      </c>
      <c r="E1045" s="6705">
        <v>0.06</v>
      </c>
      <c r="F1045" s="6643">
        <f t="shared" si="86"/>
        <v>6607200</v>
      </c>
      <c r="G1045" s="7292">
        <v>10000000</v>
      </c>
      <c r="H1045" s="7292" t="s">
        <v>3880</v>
      </c>
      <c r="I1045" s="7292" t="s">
        <v>6252</v>
      </c>
      <c r="J1045" s="7292">
        <f>G1045</f>
        <v>10000000</v>
      </c>
      <c r="K1045" s="7292">
        <f>(F1045+F1046)-J1045</f>
        <v>-992800</v>
      </c>
      <c r="L1045" s="6733"/>
      <c r="M1045" s="386"/>
      <c r="N1045" s="386"/>
      <c r="O1045" s="386"/>
      <c r="P1045" s="386"/>
      <c r="Q1045" s="386"/>
    </row>
    <row r="1046" spans="1:17" ht="30" customHeight="1" x14ac:dyDescent="0.2">
      <c r="A1046" s="7655"/>
      <c r="B1046" s="7653"/>
      <c r="C1046" s="7724"/>
      <c r="D1046" s="6643">
        <v>40000000</v>
      </c>
      <c r="E1046" s="6705">
        <v>0.06</v>
      </c>
      <c r="F1046" s="6643">
        <f t="shared" si="86"/>
        <v>2400000</v>
      </c>
      <c r="G1046" s="7292">
        <v>8800000</v>
      </c>
      <c r="H1046" s="7292" t="s">
        <v>8424</v>
      </c>
      <c r="I1046" s="7292" t="s">
        <v>6252</v>
      </c>
      <c r="J1046" s="7292">
        <f>G1046</f>
        <v>8800000</v>
      </c>
      <c r="K1046" s="7292">
        <f>(F1045+F1046)-J1046</f>
        <v>207200</v>
      </c>
      <c r="L1046" s="6723"/>
      <c r="M1046" s="386"/>
      <c r="N1046" s="386"/>
      <c r="O1046" s="386"/>
      <c r="P1046" s="386"/>
      <c r="Q1046" s="386"/>
    </row>
    <row r="1047" spans="1:17" ht="30" customHeight="1" x14ac:dyDescent="0.2">
      <c r="A1047" s="7654"/>
      <c r="B1047" s="7652" t="s">
        <v>2517</v>
      </c>
      <c r="C1047" s="7723" t="s">
        <v>1080</v>
      </c>
      <c r="D1047" s="6643">
        <v>262500000</v>
      </c>
      <c r="E1047" s="6705">
        <v>0.05</v>
      </c>
      <c r="F1047" s="6643">
        <f t="shared" si="86"/>
        <v>13125000</v>
      </c>
      <c r="G1047" s="6635"/>
      <c r="H1047" s="6635"/>
      <c r="I1047" s="6635" t="s">
        <v>5423</v>
      </c>
      <c r="J1047" s="6635">
        <f>G1047</f>
        <v>0</v>
      </c>
      <c r="K1047" s="6635">
        <f>F1047-J1047</f>
        <v>13125000</v>
      </c>
      <c r="L1047" s="6723"/>
      <c r="M1047" s="386"/>
      <c r="N1047" s="386"/>
      <c r="O1047" s="386"/>
      <c r="P1047" s="386"/>
      <c r="Q1047" s="386"/>
    </row>
    <row r="1048" spans="1:17" ht="30" customHeight="1" x14ac:dyDescent="0.2">
      <c r="A1048" s="7656"/>
      <c r="B1048" s="7665"/>
      <c r="C1048" s="7747"/>
      <c r="D1048" s="6643">
        <v>13000000</v>
      </c>
      <c r="E1048" s="6705">
        <v>0.05</v>
      </c>
      <c r="F1048" s="6643">
        <f t="shared" si="86"/>
        <v>650000</v>
      </c>
      <c r="G1048" s="7732" t="s">
        <v>6235</v>
      </c>
      <c r="H1048" s="7733"/>
      <c r="I1048" s="7733"/>
      <c r="J1048" s="7734"/>
      <c r="K1048" s="6635"/>
      <c r="L1048" s="6723" t="s">
        <v>6788</v>
      </c>
      <c r="M1048" s="386"/>
      <c r="N1048" s="386"/>
      <c r="O1048" s="386"/>
      <c r="P1048" s="386"/>
      <c r="Q1048" s="386"/>
    </row>
    <row r="1049" spans="1:17" ht="30" customHeight="1" x14ac:dyDescent="0.2">
      <c r="A1049" s="7656"/>
      <c r="B1049" s="7665"/>
      <c r="C1049" s="7747"/>
      <c r="D1049" s="6643">
        <f>D1047+D1048</f>
        <v>275500000</v>
      </c>
      <c r="E1049" s="6705">
        <v>0.06</v>
      </c>
      <c r="F1049" s="6643">
        <f>D1049*E1049</f>
        <v>16530000</v>
      </c>
      <c r="G1049" s="6635"/>
      <c r="H1049" s="6635"/>
      <c r="I1049" s="6635"/>
      <c r="J1049" s="6635"/>
      <c r="K1049" s="6635"/>
      <c r="L1049" s="6723"/>
      <c r="M1049" s="386"/>
      <c r="N1049" s="386"/>
      <c r="O1049" s="386"/>
      <c r="P1049" s="386"/>
      <c r="Q1049" s="386"/>
    </row>
    <row r="1050" spans="1:17" ht="30" customHeight="1" x14ac:dyDescent="0.2">
      <c r="A1050" s="7656"/>
      <c r="B1050" s="7665"/>
      <c r="C1050" s="7747"/>
      <c r="D1050" s="6728">
        <v>5000000</v>
      </c>
      <c r="E1050" s="1929">
        <v>0.06</v>
      </c>
      <c r="F1050" s="6643">
        <f t="shared" ref="F1050:F1053" si="87">D1050*E1050</f>
        <v>300000</v>
      </c>
      <c r="G1050" s="8092" t="s">
        <v>7041</v>
      </c>
      <c r="H1050" s="8093"/>
      <c r="I1050" s="8093"/>
      <c r="J1050" s="8094"/>
      <c r="K1050" s="6635"/>
      <c r="L1050" s="6723"/>
      <c r="M1050" s="386"/>
      <c r="N1050" s="386"/>
      <c r="O1050" s="386"/>
      <c r="P1050" s="386"/>
      <c r="Q1050" s="386"/>
    </row>
    <row r="1051" spans="1:17" ht="30" customHeight="1" x14ac:dyDescent="0.2">
      <c r="A1051" s="7656"/>
      <c r="B1051" s="7665"/>
      <c r="C1051" s="7747"/>
      <c r="D1051" s="6728">
        <v>10000000</v>
      </c>
      <c r="E1051" s="1929">
        <v>0.06</v>
      </c>
      <c r="F1051" s="6643">
        <f t="shared" si="87"/>
        <v>600000</v>
      </c>
      <c r="G1051" s="8092" t="s">
        <v>7042</v>
      </c>
      <c r="H1051" s="8093"/>
      <c r="I1051" s="8093"/>
      <c r="J1051" s="8094"/>
      <c r="K1051" s="6635"/>
      <c r="L1051" s="6723"/>
      <c r="M1051" s="386"/>
      <c r="N1051" s="386"/>
      <c r="O1051" s="386"/>
      <c r="P1051" s="386"/>
      <c r="Q1051" s="386"/>
    </row>
    <row r="1052" spans="1:17" ht="30" customHeight="1" x14ac:dyDescent="0.2">
      <c r="A1052" s="7656"/>
      <c r="B1052" s="7665"/>
      <c r="C1052" s="7747"/>
      <c r="D1052" s="6728">
        <v>15000000</v>
      </c>
      <c r="E1052" s="1929">
        <v>0.06</v>
      </c>
      <c r="F1052" s="6643">
        <f t="shared" si="87"/>
        <v>900000</v>
      </c>
      <c r="G1052" s="8092" t="s">
        <v>7043</v>
      </c>
      <c r="H1052" s="8093"/>
      <c r="I1052" s="8093"/>
      <c r="J1052" s="8094"/>
      <c r="K1052" s="6635"/>
      <c r="L1052" s="6723"/>
      <c r="M1052" s="386"/>
      <c r="N1052" s="386"/>
      <c r="O1052" s="386"/>
      <c r="P1052" s="386"/>
      <c r="Q1052" s="386"/>
    </row>
    <row r="1053" spans="1:17" ht="30" customHeight="1" x14ac:dyDescent="0.2">
      <c r="A1053" s="7656"/>
      <c r="B1053" s="7665"/>
      <c r="C1053" s="7747"/>
      <c r="D1053" s="6728">
        <v>40000000</v>
      </c>
      <c r="E1053" s="1929">
        <v>0.06</v>
      </c>
      <c r="F1053" s="6643">
        <f t="shared" si="87"/>
        <v>2400000</v>
      </c>
      <c r="G1053" s="8092" t="s">
        <v>7044</v>
      </c>
      <c r="H1053" s="8093"/>
      <c r="I1053" s="8093"/>
      <c r="J1053" s="8094"/>
      <c r="K1053" s="6635"/>
      <c r="L1053" s="6723"/>
      <c r="M1053" s="386"/>
      <c r="N1053" s="386"/>
      <c r="O1053" s="386"/>
      <c r="P1053" s="386"/>
      <c r="Q1053" s="386"/>
    </row>
    <row r="1054" spans="1:17" ht="30" customHeight="1" x14ac:dyDescent="0.2">
      <c r="A1054" s="7656"/>
      <c r="B1054" s="7665"/>
      <c r="C1054" s="7747"/>
      <c r="D1054" s="8564">
        <f>D1049+D1050+D1051+D1052+D1053</f>
        <v>345500000</v>
      </c>
      <c r="E1054" s="7683">
        <v>0.06</v>
      </c>
      <c r="F1054" s="7559">
        <f>D1054*E1054</f>
        <v>20730000</v>
      </c>
      <c r="G1054" s="7732" t="s">
        <v>7399</v>
      </c>
      <c r="H1054" s="7733"/>
      <c r="I1054" s="7733"/>
      <c r="J1054" s="7734"/>
      <c r="K1054" s="6635"/>
      <c r="L1054" s="6723"/>
      <c r="M1054" s="386"/>
      <c r="N1054" s="386"/>
      <c r="O1054" s="386"/>
      <c r="P1054" s="386"/>
      <c r="Q1054" s="386"/>
    </row>
    <row r="1055" spans="1:17" ht="30" customHeight="1" x14ac:dyDescent="0.2">
      <c r="A1055" s="7656"/>
      <c r="B1055" s="7665"/>
      <c r="C1055" s="7747"/>
      <c r="D1055" s="8565"/>
      <c r="E1055" s="7684"/>
      <c r="F1055" s="7560"/>
      <c r="G1055" s="7732" t="s">
        <v>7374</v>
      </c>
      <c r="H1055" s="7733"/>
      <c r="I1055" s="7733"/>
      <c r="J1055" s="7734"/>
      <c r="K1055" s="6635"/>
      <c r="L1055" s="6723"/>
      <c r="M1055" s="386"/>
      <c r="N1055" s="386"/>
      <c r="O1055" s="386"/>
      <c r="P1055" s="386"/>
      <c r="Q1055" s="386"/>
    </row>
    <row r="1056" spans="1:17" ht="30" customHeight="1" x14ac:dyDescent="0.2">
      <c r="A1056" s="7656"/>
      <c r="B1056" s="7665"/>
      <c r="C1056" s="7747"/>
      <c r="D1056" s="6643">
        <v>19270000</v>
      </c>
      <c r="E1056" s="6705"/>
      <c r="F1056" s="6643"/>
      <c r="G1056" s="7732" t="s">
        <v>7375</v>
      </c>
      <c r="H1056" s="7733"/>
      <c r="I1056" s="7733"/>
      <c r="J1056" s="7734"/>
      <c r="K1056" s="6635"/>
      <c r="L1056" s="6723"/>
      <c r="M1056" s="386"/>
      <c r="N1056" s="386"/>
      <c r="O1056" s="386"/>
      <c r="P1056" s="386"/>
      <c r="Q1056" s="386"/>
    </row>
    <row r="1057" spans="1:17" ht="30" customHeight="1" x14ac:dyDescent="0.2">
      <c r="A1057" s="7655"/>
      <c r="B1057" s="7653"/>
      <c r="C1057" s="7724"/>
      <c r="D1057" s="6803">
        <f>D1054+D1056</f>
        <v>364770000</v>
      </c>
      <c r="E1057" s="6677">
        <v>0.06</v>
      </c>
      <c r="F1057" s="6679">
        <f>D1057*E1057</f>
        <v>21886200</v>
      </c>
      <c r="G1057" s="7732" t="s">
        <v>7376</v>
      </c>
      <c r="H1057" s="7733"/>
      <c r="I1057" s="7733"/>
      <c r="J1057" s="7734"/>
      <c r="K1057" s="6635"/>
      <c r="L1057" s="6723" t="s">
        <v>7567</v>
      </c>
      <c r="M1057" s="386"/>
      <c r="N1057" s="386"/>
      <c r="O1057" s="386"/>
      <c r="P1057" s="386"/>
      <c r="Q1057" s="386"/>
    </row>
    <row r="1058" spans="1:17" ht="30" customHeight="1" x14ac:dyDescent="0.2">
      <c r="A1058" s="6653"/>
      <c r="B1058" s="7145" t="s">
        <v>2633</v>
      </c>
      <c r="C1058" s="7131" t="s">
        <v>1172</v>
      </c>
      <c r="D1058" s="7112">
        <v>60000000</v>
      </c>
      <c r="E1058" s="7119">
        <v>0.05</v>
      </c>
      <c r="F1058" s="7112">
        <f t="shared" si="86"/>
        <v>3000000</v>
      </c>
      <c r="G1058" s="7494" t="s">
        <v>8260</v>
      </c>
      <c r="H1058" s="7495"/>
      <c r="I1058" s="7495"/>
      <c r="J1058" s="7768"/>
      <c r="K1058" s="7563">
        <f>(F1058+F1059)-J1058</f>
        <v>4500000</v>
      </c>
      <c r="L1058" s="6913" t="s">
        <v>8013</v>
      </c>
      <c r="M1058" s="386"/>
      <c r="N1058" s="386"/>
      <c r="O1058" s="386"/>
      <c r="P1058" s="386"/>
      <c r="Q1058" s="386"/>
    </row>
    <row r="1059" spans="1:17" ht="30" customHeight="1" x14ac:dyDescent="0.2">
      <c r="A1059" s="7115"/>
      <c r="B1059" s="19" t="s">
        <v>4903</v>
      </c>
      <c r="C1059" s="7147" t="s">
        <v>3390</v>
      </c>
      <c r="D1059" s="7111">
        <v>30000000</v>
      </c>
      <c r="E1059" s="7146">
        <v>0.05</v>
      </c>
      <c r="F1059" s="7111">
        <f>D1059*E1059</f>
        <v>1500000</v>
      </c>
      <c r="G1059" s="7769"/>
      <c r="H1059" s="7805"/>
      <c r="I1059" s="7805"/>
      <c r="J1059" s="7770"/>
      <c r="K1059" s="7564"/>
      <c r="L1059" s="7155" t="s">
        <v>8014</v>
      </c>
      <c r="M1059" s="386"/>
      <c r="N1059" s="386"/>
      <c r="O1059" s="386"/>
      <c r="P1059" s="386"/>
      <c r="Q1059" s="386"/>
    </row>
    <row r="1060" spans="1:17" ht="30" customHeight="1" x14ac:dyDescent="0.2">
      <c r="A1060" s="7654"/>
      <c r="B1060" s="7652" t="s">
        <v>2551</v>
      </c>
      <c r="C1060" s="7723"/>
      <c r="D1060" s="6643">
        <v>10000000</v>
      </c>
      <c r="E1060" s="6705"/>
      <c r="F1060" s="6643"/>
      <c r="G1060" s="6643"/>
      <c r="H1060" s="6643"/>
      <c r="I1060" s="472"/>
      <c r="J1060" s="6643"/>
      <c r="K1060" s="6703"/>
      <c r="L1060" s="6733"/>
      <c r="M1060" s="386"/>
      <c r="N1060" s="386"/>
      <c r="O1060" s="386"/>
      <c r="P1060" s="386"/>
      <c r="Q1060" s="386"/>
    </row>
    <row r="1061" spans="1:17" ht="30" customHeight="1" x14ac:dyDescent="0.2">
      <c r="A1061" s="7655"/>
      <c r="B1061" s="7653"/>
      <c r="C1061" s="7724"/>
      <c r="D1061" s="6643">
        <v>5000000</v>
      </c>
      <c r="E1061" s="6705"/>
      <c r="F1061" s="6643"/>
      <c r="G1061" s="6643"/>
      <c r="H1061" s="6643"/>
      <c r="I1061" s="472"/>
      <c r="J1061" s="6643"/>
      <c r="K1061" s="6703"/>
      <c r="L1061" s="6723"/>
      <c r="M1061" s="386"/>
      <c r="N1061" s="386"/>
      <c r="O1061" s="386"/>
      <c r="P1061" s="386"/>
      <c r="Q1061" s="386"/>
    </row>
    <row r="1062" spans="1:17" ht="30" customHeight="1" x14ac:dyDescent="0.2">
      <c r="A1062" s="6708"/>
      <c r="B1062" s="6665" t="s">
        <v>2573</v>
      </c>
      <c r="C1062" s="6710" t="s">
        <v>1172</v>
      </c>
      <c r="D1062" s="6635">
        <v>60000000</v>
      </c>
      <c r="E1062" s="6705">
        <v>5.5E-2</v>
      </c>
      <c r="F1062" s="6635">
        <f t="shared" ref="F1062" si="88">D1062*E1062</f>
        <v>3300000</v>
      </c>
      <c r="G1062" s="6635">
        <v>3300000</v>
      </c>
      <c r="H1062" s="7563" t="s">
        <v>8156</v>
      </c>
      <c r="I1062" s="7889" t="s">
        <v>3103</v>
      </c>
      <c r="J1062" s="7563">
        <f>G1062+G1063+G1064</f>
        <v>21200000</v>
      </c>
      <c r="K1062" s="7816"/>
      <c r="L1062" s="6723" t="s">
        <v>3522</v>
      </c>
      <c r="M1062" s="386"/>
      <c r="N1062" s="386"/>
      <c r="O1062" s="386"/>
      <c r="P1062" s="386"/>
      <c r="Q1062" s="386"/>
    </row>
    <row r="1063" spans="1:17" ht="30" customHeight="1" x14ac:dyDescent="0.2">
      <c r="A1063" s="7654"/>
      <c r="B1063" s="7652" t="s">
        <v>2714</v>
      </c>
      <c r="C1063" s="7723" t="s">
        <v>262</v>
      </c>
      <c r="D1063" s="7563">
        <v>230000000</v>
      </c>
      <c r="E1063" s="7659">
        <v>5.5E-2</v>
      </c>
      <c r="F1063" s="7563">
        <f>D1063*E1063</f>
        <v>12650000</v>
      </c>
      <c r="G1063" s="7563">
        <v>17900000</v>
      </c>
      <c r="H1063" s="7586"/>
      <c r="I1063" s="8036"/>
      <c r="J1063" s="7586"/>
      <c r="K1063" s="7882"/>
      <c r="L1063" s="6732" t="s">
        <v>5518</v>
      </c>
      <c r="M1063" s="386"/>
      <c r="N1063" s="386"/>
      <c r="O1063" s="386"/>
      <c r="P1063" s="386"/>
      <c r="Q1063" s="386"/>
    </row>
    <row r="1064" spans="1:17" ht="30" customHeight="1" x14ac:dyDescent="0.2">
      <c r="A1064" s="7656"/>
      <c r="B1064" s="7665"/>
      <c r="C1064" s="7747"/>
      <c r="D1064" s="7564"/>
      <c r="E1064" s="7660"/>
      <c r="F1064" s="7564"/>
      <c r="G1064" s="7586"/>
      <c r="H1064" s="7586"/>
      <c r="I1064" s="8036"/>
      <c r="J1064" s="7586"/>
      <c r="K1064" s="7882"/>
      <c r="L1064" s="6732"/>
      <c r="M1064" s="386"/>
      <c r="N1064" s="386"/>
      <c r="O1064" s="386"/>
      <c r="P1064" s="386"/>
      <c r="Q1064" s="386"/>
    </row>
    <row r="1065" spans="1:17" ht="30" customHeight="1" x14ac:dyDescent="0.2">
      <c r="A1065" s="7656"/>
      <c r="B1065" s="7665"/>
      <c r="C1065" s="7747"/>
      <c r="D1065" s="6643">
        <v>60000000</v>
      </c>
      <c r="E1065" s="6649">
        <v>5.5E-2</v>
      </c>
      <c r="F1065" s="6643">
        <f>D1065*E1065</f>
        <v>3300000</v>
      </c>
      <c r="G1065" s="7564"/>
      <c r="H1065" s="7564"/>
      <c r="I1065" s="7890"/>
      <c r="J1065" s="7564"/>
      <c r="K1065" s="7817"/>
      <c r="L1065" s="6723" t="s">
        <v>6393</v>
      </c>
      <c r="M1065" s="386"/>
      <c r="N1065" s="386"/>
      <c r="O1065" s="386"/>
      <c r="P1065" s="386"/>
      <c r="Q1065" s="386"/>
    </row>
    <row r="1066" spans="1:17" ht="30" customHeight="1" x14ac:dyDescent="0.2">
      <c r="A1066" s="7656"/>
      <c r="B1066" s="7665"/>
      <c r="C1066" s="7747"/>
      <c r="D1066" s="7563">
        <v>16000000</v>
      </c>
      <c r="E1066" s="7659">
        <v>5.5E-2</v>
      </c>
      <c r="F1066" s="7563">
        <f>D1066*E1066</f>
        <v>880000</v>
      </c>
      <c r="G1066" s="7232">
        <v>500000</v>
      </c>
      <c r="H1066" s="7232" t="s">
        <v>5200</v>
      </c>
      <c r="I1066" s="7287" t="s">
        <v>2715</v>
      </c>
      <c r="J1066" s="7232">
        <f>F1066</f>
        <v>880000</v>
      </c>
      <c r="K1066" s="6703">
        <f>F1066-J1066</f>
        <v>0</v>
      </c>
      <c r="L1066" s="6723" t="s">
        <v>7361</v>
      </c>
      <c r="M1066" s="386"/>
      <c r="N1066" s="386"/>
      <c r="O1066" s="386"/>
      <c r="P1066" s="386"/>
      <c r="Q1066" s="386"/>
    </row>
    <row r="1067" spans="1:17" ht="30" customHeight="1" x14ac:dyDescent="0.2">
      <c r="A1067" s="7655"/>
      <c r="B1067" s="7653"/>
      <c r="C1067" s="7724"/>
      <c r="D1067" s="7564"/>
      <c r="E1067" s="7660"/>
      <c r="F1067" s="7564"/>
      <c r="G1067" s="7397">
        <v>1000000</v>
      </c>
      <c r="H1067" s="7397" t="s">
        <v>8483</v>
      </c>
      <c r="I1067" s="7421" t="s">
        <v>2715</v>
      </c>
      <c r="J1067" s="7397">
        <f>G1067</f>
        <v>1000000</v>
      </c>
      <c r="K1067" s="7410"/>
      <c r="L1067" s="7414"/>
      <c r="M1067" s="386"/>
      <c r="N1067" s="386"/>
      <c r="O1067" s="386"/>
      <c r="P1067" s="386"/>
      <c r="Q1067" s="386"/>
    </row>
    <row r="1068" spans="1:17" ht="30" customHeight="1" x14ac:dyDescent="0.2">
      <c r="A1068" s="6655"/>
      <c r="B1068" s="6652" t="s">
        <v>2609</v>
      </c>
      <c r="C1068" s="6684"/>
      <c r="D1068" s="6664"/>
      <c r="E1068" s="6669"/>
      <c r="F1068" s="6664"/>
      <c r="G1068" s="6643">
        <v>1500000</v>
      </c>
      <c r="H1068" s="6643" t="s">
        <v>8025</v>
      </c>
      <c r="I1068" s="472" t="s">
        <v>4460</v>
      </c>
      <c r="J1068" s="6643">
        <f>G1068</f>
        <v>1500000</v>
      </c>
      <c r="K1068" s="6704">
        <f>F1068-J1068</f>
        <v>-1500000</v>
      </c>
      <c r="L1068" s="6733"/>
      <c r="M1068" s="386"/>
      <c r="N1068" s="386"/>
      <c r="O1068" s="386"/>
      <c r="P1068" s="386"/>
      <c r="Q1068" s="386"/>
    </row>
    <row r="1069" spans="1:17" ht="30" customHeight="1" x14ac:dyDescent="0.2">
      <c r="A1069" s="7654"/>
      <c r="B1069" s="7652" t="s">
        <v>3818</v>
      </c>
      <c r="C1069" s="7723" t="s">
        <v>5649</v>
      </c>
      <c r="D1069" s="6731">
        <v>4215000000</v>
      </c>
      <c r="E1069" s="3242">
        <v>0.05</v>
      </c>
      <c r="F1069" s="6731">
        <f>D1069*E1069</f>
        <v>210750000</v>
      </c>
      <c r="G1069" s="7991" t="s">
        <v>5146</v>
      </c>
      <c r="H1069" s="7992"/>
      <c r="I1069" s="7992"/>
      <c r="J1069" s="7993"/>
      <c r="K1069" s="8238">
        <f>SUM(F1069:F1071)</f>
        <v>577850000</v>
      </c>
      <c r="L1069" s="6723"/>
      <c r="M1069" s="386"/>
      <c r="N1069" s="386"/>
      <c r="O1069" s="386"/>
      <c r="P1069" s="386"/>
      <c r="Q1069" s="386"/>
    </row>
    <row r="1070" spans="1:17" ht="30" customHeight="1" x14ac:dyDescent="0.2">
      <c r="A1070" s="7656"/>
      <c r="B1070" s="7665"/>
      <c r="C1070" s="7747"/>
      <c r="D1070" s="6731">
        <v>2000000000</v>
      </c>
      <c r="E1070" s="3242">
        <v>7.0000000000000007E-2</v>
      </c>
      <c r="F1070" s="6731">
        <f t="shared" ref="F1070:F1074" si="89">D1070*E1070</f>
        <v>140000000</v>
      </c>
      <c r="G1070" s="7994"/>
      <c r="H1070" s="7995"/>
      <c r="I1070" s="7995"/>
      <c r="J1070" s="7996"/>
      <c r="K1070" s="8239"/>
      <c r="L1070" s="898"/>
      <c r="M1070" s="386"/>
      <c r="N1070" s="386"/>
      <c r="O1070" s="386"/>
      <c r="P1070" s="386"/>
      <c r="Q1070" s="386"/>
    </row>
    <row r="1071" spans="1:17" ht="30" customHeight="1" x14ac:dyDescent="0.2">
      <c r="A1071" s="7656"/>
      <c r="B1071" s="7665"/>
      <c r="C1071" s="7747"/>
      <c r="D1071" s="6731">
        <v>3785000000</v>
      </c>
      <c r="E1071" s="3242">
        <v>0.06</v>
      </c>
      <c r="F1071" s="6731">
        <f t="shared" si="89"/>
        <v>227100000</v>
      </c>
      <c r="G1071" s="7997"/>
      <c r="H1071" s="7998"/>
      <c r="I1071" s="7998"/>
      <c r="J1071" s="7999"/>
      <c r="K1071" s="8240"/>
      <c r="L1071" s="6724"/>
      <c r="M1071" s="386"/>
      <c r="N1071" s="386"/>
      <c r="O1071" s="386"/>
      <c r="P1071" s="386"/>
      <c r="Q1071" s="386"/>
    </row>
    <row r="1072" spans="1:17" ht="30" customHeight="1" x14ac:dyDescent="0.2">
      <c r="A1072" s="7656"/>
      <c r="B1072" s="7665"/>
      <c r="C1072" s="7747"/>
      <c r="D1072" s="3237">
        <v>2915000000</v>
      </c>
      <c r="E1072" s="3243">
        <v>0.08</v>
      </c>
      <c r="F1072" s="3237">
        <f t="shared" si="89"/>
        <v>233200000</v>
      </c>
      <c r="G1072" s="7991" t="s">
        <v>5147</v>
      </c>
      <c r="H1072" s="7992"/>
      <c r="I1072" s="7992"/>
      <c r="J1072" s="7993"/>
      <c r="K1072" s="8261">
        <f>F1072+F1073+F1074</f>
        <v>362400000</v>
      </c>
      <c r="L1072" s="6724"/>
      <c r="M1072" s="386"/>
      <c r="N1072" s="386"/>
      <c r="O1072" s="386"/>
      <c r="P1072" s="386"/>
      <c r="Q1072" s="386"/>
    </row>
    <row r="1073" spans="1:17" ht="30" customHeight="1" x14ac:dyDescent="0.2">
      <c r="A1073" s="7656"/>
      <c r="B1073" s="7665"/>
      <c r="C1073" s="7747"/>
      <c r="D1073" s="3237">
        <v>690000000</v>
      </c>
      <c r="E1073" s="3243">
        <v>0.08</v>
      </c>
      <c r="F1073" s="3237">
        <f t="shared" si="89"/>
        <v>55200000</v>
      </c>
      <c r="G1073" s="7994"/>
      <c r="H1073" s="7995"/>
      <c r="I1073" s="7995"/>
      <c r="J1073" s="7996"/>
      <c r="K1073" s="8262"/>
      <c r="L1073" s="6724"/>
      <c r="M1073" s="386"/>
      <c r="N1073" s="386"/>
      <c r="O1073" s="386"/>
      <c r="P1073" s="386"/>
      <c r="Q1073" s="386"/>
    </row>
    <row r="1074" spans="1:17" ht="30" customHeight="1" x14ac:dyDescent="0.2">
      <c r="A1074" s="7656"/>
      <c r="B1074" s="7665"/>
      <c r="C1074" s="7747"/>
      <c r="D1074" s="3238">
        <v>925000000</v>
      </c>
      <c r="E1074" s="3243">
        <v>0.08</v>
      </c>
      <c r="F1074" s="3238">
        <f t="shared" si="89"/>
        <v>74000000</v>
      </c>
      <c r="G1074" s="7997"/>
      <c r="H1074" s="7998"/>
      <c r="I1074" s="7998"/>
      <c r="J1074" s="7999"/>
      <c r="K1074" s="8263"/>
      <c r="L1074" s="6703"/>
      <c r="M1074" s="386"/>
      <c r="N1074" s="386"/>
      <c r="O1074" s="386"/>
      <c r="P1074" s="386"/>
      <c r="Q1074" s="386"/>
    </row>
    <row r="1075" spans="1:17" ht="30" customHeight="1" x14ac:dyDescent="0.2">
      <c r="A1075" s="7656"/>
      <c r="B1075" s="7665"/>
      <c r="C1075" s="7747"/>
      <c r="D1075" s="8004">
        <f>SUM(D1069:D1074)</f>
        <v>14530000000</v>
      </c>
      <c r="E1075" s="8005"/>
      <c r="F1075" s="6750">
        <f>SUM(F1069:F1074)</f>
        <v>940250000</v>
      </c>
      <c r="G1075" s="7991" t="s">
        <v>5140</v>
      </c>
      <c r="H1075" s="7992"/>
      <c r="I1075" s="7992"/>
      <c r="J1075" s="7993"/>
      <c r="K1075" s="7816"/>
      <c r="L1075" s="6703"/>
      <c r="M1075" s="386"/>
      <c r="N1075" s="386"/>
      <c r="O1075" s="386"/>
      <c r="P1075" s="386"/>
      <c r="Q1075" s="386"/>
    </row>
    <row r="1076" spans="1:17" ht="30" customHeight="1" x14ac:dyDescent="0.2">
      <c r="A1076" s="7656"/>
      <c r="B1076" s="7665"/>
      <c r="C1076" s="7747"/>
      <c r="D1076" s="8004" t="s">
        <v>5141</v>
      </c>
      <c r="E1076" s="8005"/>
      <c r="F1076" s="3307">
        <v>1600000</v>
      </c>
      <c r="G1076" s="7994"/>
      <c r="H1076" s="7995"/>
      <c r="I1076" s="7995"/>
      <c r="J1076" s="7996"/>
      <c r="K1076" s="7882"/>
      <c r="L1076" s="6703"/>
      <c r="M1076" s="386"/>
      <c r="N1076" s="386"/>
      <c r="O1076" s="386"/>
      <c r="P1076" s="386"/>
      <c r="Q1076" s="386"/>
    </row>
    <row r="1077" spans="1:17" ht="30" customHeight="1" x14ac:dyDescent="0.2">
      <c r="A1077" s="7656"/>
      <c r="B1077" s="7665"/>
      <c r="C1077" s="7747"/>
      <c r="D1077" s="8004" t="s">
        <v>5142</v>
      </c>
      <c r="E1077" s="8005"/>
      <c r="F1077" s="3307">
        <v>1300000</v>
      </c>
      <c r="G1077" s="7994"/>
      <c r="H1077" s="7995"/>
      <c r="I1077" s="7995"/>
      <c r="J1077" s="7996"/>
      <c r="K1077" s="7882"/>
      <c r="L1077" s="6703"/>
      <c r="M1077" s="386"/>
      <c r="N1077" s="386"/>
      <c r="O1077" s="386"/>
      <c r="P1077" s="386"/>
      <c r="Q1077" s="386"/>
    </row>
    <row r="1078" spans="1:17" ht="30" customHeight="1" x14ac:dyDescent="0.2">
      <c r="A1078" s="7656"/>
      <c r="B1078" s="7665"/>
      <c r="C1078" s="7747"/>
      <c r="D1078" s="8004" t="s">
        <v>5143</v>
      </c>
      <c r="E1078" s="8005"/>
      <c r="F1078" s="6750">
        <f>SUM(F1075:F1077)</f>
        <v>943150000</v>
      </c>
      <c r="G1078" s="7994"/>
      <c r="H1078" s="7995"/>
      <c r="I1078" s="7995"/>
      <c r="J1078" s="7996"/>
      <c r="K1078" s="7882"/>
      <c r="L1078" s="6703"/>
      <c r="M1078" s="386"/>
      <c r="N1078" s="386"/>
      <c r="O1078" s="386"/>
      <c r="P1078" s="386"/>
      <c r="Q1078" s="386"/>
    </row>
    <row r="1079" spans="1:17" ht="30" customHeight="1" x14ac:dyDescent="0.2">
      <c r="A1079" s="7656"/>
      <c r="B1079" s="7665"/>
      <c r="C1079" s="7747"/>
      <c r="D1079" s="8004" t="s">
        <v>5167</v>
      </c>
      <c r="E1079" s="8005"/>
      <c r="F1079" s="6750">
        <v>6850000</v>
      </c>
      <c r="G1079" s="7994"/>
      <c r="H1079" s="7995"/>
      <c r="I1079" s="7995"/>
      <c r="J1079" s="7996"/>
      <c r="K1079" s="7882"/>
      <c r="L1079" s="6724" t="s">
        <v>5169</v>
      </c>
      <c r="M1079" s="386"/>
      <c r="N1079" s="386"/>
      <c r="O1079" s="386"/>
      <c r="P1079" s="386"/>
      <c r="Q1079" s="386"/>
    </row>
    <row r="1080" spans="1:17" ht="30" customHeight="1" x14ac:dyDescent="0.2">
      <c r="A1080" s="7656"/>
      <c r="B1080" s="7665"/>
      <c r="C1080" s="7747"/>
      <c r="D1080" s="8004" t="s">
        <v>5168</v>
      </c>
      <c r="E1080" s="8005"/>
      <c r="F1080" s="6750">
        <f>F1078+F1079</f>
        <v>950000000</v>
      </c>
      <c r="G1080" s="7997"/>
      <c r="H1080" s="7998"/>
      <c r="I1080" s="7998"/>
      <c r="J1080" s="7999"/>
      <c r="K1080" s="7817"/>
      <c r="L1080" s="6703"/>
      <c r="M1080" s="386"/>
      <c r="N1080" s="386"/>
      <c r="O1080" s="386"/>
      <c r="P1080" s="386"/>
      <c r="Q1080" s="386"/>
    </row>
    <row r="1081" spans="1:17" ht="30" customHeight="1" x14ac:dyDescent="0.2">
      <c r="A1081" s="7656"/>
      <c r="B1081" s="7665"/>
      <c r="C1081" s="7747"/>
      <c r="D1081" s="744">
        <v>850000000</v>
      </c>
      <c r="E1081" s="3241">
        <v>0.08</v>
      </c>
      <c r="F1081" s="744">
        <f>D1081*E1081</f>
        <v>68000000</v>
      </c>
      <c r="G1081" s="7470" t="s">
        <v>5172</v>
      </c>
      <c r="H1081" s="7493"/>
      <c r="I1081" s="7493"/>
      <c r="J1081" s="7510"/>
      <c r="K1081" s="6703"/>
      <c r="L1081" s="6724" t="s">
        <v>5145</v>
      </c>
      <c r="M1081" s="386"/>
      <c r="N1081" s="386"/>
      <c r="O1081" s="386"/>
      <c r="P1081" s="386"/>
      <c r="Q1081" s="386"/>
    </row>
    <row r="1082" spans="1:17" ht="30" customHeight="1" x14ac:dyDescent="0.2">
      <c r="A1082" s="7656"/>
      <c r="B1082" s="7665"/>
      <c r="C1082" s="7747"/>
      <c r="D1082" s="8212">
        <f>D1075+D1081</f>
        <v>15380000000</v>
      </c>
      <c r="E1082" s="8213"/>
      <c r="F1082" s="3244">
        <f>F1075+F1081</f>
        <v>1008250000</v>
      </c>
      <c r="G1082" s="6644"/>
      <c r="H1082" s="6644"/>
      <c r="I1082" s="6644" t="s">
        <v>2686</v>
      </c>
      <c r="J1082" s="6644">
        <f>G1082</f>
        <v>0</v>
      </c>
      <c r="K1082" s="7816">
        <f>1010250000-140000000-100000000</f>
        <v>770250000</v>
      </c>
      <c r="L1082" s="7811" t="s">
        <v>5650</v>
      </c>
      <c r="M1082" s="386"/>
      <c r="N1082" s="386"/>
      <c r="O1082" s="386"/>
      <c r="P1082" s="386"/>
      <c r="Q1082" s="386"/>
    </row>
    <row r="1083" spans="1:17" ht="30" customHeight="1" x14ac:dyDescent="0.2">
      <c r="A1083" s="7656"/>
      <c r="B1083" s="7665"/>
      <c r="C1083" s="7747"/>
      <c r="D1083" s="3244">
        <v>50000000</v>
      </c>
      <c r="E1083" s="3241">
        <v>0.08</v>
      </c>
      <c r="F1083" s="3244">
        <f>D1083*E1083</f>
        <v>4000000</v>
      </c>
      <c r="G1083" s="6635"/>
      <c r="H1083" s="6635"/>
      <c r="I1083" s="6635" t="s">
        <v>2686</v>
      </c>
      <c r="J1083" s="6635">
        <f>G1083</f>
        <v>0</v>
      </c>
      <c r="K1083" s="7817"/>
      <c r="L1083" s="7812"/>
      <c r="M1083" s="386"/>
      <c r="N1083" s="386"/>
      <c r="O1083" s="386"/>
      <c r="P1083" s="386"/>
      <c r="Q1083" s="386"/>
    </row>
    <row r="1084" spans="1:17" ht="30" customHeight="1" x14ac:dyDescent="0.2">
      <c r="A1084" s="7656"/>
      <c r="B1084" s="7665"/>
      <c r="C1084" s="7747"/>
      <c r="D1084" s="8212">
        <f>D1082+D1083</f>
        <v>15430000000</v>
      </c>
      <c r="E1084" s="8213"/>
      <c r="F1084" s="3244">
        <f>F1082+F1083</f>
        <v>1012250000</v>
      </c>
      <c r="G1084" s="7494" t="s">
        <v>5648</v>
      </c>
      <c r="H1084" s="7495"/>
      <c r="I1084" s="7495"/>
      <c r="J1084" s="7768"/>
      <c r="K1084" s="6703"/>
      <c r="L1084" s="6703"/>
      <c r="M1084" s="386"/>
      <c r="N1084" s="386"/>
      <c r="O1084" s="386"/>
      <c r="P1084" s="386"/>
      <c r="Q1084" s="386"/>
    </row>
    <row r="1085" spans="1:17" ht="30" customHeight="1" x14ac:dyDescent="0.2">
      <c r="A1085" s="7656"/>
      <c r="B1085" s="7665"/>
      <c r="C1085" s="7747"/>
      <c r="D1085" s="3914">
        <v>820000000</v>
      </c>
      <c r="E1085" s="3913">
        <v>0.08</v>
      </c>
      <c r="F1085" s="3914">
        <f>D1085*E1085</f>
        <v>65600000</v>
      </c>
      <c r="G1085" s="7732" t="s">
        <v>5646</v>
      </c>
      <c r="H1085" s="7733"/>
      <c r="I1085" s="7733"/>
      <c r="J1085" s="7734"/>
      <c r="K1085" s="7816">
        <f>F1086-500000000-G1087</f>
        <v>577850000</v>
      </c>
      <c r="L1085" s="387" t="s">
        <v>5645</v>
      </c>
      <c r="M1085" s="386"/>
      <c r="N1085" s="386"/>
      <c r="O1085" s="386"/>
      <c r="P1085" s="386"/>
      <c r="Q1085" s="386"/>
    </row>
    <row r="1086" spans="1:17" ht="30" customHeight="1" x14ac:dyDescent="0.2">
      <c r="A1086" s="7656"/>
      <c r="B1086" s="7665"/>
      <c r="C1086" s="7747"/>
      <c r="D1086" s="8335">
        <f>D1084+D1085</f>
        <v>16250000000</v>
      </c>
      <c r="E1086" s="8336"/>
      <c r="F1086" s="8339">
        <f>F1084+F1085</f>
        <v>1077850000</v>
      </c>
      <c r="G1086" s="7732" t="s">
        <v>6238</v>
      </c>
      <c r="H1086" s="7733"/>
      <c r="I1086" s="7733"/>
      <c r="J1086" s="7734"/>
      <c r="K1086" s="7882"/>
      <c r="L1086" s="6733" t="s">
        <v>6237</v>
      </c>
      <c r="M1086" s="386"/>
      <c r="N1086" s="386"/>
      <c r="O1086" s="386"/>
      <c r="P1086" s="386"/>
      <c r="Q1086" s="386"/>
    </row>
    <row r="1087" spans="1:17" ht="30" customHeight="1" x14ac:dyDescent="0.2">
      <c r="A1087" s="7656"/>
      <c r="B1087" s="7665"/>
      <c r="C1087" s="7747"/>
      <c r="D1087" s="8413"/>
      <c r="E1087" s="8414"/>
      <c r="F1087" s="8415"/>
      <c r="G1087" s="6635"/>
      <c r="H1087" s="6635"/>
      <c r="I1087" s="6635" t="s">
        <v>6239</v>
      </c>
      <c r="J1087" s="6635">
        <f>G1087</f>
        <v>0</v>
      </c>
      <c r="K1087" s="7882"/>
      <c r="L1087" s="6733" t="s">
        <v>4906</v>
      </c>
      <c r="M1087" s="386"/>
      <c r="N1087" s="386"/>
      <c r="O1087" s="386"/>
      <c r="P1087" s="386"/>
      <c r="Q1087" s="386"/>
    </row>
    <row r="1088" spans="1:17" ht="30" customHeight="1" x14ac:dyDescent="0.2">
      <c r="A1088" s="7656"/>
      <c r="B1088" s="7665"/>
      <c r="C1088" s="7747"/>
      <c r="D1088" s="8337"/>
      <c r="E1088" s="8338"/>
      <c r="F1088" s="8340"/>
      <c r="G1088" s="7991" t="s">
        <v>6316</v>
      </c>
      <c r="H1088" s="7992"/>
      <c r="I1088" s="7992"/>
      <c r="J1088" s="7993"/>
      <c r="K1088" s="7817"/>
      <c r="L1088" s="387"/>
      <c r="M1088" s="386"/>
      <c r="N1088" s="386"/>
      <c r="O1088" s="386"/>
      <c r="P1088" s="386"/>
      <c r="Q1088" s="386"/>
    </row>
    <row r="1089" spans="1:17" ht="30" customHeight="1" x14ac:dyDescent="0.2">
      <c r="A1089" s="7656"/>
      <c r="B1089" s="7665"/>
      <c r="C1089" s="7747"/>
      <c r="D1089" s="6757">
        <v>100000000</v>
      </c>
      <c r="E1089" s="1298">
        <v>0.08</v>
      </c>
      <c r="F1089" s="6701">
        <f>D1089*E1089</f>
        <v>8000000</v>
      </c>
      <c r="G1089" s="7991" t="s">
        <v>6317</v>
      </c>
      <c r="H1089" s="7992"/>
      <c r="I1089" s="7992"/>
      <c r="J1089" s="7993"/>
      <c r="K1089" s="6703"/>
      <c r="L1089" s="6724"/>
      <c r="M1089" s="386"/>
      <c r="N1089" s="386"/>
      <c r="O1089" s="386"/>
      <c r="P1089" s="386"/>
      <c r="Q1089" s="386"/>
    </row>
    <row r="1090" spans="1:17" ht="30" customHeight="1" x14ac:dyDescent="0.2">
      <c r="A1090" s="7656"/>
      <c r="B1090" s="7665"/>
      <c r="C1090" s="7747"/>
      <c r="D1090" s="7858">
        <f>D1086+D1089</f>
        <v>16350000000</v>
      </c>
      <c r="E1090" s="7860"/>
      <c r="F1090" s="6701">
        <f>F1086+F1089</f>
        <v>1085850000</v>
      </c>
      <c r="G1090" s="7732" t="s">
        <v>7069</v>
      </c>
      <c r="H1090" s="7733"/>
      <c r="I1090" s="7733"/>
      <c r="J1090" s="7734"/>
      <c r="K1090" s="6703"/>
      <c r="L1090" s="6724" t="s">
        <v>6752</v>
      </c>
      <c r="M1090" s="386"/>
      <c r="N1090" s="386"/>
      <c r="O1090" s="386"/>
      <c r="P1090" s="386"/>
      <c r="Q1090" s="386"/>
    </row>
    <row r="1091" spans="1:17" ht="30" customHeight="1" x14ac:dyDescent="0.2">
      <c r="A1091" s="7656"/>
      <c r="B1091" s="7665"/>
      <c r="C1091" s="7747"/>
      <c r="D1091" s="8199" t="s">
        <v>7070</v>
      </c>
      <c r="E1091" s="8199"/>
      <c r="F1091" s="8199"/>
      <c r="G1091" s="7732" t="s">
        <v>6859</v>
      </c>
      <c r="H1091" s="7733"/>
      <c r="I1091" s="7733"/>
      <c r="J1091" s="7734"/>
      <c r="K1091" s="7816">
        <f>F1090-290000000-J1093</f>
        <v>795850000</v>
      </c>
      <c r="L1091" s="6724" t="s">
        <v>6861</v>
      </c>
      <c r="M1091" s="386"/>
      <c r="N1091" s="386"/>
      <c r="O1091" s="386"/>
      <c r="P1091" s="386"/>
      <c r="Q1091" s="386"/>
    </row>
    <row r="1092" spans="1:17" ht="30" customHeight="1" x14ac:dyDescent="0.2">
      <c r="A1092" s="7656"/>
      <c r="B1092" s="7665"/>
      <c r="C1092" s="7747"/>
      <c r="D1092" s="8199"/>
      <c r="E1092" s="8199"/>
      <c r="F1092" s="8199"/>
      <c r="G1092" s="7732" t="s">
        <v>6860</v>
      </c>
      <c r="H1092" s="7733"/>
      <c r="I1092" s="7733"/>
      <c r="J1092" s="7734"/>
      <c r="K1092" s="7882"/>
      <c r="L1092" s="6724" t="s">
        <v>6861</v>
      </c>
      <c r="M1092" s="386"/>
      <c r="N1092" s="386"/>
      <c r="O1092" s="386"/>
      <c r="P1092" s="386"/>
      <c r="Q1092" s="386"/>
    </row>
    <row r="1093" spans="1:17" ht="30" customHeight="1" x14ac:dyDescent="0.2">
      <c r="A1093" s="7656"/>
      <c r="B1093" s="7665"/>
      <c r="C1093" s="7747"/>
      <c r="D1093" s="8199"/>
      <c r="E1093" s="8199"/>
      <c r="F1093" s="8199"/>
      <c r="G1093" s="6635"/>
      <c r="H1093" s="6635"/>
      <c r="I1093" s="6635" t="s">
        <v>6239</v>
      </c>
      <c r="J1093" s="7482">
        <f>G1093+G1094</f>
        <v>0</v>
      </c>
      <c r="K1093" s="7882"/>
      <c r="L1093" s="6724" t="s">
        <v>7071</v>
      </c>
      <c r="M1093" s="386"/>
      <c r="N1093" s="386"/>
      <c r="O1093" s="386"/>
      <c r="P1093" s="386"/>
      <c r="Q1093" s="386"/>
    </row>
    <row r="1094" spans="1:17" ht="30" customHeight="1" x14ac:dyDescent="0.2">
      <c r="A1094" s="7656"/>
      <c r="B1094" s="7665"/>
      <c r="C1094" s="7747"/>
      <c r="D1094" s="8199"/>
      <c r="E1094" s="8199"/>
      <c r="F1094" s="8199"/>
      <c r="G1094" s="233"/>
      <c r="H1094" s="6635"/>
      <c r="I1094" s="6635" t="s">
        <v>6239</v>
      </c>
      <c r="J1094" s="7482"/>
      <c r="K1094" s="7882"/>
      <c r="L1094" s="6724"/>
      <c r="M1094" s="386"/>
      <c r="N1094" s="386"/>
      <c r="O1094" s="386"/>
      <c r="P1094" s="386"/>
      <c r="Q1094" s="386"/>
    </row>
    <row r="1095" spans="1:17" ht="30" customHeight="1" x14ac:dyDescent="0.2">
      <c r="A1095" s="7656"/>
      <c r="B1095" s="7665"/>
      <c r="C1095" s="7747"/>
      <c r="D1095" s="7470" t="s">
        <v>7072</v>
      </c>
      <c r="E1095" s="7493"/>
      <c r="F1095" s="7510"/>
      <c r="G1095" s="6745"/>
      <c r="H1095" s="6635"/>
      <c r="I1095" s="6635" t="s">
        <v>6239</v>
      </c>
      <c r="J1095" s="7"/>
      <c r="K1095" s="898"/>
      <c r="L1095" s="6724"/>
      <c r="M1095" s="386"/>
      <c r="N1095" s="386"/>
      <c r="O1095" s="386"/>
      <c r="P1095" s="386"/>
      <c r="Q1095" s="386"/>
    </row>
    <row r="1096" spans="1:17" ht="30" customHeight="1" x14ac:dyDescent="0.2">
      <c r="A1096" s="7656"/>
      <c r="B1096" s="7665"/>
      <c r="C1096" s="7747"/>
      <c r="D1096" s="8525">
        <f>D1090-170000000</f>
        <v>16180000000</v>
      </c>
      <c r="E1096" s="8526"/>
      <c r="F1096" s="6791">
        <f>F1090-13600000</f>
        <v>1072250000</v>
      </c>
      <c r="G1096" s="7991" t="s">
        <v>7425</v>
      </c>
      <c r="H1096" s="7992"/>
      <c r="I1096" s="7992"/>
      <c r="J1096" s="7993"/>
      <c r="K1096" s="8528">
        <f>F1096+F1097-4150000</f>
        <v>1073990000</v>
      </c>
      <c r="L1096" s="5770"/>
      <c r="M1096" s="386"/>
      <c r="N1096" s="386"/>
      <c r="O1096" s="386"/>
      <c r="P1096" s="386"/>
      <c r="Q1096" s="386"/>
    </row>
    <row r="1097" spans="1:17" ht="30" customHeight="1" x14ac:dyDescent="0.2">
      <c r="A1097" s="7656"/>
      <c r="B1097" s="7665"/>
      <c r="C1097" s="7747"/>
      <c r="D1097" s="8527" t="s">
        <v>7073</v>
      </c>
      <c r="E1097" s="8527"/>
      <c r="F1097" s="6791">
        <v>5890000</v>
      </c>
      <c r="G1097" s="7997"/>
      <c r="H1097" s="7998"/>
      <c r="I1097" s="7998"/>
      <c r="J1097" s="7999"/>
      <c r="K1097" s="8529"/>
      <c r="L1097" s="6724"/>
      <c r="M1097" s="386"/>
      <c r="N1097" s="386"/>
      <c r="O1097" s="386"/>
      <c r="P1097" s="386"/>
      <c r="Q1097" s="386"/>
    </row>
    <row r="1098" spans="1:17" ht="30" customHeight="1" x14ac:dyDescent="0.2">
      <c r="A1098" s="7656"/>
      <c r="B1098" s="7665"/>
      <c r="C1098" s="7747"/>
      <c r="D1098" s="8527" t="s">
        <v>8534</v>
      </c>
      <c r="E1098" s="8527"/>
      <c r="F1098" s="8527"/>
      <c r="G1098" s="7426">
        <v>100000000</v>
      </c>
      <c r="H1098" s="7426" t="s">
        <v>7424</v>
      </c>
      <c r="I1098" s="7426" t="s">
        <v>3366</v>
      </c>
      <c r="J1098" s="7482">
        <v>354000000</v>
      </c>
      <c r="K1098" s="7499">
        <f>K1096-J1098</f>
        <v>719990000</v>
      </c>
      <c r="L1098" s="7732" t="s">
        <v>7423</v>
      </c>
      <c r="M1098" s="7733"/>
      <c r="N1098" s="7733"/>
      <c r="O1098" s="7734"/>
      <c r="P1098" s="386"/>
      <c r="Q1098" s="386"/>
    </row>
    <row r="1099" spans="1:17" ht="30" customHeight="1" x14ac:dyDescent="0.2">
      <c r="A1099" s="7656"/>
      <c r="B1099" s="7665"/>
      <c r="C1099" s="7747"/>
      <c r="D1099" s="8527"/>
      <c r="E1099" s="8527"/>
      <c r="F1099" s="8527"/>
      <c r="G1099" s="7426">
        <v>100000000</v>
      </c>
      <c r="H1099" s="7426" t="s">
        <v>7427</v>
      </c>
      <c r="I1099" s="7426" t="s">
        <v>2686</v>
      </c>
      <c r="J1099" s="7482"/>
      <c r="K1099" s="7499"/>
      <c r="L1099" s="7439"/>
      <c r="M1099" s="7443"/>
      <c r="N1099" s="7443"/>
      <c r="O1099" s="7443"/>
      <c r="P1099" s="386"/>
      <c r="Q1099" s="386"/>
    </row>
    <row r="1100" spans="1:17" ht="30" customHeight="1" x14ac:dyDescent="0.2">
      <c r="A1100" s="7656"/>
      <c r="B1100" s="7665"/>
      <c r="C1100" s="7747"/>
      <c r="D1100" s="8527"/>
      <c r="E1100" s="8527"/>
      <c r="F1100" s="8527"/>
      <c r="G1100" s="7426">
        <v>50000000</v>
      </c>
      <c r="H1100" s="7426" t="s">
        <v>7424</v>
      </c>
      <c r="I1100" s="7426" t="s">
        <v>2686</v>
      </c>
      <c r="J1100" s="7482"/>
      <c r="K1100" s="7499"/>
      <c r="L1100" s="7439"/>
      <c r="M1100" s="7443"/>
      <c r="N1100" s="7443"/>
      <c r="O1100" s="7443"/>
      <c r="P1100" s="386"/>
      <c r="Q1100" s="386"/>
    </row>
    <row r="1101" spans="1:17" ht="30" customHeight="1" x14ac:dyDescent="0.2">
      <c r="A1101" s="7656"/>
      <c r="B1101" s="7665"/>
      <c r="C1101" s="7747"/>
      <c r="D1101" s="8527"/>
      <c r="E1101" s="8527"/>
      <c r="F1101" s="8527"/>
      <c r="G1101" s="7426">
        <v>4000000</v>
      </c>
      <c r="H1101" s="7426"/>
      <c r="I1101" s="7426"/>
      <c r="J1101" s="7482"/>
      <c r="K1101" s="7499"/>
      <c r="L1101" s="7439"/>
      <c r="M1101" s="7443"/>
      <c r="N1101" s="7443"/>
      <c r="O1101" s="7443"/>
      <c r="P1101" s="386"/>
      <c r="Q1101" s="386"/>
    </row>
    <row r="1102" spans="1:17" ht="30" customHeight="1" x14ac:dyDescent="0.2">
      <c r="A1102" s="7656"/>
      <c r="B1102" s="7665"/>
      <c r="C1102" s="7747"/>
      <c r="D1102" s="8527"/>
      <c r="E1102" s="8527"/>
      <c r="F1102" s="8527"/>
      <c r="G1102" s="8000" t="s">
        <v>8531</v>
      </c>
      <c r="H1102" s="8000"/>
      <c r="I1102" s="8000"/>
      <c r="J1102" s="8000"/>
      <c r="K1102" s="7563"/>
      <c r="L1102" s="7439"/>
      <c r="M1102" s="7443"/>
      <c r="N1102" s="7443"/>
      <c r="O1102" s="7443"/>
      <c r="P1102" s="386"/>
      <c r="Q1102" s="386"/>
    </row>
    <row r="1103" spans="1:17" ht="30" customHeight="1" x14ac:dyDescent="0.2">
      <c r="A1103" s="7656"/>
      <c r="B1103" s="7665"/>
      <c r="C1103" s="7747"/>
      <c r="D1103" s="7451">
        <v>720000000</v>
      </c>
      <c r="E1103" s="7452">
        <v>7.0000000000000007E-2</v>
      </c>
      <c r="F1103" s="7451">
        <f>D1103*E1103</f>
        <v>50400000.000000007</v>
      </c>
      <c r="G1103" s="8000"/>
      <c r="H1103" s="8000"/>
      <c r="I1103" s="8000"/>
      <c r="J1103" s="8000"/>
      <c r="K1103" s="7564"/>
      <c r="L1103" s="7439"/>
      <c r="M1103" s="7443"/>
      <c r="N1103" s="7443"/>
      <c r="O1103" s="7443"/>
      <c r="P1103" s="386"/>
      <c r="Q1103" s="386"/>
    </row>
    <row r="1104" spans="1:17" ht="30" customHeight="1" x14ac:dyDescent="0.2">
      <c r="A1104" s="7656"/>
      <c r="B1104" s="7665"/>
      <c r="C1104" s="7747"/>
      <c r="D1104" s="7451">
        <v>16180000000</v>
      </c>
      <c r="E1104" s="7452">
        <v>7.0000000000000007E-2</v>
      </c>
      <c r="F1104" s="7451">
        <f>D1104*E1104</f>
        <v>1132600000</v>
      </c>
      <c r="G1104" s="8000" t="s">
        <v>8535</v>
      </c>
      <c r="H1104" s="8000"/>
      <c r="I1104" s="8000"/>
      <c r="J1104" s="8000"/>
      <c r="K1104" s="7563"/>
      <c r="L1104" s="7439"/>
      <c r="M1104" s="7443"/>
      <c r="N1104" s="7443"/>
      <c r="O1104" s="7443"/>
      <c r="P1104" s="386"/>
      <c r="Q1104" s="386"/>
    </row>
    <row r="1105" spans="1:17" ht="30" customHeight="1" x14ac:dyDescent="0.2">
      <c r="A1105" s="7656"/>
      <c r="B1105" s="7665"/>
      <c r="C1105" s="7747"/>
      <c r="D1105" s="7451">
        <f>D1103+D1104-170000000</f>
        <v>16730000000</v>
      </c>
      <c r="E1105" s="7452">
        <v>7.0000000000000007E-2</v>
      </c>
      <c r="F1105" s="7451">
        <f>D1105*E1105</f>
        <v>1171100000</v>
      </c>
      <c r="G1105" s="8000"/>
      <c r="H1105" s="8000"/>
      <c r="I1105" s="8000"/>
      <c r="J1105" s="7674"/>
      <c r="K1105" s="7564"/>
      <c r="L1105" s="7439"/>
      <c r="M1105" s="7443"/>
      <c r="N1105" s="7443"/>
      <c r="O1105" s="7443"/>
      <c r="P1105" s="386"/>
      <c r="Q1105" s="386"/>
    </row>
    <row r="1106" spans="1:17" ht="30" customHeight="1" x14ac:dyDescent="0.2">
      <c r="A1106" s="7656"/>
      <c r="B1106" s="7665"/>
      <c r="C1106" s="7747"/>
      <c r="D1106" s="8557" t="s">
        <v>8536</v>
      </c>
      <c r="E1106" s="8557"/>
      <c r="F1106" s="8557"/>
      <c r="G1106" s="7434"/>
      <c r="H1106" s="7434"/>
      <c r="I1106" s="7434"/>
      <c r="J1106" s="7444"/>
      <c r="K1106" s="233"/>
      <c r="L1106" s="7439"/>
      <c r="M1106" s="7443"/>
      <c r="N1106" s="7443"/>
      <c r="O1106" s="7443"/>
      <c r="P1106" s="386"/>
      <c r="Q1106" s="386"/>
    </row>
    <row r="1107" spans="1:17" ht="30" customHeight="1" x14ac:dyDescent="0.2">
      <c r="A1107" s="7656"/>
      <c r="B1107" s="7665"/>
      <c r="C1107" s="7747"/>
      <c r="D1107" s="8557" t="s">
        <v>8537</v>
      </c>
      <c r="E1107" s="8557"/>
      <c r="F1107" s="8557"/>
      <c r="G1107" s="7563"/>
      <c r="H1107" s="7563"/>
      <c r="I1107" s="7563"/>
      <c r="J1107" s="7563"/>
      <c r="K1107" s="7563"/>
      <c r="L1107" s="7439"/>
      <c r="M1107" s="7443"/>
      <c r="N1107" s="7443"/>
      <c r="O1107" s="7443"/>
      <c r="P1107" s="386"/>
      <c r="Q1107" s="386"/>
    </row>
    <row r="1108" spans="1:17" ht="30" customHeight="1" x14ac:dyDescent="0.2">
      <c r="A1108" s="7656"/>
      <c r="B1108" s="7665"/>
      <c r="C1108" s="7747"/>
      <c r="D1108" s="8557"/>
      <c r="E1108" s="8557"/>
      <c r="F1108" s="8557"/>
      <c r="G1108" s="7564"/>
      <c r="H1108" s="7564"/>
      <c r="I1108" s="7564"/>
      <c r="J1108" s="7564"/>
      <c r="K1108" s="7564"/>
      <c r="L1108" s="7439"/>
      <c r="M1108" s="7443"/>
      <c r="N1108" s="7443"/>
      <c r="O1108" s="7443"/>
      <c r="P1108" s="386"/>
      <c r="Q1108" s="386"/>
    </row>
    <row r="1109" spans="1:17" ht="30" customHeight="1" x14ac:dyDescent="0.2">
      <c r="A1109" s="7656"/>
      <c r="B1109" s="7665"/>
      <c r="C1109" s="7747"/>
      <c r="D1109" s="7451">
        <f>D1105-3000000000-50000000</f>
        <v>13680000000</v>
      </c>
      <c r="E1109" s="7452">
        <v>7.0000000000000007E-2</v>
      </c>
      <c r="F1109" s="7451">
        <f>D1109*E1109</f>
        <v>957600000.00000012</v>
      </c>
      <c r="G1109" s="7732" t="s">
        <v>8545</v>
      </c>
      <c r="H1109" s="7733"/>
      <c r="I1109" s="7733"/>
      <c r="J1109" s="7734"/>
      <c r="K1109" s="233"/>
      <c r="L1109" s="7439"/>
      <c r="M1109" s="7443"/>
      <c r="N1109" s="7443"/>
      <c r="O1109" s="7443"/>
      <c r="P1109" s="386"/>
      <c r="Q1109" s="386"/>
    </row>
    <row r="1110" spans="1:17" ht="30" customHeight="1" x14ac:dyDescent="0.2">
      <c r="A1110" s="7656"/>
      <c r="B1110" s="7665"/>
      <c r="C1110" s="7747"/>
      <c r="D1110" s="8567" t="s">
        <v>8538</v>
      </c>
      <c r="E1110" s="8567"/>
      <c r="F1110" s="7451">
        <v>140000000</v>
      </c>
      <c r="G1110" s="7732" t="s">
        <v>1026</v>
      </c>
      <c r="H1110" s="7733"/>
      <c r="I1110" s="7733"/>
      <c r="J1110" s="7734"/>
      <c r="K1110" s="233"/>
      <c r="L1110" s="7439"/>
      <c r="M1110" s="7443"/>
      <c r="N1110" s="7443"/>
      <c r="O1110" s="7443"/>
      <c r="P1110" s="386"/>
      <c r="Q1110" s="386"/>
    </row>
    <row r="1111" spans="1:17" ht="30" customHeight="1" x14ac:dyDescent="0.2">
      <c r="A1111" s="7656"/>
      <c r="B1111" s="7665"/>
      <c r="C1111" s="7747"/>
      <c r="D1111" s="8567" t="s">
        <v>8539</v>
      </c>
      <c r="E1111" s="8567"/>
      <c r="F1111" s="7451">
        <v>2300000</v>
      </c>
      <c r="G1111" s="7732" t="s">
        <v>1026</v>
      </c>
      <c r="H1111" s="7733"/>
      <c r="I1111" s="7733"/>
      <c r="J1111" s="7734"/>
      <c r="K1111" s="233"/>
      <c r="L1111" s="7439"/>
      <c r="M1111" s="7443"/>
      <c r="N1111" s="7443"/>
      <c r="O1111" s="7443"/>
      <c r="P1111" s="386"/>
      <c r="Q1111" s="386"/>
    </row>
    <row r="1112" spans="1:17" ht="30" customHeight="1" x14ac:dyDescent="0.2">
      <c r="A1112" s="7656"/>
      <c r="B1112" s="7665"/>
      <c r="C1112" s="7747"/>
      <c r="D1112" s="8568" t="s">
        <v>8541</v>
      </c>
      <c r="E1112" s="8569"/>
      <c r="F1112" s="7451">
        <f>F1109+F1110+F1111</f>
        <v>1099900000</v>
      </c>
      <c r="G1112" s="7426">
        <v>20000000</v>
      </c>
      <c r="H1112" s="7426" t="s">
        <v>7795</v>
      </c>
      <c r="I1112" s="7426" t="s">
        <v>7465</v>
      </c>
      <c r="J1112" s="7426">
        <f>G1112</f>
        <v>20000000</v>
      </c>
      <c r="K1112" s="7426">
        <f>F1112-J1112</f>
        <v>1079900000</v>
      </c>
      <c r="L1112" s="7439"/>
      <c r="M1112" s="7443"/>
      <c r="N1112" s="7443"/>
      <c r="O1112" s="7443"/>
      <c r="P1112" s="386"/>
      <c r="Q1112" s="386"/>
    </row>
    <row r="1113" spans="1:17" ht="30" customHeight="1" x14ac:dyDescent="0.2">
      <c r="A1113" s="7656"/>
      <c r="B1113" s="7665"/>
      <c r="C1113" s="7747"/>
      <c r="D1113" s="7442">
        <v>1079900000</v>
      </c>
      <c r="E1113" s="3242">
        <v>7.0000000000000007E-2</v>
      </c>
      <c r="F1113" s="7442">
        <f>D1113*E1113</f>
        <v>75593000</v>
      </c>
      <c r="G1113" s="7991" t="s">
        <v>8542</v>
      </c>
      <c r="H1113" s="7992"/>
      <c r="I1113" s="7992"/>
      <c r="J1113" s="7993"/>
      <c r="K1113" s="7432"/>
      <c r="L1113" s="7439"/>
      <c r="M1113" s="7443"/>
      <c r="N1113" s="7443"/>
      <c r="O1113" s="7443"/>
      <c r="P1113" s="386"/>
      <c r="Q1113" s="386"/>
    </row>
    <row r="1114" spans="1:17" ht="30" customHeight="1" x14ac:dyDescent="0.2">
      <c r="A1114" s="7656"/>
      <c r="B1114" s="7665"/>
      <c r="C1114" s="7747"/>
      <c r="D1114" s="7442">
        <f>D1109+D1113+100000</f>
        <v>14760000000</v>
      </c>
      <c r="E1114" s="3242">
        <v>7.0000000000000007E-2</v>
      </c>
      <c r="F1114" s="7442">
        <f>D1114*E1114</f>
        <v>1033200000.0000001</v>
      </c>
      <c r="G1114" s="7732" t="s">
        <v>8543</v>
      </c>
      <c r="H1114" s="7733"/>
      <c r="I1114" s="7733"/>
      <c r="J1114" s="7734"/>
      <c r="K1114" s="7432"/>
      <c r="L1114" s="7439"/>
      <c r="M1114" s="7443"/>
      <c r="N1114" s="7443"/>
      <c r="O1114" s="7443"/>
      <c r="P1114" s="386"/>
      <c r="Q1114" s="386"/>
    </row>
    <row r="1115" spans="1:17" ht="30" customHeight="1" x14ac:dyDescent="0.2">
      <c r="A1115" s="7656"/>
      <c r="B1115" s="7665"/>
      <c r="C1115" s="7747"/>
      <c r="D1115" s="8576" t="s">
        <v>8544</v>
      </c>
      <c r="E1115" s="8576"/>
      <c r="F1115" s="8576"/>
      <c r="G1115" s="7426"/>
      <c r="H1115" s="7426"/>
      <c r="I1115" s="7426"/>
      <c r="J1115" s="7426"/>
      <c r="K1115" s="7427"/>
      <c r="L1115" s="7439"/>
      <c r="M1115" s="7443"/>
      <c r="N1115" s="7443"/>
      <c r="O1115" s="7443"/>
      <c r="P1115" s="386"/>
      <c r="Q1115" s="386"/>
    </row>
    <row r="1116" spans="1:17" ht="30" customHeight="1" x14ac:dyDescent="0.2">
      <c r="A1116" s="7656"/>
      <c r="B1116" s="7665"/>
      <c r="C1116" s="7747"/>
      <c r="D1116" s="7442">
        <f>D1114-3700000000</f>
        <v>11060000000</v>
      </c>
      <c r="E1116" s="3242">
        <v>7.0000000000000007E-2</v>
      </c>
      <c r="F1116" s="7442">
        <f>D1116*E1116</f>
        <v>774200000.00000012</v>
      </c>
      <c r="G1116" s="7732" t="s">
        <v>8545</v>
      </c>
      <c r="H1116" s="7733"/>
      <c r="I1116" s="7733"/>
      <c r="J1116" s="7734"/>
      <c r="K1116" s="7427"/>
      <c r="L1116" s="7439"/>
      <c r="M1116" s="7443"/>
      <c r="N1116" s="7443"/>
      <c r="O1116" s="7443"/>
      <c r="P1116" s="386"/>
      <c r="Q1116" s="386"/>
    </row>
    <row r="1117" spans="1:17" ht="30" customHeight="1" x14ac:dyDescent="0.2">
      <c r="A1117" s="7656"/>
      <c r="B1117" s="7665"/>
      <c r="C1117" s="7747"/>
      <c r="D1117" s="7912" t="s">
        <v>8546</v>
      </c>
      <c r="E1117" s="7912"/>
      <c r="F1117" s="7442">
        <v>172600000</v>
      </c>
      <c r="G1117" s="7732" t="s">
        <v>1026</v>
      </c>
      <c r="H1117" s="7733"/>
      <c r="I1117" s="7733"/>
      <c r="J1117" s="7734"/>
      <c r="K1117" s="7441"/>
      <c r="L1117" s="7439"/>
      <c r="M1117" s="7443"/>
      <c r="N1117" s="7443"/>
      <c r="O1117" s="7443"/>
      <c r="P1117" s="386"/>
      <c r="Q1117" s="386"/>
    </row>
    <row r="1118" spans="1:17" ht="30" customHeight="1" x14ac:dyDescent="0.2">
      <c r="A1118" s="7656"/>
      <c r="B1118" s="7665"/>
      <c r="C1118" s="7747"/>
      <c r="D1118" s="7883" t="s">
        <v>8548</v>
      </c>
      <c r="E1118" s="7884"/>
      <c r="F1118" s="7442">
        <v>2000000</v>
      </c>
      <c r="G1118" s="7732" t="s">
        <v>8549</v>
      </c>
      <c r="H1118" s="7733"/>
      <c r="I1118" s="7733"/>
      <c r="J1118" s="7734"/>
      <c r="K1118" s="7441"/>
      <c r="L1118" s="7439"/>
      <c r="M1118" s="7443"/>
      <c r="N1118" s="7443"/>
      <c r="O1118" s="7443"/>
      <c r="P1118" s="386"/>
      <c r="Q1118" s="386"/>
    </row>
    <row r="1119" spans="1:17" ht="30" customHeight="1" x14ac:dyDescent="0.2">
      <c r="A1119" s="7656"/>
      <c r="B1119" s="7665"/>
      <c r="C1119" s="7747"/>
      <c r="D1119" s="7883" t="s">
        <v>8547</v>
      </c>
      <c r="E1119" s="7884"/>
      <c r="F1119" s="7442">
        <f>F1116+F1117+F1118</f>
        <v>948800000.00000012</v>
      </c>
      <c r="G1119" s="7732"/>
      <c r="H1119" s="7733"/>
      <c r="I1119" s="7733"/>
      <c r="J1119" s="7734"/>
      <c r="K1119" s="7441"/>
      <c r="L1119" s="7439"/>
      <c r="M1119" s="7443"/>
      <c r="N1119" s="7443"/>
      <c r="O1119" s="7443"/>
      <c r="P1119" s="386"/>
      <c r="Q1119" s="386"/>
    </row>
    <row r="1120" spans="1:17" ht="30" customHeight="1" x14ac:dyDescent="0.2">
      <c r="A1120" s="7656"/>
      <c r="B1120" s="7665"/>
      <c r="C1120" s="7747"/>
      <c r="D1120" s="7912" t="s">
        <v>8551</v>
      </c>
      <c r="E1120" s="7912"/>
      <c r="F1120" s="7912"/>
      <c r="G1120" s="6635">
        <v>20000000</v>
      </c>
      <c r="H1120" s="6635" t="s">
        <v>3808</v>
      </c>
      <c r="I1120" s="6635" t="s">
        <v>3366</v>
      </c>
      <c r="J1120" s="7482">
        <f>G1120+G1121+G1122+G1123</f>
        <v>110000000</v>
      </c>
      <c r="K1120" s="7499">
        <f>F1119-J1120</f>
        <v>838800000.00000012</v>
      </c>
      <c r="L1120" s="7732" t="s">
        <v>7423</v>
      </c>
      <c r="M1120" s="7733"/>
      <c r="N1120" s="7733"/>
      <c r="O1120" s="7734"/>
      <c r="P1120" s="386"/>
      <c r="Q1120" s="386"/>
    </row>
    <row r="1121" spans="1:17" ht="30" customHeight="1" x14ac:dyDescent="0.2">
      <c r="A1121" s="7656"/>
      <c r="B1121" s="7665"/>
      <c r="C1121" s="7747"/>
      <c r="D1121" s="7912"/>
      <c r="E1121" s="7912"/>
      <c r="F1121" s="7912"/>
      <c r="G1121" s="6635">
        <v>15000000</v>
      </c>
      <c r="H1121" s="6635" t="s">
        <v>7945</v>
      </c>
      <c r="I1121" s="6824" t="s">
        <v>7465</v>
      </c>
      <c r="J1121" s="7482"/>
      <c r="K1121" s="7499"/>
      <c r="L1121" s="6672"/>
      <c r="M1121" s="6734"/>
      <c r="N1121" s="6734"/>
      <c r="O1121" s="6734"/>
      <c r="P1121" s="386"/>
      <c r="Q1121" s="386"/>
    </row>
    <row r="1122" spans="1:17" ht="30" customHeight="1" x14ac:dyDescent="0.2">
      <c r="A1122" s="7656"/>
      <c r="B1122" s="7665"/>
      <c r="C1122" s="7747"/>
      <c r="D1122" s="7912"/>
      <c r="E1122" s="7912"/>
      <c r="F1122" s="7912"/>
      <c r="G1122" s="6635">
        <v>25000000</v>
      </c>
      <c r="H1122" s="6635" t="s">
        <v>7968</v>
      </c>
      <c r="I1122" s="6635" t="s">
        <v>3366</v>
      </c>
      <c r="J1122" s="7482"/>
      <c r="K1122" s="7499"/>
      <c r="L1122" s="6672"/>
      <c r="M1122" s="6734"/>
      <c r="N1122" s="6734"/>
      <c r="O1122" s="6734"/>
      <c r="P1122" s="386"/>
      <c r="Q1122" s="386"/>
    </row>
    <row r="1123" spans="1:17" ht="30" customHeight="1" x14ac:dyDescent="0.2">
      <c r="A1123" s="7656"/>
      <c r="B1123" s="7665"/>
      <c r="C1123" s="7747"/>
      <c r="D1123" s="7912"/>
      <c r="E1123" s="7912"/>
      <c r="F1123" s="7912"/>
      <c r="G1123" s="7426">
        <v>50000000</v>
      </c>
      <c r="H1123" s="7470" t="s">
        <v>3852</v>
      </c>
      <c r="I1123" s="7510"/>
      <c r="J1123" s="7482"/>
      <c r="K1123" s="7499"/>
      <c r="L1123" s="7439"/>
      <c r="M1123" s="7443"/>
      <c r="N1123" s="7443"/>
      <c r="O1123" s="7443"/>
      <c r="P1123" s="386"/>
      <c r="Q1123" s="386"/>
    </row>
    <row r="1124" spans="1:17" ht="30" customHeight="1" x14ac:dyDescent="0.2">
      <c r="A1124" s="7656"/>
      <c r="B1124" s="7665"/>
      <c r="C1124" s="7747"/>
      <c r="D1124" s="7431">
        <v>838800000</v>
      </c>
      <c r="E1124" s="7446">
        <v>7.0000000000000007E-2</v>
      </c>
      <c r="F1124" s="7431">
        <f>D1124*E1124</f>
        <v>58716000.000000007</v>
      </c>
      <c r="G1124" s="7991" t="s">
        <v>8552</v>
      </c>
      <c r="H1124" s="7992"/>
      <c r="I1124" s="7992"/>
      <c r="J1124" s="7993"/>
      <c r="K1124" s="7427"/>
      <c r="L1124" s="7439"/>
      <c r="M1124" s="7443"/>
      <c r="N1124" s="7443"/>
      <c r="O1124" s="7443"/>
      <c r="P1124" s="386"/>
      <c r="Q1124" s="386"/>
    </row>
    <row r="1125" spans="1:17" ht="30" customHeight="1" x14ac:dyDescent="0.2">
      <c r="A1125" s="7656"/>
      <c r="B1125" s="7665"/>
      <c r="C1125" s="7747"/>
      <c r="D1125" s="7431">
        <f>D1116+D1124</f>
        <v>11898800000</v>
      </c>
      <c r="E1125" s="7446">
        <v>7.0000000000000007E-2</v>
      </c>
      <c r="F1125" s="7431">
        <f>D1125*E1125</f>
        <v>832916000.00000012</v>
      </c>
      <c r="G1125" s="7732" t="s">
        <v>8553</v>
      </c>
      <c r="H1125" s="7733"/>
      <c r="I1125" s="7733"/>
      <c r="J1125" s="7734"/>
      <c r="K1125" s="7427"/>
      <c r="L1125" s="7439"/>
      <c r="M1125" s="7443"/>
      <c r="N1125" s="7443"/>
      <c r="O1125" s="7443"/>
      <c r="P1125" s="386"/>
      <c r="Q1125" s="386"/>
    </row>
    <row r="1126" spans="1:17" ht="30" customHeight="1" x14ac:dyDescent="0.2">
      <c r="A1126" s="7656"/>
      <c r="B1126" s="7665"/>
      <c r="C1126" s="7747"/>
      <c r="D1126" s="7450"/>
      <c r="E1126" s="248"/>
      <c r="F1126" s="1927"/>
      <c r="G1126" s="7433">
        <v>3800000</v>
      </c>
      <c r="H1126" s="7433" t="s">
        <v>8215</v>
      </c>
      <c r="I1126" s="7433" t="s">
        <v>7465</v>
      </c>
      <c r="J1126" s="165"/>
      <c r="K1126" s="387"/>
      <c r="L1126" s="6672"/>
      <c r="M1126" s="6734"/>
      <c r="N1126" s="6734"/>
      <c r="O1126" s="6734"/>
      <c r="P1126" s="386"/>
      <c r="Q1126" s="386"/>
    </row>
    <row r="1127" spans="1:17" ht="30" customHeight="1" x14ac:dyDescent="0.2">
      <c r="A1127" s="7656"/>
      <c r="B1127" s="7665"/>
      <c r="C1127" s="7747"/>
      <c r="D1127" s="7450"/>
      <c r="E1127" s="248"/>
      <c r="F1127" s="1927"/>
      <c r="G1127" s="7433">
        <v>60000000</v>
      </c>
      <c r="H1127" s="7433" t="s">
        <v>5244</v>
      </c>
      <c r="I1127" s="7433" t="s">
        <v>7465</v>
      </c>
      <c r="J1127" s="165"/>
      <c r="K1127" s="387"/>
      <c r="L1127" s="6672"/>
      <c r="M1127" s="6734"/>
      <c r="N1127" s="6734"/>
      <c r="O1127" s="6734"/>
      <c r="P1127" s="386"/>
      <c r="Q1127" s="386"/>
    </row>
    <row r="1128" spans="1:17" ht="30" customHeight="1" x14ac:dyDescent="0.2">
      <c r="A1128" s="7656"/>
      <c r="B1128" s="7665"/>
      <c r="C1128" s="7747"/>
      <c r="D1128" s="7450"/>
      <c r="E1128" s="248"/>
      <c r="F1128" s="1927"/>
      <c r="G1128" s="8655" t="s">
        <v>8517</v>
      </c>
      <c r="H1128" s="8655"/>
      <c r="I1128" s="8655"/>
      <c r="J1128" s="8655"/>
      <c r="K1128" s="848"/>
      <c r="L1128" s="6672"/>
      <c r="M1128" s="6734"/>
      <c r="N1128" s="6734"/>
      <c r="O1128" s="6734"/>
      <c r="P1128" s="386"/>
      <c r="Q1128" s="386"/>
    </row>
    <row r="1129" spans="1:17" ht="30" customHeight="1" x14ac:dyDescent="0.2">
      <c r="A1129" s="7656"/>
      <c r="B1129" s="7665"/>
      <c r="C1129" s="7747"/>
      <c r="D1129" s="7450"/>
      <c r="E1129" s="248"/>
      <c r="F1129" s="1927"/>
      <c r="G1129" s="8655"/>
      <c r="H1129" s="8655"/>
      <c r="I1129" s="8655"/>
      <c r="J1129" s="8655"/>
      <c r="K1129" s="848"/>
      <c r="L1129" s="6672"/>
      <c r="M1129" s="6734"/>
      <c r="N1129" s="6734"/>
      <c r="O1129" s="6734"/>
      <c r="P1129" s="386"/>
      <c r="Q1129" s="386"/>
    </row>
    <row r="1130" spans="1:17" ht="30" customHeight="1" x14ac:dyDescent="0.2">
      <c r="A1130" s="7656"/>
      <c r="B1130" s="7665"/>
      <c r="C1130" s="7747"/>
      <c r="D1130" s="7450"/>
      <c r="E1130" s="248"/>
      <c r="F1130" s="1927"/>
      <c r="G1130" s="7397"/>
      <c r="H1130" s="7397"/>
      <c r="I1130" s="7397"/>
      <c r="J1130" s="178"/>
      <c r="K1130" s="848"/>
      <c r="L1130" s="6672"/>
      <c r="M1130" s="6734"/>
      <c r="N1130" s="6734"/>
      <c r="O1130" s="6734"/>
      <c r="P1130" s="386"/>
      <c r="Q1130" s="386"/>
    </row>
    <row r="1131" spans="1:17" ht="30" customHeight="1" x14ac:dyDescent="0.2">
      <c r="A1131" s="7656"/>
      <c r="B1131" s="7665"/>
      <c r="C1131" s="7747"/>
      <c r="D1131" s="7450"/>
      <c r="E1131" s="248"/>
      <c r="F1131" s="1927"/>
      <c r="G1131" s="6635"/>
      <c r="H1131" s="6635"/>
      <c r="I1131" s="6635"/>
      <c r="J1131" s="7"/>
      <c r="K1131" s="898"/>
      <c r="L1131" s="6672"/>
      <c r="M1131" s="6734"/>
      <c r="N1131" s="6734"/>
      <c r="O1131" s="6734"/>
      <c r="P1131" s="386"/>
      <c r="Q1131" s="386"/>
    </row>
    <row r="1132" spans="1:17" ht="30" customHeight="1" x14ac:dyDescent="0.2">
      <c r="A1132" s="7655"/>
      <c r="B1132" s="7653"/>
      <c r="C1132" s="7724"/>
      <c r="D1132" s="1965"/>
      <c r="E1132" s="2297"/>
      <c r="F1132" s="1928"/>
      <c r="G1132" s="6635"/>
      <c r="H1132" s="6635"/>
      <c r="I1132" s="6635"/>
      <c r="J1132" s="6643"/>
      <c r="K1132" s="6703"/>
      <c r="L1132" s="6672"/>
      <c r="M1132" s="6734"/>
      <c r="N1132" s="6734"/>
      <c r="O1132" s="6734"/>
      <c r="P1132" s="386"/>
      <c r="Q1132" s="386"/>
    </row>
    <row r="1133" spans="1:17" ht="30" customHeight="1" x14ac:dyDescent="0.2">
      <c r="A1133" s="6708"/>
      <c r="B1133" s="6665" t="s">
        <v>2622</v>
      </c>
      <c r="C1133" s="6710" t="s">
        <v>889</v>
      </c>
      <c r="D1133" s="6635">
        <v>160000000</v>
      </c>
      <c r="E1133" s="6705">
        <v>0.05</v>
      </c>
      <c r="F1133" s="6635">
        <f t="shared" ref="F1133:F1150" si="90">D1133*E1133</f>
        <v>8000000</v>
      </c>
      <c r="G1133" s="6635">
        <v>8000000</v>
      </c>
      <c r="H1133" s="6635" t="s">
        <v>8247</v>
      </c>
      <c r="I1133" s="6775" t="s">
        <v>1728</v>
      </c>
      <c r="J1133" s="6635">
        <f>G1133</f>
        <v>8000000</v>
      </c>
      <c r="K1133" s="6639">
        <f>F1133-J1133</f>
        <v>0</v>
      </c>
      <c r="L1133" s="6733"/>
      <c r="M1133" s="386"/>
      <c r="N1133" s="386"/>
      <c r="O1133" s="386"/>
      <c r="P1133" s="386"/>
      <c r="Q1133" s="386"/>
    </row>
    <row r="1134" spans="1:17" ht="30" customHeight="1" x14ac:dyDescent="0.2">
      <c r="A1134" s="7654"/>
      <c r="B1134" s="7652" t="s">
        <v>2639</v>
      </c>
      <c r="C1134" s="7723" t="s">
        <v>1172</v>
      </c>
      <c r="D1134" s="7563">
        <v>80000000</v>
      </c>
      <c r="E1134" s="7659">
        <v>0.05</v>
      </c>
      <c r="F1134" s="7563">
        <f t="shared" si="90"/>
        <v>4000000</v>
      </c>
      <c r="G1134" s="6643">
        <v>5600000</v>
      </c>
      <c r="H1134" s="6643" t="s">
        <v>7987</v>
      </c>
      <c r="I1134" s="472" t="s">
        <v>4020</v>
      </c>
      <c r="J1134" s="6643">
        <f t="shared" ref="J1134:J1148" si="91">G1134</f>
        <v>5600000</v>
      </c>
      <c r="K1134" s="6703">
        <f t="shared" ref="K1134:K1149" si="92">F1134-J1134</f>
        <v>-1600000</v>
      </c>
      <c r="L1134" s="6733" t="s">
        <v>7990</v>
      </c>
      <c r="M1134" s="386"/>
      <c r="N1134" s="386"/>
      <c r="O1134" s="386"/>
      <c r="P1134" s="386"/>
      <c r="Q1134" s="386"/>
    </row>
    <row r="1135" spans="1:17" ht="30" customHeight="1" x14ac:dyDescent="0.2">
      <c r="A1135" s="7655"/>
      <c r="B1135" s="7653"/>
      <c r="C1135" s="7724"/>
      <c r="D1135" s="7564"/>
      <c r="E1135" s="7660"/>
      <c r="F1135" s="7564"/>
      <c r="G1135" s="6643"/>
      <c r="H1135" s="6643"/>
      <c r="I1135" s="472" t="s">
        <v>4020</v>
      </c>
      <c r="J1135" s="6643">
        <f>G1135</f>
        <v>0</v>
      </c>
      <c r="K1135" s="6703">
        <f>F1134-J1135</f>
        <v>4000000</v>
      </c>
      <c r="L1135" s="7811" t="s">
        <v>7641</v>
      </c>
      <c r="M1135" s="386"/>
      <c r="N1135" s="386"/>
      <c r="O1135" s="386"/>
      <c r="P1135" s="386"/>
      <c r="Q1135" s="386"/>
    </row>
    <row r="1136" spans="1:17" ht="30" customHeight="1" x14ac:dyDescent="0.2">
      <c r="A1136" s="7654"/>
      <c r="B1136" s="7652" t="s">
        <v>4021</v>
      </c>
      <c r="C1136" s="7723" t="s">
        <v>1172</v>
      </c>
      <c r="D1136" s="7563">
        <v>100000000</v>
      </c>
      <c r="E1136" s="7659">
        <v>0.05</v>
      </c>
      <c r="F1136" s="7563">
        <f t="shared" si="90"/>
        <v>5000000</v>
      </c>
      <c r="G1136" s="6643">
        <v>5000000</v>
      </c>
      <c r="H1136" s="6643" t="s">
        <v>8042</v>
      </c>
      <c r="I1136" s="472" t="s">
        <v>4063</v>
      </c>
      <c r="J1136" s="6643">
        <f t="shared" ref="J1136:J1142" si="93">G1136</f>
        <v>5000000</v>
      </c>
      <c r="K1136" s="6703">
        <f>F1136-J1136</f>
        <v>0</v>
      </c>
      <c r="L1136" s="7812"/>
      <c r="M1136" s="386"/>
      <c r="N1136" s="386"/>
      <c r="O1136" s="386"/>
      <c r="P1136" s="386"/>
      <c r="Q1136" s="386"/>
    </row>
    <row r="1137" spans="1:17" ht="30" customHeight="1" x14ac:dyDescent="0.2">
      <c r="A1137" s="7655"/>
      <c r="B1137" s="7653"/>
      <c r="C1137" s="7724"/>
      <c r="D1137" s="7564"/>
      <c r="E1137" s="7660"/>
      <c r="F1137" s="7564"/>
      <c r="G1137" s="7161">
        <v>2000000</v>
      </c>
      <c r="H1137" s="7161" t="s">
        <v>8316</v>
      </c>
      <c r="I1137" s="472" t="s">
        <v>4063</v>
      </c>
      <c r="J1137" s="7161">
        <f t="shared" si="93"/>
        <v>2000000</v>
      </c>
      <c r="K1137" s="7181"/>
      <c r="L1137" s="7191"/>
      <c r="M1137" s="386"/>
      <c r="N1137" s="386"/>
      <c r="O1137" s="386"/>
      <c r="P1137" s="386"/>
      <c r="Q1137" s="386"/>
    </row>
    <row r="1138" spans="1:17" ht="30" customHeight="1" x14ac:dyDescent="0.2">
      <c r="A1138" s="6708"/>
      <c r="B1138" s="6665" t="s">
        <v>3997</v>
      </c>
      <c r="C1138" s="6710" t="s">
        <v>1652</v>
      </c>
      <c r="D1138" s="6635">
        <v>25000000</v>
      </c>
      <c r="E1138" s="6705">
        <v>0.04</v>
      </c>
      <c r="F1138" s="6635">
        <f t="shared" si="90"/>
        <v>1000000</v>
      </c>
      <c r="G1138" s="6635"/>
      <c r="H1138" s="6635"/>
      <c r="I1138" s="6775" t="s">
        <v>6262</v>
      </c>
      <c r="J1138" s="6635">
        <f t="shared" si="93"/>
        <v>0</v>
      </c>
      <c r="K1138" s="6639">
        <f t="shared" si="92"/>
        <v>1000000</v>
      </c>
      <c r="L1138" s="6733"/>
      <c r="M1138" s="386"/>
      <c r="N1138" s="386"/>
      <c r="O1138" s="386"/>
      <c r="P1138" s="386"/>
      <c r="Q1138" s="386"/>
    </row>
    <row r="1139" spans="1:17" ht="30" customHeight="1" x14ac:dyDescent="0.2">
      <c r="A1139" s="7654"/>
      <c r="B1139" s="7661" t="s">
        <v>2692</v>
      </c>
      <c r="C1139" s="7723" t="s">
        <v>371</v>
      </c>
      <c r="D1139" s="7563">
        <v>500000000</v>
      </c>
      <c r="E1139" s="7659">
        <v>7.0000000000000007E-2</v>
      </c>
      <c r="F1139" s="7563">
        <f t="shared" si="90"/>
        <v>35000000</v>
      </c>
      <c r="G1139" s="6635">
        <v>10000000</v>
      </c>
      <c r="H1139" s="6635" t="s">
        <v>8156</v>
      </c>
      <c r="I1139" s="6635" t="s">
        <v>8160</v>
      </c>
      <c r="J1139" s="7563">
        <f>G1139+G1140</f>
        <v>35000000</v>
      </c>
      <c r="K1139" s="7816">
        <f t="shared" si="92"/>
        <v>0</v>
      </c>
      <c r="L1139" s="6733"/>
      <c r="M1139" s="386"/>
      <c r="N1139" s="386"/>
      <c r="O1139" s="386"/>
      <c r="P1139" s="386"/>
      <c r="Q1139" s="386"/>
    </row>
    <row r="1140" spans="1:17" ht="30" customHeight="1" x14ac:dyDescent="0.2">
      <c r="A1140" s="7655"/>
      <c r="B1140" s="7663"/>
      <c r="C1140" s="7724"/>
      <c r="D1140" s="7564"/>
      <c r="E1140" s="7660"/>
      <c r="F1140" s="7564"/>
      <c r="G1140" s="7086">
        <v>25000000</v>
      </c>
      <c r="H1140" s="7086" t="s">
        <v>8247</v>
      </c>
      <c r="I1140" s="7086" t="s">
        <v>8160</v>
      </c>
      <c r="J1140" s="7564"/>
      <c r="K1140" s="7817"/>
      <c r="L1140" s="7093"/>
      <c r="M1140" s="386"/>
      <c r="N1140" s="386"/>
      <c r="O1140" s="386"/>
      <c r="P1140" s="386"/>
      <c r="Q1140" s="386"/>
    </row>
    <row r="1141" spans="1:17" ht="30" customHeight="1" x14ac:dyDescent="0.2">
      <c r="A1141" s="6708"/>
      <c r="B1141" s="6680" t="s">
        <v>7628</v>
      </c>
      <c r="C1141" s="6710" t="s">
        <v>371</v>
      </c>
      <c r="D1141" s="1455">
        <v>40000000</v>
      </c>
      <c r="E1141" s="1929">
        <v>7.0000000000000007E-2</v>
      </c>
      <c r="F1141" s="1455">
        <f t="shared" si="90"/>
        <v>2800000.0000000005</v>
      </c>
      <c r="G1141" s="6635">
        <v>2800000</v>
      </c>
      <c r="H1141" s="6635" t="s">
        <v>8245</v>
      </c>
      <c r="I1141" s="6635" t="s">
        <v>7627</v>
      </c>
      <c r="J1141" s="6635">
        <f t="shared" si="93"/>
        <v>2800000</v>
      </c>
      <c r="K1141" s="6703">
        <f t="shared" si="92"/>
        <v>0</v>
      </c>
      <c r="L1141" s="6682" t="s">
        <v>5513</v>
      </c>
      <c r="M1141" s="386"/>
      <c r="N1141" s="386"/>
      <c r="O1141" s="386"/>
      <c r="P1141" s="386"/>
      <c r="Q1141" s="386"/>
    </row>
    <row r="1142" spans="1:17" ht="30" customHeight="1" x14ac:dyDescent="0.2">
      <c r="A1142" s="6653"/>
      <c r="B1142" s="6656" t="s">
        <v>5727</v>
      </c>
      <c r="C1142" s="6683" t="s">
        <v>3007</v>
      </c>
      <c r="D1142" s="1455">
        <v>130000000</v>
      </c>
      <c r="E1142" s="1929">
        <v>0.05</v>
      </c>
      <c r="F1142" s="1455">
        <f t="shared" si="90"/>
        <v>6500000</v>
      </c>
      <c r="G1142" s="6635"/>
      <c r="H1142" s="6635"/>
      <c r="I1142" s="6635" t="s">
        <v>3982</v>
      </c>
      <c r="J1142" s="6635">
        <f t="shared" si="93"/>
        <v>0</v>
      </c>
      <c r="K1142" s="6703">
        <f t="shared" si="92"/>
        <v>6500000</v>
      </c>
      <c r="L1142" s="6765"/>
      <c r="M1142" s="386"/>
      <c r="N1142" s="386"/>
      <c r="O1142" s="386"/>
      <c r="P1142" s="386"/>
      <c r="Q1142" s="386"/>
    </row>
    <row r="1143" spans="1:17" ht="30" customHeight="1" x14ac:dyDescent="0.2">
      <c r="A1143" s="7654"/>
      <c r="B1143" s="7661" t="s">
        <v>4699</v>
      </c>
      <c r="C1143" s="7723" t="s">
        <v>371</v>
      </c>
      <c r="D1143" s="7563">
        <v>400000000</v>
      </c>
      <c r="E1143" s="7659">
        <v>7.0000000000000007E-2</v>
      </c>
      <c r="F1143" s="7563">
        <f t="shared" si="90"/>
        <v>28000000.000000004</v>
      </c>
      <c r="G1143" s="6635">
        <v>12000000</v>
      </c>
      <c r="H1143" s="6635" t="s">
        <v>8240</v>
      </c>
      <c r="I1143" s="638" t="s">
        <v>4403</v>
      </c>
      <c r="J1143" s="7563">
        <f>G1143+G1144</f>
        <v>28000000</v>
      </c>
      <c r="K1143" s="7816">
        <f>F1143-J1143</f>
        <v>0</v>
      </c>
      <c r="L1143" s="6723"/>
      <c r="M1143" s="386"/>
      <c r="N1143" s="386"/>
      <c r="O1143" s="386"/>
      <c r="P1143" s="386"/>
      <c r="Q1143" s="386"/>
    </row>
    <row r="1144" spans="1:17" ht="30" customHeight="1" x14ac:dyDescent="0.2">
      <c r="A1144" s="7655"/>
      <c r="B1144" s="7663"/>
      <c r="C1144" s="7724"/>
      <c r="D1144" s="7564"/>
      <c r="E1144" s="7660"/>
      <c r="F1144" s="7564"/>
      <c r="G1144" s="6643">
        <v>16000000</v>
      </c>
      <c r="H1144" s="6643" t="s">
        <v>8247</v>
      </c>
      <c r="I1144" s="6695" t="s">
        <v>4403</v>
      </c>
      <c r="J1144" s="7564"/>
      <c r="K1144" s="7817"/>
      <c r="L1144" s="6723"/>
      <c r="M1144" s="386"/>
      <c r="N1144" s="386"/>
      <c r="O1144" s="386"/>
      <c r="P1144" s="386"/>
      <c r="Q1144" s="386"/>
    </row>
    <row r="1145" spans="1:17" ht="30" customHeight="1" x14ac:dyDescent="0.2">
      <c r="A1145" s="6655"/>
      <c r="B1145" s="6652" t="s">
        <v>2702</v>
      </c>
      <c r="C1145" s="6684" t="s">
        <v>262</v>
      </c>
      <c r="D1145" s="6643">
        <v>30000000</v>
      </c>
      <c r="E1145" s="6649">
        <v>0.05</v>
      </c>
      <c r="F1145" s="6643">
        <f t="shared" si="90"/>
        <v>1500000</v>
      </c>
      <c r="G1145" s="6643">
        <v>1500000</v>
      </c>
      <c r="H1145" s="6643" t="s">
        <v>8398</v>
      </c>
      <c r="I1145" s="6643" t="s">
        <v>3536</v>
      </c>
      <c r="J1145" s="6643">
        <f t="shared" si="91"/>
        <v>1500000</v>
      </c>
      <c r="K1145" s="6703">
        <f t="shared" si="92"/>
        <v>0</v>
      </c>
      <c r="L1145" s="6733"/>
      <c r="M1145" s="386"/>
      <c r="N1145" s="386"/>
      <c r="O1145" s="386"/>
      <c r="P1145" s="386"/>
      <c r="Q1145" s="386"/>
    </row>
    <row r="1146" spans="1:17" ht="30" customHeight="1" x14ac:dyDescent="0.2">
      <c r="A1146" s="6708"/>
      <c r="B1146" s="6665" t="s">
        <v>2727</v>
      </c>
      <c r="C1146" s="6684" t="s">
        <v>392</v>
      </c>
      <c r="D1146" s="6643">
        <v>140000000</v>
      </c>
      <c r="E1146" s="6705">
        <v>7.0000000000000007E-2</v>
      </c>
      <c r="F1146" s="6643">
        <f t="shared" si="90"/>
        <v>9800000.0000000019</v>
      </c>
      <c r="G1146" s="6635">
        <v>9800000</v>
      </c>
      <c r="H1146" s="6635" t="s">
        <v>8164</v>
      </c>
      <c r="I1146" s="6635" t="s">
        <v>4380</v>
      </c>
      <c r="J1146" s="6635">
        <f t="shared" si="91"/>
        <v>9800000</v>
      </c>
      <c r="K1146" s="6703">
        <f t="shared" si="92"/>
        <v>0</v>
      </c>
      <c r="L1146" s="6733"/>
      <c r="M1146" s="386"/>
      <c r="N1146" s="386"/>
      <c r="O1146" s="386"/>
      <c r="P1146" s="386"/>
      <c r="Q1146" s="386"/>
    </row>
    <row r="1147" spans="1:17" ht="30" customHeight="1" x14ac:dyDescent="0.2">
      <c r="A1147" s="6708"/>
      <c r="B1147" s="6665" t="s">
        <v>2735</v>
      </c>
      <c r="C1147" s="6684" t="s">
        <v>889</v>
      </c>
      <c r="D1147" s="6643">
        <v>85000000</v>
      </c>
      <c r="E1147" s="6705">
        <v>0.05</v>
      </c>
      <c r="F1147" s="6643">
        <f t="shared" si="90"/>
        <v>4250000</v>
      </c>
      <c r="G1147" s="6635"/>
      <c r="H1147" s="6635"/>
      <c r="I1147" s="6775" t="s">
        <v>3529</v>
      </c>
      <c r="J1147" s="6635">
        <f t="shared" si="91"/>
        <v>0</v>
      </c>
      <c r="K1147" s="6703">
        <f t="shared" si="92"/>
        <v>4250000</v>
      </c>
      <c r="L1147" s="6733"/>
      <c r="M1147" s="386"/>
      <c r="N1147" s="386"/>
      <c r="O1147" s="386"/>
      <c r="P1147" s="386"/>
      <c r="Q1147" s="386"/>
    </row>
    <row r="1148" spans="1:17" ht="30" customHeight="1" x14ac:dyDescent="0.2">
      <c r="A1148" s="6708"/>
      <c r="B1148" s="6665" t="s">
        <v>3534</v>
      </c>
      <c r="C1148" s="6684" t="s">
        <v>372</v>
      </c>
      <c r="D1148" s="6643">
        <v>50000000</v>
      </c>
      <c r="E1148" s="6705">
        <v>0.05</v>
      </c>
      <c r="F1148" s="6643">
        <f t="shared" si="90"/>
        <v>2500000</v>
      </c>
      <c r="G1148" s="6635"/>
      <c r="H1148" s="6635"/>
      <c r="I1148" s="6635" t="s">
        <v>4091</v>
      </c>
      <c r="J1148" s="6635">
        <f t="shared" si="91"/>
        <v>0</v>
      </c>
      <c r="K1148" s="6703">
        <f t="shared" si="92"/>
        <v>2500000</v>
      </c>
      <c r="L1148" s="6733"/>
      <c r="M1148" s="386"/>
      <c r="N1148" s="386"/>
      <c r="O1148" s="386"/>
      <c r="P1148" s="386"/>
      <c r="Q1148" s="386"/>
    </row>
    <row r="1149" spans="1:17" ht="30" customHeight="1" x14ac:dyDescent="0.2">
      <c r="A1149" s="7654"/>
      <c r="B1149" s="7652" t="s">
        <v>2738</v>
      </c>
      <c r="C1149" s="7723" t="s">
        <v>262</v>
      </c>
      <c r="D1149" s="6643">
        <v>25000000</v>
      </c>
      <c r="E1149" s="6705">
        <v>0.05</v>
      </c>
      <c r="F1149" s="6643">
        <f t="shared" si="90"/>
        <v>1250000</v>
      </c>
      <c r="G1149" s="7732" t="s">
        <v>8069</v>
      </c>
      <c r="H1149" s="7733"/>
      <c r="I1149" s="7733"/>
      <c r="J1149" s="7734"/>
      <c r="K1149" s="6703">
        <f t="shared" si="92"/>
        <v>1250000</v>
      </c>
      <c r="L1149" s="6733" t="s">
        <v>8070</v>
      </c>
      <c r="M1149" s="386"/>
      <c r="N1149" s="386"/>
      <c r="O1149" s="386"/>
      <c r="P1149" s="386"/>
      <c r="Q1149" s="386"/>
    </row>
    <row r="1150" spans="1:17" ht="30" customHeight="1" x14ac:dyDescent="0.2">
      <c r="A1150" s="7655"/>
      <c r="B1150" s="7653"/>
      <c r="C1150" s="7724"/>
      <c r="D1150" s="7013">
        <v>100000000</v>
      </c>
      <c r="E1150" s="7018">
        <v>7.0000000000000007E-2</v>
      </c>
      <c r="F1150" s="7013">
        <f t="shared" si="90"/>
        <v>7000000.0000000009</v>
      </c>
      <c r="G1150" s="7732" t="s">
        <v>8072</v>
      </c>
      <c r="H1150" s="7733"/>
      <c r="I1150" s="7733"/>
      <c r="J1150" s="7734"/>
      <c r="K1150" s="6929"/>
      <c r="L1150" s="6933" t="s">
        <v>8071</v>
      </c>
      <c r="M1150" s="386"/>
      <c r="N1150" s="386"/>
      <c r="O1150" s="386"/>
      <c r="P1150" s="386"/>
      <c r="Q1150" s="386"/>
    </row>
    <row r="1151" spans="1:17" ht="30" customHeight="1" x14ac:dyDescent="0.2">
      <c r="A1151" s="7654"/>
      <c r="B1151" s="7652" t="s">
        <v>2767</v>
      </c>
      <c r="C1151" s="7723" t="s">
        <v>262</v>
      </c>
      <c r="D1151" s="6635">
        <v>650000000</v>
      </c>
      <c r="E1151" s="6705">
        <v>0.06</v>
      </c>
      <c r="F1151" s="6635">
        <f>D1151*E1151</f>
        <v>39000000</v>
      </c>
      <c r="G1151" s="6914">
        <v>10000000</v>
      </c>
      <c r="H1151" s="6914" t="s">
        <v>8042</v>
      </c>
      <c r="I1151" s="6914" t="s">
        <v>3477</v>
      </c>
      <c r="J1151" s="7563">
        <f>G1151+G1152</f>
        <v>30000000</v>
      </c>
      <c r="K1151" s="7816"/>
      <c r="L1151" s="8578" t="s">
        <v>7908</v>
      </c>
      <c r="M1151" s="386"/>
      <c r="N1151" s="386"/>
      <c r="O1151" s="386"/>
      <c r="P1151" s="386"/>
      <c r="Q1151" s="386"/>
    </row>
    <row r="1152" spans="1:17" ht="30" customHeight="1" x14ac:dyDescent="0.2">
      <c r="A1152" s="7656"/>
      <c r="B1152" s="7665"/>
      <c r="C1152" s="7747"/>
      <c r="D1152" s="6643">
        <v>50000000</v>
      </c>
      <c r="E1152" s="6705">
        <v>0.06</v>
      </c>
      <c r="F1152" s="6643">
        <f>D1152*E1152</f>
        <v>3000000</v>
      </c>
      <c r="G1152" s="6914">
        <v>20000000</v>
      </c>
      <c r="H1152" s="6914" t="s">
        <v>8042</v>
      </c>
      <c r="I1152" s="6914" t="s">
        <v>3477</v>
      </c>
      <c r="J1152" s="7586"/>
      <c r="K1152" s="7882"/>
      <c r="L1152" s="8579"/>
      <c r="M1152" s="386"/>
      <c r="N1152" s="386"/>
      <c r="O1152" s="386"/>
      <c r="P1152" s="386"/>
      <c r="Q1152" s="386"/>
    </row>
    <row r="1153" spans="1:17" ht="30" customHeight="1" x14ac:dyDescent="0.2">
      <c r="A1153" s="7656"/>
      <c r="B1153" s="7665"/>
      <c r="C1153" s="7747"/>
      <c r="D1153" s="6643">
        <v>50000000</v>
      </c>
      <c r="E1153" s="6705">
        <v>0.06</v>
      </c>
      <c r="F1153" s="6643">
        <f>D1153*E1153</f>
        <v>3000000</v>
      </c>
      <c r="G1153" s="6914"/>
      <c r="H1153" s="6914"/>
      <c r="I1153" s="6914"/>
      <c r="J1153" s="7564"/>
      <c r="K1153" s="7817"/>
      <c r="L1153" s="6766" t="s">
        <v>7909</v>
      </c>
      <c r="M1153" s="386"/>
      <c r="N1153" s="386"/>
      <c r="O1153" s="386"/>
      <c r="P1153" s="386"/>
      <c r="Q1153" s="386"/>
    </row>
    <row r="1154" spans="1:17" ht="30" customHeight="1" x14ac:dyDescent="0.2">
      <c r="A1154" s="7655"/>
      <c r="B1154" s="7653"/>
      <c r="C1154" s="7724"/>
      <c r="D1154" s="6752">
        <v>750000000</v>
      </c>
      <c r="E1154" s="6789">
        <v>7.0000000000000007E-2</v>
      </c>
      <c r="F1154" s="6752">
        <f>D1154*E1154</f>
        <v>52500000.000000007</v>
      </c>
      <c r="G1154" s="6643"/>
      <c r="H1154" s="6643"/>
      <c r="I1154" s="6643"/>
      <c r="J1154" s="6643"/>
      <c r="K1154" s="6703"/>
      <c r="L1154" s="6766"/>
      <c r="M1154" s="386"/>
      <c r="N1154" s="386"/>
      <c r="O1154" s="386"/>
      <c r="P1154" s="386"/>
      <c r="Q1154" s="386"/>
    </row>
    <row r="1155" spans="1:17" ht="30" customHeight="1" x14ac:dyDescent="0.2">
      <c r="A1155" s="7243"/>
      <c r="B1155" s="7241" t="s">
        <v>8370</v>
      </c>
      <c r="C1155" s="7260"/>
      <c r="D1155" s="7252"/>
      <c r="E1155" s="2519"/>
      <c r="F1155" s="7252"/>
      <c r="G1155" s="7238">
        <v>2500000</v>
      </c>
      <c r="H1155" s="7238" t="s">
        <v>8366</v>
      </c>
      <c r="I1155" s="7238" t="s">
        <v>8371</v>
      </c>
      <c r="J1155" s="7238">
        <f>G1155</f>
        <v>2500000</v>
      </c>
      <c r="K1155" s="7266"/>
      <c r="L1155" s="7285"/>
      <c r="M1155" s="386"/>
      <c r="N1155" s="386"/>
      <c r="O1155" s="386"/>
      <c r="P1155" s="386"/>
      <c r="Q1155" s="386"/>
    </row>
    <row r="1156" spans="1:17" ht="30" customHeight="1" x14ac:dyDescent="0.2">
      <c r="A1156" s="6708"/>
      <c r="B1156" s="6665" t="s">
        <v>2802</v>
      </c>
      <c r="C1156" s="6684" t="s">
        <v>359</v>
      </c>
      <c r="D1156" s="6643">
        <v>20000000</v>
      </c>
      <c r="E1156" s="6705">
        <v>0.05</v>
      </c>
      <c r="F1156" s="6643">
        <f t="shared" ref="F1156:F1165" si="94">D1156*E1156</f>
        <v>1000000</v>
      </c>
      <c r="G1156" s="6635">
        <v>1000000</v>
      </c>
      <c r="H1156" s="6635" t="s">
        <v>8267</v>
      </c>
      <c r="I1156" s="6635" t="s">
        <v>3556</v>
      </c>
      <c r="J1156" s="6635">
        <f>G1156</f>
        <v>1000000</v>
      </c>
      <c r="K1156" s="6703">
        <f>F1156-J1156</f>
        <v>0</v>
      </c>
      <c r="L1156" s="6733" t="s">
        <v>7915</v>
      </c>
      <c r="M1156" s="386"/>
      <c r="N1156" s="386"/>
      <c r="O1156" s="386"/>
      <c r="P1156" s="386"/>
      <c r="Q1156" s="386"/>
    </row>
    <row r="1157" spans="1:17" ht="30" customHeight="1" x14ac:dyDescent="0.2">
      <c r="A1157" s="7879"/>
      <c r="B1157" s="7717" t="s">
        <v>2904</v>
      </c>
      <c r="C1157" s="7873" t="s">
        <v>1081</v>
      </c>
      <c r="D1157" s="7482">
        <v>40000000</v>
      </c>
      <c r="E1157" s="7870">
        <v>0.04</v>
      </c>
      <c r="F1157" s="7482">
        <f t="shared" si="94"/>
        <v>1600000</v>
      </c>
      <c r="G1157" s="6635">
        <v>1600000</v>
      </c>
      <c r="H1157" s="6635" t="s">
        <v>8186</v>
      </c>
      <c r="I1157" s="6635" t="s">
        <v>4314</v>
      </c>
      <c r="J1157" s="6635">
        <f>G1157</f>
        <v>1600000</v>
      </c>
      <c r="K1157" s="6639">
        <f>F1157-J1157</f>
        <v>0</v>
      </c>
      <c r="L1157" s="6733" t="s">
        <v>1313</v>
      </c>
      <c r="M1157" s="386"/>
      <c r="N1157" s="386"/>
      <c r="O1157" s="386"/>
      <c r="P1157" s="386"/>
      <c r="Q1157" s="386"/>
    </row>
    <row r="1158" spans="1:17" ht="30" customHeight="1" x14ac:dyDescent="0.2">
      <c r="A1158" s="7879"/>
      <c r="B1158" s="7717"/>
      <c r="C1158" s="7873"/>
      <c r="D1158" s="7482"/>
      <c r="E1158" s="7870"/>
      <c r="F1158" s="7482"/>
      <c r="G1158" s="6635">
        <v>1600000</v>
      </c>
      <c r="H1158" s="6635" t="s">
        <v>8424</v>
      </c>
      <c r="I1158" s="6635" t="s">
        <v>8436</v>
      </c>
      <c r="J1158" s="6635">
        <f>G1158</f>
        <v>1600000</v>
      </c>
      <c r="K1158" s="6639">
        <f>F1157-J1158</f>
        <v>0</v>
      </c>
      <c r="L1158" s="6733"/>
      <c r="M1158" s="386"/>
      <c r="N1158" s="386"/>
      <c r="O1158" s="386"/>
      <c r="P1158" s="386"/>
      <c r="Q1158" s="386"/>
    </row>
    <row r="1159" spans="1:17" ht="30" customHeight="1" x14ac:dyDescent="0.2">
      <c r="A1159" s="6755"/>
      <c r="B1159" s="6712" t="s">
        <v>2834</v>
      </c>
      <c r="C1159" s="6686" t="s">
        <v>2849</v>
      </c>
      <c r="D1159" s="6643">
        <v>40000000</v>
      </c>
      <c r="E1159" s="6649">
        <v>0.05</v>
      </c>
      <c r="F1159" s="6643">
        <f t="shared" si="94"/>
        <v>2000000</v>
      </c>
      <c r="G1159" s="6643">
        <v>3400000</v>
      </c>
      <c r="H1159" s="6643" t="s">
        <v>8366</v>
      </c>
      <c r="I1159" s="6643" t="s">
        <v>8369</v>
      </c>
      <c r="J1159" s="6643">
        <f>G1159</f>
        <v>3400000</v>
      </c>
      <c r="K1159" s="6703">
        <f>F1159-J1159</f>
        <v>-1400000</v>
      </c>
      <c r="L1159" s="6733"/>
      <c r="M1159" s="386"/>
      <c r="N1159" s="386"/>
      <c r="O1159" s="386"/>
      <c r="P1159" s="386"/>
      <c r="Q1159" s="386"/>
    </row>
    <row r="1160" spans="1:17" ht="30" customHeight="1" x14ac:dyDescent="0.2">
      <c r="A1160" s="7879"/>
      <c r="B1160" s="7717" t="s">
        <v>2899</v>
      </c>
      <c r="C1160" s="6710" t="s">
        <v>1718</v>
      </c>
      <c r="D1160" s="6643">
        <v>400000000</v>
      </c>
      <c r="E1160" s="6705">
        <v>7.0000000000000007E-2</v>
      </c>
      <c r="F1160" s="6643">
        <f t="shared" si="94"/>
        <v>28000000.000000004</v>
      </c>
      <c r="G1160" s="6643">
        <v>7000000</v>
      </c>
      <c r="H1160" s="6643" t="s">
        <v>8267</v>
      </c>
      <c r="I1160" s="6693" t="s">
        <v>2868</v>
      </c>
      <c r="J1160" s="6643">
        <f t="shared" ref="J1160:J1172" si="95">G1160</f>
        <v>7000000</v>
      </c>
      <c r="K1160" s="6703">
        <f>F1160-J1160</f>
        <v>21000000.000000004</v>
      </c>
      <c r="L1160" s="6732"/>
      <c r="M1160" s="386"/>
      <c r="N1160" s="386"/>
      <c r="O1160" s="386"/>
      <c r="P1160" s="386"/>
      <c r="Q1160" s="386"/>
    </row>
    <row r="1161" spans="1:17" ht="30" customHeight="1" x14ac:dyDescent="0.2">
      <c r="A1161" s="7879"/>
      <c r="B1161" s="7717"/>
      <c r="C1161" s="7723" t="s">
        <v>990</v>
      </c>
      <c r="D1161" s="7563">
        <v>200000000</v>
      </c>
      <c r="E1161" s="7659">
        <v>7.0000000000000007E-2</v>
      </c>
      <c r="F1161" s="7563">
        <f t="shared" ref="F1161" si="96">D1161*E1161</f>
        <v>14000000.000000002</v>
      </c>
      <c r="G1161" s="7292">
        <v>14000000</v>
      </c>
      <c r="H1161" s="7292" t="s">
        <v>7945</v>
      </c>
      <c r="I1161" s="7320" t="s">
        <v>2868</v>
      </c>
      <c r="J1161" s="7292">
        <f>G1161</f>
        <v>14000000</v>
      </c>
      <c r="K1161" s="7294">
        <f>F1161-J1161</f>
        <v>0</v>
      </c>
      <c r="L1161" s="7336" t="s">
        <v>7915</v>
      </c>
      <c r="M1161" s="386"/>
      <c r="N1161" s="386"/>
      <c r="O1161" s="386"/>
      <c r="P1161" s="386"/>
      <c r="Q1161" s="386"/>
    </row>
    <row r="1162" spans="1:17" ht="30" customHeight="1" x14ac:dyDescent="0.2">
      <c r="A1162" s="7879"/>
      <c r="B1162" s="7717"/>
      <c r="C1162" s="7724"/>
      <c r="D1162" s="7564"/>
      <c r="E1162" s="7660"/>
      <c r="F1162" s="7564"/>
      <c r="G1162" s="6635">
        <v>10000000</v>
      </c>
      <c r="H1162" s="6635" t="s">
        <v>8424</v>
      </c>
      <c r="I1162" s="6838" t="s">
        <v>2868</v>
      </c>
      <c r="J1162" s="6635">
        <f>G1162</f>
        <v>10000000</v>
      </c>
      <c r="K1162" s="6639">
        <f>F1161-J1162</f>
        <v>4000000.0000000019</v>
      </c>
      <c r="L1162" s="6732"/>
      <c r="M1162" s="386"/>
      <c r="N1162" s="386"/>
      <c r="O1162" s="386"/>
      <c r="P1162" s="386"/>
      <c r="Q1162" s="386"/>
    </row>
    <row r="1163" spans="1:17" ht="30" customHeight="1" x14ac:dyDescent="0.2">
      <c r="A1163" s="7654"/>
      <c r="B1163" s="7717" t="s">
        <v>4692</v>
      </c>
      <c r="C1163" s="7873" t="s">
        <v>2278</v>
      </c>
      <c r="D1163" s="7482">
        <v>100000000</v>
      </c>
      <c r="E1163" s="7870">
        <v>7.0000000000000007E-2</v>
      </c>
      <c r="F1163" s="7482">
        <f>D1163*E1163</f>
        <v>7000000.0000000009</v>
      </c>
      <c r="G1163" s="7292"/>
      <c r="H1163" s="7292"/>
      <c r="I1163" s="7292" t="s">
        <v>2868</v>
      </c>
      <c r="J1163" s="7292">
        <f>G1163</f>
        <v>0</v>
      </c>
      <c r="K1163" s="6703">
        <f>F1163-J1163</f>
        <v>7000000.0000000009</v>
      </c>
      <c r="L1163" s="6733"/>
      <c r="M1163" s="386"/>
      <c r="N1163" s="386"/>
      <c r="O1163" s="386"/>
      <c r="P1163" s="386"/>
      <c r="Q1163" s="386"/>
    </row>
    <row r="1164" spans="1:17" ht="30" customHeight="1" x14ac:dyDescent="0.2">
      <c r="A1164" s="7655"/>
      <c r="B1164" s="7717"/>
      <c r="C1164" s="7873"/>
      <c r="D1164" s="7482"/>
      <c r="E1164" s="7870"/>
      <c r="F1164" s="7482"/>
      <c r="G1164" s="7292"/>
      <c r="H1164" s="7292"/>
      <c r="I1164" s="7292" t="s">
        <v>2868</v>
      </c>
      <c r="J1164" s="7292">
        <f>G1164</f>
        <v>0</v>
      </c>
      <c r="K1164" s="6703">
        <f>F1163-J1164</f>
        <v>7000000.0000000009</v>
      </c>
      <c r="L1164" s="6733"/>
      <c r="M1164" s="386"/>
      <c r="N1164" s="386"/>
      <c r="O1164" s="386"/>
      <c r="P1164" s="386"/>
      <c r="Q1164" s="386"/>
    </row>
    <row r="1165" spans="1:17" ht="30" customHeight="1" x14ac:dyDescent="0.2">
      <c r="A1165" s="7300"/>
      <c r="B1165" s="7308" t="s">
        <v>2206</v>
      </c>
      <c r="C1165" s="7327" t="s">
        <v>1306</v>
      </c>
      <c r="D1165" s="7292">
        <v>150000000</v>
      </c>
      <c r="E1165" s="7324">
        <v>0.05</v>
      </c>
      <c r="F1165" s="7318">
        <f t="shared" si="94"/>
        <v>7500000</v>
      </c>
      <c r="G1165" s="7292">
        <v>21500000</v>
      </c>
      <c r="H1165" s="7292" t="s">
        <v>8398</v>
      </c>
      <c r="I1165" s="7292" t="s">
        <v>4539</v>
      </c>
      <c r="J1165" s="7292">
        <f t="shared" si="95"/>
        <v>21500000</v>
      </c>
      <c r="K1165" s="6703">
        <f>F1165-J1165</f>
        <v>-14000000</v>
      </c>
      <c r="L1165" s="6733"/>
      <c r="M1165" s="386"/>
      <c r="N1165" s="386"/>
      <c r="O1165" s="386"/>
      <c r="P1165" s="386"/>
      <c r="Q1165" s="386"/>
    </row>
    <row r="1166" spans="1:17" ht="30" customHeight="1" x14ac:dyDescent="0.2">
      <c r="A1166" s="6708"/>
      <c r="B1166" s="7328" t="s">
        <v>180</v>
      </c>
      <c r="C1166" s="6684" t="s">
        <v>2849</v>
      </c>
      <c r="D1166" s="6643">
        <v>126000000</v>
      </c>
      <c r="E1166" s="7303">
        <f>F1166/D1166</f>
        <v>0.05</v>
      </c>
      <c r="F1166" s="6643">
        <v>6300000</v>
      </c>
      <c r="G1166" s="7296">
        <v>5000000</v>
      </c>
      <c r="H1166" s="7296" t="s">
        <v>8186</v>
      </c>
      <c r="I1166" s="7296" t="s">
        <v>4880</v>
      </c>
      <c r="J1166" s="7296">
        <f t="shared" si="95"/>
        <v>5000000</v>
      </c>
      <c r="K1166" s="6703">
        <f t="shared" ref="K1166:K1171" si="97">F1166-J1166</f>
        <v>1300000</v>
      </c>
      <c r="L1166" s="6733"/>
      <c r="M1166" s="386"/>
      <c r="N1166" s="386"/>
      <c r="O1166" s="386"/>
      <c r="P1166" s="386"/>
      <c r="Q1166" s="386"/>
    </row>
    <row r="1167" spans="1:17" ht="30" customHeight="1" x14ac:dyDescent="0.2">
      <c r="A1167" s="7274"/>
      <c r="B1167" s="7258" t="s">
        <v>4695</v>
      </c>
      <c r="C1167" s="7273" t="s">
        <v>989</v>
      </c>
      <c r="D1167" s="7232">
        <v>50000000</v>
      </c>
      <c r="E1167" s="7272">
        <v>0.05</v>
      </c>
      <c r="F1167" s="7232">
        <f t="shared" ref="F1167:F1186" si="98">D1167*E1167</f>
        <v>2500000</v>
      </c>
      <c r="G1167" s="7232">
        <v>2500000</v>
      </c>
      <c r="H1167" s="7232" t="s">
        <v>8366</v>
      </c>
      <c r="I1167" s="7232" t="s">
        <v>4764</v>
      </c>
      <c r="J1167" s="7232">
        <f t="shared" si="95"/>
        <v>2500000</v>
      </c>
      <c r="K1167" s="6703">
        <f>F1167-J1167</f>
        <v>0</v>
      </c>
      <c r="L1167" s="2700"/>
      <c r="M1167" s="386"/>
      <c r="N1167" s="386"/>
      <c r="O1167" s="386"/>
      <c r="P1167" s="386"/>
      <c r="Q1167" s="386"/>
    </row>
    <row r="1168" spans="1:17" ht="30" customHeight="1" x14ac:dyDescent="0.2">
      <c r="A1168" s="6653"/>
      <c r="B1168" s="6665" t="s">
        <v>2873</v>
      </c>
      <c r="C1168" s="6710" t="s">
        <v>1172</v>
      </c>
      <c r="D1168" s="6635">
        <v>100000000</v>
      </c>
      <c r="E1168" s="6705">
        <v>0.05</v>
      </c>
      <c r="F1168" s="6635">
        <f t="shared" si="98"/>
        <v>5000000</v>
      </c>
      <c r="G1168" s="6635">
        <v>5000000</v>
      </c>
      <c r="H1168" s="6635" t="s">
        <v>7979</v>
      </c>
      <c r="I1168" s="6635" t="s">
        <v>7982</v>
      </c>
      <c r="J1168" s="6635">
        <f t="shared" si="95"/>
        <v>5000000</v>
      </c>
      <c r="K1168" s="6639">
        <f>F1168-J1168</f>
        <v>0</v>
      </c>
      <c r="L1168" s="6733"/>
      <c r="M1168" s="386"/>
      <c r="N1168" s="386"/>
      <c r="O1168" s="386"/>
      <c r="P1168" s="386"/>
      <c r="Q1168" s="386"/>
    </row>
    <row r="1169" spans="1:17" ht="30" customHeight="1" x14ac:dyDescent="0.2">
      <c r="A1169" s="6708"/>
      <c r="B1169" s="6652" t="s">
        <v>2878</v>
      </c>
      <c r="C1169" s="6684" t="s">
        <v>1718</v>
      </c>
      <c r="D1169" s="6643">
        <v>25000000</v>
      </c>
      <c r="E1169" s="6649">
        <v>0.04</v>
      </c>
      <c r="F1169" s="6643">
        <f t="shared" si="98"/>
        <v>1000000</v>
      </c>
      <c r="G1169" s="6643"/>
      <c r="H1169" s="6643"/>
      <c r="I1169" s="6693" t="s">
        <v>4062</v>
      </c>
      <c r="J1169" s="6643">
        <f t="shared" si="95"/>
        <v>0</v>
      </c>
      <c r="K1169" s="6703">
        <f t="shared" si="97"/>
        <v>1000000</v>
      </c>
      <c r="L1169" s="6733"/>
      <c r="M1169" s="386"/>
      <c r="N1169" s="386"/>
      <c r="O1169" s="386"/>
      <c r="P1169" s="386"/>
      <c r="Q1169" s="386"/>
    </row>
    <row r="1170" spans="1:17" ht="30" customHeight="1" x14ac:dyDescent="0.2">
      <c r="A1170" s="6653"/>
      <c r="B1170" s="19" t="s">
        <v>2938</v>
      </c>
      <c r="C1170" s="6710" t="s">
        <v>1138</v>
      </c>
      <c r="D1170" s="6635">
        <v>10000000</v>
      </c>
      <c r="E1170" s="6705">
        <v>0.05</v>
      </c>
      <c r="F1170" s="6635">
        <f t="shared" si="98"/>
        <v>500000</v>
      </c>
      <c r="G1170" s="6635"/>
      <c r="H1170" s="6635"/>
      <c r="I1170" s="6635" t="s">
        <v>2939</v>
      </c>
      <c r="J1170" s="6635">
        <f t="shared" si="95"/>
        <v>0</v>
      </c>
      <c r="K1170" s="6703">
        <f t="shared" si="97"/>
        <v>500000</v>
      </c>
      <c r="L1170" s="6733"/>
      <c r="M1170" s="386"/>
      <c r="N1170" s="386"/>
      <c r="O1170" s="386"/>
      <c r="P1170" s="386"/>
      <c r="Q1170" s="386"/>
    </row>
    <row r="1171" spans="1:17" ht="30" customHeight="1" x14ac:dyDescent="0.2">
      <c r="A1171" s="6708"/>
      <c r="B1171" s="6665" t="s">
        <v>5360</v>
      </c>
      <c r="C1171" s="6710" t="s">
        <v>2278</v>
      </c>
      <c r="D1171" s="6635">
        <v>50000000</v>
      </c>
      <c r="E1171" s="6705">
        <v>0.05</v>
      </c>
      <c r="F1171" s="6635">
        <f t="shared" si="98"/>
        <v>2500000</v>
      </c>
      <c r="G1171" s="6635"/>
      <c r="H1171" s="6635"/>
      <c r="I1171" s="6635" t="s">
        <v>7712</v>
      </c>
      <c r="J1171" s="6635">
        <f t="shared" si="95"/>
        <v>0</v>
      </c>
      <c r="K1171" s="6639">
        <f t="shared" si="97"/>
        <v>2500000</v>
      </c>
      <c r="L1171" s="6733"/>
      <c r="M1171" s="386"/>
      <c r="N1171" s="386"/>
      <c r="O1171" s="386"/>
      <c r="P1171" s="386"/>
      <c r="Q1171" s="386"/>
    </row>
    <row r="1172" spans="1:17" ht="30" customHeight="1" x14ac:dyDescent="0.2">
      <c r="A1172" s="7654"/>
      <c r="B1172" s="8291" t="s">
        <v>3037</v>
      </c>
      <c r="C1172" s="8341" t="s">
        <v>1306</v>
      </c>
      <c r="D1172" s="6643">
        <v>30000000</v>
      </c>
      <c r="E1172" s="6705">
        <v>0.05</v>
      </c>
      <c r="F1172" s="6643">
        <f t="shared" si="98"/>
        <v>1500000</v>
      </c>
      <c r="G1172" s="7846">
        <v>4750000</v>
      </c>
      <c r="H1172" s="7563" t="s">
        <v>3880</v>
      </c>
      <c r="I1172" s="7563" t="s">
        <v>7697</v>
      </c>
      <c r="J1172" s="7563">
        <f t="shared" si="95"/>
        <v>4750000</v>
      </c>
      <c r="K1172" s="7816">
        <f>(F1172+F1173+F1174+F1175)-J1172</f>
        <v>0</v>
      </c>
      <c r="L1172" s="7811" t="s">
        <v>8301</v>
      </c>
      <c r="M1172" s="386"/>
      <c r="N1172" s="386"/>
      <c r="O1172" s="386"/>
      <c r="P1172" s="386"/>
      <c r="Q1172" s="386"/>
    </row>
    <row r="1173" spans="1:17" ht="30" customHeight="1" x14ac:dyDescent="0.2">
      <c r="A1173" s="7656"/>
      <c r="B1173" s="8292"/>
      <c r="C1173" s="8342"/>
      <c r="D1173" s="6643">
        <v>15000000</v>
      </c>
      <c r="E1173" s="6705">
        <v>0.05</v>
      </c>
      <c r="F1173" s="6643">
        <f t="shared" si="98"/>
        <v>750000</v>
      </c>
      <c r="G1173" s="7847"/>
      <c r="H1173" s="7586"/>
      <c r="I1173" s="7586"/>
      <c r="J1173" s="7586"/>
      <c r="K1173" s="7882"/>
      <c r="L1173" s="7897"/>
      <c r="M1173" s="386"/>
      <c r="N1173" s="386"/>
      <c r="O1173" s="386"/>
      <c r="P1173" s="386"/>
      <c r="Q1173" s="386"/>
    </row>
    <row r="1174" spans="1:17" ht="30" customHeight="1" x14ac:dyDescent="0.2">
      <c r="A1174" s="7656"/>
      <c r="B1174" s="8292"/>
      <c r="C1174" s="8342"/>
      <c r="D1174" s="6643">
        <v>15000000</v>
      </c>
      <c r="E1174" s="6705">
        <v>0.05</v>
      </c>
      <c r="F1174" s="6643">
        <f t="shared" si="98"/>
        <v>750000</v>
      </c>
      <c r="G1174" s="7847"/>
      <c r="H1174" s="7586"/>
      <c r="I1174" s="7586"/>
      <c r="J1174" s="7586"/>
      <c r="K1174" s="7882"/>
      <c r="L1174" s="7897"/>
      <c r="M1174" s="386"/>
      <c r="N1174" s="386"/>
      <c r="O1174" s="386"/>
      <c r="P1174" s="386"/>
      <c r="Q1174" s="386"/>
    </row>
    <row r="1175" spans="1:17" ht="30" customHeight="1" x14ac:dyDescent="0.2">
      <c r="A1175" s="7656"/>
      <c r="B1175" s="8293"/>
      <c r="C1175" s="8343"/>
      <c r="D1175" s="7159">
        <v>35000000</v>
      </c>
      <c r="E1175" s="7167">
        <v>0.05</v>
      </c>
      <c r="F1175" s="7159">
        <f t="shared" si="98"/>
        <v>1750000</v>
      </c>
      <c r="G1175" s="7848"/>
      <c r="H1175" s="7564"/>
      <c r="I1175" s="7564"/>
      <c r="J1175" s="7564"/>
      <c r="K1175" s="7817"/>
      <c r="L1175" s="7812"/>
      <c r="M1175" s="386"/>
      <c r="N1175" s="386"/>
      <c r="O1175" s="386"/>
      <c r="P1175" s="386"/>
      <c r="Q1175" s="386"/>
    </row>
    <row r="1176" spans="1:17" ht="30" customHeight="1" x14ac:dyDescent="0.2">
      <c r="A1176" s="7654"/>
      <c r="B1176" s="8291" t="s">
        <v>6093</v>
      </c>
      <c r="C1176" s="8341" t="s">
        <v>942</v>
      </c>
      <c r="D1176" s="7563">
        <v>60000000</v>
      </c>
      <c r="E1176" s="7659">
        <v>0.05</v>
      </c>
      <c r="F1176" s="7563">
        <f>D1176*E1176</f>
        <v>3000000</v>
      </c>
      <c r="G1176" s="6635">
        <v>3000000</v>
      </c>
      <c r="H1176" s="6635" t="s">
        <v>7945</v>
      </c>
      <c r="I1176" s="6635" t="s">
        <v>6784</v>
      </c>
      <c r="J1176" s="6635">
        <f>G1176</f>
        <v>3000000</v>
      </c>
      <c r="K1176" s="6639">
        <f>F1176-J1176</f>
        <v>0</v>
      </c>
      <c r="L1176" s="6733"/>
      <c r="M1176" s="386"/>
      <c r="N1176" s="386"/>
      <c r="O1176" s="386"/>
      <c r="P1176" s="386"/>
      <c r="Q1176" s="386"/>
    </row>
    <row r="1177" spans="1:17" ht="30" customHeight="1" x14ac:dyDescent="0.2">
      <c r="A1177" s="7656"/>
      <c r="B1177" s="8292"/>
      <c r="C1177" s="8342"/>
      <c r="D1177" s="7564"/>
      <c r="E1177" s="7660"/>
      <c r="F1177" s="7564"/>
      <c r="G1177" s="6643"/>
      <c r="H1177" s="6643"/>
      <c r="I1177" s="6643" t="s">
        <v>6784</v>
      </c>
      <c r="J1177" s="6643">
        <f>G1177</f>
        <v>0</v>
      </c>
      <c r="K1177" s="6703">
        <f>F1176-J1177</f>
        <v>3000000</v>
      </c>
      <c r="L1177" s="6733"/>
      <c r="M1177" s="386"/>
      <c r="N1177" s="386"/>
      <c r="O1177" s="386"/>
      <c r="P1177" s="386"/>
      <c r="Q1177" s="386"/>
    </row>
    <row r="1178" spans="1:17" ht="30" customHeight="1" x14ac:dyDescent="0.2">
      <c r="A1178" s="7655"/>
      <c r="B1178" s="8293"/>
      <c r="C1178" s="8343"/>
      <c r="D1178" s="6945">
        <v>30000000</v>
      </c>
      <c r="E1178" s="6948">
        <v>7.0000000000000007E-2</v>
      </c>
      <c r="F1178" s="6945">
        <f>D1178*E1178</f>
        <v>2100000</v>
      </c>
      <c r="G1178" s="7470" t="s">
        <v>8100</v>
      </c>
      <c r="H1178" s="7493"/>
      <c r="I1178" s="7493"/>
      <c r="J1178" s="7510"/>
      <c r="K1178" s="6952"/>
      <c r="L1178" s="6956" t="s">
        <v>8099</v>
      </c>
      <c r="M1178" s="386"/>
      <c r="N1178" s="386"/>
      <c r="O1178" s="386"/>
      <c r="P1178" s="386"/>
      <c r="Q1178" s="386"/>
    </row>
    <row r="1179" spans="1:17" ht="30" customHeight="1" x14ac:dyDescent="0.2">
      <c r="A1179" s="7703"/>
      <c r="B1179" s="8291" t="s">
        <v>6302</v>
      </c>
      <c r="C1179" s="8341" t="s">
        <v>1172</v>
      </c>
      <c r="D1179" s="7563">
        <v>40000000</v>
      </c>
      <c r="E1179" s="7659">
        <v>0.05</v>
      </c>
      <c r="F1179" s="7563">
        <f>D1179*E1179</f>
        <v>2000000</v>
      </c>
      <c r="G1179" s="6643">
        <v>2000000</v>
      </c>
      <c r="H1179" s="6643" t="s">
        <v>8267</v>
      </c>
      <c r="I1179" s="6643" t="s">
        <v>1259</v>
      </c>
      <c r="J1179" s="6643">
        <f>G1179</f>
        <v>2000000</v>
      </c>
      <c r="K1179" s="6703">
        <f>F1179-J1179</f>
        <v>0</v>
      </c>
      <c r="L1179" s="2555" t="s">
        <v>7263</v>
      </c>
      <c r="M1179" s="386"/>
      <c r="N1179" s="386"/>
      <c r="O1179" s="386"/>
      <c r="P1179" s="386"/>
      <c r="Q1179" s="386"/>
    </row>
    <row r="1180" spans="1:17" ht="30" customHeight="1" x14ac:dyDescent="0.2">
      <c r="A1180" s="7705"/>
      <c r="B1180" s="8293"/>
      <c r="C1180" s="8343"/>
      <c r="D1180" s="7564"/>
      <c r="E1180" s="7660"/>
      <c r="F1180" s="7564"/>
      <c r="G1180" s="6643"/>
      <c r="H1180" s="6643"/>
      <c r="I1180" s="6643" t="s">
        <v>7444</v>
      </c>
      <c r="J1180" s="6643">
        <f>G1180</f>
        <v>0</v>
      </c>
      <c r="K1180" s="6706">
        <f>F1179-J1180</f>
        <v>2000000</v>
      </c>
      <c r="L1180" s="6563" t="s">
        <v>6571</v>
      </c>
      <c r="M1180" s="386"/>
      <c r="N1180" s="386"/>
      <c r="O1180" s="386"/>
      <c r="P1180" s="386"/>
      <c r="Q1180" s="386"/>
    </row>
    <row r="1181" spans="1:17" ht="30" customHeight="1" x14ac:dyDescent="0.2">
      <c r="A1181" s="7654"/>
      <c r="B1181" s="7652" t="s">
        <v>3040</v>
      </c>
      <c r="C1181" s="7723" t="s">
        <v>1172</v>
      </c>
      <c r="D1181" s="7563">
        <v>1050000000</v>
      </c>
      <c r="E1181" s="7659">
        <v>7.0000000000000007E-2</v>
      </c>
      <c r="F1181" s="7563">
        <f>D1181*E1181</f>
        <v>73500000</v>
      </c>
      <c r="G1181" s="7482" t="s">
        <v>7150</v>
      </c>
      <c r="H1181" s="7482"/>
      <c r="I1181" s="7482"/>
      <c r="J1181" s="7482"/>
      <c r="K1181" s="7816"/>
      <c r="L1181" s="6723" t="s">
        <v>6917</v>
      </c>
      <c r="M1181" s="386"/>
      <c r="N1181" s="386"/>
      <c r="O1181" s="386"/>
      <c r="P1181" s="386"/>
      <c r="Q1181" s="386"/>
    </row>
    <row r="1182" spans="1:17" ht="30" customHeight="1" x14ac:dyDescent="0.2">
      <c r="A1182" s="7656"/>
      <c r="B1182" s="7665"/>
      <c r="C1182" s="7747"/>
      <c r="D1182" s="7564"/>
      <c r="E1182" s="7660"/>
      <c r="F1182" s="7564"/>
      <c r="G1182" s="7482"/>
      <c r="H1182" s="7482"/>
      <c r="I1182" s="7482"/>
      <c r="J1182" s="7482"/>
      <c r="K1182" s="7882"/>
      <c r="L1182" s="6723" t="s">
        <v>6918</v>
      </c>
      <c r="M1182" s="386"/>
      <c r="N1182" s="386"/>
      <c r="O1182" s="386"/>
      <c r="P1182" s="386"/>
      <c r="Q1182" s="386"/>
    </row>
    <row r="1183" spans="1:17" ht="30" customHeight="1" x14ac:dyDescent="0.2">
      <c r="A1183" s="7656"/>
      <c r="B1183" s="7665"/>
      <c r="C1183" s="7747"/>
      <c r="D1183" s="6643">
        <v>65000000</v>
      </c>
      <c r="E1183" s="6705">
        <v>7.0000000000000007E-2</v>
      </c>
      <c r="F1183" s="6643">
        <f>D1183*E1183</f>
        <v>4550000</v>
      </c>
      <c r="G1183" s="6643"/>
      <c r="H1183" s="6643"/>
      <c r="I1183" s="6635"/>
      <c r="J1183" s="6635"/>
      <c r="K1183" s="848"/>
      <c r="L1183" s="6723"/>
      <c r="M1183" s="386"/>
      <c r="N1183" s="386"/>
      <c r="O1183" s="386"/>
      <c r="P1183" s="386"/>
      <c r="Q1183" s="386"/>
    </row>
    <row r="1184" spans="1:17" ht="30" customHeight="1" x14ac:dyDescent="0.2">
      <c r="A1184" s="7655"/>
      <c r="B1184" s="7653"/>
      <c r="C1184" s="7724"/>
      <c r="D1184" s="6752">
        <v>1000000000</v>
      </c>
      <c r="E1184" s="6789">
        <v>7.0000000000000007E-2</v>
      </c>
      <c r="F1184" s="6752">
        <f>D1184*E1184</f>
        <v>70000000</v>
      </c>
      <c r="G1184" s="6643"/>
      <c r="H1184" s="6643"/>
      <c r="I1184" s="6693"/>
      <c r="J1184" s="7"/>
      <c r="K1184" s="898"/>
      <c r="L1184" s="6723" t="s">
        <v>6919</v>
      </c>
      <c r="M1184" s="386"/>
      <c r="N1184" s="386"/>
      <c r="O1184" s="386"/>
      <c r="P1184" s="386"/>
      <c r="Q1184" s="386"/>
    </row>
    <row r="1185" spans="1:17" ht="30" customHeight="1" x14ac:dyDescent="0.2">
      <c r="A1185" s="6708"/>
      <c r="B1185" s="6665" t="s">
        <v>3071</v>
      </c>
      <c r="C1185" s="6684" t="s">
        <v>889</v>
      </c>
      <c r="D1185" s="6643">
        <v>100000000</v>
      </c>
      <c r="E1185" s="6705">
        <v>0.05</v>
      </c>
      <c r="F1185" s="6643">
        <f t="shared" si="98"/>
        <v>5000000</v>
      </c>
      <c r="G1185" s="6643">
        <v>5000000</v>
      </c>
      <c r="H1185" s="6643" t="s">
        <v>8186</v>
      </c>
      <c r="I1185" s="6693" t="s">
        <v>3966</v>
      </c>
      <c r="J1185" s="6643">
        <f>G1185</f>
        <v>5000000</v>
      </c>
      <c r="K1185" s="6703">
        <f>F1185-J1185</f>
        <v>0</v>
      </c>
      <c r="L1185" s="6733"/>
      <c r="M1185" s="6733"/>
      <c r="N1185" s="6733"/>
      <c r="O1185" s="6733"/>
      <c r="P1185" s="6733"/>
      <c r="Q1185" s="386"/>
    </row>
    <row r="1186" spans="1:17" ht="30" customHeight="1" x14ac:dyDescent="0.2">
      <c r="A1186" s="7654"/>
      <c r="B1186" s="7652" t="s">
        <v>3764</v>
      </c>
      <c r="C1186" s="7723" t="s">
        <v>1107</v>
      </c>
      <c r="D1186" s="7292">
        <v>30000000</v>
      </c>
      <c r="E1186" s="7324">
        <v>7.0000000000000007E-2</v>
      </c>
      <c r="F1186" s="7292">
        <f t="shared" si="98"/>
        <v>2100000</v>
      </c>
      <c r="G1186" s="6635">
        <v>3500000</v>
      </c>
      <c r="H1186" s="6635" t="s">
        <v>8398</v>
      </c>
      <c r="I1186" s="6635" t="s">
        <v>4141</v>
      </c>
      <c r="J1186" s="6635">
        <f>G1186</f>
        <v>3500000</v>
      </c>
      <c r="K1186" s="6639">
        <f>F1186-J1186</f>
        <v>-1400000</v>
      </c>
      <c r="L1186" s="6723"/>
      <c r="M1186" s="386"/>
      <c r="N1186" s="386"/>
      <c r="O1186" s="386"/>
      <c r="P1186" s="386"/>
      <c r="Q1186" s="386"/>
    </row>
    <row r="1187" spans="1:17" ht="30" customHeight="1" x14ac:dyDescent="0.2">
      <c r="A1187" s="7655"/>
      <c r="B1187" s="7653"/>
      <c r="C1187" s="7724"/>
      <c r="D1187" s="7292">
        <v>20000000</v>
      </c>
      <c r="E1187" s="7324"/>
      <c r="F1187" s="7292"/>
      <c r="G1187" s="7732" t="s">
        <v>8415</v>
      </c>
      <c r="H1187" s="7733"/>
      <c r="I1187" s="7733"/>
      <c r="J1187" s="7734"/>
      <c r="K1187" s="6639">
        <f>F1186-J1187</f>
        <v>2100000</v>
      </c>
      <c r="L1187" s="6723"/>
      <c r="M1187" s="386"/>
      <c r="N1187" s="386"/>
      <c r="O1187" s="386"/>
      <c r="P1187" s="386"/>
      <c r="Q1187" s="386"/>
    </row>
    <row r="1188" spans="1:17" ht="30" customHeight="1" x14ac:dyDescent="0.2">
      <c r="A1188" s="7654"/>
      <c r="B1188" s="7652" t="s">
        <v>3954</v>
      </c>
      <c r="C1188" s="7723" t="s">
        <v>989</v>
      </c>
      <c r="D1188" s="6635">
        <v>300000000</v>
      </c>
      <c r="E1188" s="6705">
        <v>0.05</v>
      </c>
      <c r="F1188" s="6635">
        <f>D1188*E1188</f>
        <v>15000000</v>
      </c>
      <c r="G1188" s="7482">
        <v>18000000</v>
      </c>
      <c r="H1188" s="7482" t="s">
        <v>7945</v>
      </c>
      <c r="I1188" s="7482" t="s">
        <v>7789</v>
      </c>
      <c r="J1188" s="7482">
        <f>G1188</f>
        <v>18000000</v>
      </c>
      <c r="K1188" s="7499">
        <f>(F1188+F1189)-J1188</f>
        <v>0</v>
      </c>
      <c r="L1188" s="7811"/>
      <c r="M1188" s="386"/>
      <c r="N1188" s="386"/>
      <c r="O1188" s="386"/>
      <c r="P1188" s="386"/>
      <c r="Q1188" s="386"/>
    </row>
    <row r="1189" spans="1:17" ht="30" customHeight="1" x14ac:dyDescent="0.2">
      <c r="A1189" s="7656"/>
      <c r="B1189" s="7665"/>
      <c r="C1189" s="7747"/>
      <c r="D1189" s="6643">
        <v>60000000</v>
      </c>
      <c r="E1189" s="6649">
        <v>0.05</v>
      </c>
      <c r="F1189" s="6643">
        <f>D1189*E1189</f>
        <v>3000000</v>
      </c>
      <c r="G1189" s="7482"/>
      <c r="H1189" s="7482"/>
      <c r="I1189" s="7482"/>
      <c r="J1189" s="7482"/>
      <c r="K1189" s="7499"/>
      <c r="L1189" s="7812"/>
      <c r="M1189" s="386"/>
      <c r="N1189" s="386"/>
      <c r="O1189" s="386"/>
      <c r="P1189" s="386"/>
      <c r="Q1189" s="386"/>
    </row>
    <row r="1190" spans="1:17" ht="30" customHeight="1" x14ac:dyDescent="0.2">
      <c r="A1190" s="7656"/>
      <c r="B1190" s="7665"/>
      <c r="C1190" s="7747"/>
      <c r="D1190" s="6635">
        <v>300000000</v>
      </c>
      <c r="E1190" s="6705">
        <v>0.05</v>
      </c>
      <c r="F1190" s="6635">
        <f>D1190*E1190</f>
        <v>15000000</v>
      </c>
      <c r="G1190" s="7482">
        <v>18000000</v>
      </c>
      <c r="H1190" s="7563" t="s">
        <v>8424</v>
      </c>
      <c r="I1190" s="6635" t="s">
        <v>7789</v>
      </c>
      <c r="J1190" s="7563">
        <f>G1190</f>
        <v>18000000</v>
      </c>
      <c r="K1190" s="7816">
        <f>(F1190+F1191)-J1190</f>
        <v>0</v>
      </c>
      <c r="L1190" s="7811"/>
      <c r="M1190" s="386"/>
      <c r="N1190" s="386"/>
      <c r="O1190" s="386"/>
      <c r="P1190" s="386"/>
      <c r="Q1190" s="386"/>
    </row>
    <row r="1191" spans="1:17" ht="30" customHeight="1" x14ac:dyDescent="0.2">
      <c r="A1191" s="7655"/>
      <c r="B1191" s="7653"/>
      <c r="C1191" s="7724"/>
      <c r="D1191" s="6643">
        <v>60000000</v>
      </c>
      <c r="E1191" s="6649">
        <v>0.05</v>
      </c>
      <c r="F1191" s="6643">
        <f>D1191*E1191</f>
        <v>3000000</v>
      </c>
      <c r="G1191" s="7482"/>
      <c r="H1191" s="7564"/>
      <c r="I1191" s="6635" t="s">
        <v>7789</v>
      </c>
      <c r="J1191" s="7564"/>
      <c r="K1191" s="7817"/>
      <c r="L1191" s="7812"/>
      <c r="M1191" s="386"/>
      <c r="N1191" s="386"/>
      <c r="O1191" s="386"/>
      <c r="P1191" s="386"/>
      <c r="Q1191" s="386"/>
    </row>
    <row r="1192" spans="1:17" ht="30" customHeight="1" x14ac:dyDescent="0.2">
      <c r="A1192" s="7654"/>
      <c r="B1192" s="7652" t="s">
        <v>3159</v>
      </c>
      <c r="C1192" s="7723" t="s">
        <v>989</v>
      </c>
      <c r="D1192" s="7563">
        <v>50000000</v>
      </c>
      <c r="E1192" s="7659">
        <v>0.05</v>
      </c>
      <c r="F1192" s="7563">
        <f>D1192*E1192</f>
        <v>2500000</v>
      </c>
      <c r="G1192" s="6635"/>
      <c r="H1192" s="6635"/>
      <c r="I1192" s="6635" t="s">
        <v>5854</v>
      </c>
      <c r="J1192" s="6635">
        <f>G1192</f>
        <v>0</v>
      </c>
      <c r="K1192" s="6703">
        <f>F1192-J1192</f>
        <v>2500000</v>
      </c>
      <c r="L1192" s="6724"/>
      <c r="M1192" s="386"/>
      <c r="N1192" s="386"/>
      <c r="O1192" s="386"/>
      <c r="P1192" s="386"/>
      <c r="Q1192" s="386"/>
    </row>
    <row r="1193" spans="1:17" ht="30" customHeight="1" x14ac:dyDescent="0.2">
      <c r="A1193" s="7655"/>
      <c r="B1193" s="7653"/>
      <c r="C1193" s="7724"/>
      <c r="D1193" s="7564"/>
      <c r="E1193" s="7660"/>
      <c r="F1193" s="7564"/>
      <c r="G1193" s="6635"/>
      <c r="H1193" s="6635"/>
      <c r="I1193" s="6635" t="s">
        <v>7803</v>
      </c>
      <c r="J1193" s="6635">
        <f>G1193</f>
        <v>0</v>
      </c>
      <c r="K1193" s="6703">
        <f>F1192-J1193</f>
        <v>2500000</v>
      </c>
      <c r="L1193" s="6724"/>
      <c r="M1193" s="386"/>
      <c r="N1193" s="386"/>
      <c r="O1193" s="386"/>
      <c r="P1193" s="386"/>
      <c r="Q1193" s="386"/>
    </row>
    <row r="1194" spans="1:17" ht="30" customHeight="1" x14ac:dyDescent="0.2">
      <c r="A1194" s="6708"/>
      <c r="B1194" s="6680" t="s">
        <v>3164</v>
      </c>
      <c r="C1194" s="6710" t="s">
        <v>3323</v>
      </c>
      <c r="D1194" s="6635">
        <v>416000000</v>
      </c>
      <c r="E1194" s="6705">
        <v>0.04</v>
      </c>
      <c r="F1194" s="6635">
        <f>D1194*E1194</f>
        <v>16640000</v>
      </c>
      <c r="G1194" s="6635"/>
      <c r="H1194" s="6635"/>
      <c r="I1194" s="6635" t="s">
        <v>4844</v>
      </c>
      <c r="J1194" s="6635">
        <f>G1194</f>
        <v>0</v>
      </c>
      <c r="K1194" s="6703">
        <f>F1194-J1194</f>
        <v>16640000</v>
      </c>
      <c r="L1194" s="6733"/>
      <c r="M1194" s="386"/>
      <c r="N1194" s="386"/>
      <c r="O1194" s="386"/>
      <c r="P1194" s="386"/>
      <c r="Q1194" s="386"/>
    </row>
    <row r="1195" spans="1:17" ht="30" customHeight="1" x14ac:dyDescent="0.2">
      <c r="A1195" s="6653"/>
      <c r="B1195" s="6656" t="s">
        <v>200</v>
      </c>
      <c r="C1195" s="6683"/>
      <c r="D1195" s="6635">
        <v>200000000</v>
      </c>
      <c r="E1195" s="6705">
        <v>7.0000000000000007E-2</v>
      </c>
      <c r="F1195" s="6635">
        <f>D1195*E1195</f>
        <v>14000000.000000002</v>
      </c>
      <c r="G1195" s="6635"/>
      <c r="H1195" s="6635"/>
      <c r="I1195" s="6635"/>
      <c r="J1195" s="6635"/>
      <c r="K1195" s="6706"/>
      <c r="L1195" s="6733" t="s">
        <v>7883</v>
      </c>
      <c r="M1195" s="386"/>
      <c r="N1195" s="386"/>
      <c r="O1195" s="386"/>
      <c r="P1195" s="386"/>
      <c r="Q1195" s="386"/>
    </row>
    <row r="1196" spans="1:17" ht="30" customHeight="1" x14ac:dyDescent="0.2">
      <c r="A1196" s="7654"/>
      <c r="B1196" s="7661" t="s">
        <v>825</v>
      </c>
      <c r="C1196" s="7703"/>
      <c r="D1196" s="7873" t="s">
        <v>7506</v>
      </c>
      <c r="E1196" s="7873"/>
      <c r="F1196" s="7873"/>
      <c r="G1196" s="7991" t="s">
        <v>7504</v>
      </c>
      <c r="H1196" s="7992"/>
      <c r="I1196" s="7992"/>
      <c r="J1196" s="7993"/>
      <c r="K1196" s="7816"/>
      <c r="L1196" s="6733"/>
      <c r="M1196" s="386"/>
      <c r="N1196" s="386"/>
      <c r="O1196" s="386"/>
      <c r="P1196" s="386"/>
      <c r="Q1196" s="386"/>
    </row>
    <row r="1197" spans="1:17" ht="30" customHeight="1" x14ac:dyDescent="0.2">
      <c r="A1197" s="7656"/>
      <c r="B1197" s="7662"/>
      <c r="C1197" s="7704"/>
      <c r="D1197" s="7873"/>
      <c r="E1197" s="7873"/>
      <c r="F1197" s="7873"/>
      <c r="G1197" s="7997"/>
      <c r="H1197" s="7998"/>
      <c r="I1197" s="7998"/>
      <c r="J1197" s="7999"/>
      <c r="K1197" s="7817"/>
      <c r="L1197" s="6733"/>
      <c r="M1197" s="386"/>
      <c r="N1197" s="386"/>
      <c r="O1197" s="386"/>
      <c r="P1197" s="386"/>
      <c r="Q1197" s="386"/>
    </row>
    <row r="1198" spans="1:17" ht="30" customHeight="1" x14ac:dyDescent="0.2">
      <c r="A1198" s="7656"/>
      <c r="B1198" s="7662"/>
      <c r="C1198" s="7704"/>
      <c r="D1198" s="7873"/>
      <c r="E1198" s="7873"/>
      <c r="F1198" s="7873"/>
      <c r="G1198" s="7991" t="s">
        <v>7505</v>
      </c>
      <c r="H1198" s="7992"/>
      <c r="I1198" s="7992"/>
      <c r="J1198" s="7993"/>
      <c r="K1198" s="6703"/>
      <c r="L1198" s="6733"/>
      <c r="M1198" s="386"/>
      <c r="N1198" s="386"/>
      <c r="O1198" s="386"/>
      <c r="P1198" s="386"/>
      <c r="Q1198" s="386"/>
    </row>
    <row r="1199" spans="1:17" ht="30" customHeight="1" x14ac:dyDescent="0.2">
      <c r="A1199" s="7656"/>
      <c r="B1199" s="7662"/>
      <c r="C1199" s="7704"/>
      <c r="D1199" s="7873"/>
      <c r="E1199" s="7873"/>
      <c r="F1199" s="7873"/>
      <c r="G1199" s="7997"/>
      <c r="H1199" s="7998"/>
      <c r="I1199" s="7998"/>
      <c r="J1199" s="7999"/>
      <c r="K1199" s="6703"/>
      <c r="L1199" s="6733"/>
      <c r="M1199" s="386"/>
      <c r="N1199" s="386"/>
      <c r="O1199" s="386"/>
      <c r="P1199" s="386"/>
      <c r="Q1199" s="386"/>
    </row>
    <row r="1200" spans="1:17" ht="30" customHeight="1" x14ac:dyDescent="0.2">
      <c r="A1200" s="7656"/>
      <c r="B1200" s="7662"/>
      <c r="C1200" s="7704"/>
      <c r="D1200" s="7873"/>
      <c r="E1200" s="7873"/>
      <c r="F1200" s="7873"/>
      <c r="G1200" s="7732" t="s">
        <v>7507</v>
      </c>
      <c r="H1200" s="7733"/>
      <c r="I1200" s="7733"/>
      <c r="J1200" s="7734"/>
      <c r="K1200" s="6703"/>
      <c r="L1200" s="6733" t="s">
        <v>7508</v>
      </c>
      <c r="M1200" s="386"/>
      <c r="N1200" s="386"/>
      <c r="O1200" s="386"/>
      <c r="P1200" s="386"/>
      <c r="Q1200" s="386"/>
    </row>
    <row r="1201" spans="1:17" ht="30" customHeight="1" x14ac:dyDescent="0.2">
      <c r="A1201" s="7656"/>
      <c r="B1201" s="7662"/>
      <c r="C1201" s="7704"/>
      <c r="D1201" s="7873"/>
      <c r="E1201" s="7873"/>
      <c r="F1201" s="7873"/>
      <c r="G1201" s="7732" t="s">
        <v>7509</v>
      </c>
      <c r="H1201" s="7733"/>
      <c r="I1201" s="7733"/>
      <c r="J1201" s="7734"/>
      <c r="K1201" s="6703"/>
      <c r="L1201" s="6733"/>
      <c r="M1201" s="386"/>
      <c r="N1201" s="386"/>
      <c r="O1201" s="386"/>
      <c r="P1201" s="386"/>
      <c r="Q1201" s="386"/>
    </row>
    <row r="1202" spans="1:17" ht="30" customHeight="1" x14ac:dyDescent="0.2">
      <c r="A1202" s="7656"/>
      <c r="B1202" s="7662"/>
      <c r="C1202" s="7704"/>
      <c r="D1202" s="7962" t="s">
        <v>7916</v>
      </c>
      <c r="E1202" s="7963"/>
      <c r="F1202" s="7964"/>
      <c r="G1202" s="7020">
        <v>15000000</v>
      </c>
      <c r="H1202" s="7020" t="s">
        <v>8186</v>
      </c>
      <c r="I1202" s="7020" t="s">
        <v>855</v>
      </c>
      <c r="J1202" s="7020">
        <f>G1202</f>
        <v>15000000</v>
      </c>
      <c r="K1202" s="7036"/>
      <c r="L1202" s="7047"/>
      <c r="M1202" s="386"/>
      <c r="N1202" s="386"/>
      <c r="O1202" s="386"/>
      <c r="P1202" s="386"/>
      <c r="Q1202" s="386"/>
    </row>
    <row r="1203" spans="1:17" ht="30" customHeight="1" x14ac:dyDescent="0.2">
      <c r="A1203" s="7656"/>
      <c r="B1203" s="7662"/>
      <c r="C1203" s="7704"/>
      <c r="D1203" s="7965"/>
      <c r="E1203" s="7966"/>
      <c r="F1203" s="7967"/>
      <c r="G1203" s="7296">
        <v>15000000</v>
      </c>
      <c r="H1203" s="7296" t="s">
        <v>8247</v>
      </c>
      <c r="I1203" s="7296" t="s">
        <v>855</v>
      </c>
      <c r="J1203" s="7296">
        <f>G1203</f>
        <v>15000000</v>
      </c>
      <c r="K1203" s="7323"/>
      <c r="L1203" s="7336"/>
      <c r="M1203" s="386"/>
      <c r="N1203" s="386"/>
      <c r="O1203" s="386"/>
      <c r="P1203" s="386"/>
      <c r="Q1203" s="386"/>
    </row>
    <row r="1204" spans="1:17" ht="30" customHeight="1" x14ac:dyDescent="0.2">
      <c r="A1204" s="7656"/>
      <c r="B1204" s="7662"/>
      <c r="C1204" s="7704"/>
      <c r="D1204" s="7965"/>
      <c r="E1204" s="7966"/>
      <c r="F1204" s="7967"/>
      <c r="G1204" s="7296">
        <v>15000000</v>
      </c>
      <c r="H1204" s="7296" t="s">
        <v>8245</v>
      </c>
      <c r="I1204" s="7296" t="s">
        <v>855</v>
      </c>
      <c r="J1204" s="7296">
        <f>G1204</f>
        <v>15000000</v>
      </c>
      <c r="K1204" s="7323"/>
      <c r="L1204" s="7336"/>
      <c r="M1204" s="386"/>
      <c r="N1204" s="386"/>
      <c r="O1204" s="386"/>
      <c r="P1204" s="386"/>
      <c r="Q1204" s="386"/>
    </row>
    <row r="1205" spans="1:17" ht="30" customHeight="1" x14ac:dyDescent="0.2">
      <c r="A1205" s="7655"/>
      <c r="B1205" s="7663"/>
      <c r="C1205" s="7705"/>
      <c r="D1205" s="7968"/>
      <c r="E1205" s="7969"/>
      <c r="F1205" s="7970"/>
      <c r="G1205" s="7089">
        <v>15000000</v>
      </c>
      <c r="H1205" s="7089" t="s">
        <v>8398</v>
      </c>
      <c r="I1205" s="7089" t="s">
        <v>855</v>
      </c>
      <c r="J1205" s="7089">
        <f>G1205</f>
        <v>15000000</v>
      </c>
      <c r="K1205" s="7092"/>
      <c r="L1205" s="7094"/>
      <c r="M1205" s="386"/>
      <c r="N1205" s="386"/>
      <c r="O1205" s="386"/>
      <c r="P1205" s="386"/>
      <c r="Q1205" s="386"/>
    </row>
    <row r="1206" spans="1:17" ht="30" customHeight="1" x14ac:dyDescent="0.2">
      <c r="A1206" s="7654"/>
      <c r="B1206" s="7661" t="s">
        <v>3215</v>
      </c>
      <c r="C1206" s="7723" t="s">
        <v>3216</v>
      </c>
      <c r="D1206" s="7563">
        <v>120000000</v>
      </c>
      <c r="E1206" s="7659">
        <v>0.04</v>
      </c>
      <c r="F1206" s="7563">
        <f>D1206*E1206</f>
        <v>4800000</v>
      </c>
      <c r="G1206" s="6643"/>
      <c r="H1206" s="6643"/>
      <c r="I1206" s="6643" t="s">
        <v>1946</v>
      </c>
      <c r="J1206" s="6643">
        <f t="shared" ref="J1206:J1229" si="99">G1206</f>
        <v>0</v>
      </c>
      <c r="K1206" s="6703">
        <f t="shared" ref="K1206:K1218" si="100">F1206-J1206</f>
        <v>4800000</v>
      </c>
      <c r="L1206" s="6733"/>
      <c r="M1206" s="386"/>
      <c r="N1206" s="386"/>
      <c r="O1206" s="386"/>
      <c r="P1206" s="386"/>
      <c r="Q1206" s="386"/>
    </row>
    <row r="1207" spans="1:17" ht="30" customHeight="1" x14ac:dyDescent="0.2">
      <c r="A1207" s="7655"/>
      <c r="B1207" s="7663"/>
      <c r="C1207" s="7724"/>
      <c r="D1207" s="7564"/>
      <c r="E1207" s="7660"/>
      <c r="F1207" s="7564"/>
      <c r="G1207" s="6643"/>
      <c r="H1207" s="6643"/>
      <c r="I1207" s="6643" t="s">
        <v>1946</v>
      </c>
      <c r="J1207" s="6643">
        <f>G1207</f>
        <v>0</v>
      </c>
      <c r="K1207" s="6703">
        <f>F1206-J1207</f>
        <v>4800000</v>
      </c>
      <c r="L1207" s="6733"/>
      <c r="M1207" s="386"/>
      <c r="N1207" s="386"/>
      <c r="O1207" s="386"/>
      <c r="P1207" s="386"/>
      <c r="Q1207" s="386"/>
    </row>
    <row r="1208" spans="1:17" ht="30" customHeight="1" x14ac:dyDescent="0.2">
      <c r="A1208" s="7654"/>
      <c r="B1208" s="8132" t="s">
        <v>3218</v>
      </c>
      <c r="C1208" s="8134" t="s">
        <v>3219</v>
      </c>
      <c r="D1208" s="8145">
        <v>100000000</v>
      </c>
      <c r="E1208" s="8590">
        <v>0.05</v>
      </c>
      <c r="F1208" s="8145">
        <f>D1208*E1208</f>
        <v>5000000</v>
      </c>
      <c r="G1208" s="2548">
        <v>5000000</v>
      </c>
      <c r="H1208" s="2548" t="s">
        <v>7945</v>
      </c>
      <c r="I1208" s="2548" t="s">
        <v>7432</v>
      </c>
      <c r="J1208" s="2548">
        <f t="shared" si="99"/>
        <v>5000000</v>
      </c>
      <c r="K1208" s="7346">
        <f t="shared" si="100"/>
        <v>0</v>
      </c>
      <c r="L1208" s="6733"/>
      <c r="M1208" s="386"/>
      <c r="N1208" s="386"/>
      <c r="O1208" s="386"/>
      <c r="P1208" s="386"/>
      <c r="Q1208" s="386"/>
    </row>
    <row r="1209" spans="1:17" ht="30" customHeight="1" x14ac:dyDescent="0.2">
      <c r="A1209" s="7655"/>
      <c r="B1209" s="8133"/>
      <c r="C1209" s="8135"/>
      <c r="D1209" s="8147"/>
      <c r="E1209" s="8591"/>
      <c r="F1209" s="8147"/>
      <c r="G1209" s="8648" t="s">
        <v>8386</v>
      </c>
      <c r="H1209" s="8649"/>
      <c r="I1209" s="8649"/>
      <c r="J1209" s="8650"/>
      <c r="K1209" s="7346">
        <f>F1208-J1209</f>
        <v>5000000</v>
      </c>
      <c r="L1209" s="6733"/>
      <c r="M1209" s="386"/>
      <c r="N1209" s="386"/>
      <c r="O1209" s="386"/>
      <c r="P1209" s="386"/>
      <c r="Q1209" s="386"/>
    </row>
    <row r="1210" spans="1:17" ht="30" customHeight="1" x14ac:dyDescent="0.2">
      <c r="A1210" s="7300"/>
      <c r="B1210" s="7311" t="s">
        <v>3221</v>
      </c>
      <c r="C1210" s="7316" t="s">
        <v>1796</v>
      </c>
      <c r="D1210" s="7295">
        <v>50000000</v>
      </c>
      <c r="E1210" s="7302">
        <v>0.05</v>
      </c>
      <c r="F1210" s="7295">
        <f>D1210*E1210</f>
        <v>2500000</v>
      </c>
      <c r="G1210" s="7295">
        <v>2500000</v>
      </c>
      <c r="H1210" s="7295" t="s">
        <v>8424</v>
      </c>
      <c r="I1210" s="7295" t="s">
        <v>7735</v>
      </c>
      <c r="J1210" s="7295">
        <f t="shared" si="99"/>
        <v>2500000</v>
      </c>
      <c r="K1210" s="7325">
        <f t="shared" si="100"/>
        <v>0</v>
      </c>
      <c r="L1210" s="7332"/>
      <c r="M1210" s="386"/>
      <c r="N1210" s="386"/>
      <c r="O1210" s="386"/>
      <c r="P1210" s="386"/>
      <c r="Q1210" s="386"/>
    </row>
    <row r="1211" spans="1:17" s="1539" customFormat="1" ht="30" customHeight="1" x14ac:dyDescent="0.2">
      <c r="A1211" s="7326"/>
      <c r="B1211" s="7348" t="s">
        <v>3224</v>
      </c>
      <c r="C1211" s="5773"/>
      <c r="D1211" s="5773"/>
      <c r="E1211" s="2519"/>
      <c r="F1211" s="7297"/>
      <c r="G1211" s="7297"/>
      <c r="H1211" s="7297"/>
      <c r="I1211" s="7297" t="s">
        <v>3226</v>
      </c>
      <c r="J1211" s="7297">
        <f t="shared" si="99"/>
        <v>0</v>
      </c>
      <c r="K1211" s="1030">
        <f t="shared" si="100"/>
        <v>0</v>
      </c>
      <c r="L1211" s="2177" t="s">
        <v>4831</v>
      </c>
      <c r="M1211" s="387"/>
      <c r="N1211" s="387"/>
      <c r="O1211" s="387"/>
      <c r="P1211" s="387"/>
      <c r="Q1211" s="387"/>
    </row>
    <row r="1212" spans="1:17" ht="30" customHeight="1" x14ac:dyDescent="0.2">
      <c r="A1212" s="399"/>
      <c r="B1212" s="6657" t="s">
        <v>3257</v>
      </c>
      <c r="C1212" s="6684" t="s">
        <v>402</v>
      </c>
      <c r="D1212" s="6643">
        <v>40000000</v>
      </c>
      <c r="E1212" s="7303">
        <v>0.05</v>
      </c>
      <c r="F1212" s="6643">
        <f>D1212*E1212</f>
        <v>2000000</v>
      </c>
      <c r="G1212" s="7296">
        <v>2000000</v>
      </c>
      <c r="H1212" s="7296" t="s">
        <v>7979</v>
      </c>
      <c r="I1212" s="7296" t="s">
        <v>5536</v>
      </c>
      <c r="J1212" s="7296">
        <f t="shared" si="99"/>
        <v>2000000</v>
      </c>
      <c r="K1212" s="7392">
        <f t="shared" si="100"/>
        <v>0</v>
      </c>
      <c r="L1212" s="7333"/>
      <c r="M1212" s="386"/>
      <c r="N1212" s="386"/>
      <c r="O1212" s="386"/>
      <c r="P1212" s="386"/>
      <c r="Q1212" s="386"/>
    </row>
    <row r="1213" spans="1:17" ht="30" customHeight="1" x14ac:dyDescent="0.2">
      <c r="A1213" s="7654"/>
      <c r="B1213" s="7661" t="s">
        <v>3293</v>
      </c>
      <c r="C1213" s="7723" t="s">
        <v>1796</v>
      </c>
      <c r="D1213" s="7563">
        <v>15000000</v>
      </c>
      <c r="E1213" s="7659">
        <v>0.05</v>
      </c>
      <c r="F1213" s="7563">
        <f>D1213*E1213</f>
        <v>750000</v>
      </c>
      <c r="G1213" s="6635">
        <v>750000</v>
      </c>
      <c r="H1213" s="6635" t="s">
        <v>7945</v>
      </c>
      <c r="I1213" s="6635" t="s">
        <v>5416</v>
      </c>
      <c r="J1213" s="6635">
        <f t="shared" si="99"/>
        <v>750000</v>
      </c>
      <c r="K1213" s="6703">
        <f t="shared" si="100"/>
        <v>0</v>
      </c>
      <c r="L1213" s="6733" t="s">
        <v>6123</v>
      </c>
      <c r="M1213" s="386"/>
      <c r="N1213" s="386"/>
      <c r="O1213" s="386"/>
      <c r="P1213" s="386"/>
      <c r="Q1213" s="386"/>
    </row>
    <row r="1214" spans="1:17" ht="30" customHeight="1" x14ac:dyDescent="0.2">
      <c r="A1214" s="7655"/>
      <c r="B1214" s="7663"/>
      <c r="C1214" s="7724"/>
      <c r="D1214" s="7564"/>
      <c r="E1214" s="7660"/>
      <c r="F1214" s="7564"/>
      <c r="G1214" s="6635">
        <v>750000</v>
      </c>
      <c r="H1214" s="6635" t="s">
        <v>8424</v>
      </c>
      <c r="I1214" s="6635" t="s">
        <v>5416</v>
      </c>
      <c r="J1214" s="6635">
        <f t="shared" si="99"/>
        <v>750000</v>
      </c>
      <c r="K1214" s="6703">
        <f>F1213-J1214</f>
        <v>0</v>
      </c>
      <c r="L1214" s="6733" t="s">
        <v>1313</v>
      </c>
      <c r="M1214" s="386"/>
      <c r="N1214" s="386"/>
      <c r="O1214" s="386"/>
      <c r="P1214" s="386"/>
      <c r="Q1214" s="386"/>
    </row>
    <row r="1215" spans="1:17" ht="30" customHeight="1" x14ac:dyDescent="0.2">
      <c r="A1215" s="7654"/>
      <c r="B1215" s="7661" t="s">
        <v>3296</v>
      </c>
      <c r="C1215" s="7723" t="s">
        <v>942</v>
      </c>
      <c r="D1215" s="7563">
        <v>150000000</v>
      </c>
      <c r="E1215" s="7659">
        <v>0.05</v>
      </c>
      <c r="F1215" s="7563">
        <f>D1215*E1215</f>
        <v>7500000</v>
      </c>
      <c r="G1215" s="6635">
        <v>7000000</v>
      </c>
      <c r="H1215" s="6635" t="s">
        <v>4919</v>
      </c>
      <c r="I1215" s="6635" t="s">
        <v>7985</v>
      </c>
      <c r="J1215" s="7563">
        <f>G1215+G1216</f>
        <v>7500000</v>
      </c>
      <c r="K1215" s="7816">
        <f t="shared" si="100"/>
        <v>0</v>
      </c>
      <c r="L1215" s="6733"/>
      <c r="M1215" s="386"/>
      <c r="N1215" s="386"/>
      <c r="O1215" s="386"/>
      <c r="P1215" s="386"/>
      <c r="Q1215" s="386"/>
    </row>
    <row r="1216" spans="1:17" ht="30" customHeight="1" x14ac:dyDescent="0.2">
      <c r="A1216" s="7655"/>
      <c r="B1216" s="7663"/>
      <c r="C1216" s="7724"/>
      <c r="D1216" s="7564"/>
      <c r="E1216" s="7660"/>
      <c r="F1216" s="7564"/>
      <c r="G1216" s="7111">
        <v>500000</v>
      </c>
      <c r="H1216" s="7111" t="s">
        <v>8247</v>
      </c>
      <c r="I1216" s="7111" t="s">
        <v>8265</v>
      </c>
      <c r="J1216" s="7564"/>
      <c r="K1216" s="7817"/>
      <c r="L1216" s="7148"/>
      <c r="M1216" s="386"/>
      <c r="N1216" s="386"/>
      <c r="O1216" s="386"/>
      <c r="P1216" s="386"/>
      <c r="Q1216" s="386"/>
    </row>
    <row r="1217" spans="1:17" ht="30" customHeight="1" x14ac:dyDescent="0.2">
      <c r="A1217" s="6708"/>
      <c r="B1217" s="6680" t="s">
        <v>3308</v>
      </c>
      <c r="C1217" s="6684" t="s">
        <v>3323</v>
      </c>
      <c r="D1217" s="6643">
        <v>20000000</v>
      </c>
      <c r="E1217" s="6705">
        <v>0.05</v>
      </c>
      <c r="F1217" s="6643">
        <f>D1217*E1217</f>
        <v>1000000</v>
      </c>
      <c r="G1217" s="6635">
        <v>1000000</v>
      </c>
      <c r="H1217" s="6635" t="s">
        <v>8111</v>
      </c>
      <c r="I1217" s="6635" t="s">
        <v>6136</v>
      </c>
      <c r="J1217" s="6635">
        <f t="shared" si="99"/>
        <v>1000000</v>
      </c>
      <c r="K1217" s="6703">
        <f t="shared" si="100"/>
        <v>0</v>
      </c>
      <c r="L1217" s="6733"/>
      <c r="M1217" s="386"/>
      <c r="N1217" s="386"/>
      <c r="O1217" s="386"/>
      <c r="P1217" s="386"/>
      <c r="Q1217" s="386"/>
    </row>
    <row r="1218" spans="1:17" ht="30" customHeight="1" x14ac:dyDescent="0.2">
      <c r="A1218" s="6708"/>
      <c r="B1218" s="6680" t="s">
        <v>4305</v>
      </c>
      <c r="C1218" s="6684" t="s">
        <v>889</v>
      </c>
      <c r="D1218" s="6643">
        <v>200000000</v>
      </c>
      <c r="E1218" s="6705">
        <v>0.05</v>
      </c>
      <c r="F1218" s="6643">
        <f>D1218*E1218</f>
        <v>10000000</v>
      </c>
      <c r="G1218" s="6635">
        <v>10000000</v>
      </c>
      <c r="H1218" s="6635" t="s">
        <v>8142</v>
      </c>
      <c r="I1218" s="6635" t="s">
        <v>4306</v>
      </c>
      <c r="J1218" s="6635">
        <f t="shared" si="99"/>
        <v>10000000</v>
      </c>
      <c r="K1218" s="6703">
        <f t="shared" si="100"/>
        <v>0</v>
      </c>
      <c r="L1218" s="6733"/>
      <c r="M1218" s="386"/>
      <c r="N1218" s="386"/>
      <c r="O1218" s="386"/>
      <c r="P1218" s="386"/>
      <c r="Q1218" s="386"/>
    </row>
    <row r="1219" spans="1:17" ht="30" customHeight="1" x14ac:dyDescent="0.2">
      <c r="A1219" s="6708"/>
      <c r="B1219" s="6680" t="s">
        <v>3332</v>
      </c>
      <c r="C1219" s="6657"/>
      <c r="D1219" s="6725"/>
      <c r="E1219" s="2519"/>
      <c r="F1219" s="6664"/>
      <c r="G1219" s="6635"/>
      <c r="H1219" s="6635"/>
      <c r="I1219" s="6635"/>
      <c r="J1219" s="6635">
        <f t="shared" si="99"/>
        <v>0</v>
      </c>
      <c r="K1219" s="6704"/>
      <c r="L1219" s="6733"/>
      <c r="M1219" s="386"/>
      <c r="N1219" s="386"/>
      <c r="O1219" s="386"/>
      <c r="P1219" s="386"/>
      <c r="Q1219" s="386"/>
    </row>
    <row r="1220" spans="1:17" ht="30" customHeight="1" x14ac:dyDescent="0.2">
      <c r="A1220" s="7654"/>
      <c r="B1220" s="7652" t="s">
        <v>3395</v>
      </c>
      <c r="C1220" s="7723" t="s">
        <v>889</v>
      </c>
      <c r="D1220" s="7563">
        <v>1000000000</v>
      </c>
      <c r="E1220" s="7659">
        <v>6.5000000000000002E-2</v>
      </c>
      <c r="F1220" s="7563">
        <f>D1220*E1220</f>
        <v>65000000</v>
      </c>
      <c r="G1220" s="6635">
        <v>20000000</v>
      </c>
      <c r="H1220" s="6635" t="s">
        <v>7974</v>
      </c>
      <c r="I1220" s="6635" t="s">
        <v>7451</v>
      </c>
      <c r="J1220" s="7563">
        <f>G1220+G1221+G1222+G1223+G1224</f>
        <v>65000000</v>
      </c>
      <c r="K1220" s="7816">
        <f>F1220-J1220</f>
        <v>0</v>
      </c>
      <c r="L1220" s="2700"/>
      <c r="M1220" s="386"/>
      <c r="N1220" s="386"/>
      <c r="O1220" s="386"/>
      <c r="P1220" s="386"/>
      <c r="Q1220" s="386"/>
    </row>
    <row r="1221" spans="1:17" ht="30" customHeight="1" x14ac:dyDescent="0.2">
      <c r="A1221" s="7656"/>
      <c r="B1221" s="7665"/>
      <c r="C1221" s="7747"/>
      <c r="D1221" s="7586"/>
      <c r="E1221" s="7676"/>
      <c r="F1221" s="7586"/>
      <c r="G1221" s="6635">
        <v>20000000</v>
      </c>
      <c r="H1221" s="6635" t="s">
        <v>8073</v>
      </c>
      <c r="I1221" s="6943" t="s">
        <v>7451</v>
      </c>
      <c r="J1221" s="7586"/>
      <c r="K1221" s="7882"/>
      <c r="L1221" s="2700"/>
      <c r="M1221" s="386"/>
      <c r="N1221" s="386"/>
      <c r="O1221" s="386"/>
      <c r="P1221" s="386"/>
      <c r="Q1221" s="386"/>
    </row>
    <row r="1222" spans="1:17" ht="30" customHeight="1" x14ac:dyDescent="0.2">
      <c r="A1222" s="7656"/>
      <c r="B1222" s="7665"/>
      <c r="C1222" s="7747"/>
      <c r="D1222" s="7586"/>
      <c r="E1222" s="7676"/>
      <c r="F1222" s="7586"/>
      <c r="G1222" s="6635">
        <v>5000000</v>
      </c>
      <c r="H1222" s="6635" t="s">
        <v>8111</v>
      </c>
      <c r="I1222" s="6635" t="s">
        <v>7451</v>
      </c>
      <c r="J1222" s="7586"/>
      <c r="K1222" s="7882"/>
      <c r="L1222" s="2700"/>
      <c r="M1222" s="386"/>
      <c r="N1222" s="386"/>
      <c r="O1222" s="386"/>
      <c r="P1222" s="386"/>
      <c r="Q1222" s="386"/>
    </row>
    <row r="1223" spans="1:17" ht="30" customHeight="1" x14ac:dyDescent="0.2">
      <c r="A1223" s="7656"/>
      <c r="B1223" s="7665"/>
      <c r="C1223" s="7747"/>
      <c r="D1223" s="7586"/>
      <c r="E1223" s="7676"/>
      <c r="F1223" s="7586"/>
      <c r="G1223" s="7020">
        <v>15000000</v>
      </c>
      <c r="H1223" s="7020" t="s">
        <v>8164</v>
      </c>
      <c r="I1223" s="7020" t="s">
        <v>7451</v>
      </c>
      <c r="J1223" s="7586"/>
      <c r="K1223" s="7882"/>
      <c r="L1223" s="2700"/>
      <c r="M1223" s="386"/>
      <c r="N1223" s="386"/>
      <c r="O1223" s="386"/>
      <c r="P1223" s="386"/>
      <c r="Q1223" s="386"/>
    </row>
    <row r="1224" spans="1:17" ht="30" customHeight="1" x14ac:dyDescent="0.2">
      <c r="A1224" s="7656"/>
      <c r="B1224" s="7665"/>
      <c r="C1224" s="7724"/>
      <c r="D1224" s="7564"/>
      <c r="E1224" s="7660"/>
      <c r="F1224" s="7564"/>
      <c r="G1224" s="7020">
        <v>5000000</v>
      </c>
      <c r="H1224" s="7563" t="s">
        <v>8186</v>
      </c>
      <c r="I1224" s="7563" t="s">
        <v>7451</v>
      </c>
      <c r="J1224" s="7564"/>
      <c r="K1224" s="7817"/>
      <c r="L1224" s="2700"/>
      <c r="M1224" s="386"/>
      <c r="N1224" s="386"/>
      <c r="O1224" s="386"/>
      <c r="P1224" s="386"/>
      <c r="Q1224" s="386"/>
    </row>
    <row r="1225" spans="1:17" ht="30" customHeight="1" x14ac:dyDescent="0.2">
      <c r="A1225" s="7656"/>
      <c r="B1225" s="7665"/>
      <c r="C1225" s="7873" t="s">
        <v>1298</v>
      </c>
      <c r="D1225" s="7482">
        <v>500000000</v>
      </c>
      <c r="E1225" s="7870">
        <v>6.5000000000000002E-2</v>
      </c>
      <c r="F1225" s="7482">
        <f>D1225*E1225</f>
        <v>32500000</v>
      </c>
      <c r="G1225" s="6635">
        <v>10000000</v>
      </c>
      <c r="H1225" s="7564"/>
      <c r="I1225" s="7564"/>
      <c r="J1225" s="7563">
        <f>G1225+G1226+G1227</f>
        <v>40000000</v>
      </c>
      <c r="K1225" s="7816">
        <f>F1225-J1225</f>
        <v>-7500000</v>
      </c>
      <c r="L1225" s="2700"/>
      <c r="M1225" s="386"/>
      <c r="N1225" s="386"/>
      <c r="O1225" s="386"/>
      <c r="P1225" s="386"/>
      <c r="Q1225" s="386"/>
    </row>
    <row r="1226" spans="1:17" ht="30" customHeight="1" x14ac:dyDescent="0.2">
      <c r="A1226" s="7656"/>
      <c r="B1226" s="7665"/>
      <c r="C1226" s="7873"/>
      <c r="D1226" s="7482"/>
      <c r="E1226" s="7870"/>
      <c r="F1226" s="7482"/>
      <c r="G1226" s="6635">
        <v>10000000</v>
      </c>
      <c r="H1226" s="6635" t="s">
        <v>8316</v>
      </c>
      <c r="I1226" s="7157" t="s">
        <v>7451</v>
      </c>
      <c r="J1226" s="7586"/>
      <c r="K1226" s="7882"/>
      <c r="L1226" s="2700"/>
      <c r="M1226" s="386"/>
      <c r="N1226" s="386"/>
      <c r="O1226" s="386"/>
      <c r="P1226" s="386"/>
      <c r="Q1226" s="386"/>
    </row>
    <row r="1227" spans="1:17" ht="30" customHeight="1" x14ac:dyDescent="0.2">
      <c r="A1227" s="7656"/>
      <c r="B1227" s="7665"/>
      <c r="C1227" s="7873"/>
      <c r="D1227" s="7482"/>
      <c r="E1227" s="7870"/>
      <c r="F1227" s="7482"/>
      <c r="G1227" s="6635">
        <v>20000000</v>
      </c>
      <c r="H1227" s="7020" t="s">
        <v>5200</v>
      </c>
      <c r="I1227" s="7020" t="s">
        <v>7451</v>
      </c>
      <c r="J1227" s="7586"/>
      <c r="K1227" s="7882"/>
      <c r="L1227" s="2700"/>
      <c r="M1227" s="386"/>
      <c r="N1227" s="386"/>
      <c r="O1227" s="386"/>
      <c r="P1227" s="386"/>
      <c r="Q1227" s="386"/>
    </row>
    <row r="1228" spans="1:17" ht="30" customHeight="1" x14ac:dyDescent="0.2">
      <c r="A1228" s="7655"/>
      <c r="B1228" s="7653"/>
      <c r="C1228" s="7873"/>
      <c r="D1228" s="7482"/>
      <c r="E1228" s="7870"/>
      <c r="F1228" s="7482"/>
      <c r="G1228" s="6635"/>
      <c r="H1228" s="7020"/>
      <c r="I1228" s="7020"/>
      <c r="J1228" s="7564"/>
      <c r="K1228" s="7817"/>
      <c r="L1228" s="2700"/>
      <c r="M1228" s="386"/>
      <c r="N1228" s="386"/>
      <c r="O1228" s="386"/>
      <c r="P1228" s="386"/>
      <c r="Q1228" s="386"/>
    </row>
    <row r="1229" spans="1:17" ht="30" customHeight="1" x14ac:dyDescent="0.2">
      <c r="A1229" s="7654"/>
      <c r="B1229" s="7661" t="s">
        <v>3514</v>
      </c>
      <c r="C1229" s="7747" t="s">
        <v>1652</v>
      </c>
      <c r="D1229" s="6687">
        <v>120000000</v>
      </c>
      <c r="E1229" s="5821">
        <v>0.05</v>
      </c>
      <c r="F1229" s="6687">
        <f>D1229*E1229</f>
        <v>6000000</v>
      </c>
      <c r="G1229" s="7760">
        <v>7500000</v>
      </c>
      <c r="H1229" s="7760" t="s">
        <v>8081</v>
      </c>
      <c r="I1229" s="7760" t="s">
        <v>8082</v>
      </c>
      <c r="J1229" s="7760">
        <f t="shared" si="99"/>
        <v>7500000</v>
      </c>
      <c r="K1229" s="8566">
        <f>(F1229+F1230)-J1229</f>
        <v>0</v>
      </c>
      <c r="L1229" s="6724"/>
      <c r="M1229" s="386"/>
      <c r="N1229" s="386"/>
      <c r="O1229" s="386"/>
      <c r="P1229" s="386"/>
      <c r="Q1229" s="386"/>
    </row>
    <row r="1230" spans="1:17" ht="30" customHeight="1" x14ac:dyDescent="0.2">
      <c r="A1230" s="7655"/>
      <c r="B1230" s="7663"/>
      <c r="C1230" s="7724"/>
      <c r="D1230" s="3928">
        <v>30000000</v>
      </c>
      <c r="E1230" s="2348">
        <v>0.05</v>
      </c>
      <c r="F1230" s="3928">
        <f>D1230*E1230</f>
        <v>1500000</v>
      </c>
      <c r="G1230" s="7761"/>
      <c r="H1230" s="7761"/>
      <c r="I1230" s="7761"/>
      <c r="J1230" s="7761"/>
      <c r="K1230" s="8418"/>
      <c r="L1230" s="6723"/>
      <c r="M1230" s="386"/>
      <c r="N1230" s="386"/>
      <c r="O1230" s="386"/>
      <c r="P1230" s="386"/>
      <c r="Q1230" s="386"/>
    </row>
    <row r="1231" spans="1:17" s="1539" customFormat="1" ht="30" customHeight="1" x14ac:dyDescent="0.2">
      <c r="A1231" s="6659"/>
      <c r="B1231" s="6659" t="s">
        <v>3455</v>
      </c>
      <c r="C1231" s="6683" t="s">
        <v>3483</v>
      </c>
      <c r="D1231" s="6635">
        <v>80000000</v>
      </c>
      <c r="E1231" s="6705">
        <v>0.05</v>
      </c>
      <c r="F1231" s="6635">
        <f t="shared" ref="F1231:F1243" si="101">D1231*E1231</f>
        <v>4000000</v>
      </c>
      <c r="G1231" s="6635">
        <v>4000000</v>
      </c>
      <c r="H1231" s="6635" t="s">
        <v>8111</v>
      </c>
      <c r="I1231" s="6635" t="s">
        <v>3992</v>
      </c>
      <c r="J1231" s="6635">
        <f>G1231</f>
        <v>4000000</v>
      </c>
      <c r="K1231" s="6639">
        <f>F1231-J1231</f>
        <v>0</v>
      </c>
      <c r="L1231" s="6639"/>
      <c r="M1231" s="387"/>
      <c r="N1231" s="387"/>
      <c r="O1231" s="387"/>
      <c r="P1231" s="387"/>
      <c r="Q1231" s="387"/>
    </row>
    <row r="1232" spans="1:17" s="184" customFormat="1" ht="30" customHeight="1" x14ac:dyDescent="0.2">
      <c r="A1232" s="7654"/>
      <c r="B1232" s="7661" t="s">
        <v>3459</v>
      </c>
      <c r="C1232" s="7723" t="s">
        <v>262</v>
      </c>
      <c r="D1232" s="8026">
        <v>2050000000</v>
      </c>
      <c r="E1232" s="8028">
        <v>0.08</v>
      </c>
      <c r="F1232" s="8026">
        <f>D1232*E1232</f>
        <v>164000000</v>
      </c>
      <c r="G1232" s="7732" t="s">
        <v>5456</v>
      </c>
      <c r="H1232" s="7733"/>
      <c r="I1232" s="7733"/>
      <c r="J1232" s="7734"/>
      <c r="K1232" s="6639"/>
      <c r="L1232" s="6733" t="s">
        <v>6281</v>
      </c>
      <c r="M1232" s="386"/>
      <c r="N1232" s="386"/>
      <c r="O1232" s="386"/>
      <c r="P1232" s="386"/>
      <c r="Q1232" s="386"/>
    </row>
    <row r="1233" spans="1:17" s="184" customFormat="1" ht="30" customHeight="1" x14ac:dyDescent="0.2">
      <c r="A1233" s="7656"/>
      <c r="B1233" s="7662"/>
      <c r="C1233" s="7747"/>
      <c r="D1233" s="8497"/>
      <c r="E1233" s="8498"/>
      <c r="F1233" s="8497"/>
      <c r="G1233" s="7732" t="s">
        <v>6364</v>
      </c>
      <c r="H1233" s="7733"/>
      <c r="I1233" s="7733"/>
      <c r="J1233" s="7734"/>
      <c r="K1233" s="6639"/>
      <c r="L1233" s="6733"/>
      <c r="M1233" s="386"/>
      <c r="N1233" s="386"/>
      <c r="O1233" s="386"/>
      <c r="P1233" s="386"/>
      <c r="Q1233" s="386"/>
    </row>
    <row r="1234" spans="1:17" s="184" customFormat="1" ht="30" customHeight="1" x14ac:dyDescent="0.2">
      <c r="A1234" s="7656"/>
      <c r="B1234" s="7662"/>
      <c r="C1234" s="7747"/>
      <c r="D1234" s="8027"/>
      <c r="E1234" s="8029"/>
      <c r="F1234" s="8027"/>
      <c r="G1234" s="7732" t="s">
        <v>6282</v>
      </c>
      <c r="H1234" s="7733"/>
      <c r="I1234" s="7733"/>
      <c r="J1234" s="7734"/>
      <c r="K1234" s="6639"/>
      <c r="L1234" s="6733" t="s">
        <v>6283</v>
      </c>
      <c r="M1234" s="386"/>
      <c r="N1234" s="386"/>
      <c r="O1234" s="386"/>
      <c r="P1234" s="386"/>
      <c r="Q1234" s="386"/>
    </row>
    <row r="1235" spans="1:17" s="184" customFormat="1" ht="30" customHeight="1" x14ac:dyDescent="0.2">
      <c r="A1235" s="7656"/>
      <c r="B1235" s="7662"/>
      <c r="C1235" s="7747"/>
      <c r="D1235" s="6643">
        <v>100000000</v>
      </c>
      <c r="E1235" s="6649"/>
      <c r="F1235" s="6643"/>
      <c r="G1235" s="7732" t="s">
        <v>7417</v>
      </c>
      <c r="H1235" s="7733"/>
      <c r="I1235" s="7733"/>
      <c r="J1235" s="7734"/>
      <c r="K1235" s="6639"/>
      <c r="L1235" s="6733"/>
      <c r="M1235" s="386"/>
      <c r="N1235" s="386"/>
      <c r="O1235" s="386"/>
      <c r="P1235" s="386"/>
      <c r="Q1235" s="386"/>
    </row>
    <row r="1236" spans="1:17" s="184" customFormat="1" ht="30" customHeight="1" x14ac:dyDescent="0.2">
      <c r="A1236" s="7656"/>
      <c r="B1236" s="7662"/>
      <c r="C1236" s="7747"/>
      <c r="D1236" s="6643">
        <v>100000000</v>
      </c>
      <c r="E1236" s="6649"/>
      <c r="F1236" s="6643"/>
      <c r="G1236" s="7732" t="s">
        <v>7418</v>
      </c>
      <c r="H1236" s="7733"/>
      <c r="I1236" s="7733"/>
      <c r="J1236" s="7734"/>
      <c r="K1236" s="6639"/>
      <c r="L1236" s="6733"/>
      <c r="M1236" s="386"/>
      <c r="N1236" s="386"/>
      <c r="O1236" s="386"/>
      <c r="P1236" s="386"/>
      <c r="Q1236" s="386"/>
    </row>
    <row r="1237" spans="1:17" s="184" customFormat="1" ht="30" customHeight="1" x14ac:dyDescent="0.2">
      <c r="A1237" s="7656"/>
      <c r="B1237" s="7662"/>
      <c r="C1237" s="7747"/>
      <c r="D1237" s="6643">
        <v>300000000</v>
      </c>
      <c r="E1237" s="6649"/>
      <c r="F1237" s="6643"/>
      <c r="G1237" s="7732" t="s">
        <v>7419</v>
      </c>
      <c r="H1237" s="7733"/>
      <c r="I1237" s="7733"/>
      <c r="J1237" s="7734"/>
      <c r="K1237" s="6639"/>
      <c r="L1237" s="6733" t="s">
        <v>7420</v>
      </c>
      <c r="M1237" s="386"/>
      <c r="N1237" s="386"/>
      <c r="O1237" s="386"/>
      <c r="P1237" s="386"/>
      <c r="Q1237" s="386"/>
    </row>
    <row r="1238" spans="1:17" s="184" customFormat="1" ht="30" customHeight="1" x14ac:dyDescent="0.2">
      <c r="A1238" s="7656"/>
      <c r="B1238" s="7662"/>
      <c r="C1238" s="7747"/>
      <c r="D1238" s="6643">
        <v>62000000</v>
      </c>
      <c r="E1238" s="6649"/>
      <c r="F1238" s="6643"/>
      <c r="G1238" s="7732" t="s">
        <v>7421</v>
      </c>
      <c r="H1238" s="7733"/>
      <c r="I1238" s="7733"/>
      <c r="J1238" s="7734"/>
      <c r="K1238" s="6639"/>
      <c r="L1238" s="6733"/>
      <c r="M1238" s="386"/>
      <c r="N1238" s="386"/>
      <c r="O1238" s="386"/>
      <c r="P1238" s="386"/>
      <c r="Q1238" s="386"/>
    </row>
    <row r="1239" spans="1:17" s="184" customFormat="1" ht="30" customHeight="1" x14ac:dyDescent="0.2">
      <c r="A1239" s="7656"/>
      <c r="B1239" s="7662"/>
      <c r="C1239" s="7747"/>
      <c r="D1239" s="6643">
        <v>138000000</v>
      </c>
      <c r="E1239" s="6649"/>
      <c r="F1239" s="6643"/>
      <c r="G1239" s="6672"/>
      <c r="H1239" s="6673"/>
      <c r="I1239" s="6673"/>
      <c r="J1239" s="6674"/>
      <c r="K1239" s="6639"/>
      <c r="L1239" s="6733" t="s">
        <v>7422</v>
      </c>
      <c r="M1239" s="386"/>
      <c r="N1239" s="386"/>
      <c r="O1239" s="386"/>
      <c r="P1239" s="386"/>
      <c r="Q1239" s="386"/>
    </row>
    <row r="1240" spans="1:17" s="184" customFormat="1" ht="30" customHeight="1" x14ac:dyDescent="0.2">
      <c r="A1240" s="7655"/>
      <c r="B1240" s="7663"/>
      <c r="C1240" s="7724"/>
      <c r="D1240" s="6752">
        <f>SUM(D1235:D1239)</f>
        <v>700000000</v>
      </c>
      <c r="E1240" s="6754"/>
      <c r="F1240" s="6752"/>
      <c r="G1240" s="6672"/>
      <c r="H1240" s="6673"/>
      <c r="I1240" s="6673"/>
      <c r="J1240" s="6674"/>
      <c r="K1240" s="6639"/>
      <c r="L1240" s="6733"/>
      <c r="M1240" s="386"/>
      <c r="N1240" s="386"/>
      <c r="O1240" s="386"/>
      <c r="P1240" s="386"/>
      <c r="Q1240" s="386"/>
    </row>
    <row r="1241" spans="1:17" s="184" customFormat="1" ht="30" customHeight="1" x14ac:dyDescent="0.2">
      <c r="A1241" s="6708"/>
      <c r="B1241" s="6680" t="s">
        <v>3480</v>
      </c>
      <c r="C1241" s="6710" t="s">
        <v>372</v>
      </c>
      <c r="D1241" s="6635">
        <v>85000000</v>
      </c>
      <c r="E1241" s="6705">
        <v>7.0000000000000007E-2</v>
      </c>
      <c r="F1241" s="6635">
        <f t="shared" si="101"/>
        <v>5950000.0000000009</v>
      </c>
      <c r="G1241" s="6635">
        <v>5950000</v>
      </c>
      <c r="H1241" s="6635" t="s">
        <v>8186</v>
      </c>
      <c r="I1241" s="6635" t="s">
        <v>4448</v>
      </c>
      <c r="J1241" s="6635">
        <f t="shared" ref="J1241:J1248" si="102">G1241</f>
        <v>5950000</v>
      </c>
      <c r="K1241" s="6639">
        <f t="shared" ref="K1241:K1243" si="103">F1241-J1241</f>
        <v>0</v>
      </c>
      <c r="L1241" s="6733"/>
      <c r="M1241" s="386"/>
      <c r="N1241" s="386"/>
      <c r="O1241" s="386"/>
      <c r="P1241" s="386"/>
      <c r="Q1241" s="386"/>
    </row>
    <row r="1242" spans="1:17" s="184" customFormat="1" ht="30" customHeight="1" x14ac:dyDescent="0.2">
      <c r="A1242" s="6708"/>
      <c r="B1242" s="6680" t="s">
        <v>3482</v>
      </c>
      <c r="C1242" s="6710" t="s">
        <v>3483</v>
      </c>
      <c r="D1242" s="6635">
        <v>70000000</v>
      </c>
      <c r="E1242" s="6705">
        <v>0.05</v>
      </c>
      <c r="F1242" s="6635">
        <f t="shared" si="101"/>
        <v>3500000</v>
      </c>
      <c r="G1242" s="6635"/>
      <c r="H1242" s="6635"/>
      <c r="I1242" s="6635" t="s">
        <v>4428</v>
      </c>
      <c r="J1242" s="6635">
        <f t="shared" si="102"/>
        <v>0</v>
      </c>
      <c r="K1242" s="6639">
        <f t="shared" si="103"/>
        <v>3500000</v>
      </c>
      <c r="L1242" s="6733"/>
      <c r="M1242" s="386"/>
      <c r="N1242" s="386"/>
      <c r="O1242" s="386"/>
      <c r="P1242" s="386"/>
      <c r="Q1242" s="386"/>
    </row>
    <row r="1243" spans="1:17" s="184" customFormat="1" ht="30" customHeight="1" x14ac:dyDescent="0.2">
      <c r="A1243" s="6708"/>
      <c r="B1243" s="6680" t="s">
        <v>3979</v>
      </c>
      <c r="C1243" s="6710" t="s">
        <v>889</v>
      </c>
      <c r="D1243" s="6635">
        <v>20000000</v>
      </c>
      <c r="E1243" s="6705">
        <v>0.05</v>
      </c>
      <c r="F1243" s="6635">
        <f t="shared" si="101"/>
        <v>1000000</v>
      </c>
      <c r="G1243" s="6635"/>
      <c r="H1243" s="6635"/>
      <c r="I1243" s="6635" t="s">
        <v>2494</v>
      </c>
      <c r="J1243" s="6635">
        <f t="shared" si="102"/>
        <v>0</v>
      </c>
      <c r="K1243" s="6639">
        <f t="shared" si="103"/>
        <v>1000000</v>
      </c>
      <c r="L1243" s="6733"/>
      <c r="M1243" s="386"/>
      <c r="N1243" s="386"/>
      <c r="O1243" s="386"/>
      <c r="P1243" s="386"/>
      <c r="Q1243" s="386"/>
    </row>
    <row r="1244" spans="1:17" s="1659" customFormat="1" ht="30" customHeight="1" x14ac:dyDescent="0.2">
      <c r="A1244" s="7703"/>
      <c r="B1244" s="7652" t="s">
        <v>3554</v>
      </c>
      <c r="C1244" s="7723" t="s">
        <v>372</v>
      </c>
      <c r="D1244" s="7563">
        <v>10000000</v>
      </c>
      <c r="E1244" s="7659">
        <v>0.05</v>
      </c>
      <c r="F1244" s="7563">
        <f>D1244*E1244</f>
        <v>500000</v>
      </c>
      <c r="G1244" s="6643">
        <v>500000</v>
      </c>
      <c r="H1244" s="6643" t="s">
        <v>8042</v>
      </c>
      <c r="I1244" s="6693" t="s">
        <v>3555</v>
      </c>
      <c r="J1244" s="6643">
        <f t="shared" si="102"/>
        <v>500000</v>
      </c>
      <c r="K1244" s="6643">
        <f>F1244-J1244</f>
        <v>0</v>
      </c>
      <c r="L1244" s="6724"/>
      <c r="M1244" s="386"/>
      <c r="N1244" s="386"/>
      <c r="O1244" s="386"/>
      <c r="P1244" s="386"/>
      <c r="Q1244" s="386"/>
    </row>
    <row r="1245" spans="1:17" s="1659" customFormat="1" ht="30" customHeight="1" x14ac:dyDescent="0.2">
      <c r="A1245" s="7705"/>
      <c r="B1245" s="7653"/>
      <c r="C1245" s="7724"/>
      <c r="D1245" s="7564"/>
      <c r="E1245" s="7660"/>
      <c r="F1245" s="7564"/>
      <c r="G1245" s="6963">
        <v>500000</v>
      </c>
      <c r="H1245" s="6963" t="s">
        <v>8111</v>
      </c>
      <c r="I1245" s="6972" t="s">
        <v>3555</v>
      </c>
      <c r="J1245" s="6962">
        <f>G1245</f>
        <v>500000</v>
      </c>
      <c r="K1245" s="6962">
        <f>F1244-J1245</f>
        <v>0</v>
      </c>
      <c r="L1245" s="6977"/>
      <c r="M1245" s="386"/>
      <c r="N1245" s="386"/>
      <c r="O1245" s="386"/>
      <c r="P1245" s="386"/>
      <c r="Q1245" s="386"/>
    </row>
    <row r="1246" spans="1:17" s="1659" customFormat="1" ht="30" customHeight="1" x14ac:dyDescent="0.2">
      <c r="A1246" s="7703"/>
      <c r="B1246" s="7652" t="s">
        <v>4442</v>
      </c>
      <c r="C1246" s="7413" t="s">
        <v>4223</v>
      </c>
      <c r="D1246" s="7394">
        <v>100000000</v>
      </c>
      <c r="E1246" s="7411">
        <v>0.05</v>
      </c>
      <c r="F1246" s="6635">
        <f>D1246*E1246</f>
        <v>5000000</v>
      </c>
      <c r="G1246" s="6635">
        <v>5000000</v>
      </c>
      <c r="H1246" s="6635" t="s">
        <v>8247</v>
      </c>
      <c r="I1246" s="6635" t="s">
        <v>6388</v>
      </c>
      <c r="J1246" s="6641">
        <f t="shared" si="102"/>
        <v>5000000</v>
      </c>
      <c r="K1246" s="6641">
        <f>F1246-J1246</f>
        <v>0</v>
      </c>
      <c r="L1246" s="847"/>
      <c r="M1246" s="386"/>
      <c r="N1246" s="386"/>
      <c r="O1246" s="386"/>
      <c r="P1246" s="386"/>
      <c r="Q1246" s="386"/>
    </row>
    <row r="1247" spans="1:17" s="1659" customFormat="1" ht="30" customHeight="1" x14ac:dyDescent="0.2">
      <c r="A1247" s="7705"/>
      <c r="B1247" s="7653"/>
      <c r="C1247" s="7413" t="s">
        <v>889</v>
      </c>
      <c r="D1247" s="7418">
        <v>100000000</v>
      </c>
      <c r="E1247" s="7422">
        <v>7.0000000000000007E-2</v>
      </c>
      <c r="F1247" s="7418">
        <f>D1247*E1247</f>
        <v>7000000.0000000009</v>
      </c>
      <c r="G1247" s="7394"/>
      <c r="H1247" s="7394"/>
      <c r="I1247" s="7394"/>
      <c r="J1247" s="7396"/>
      <c r="K1247" s="7396"/>
      <c r="L1247" s="7414" t="s">
        <v>8528</v>
      </c>
      <c r="M1247" s="386"/>
      <c r="N1247" s="386"/>
      <c r="O1247" s="386"/>
      <c r="P1247" s="386"/>
      <c r="Q1247" s="386"/>
    </row>
    <row r="1248" spans="1:17" s="1659" customFormat="1" ht="30" customHeight="1" x14ac:dyDescent="0.2">
      <c r="A1248" s="6727"/>
      <c r="B1248" s="6665" t="s">
        <v>3566</v>
      </c>
      <c r="C1248" s="6710"/>
      <c r="D1248" s="6635">
        <v>6000000</v>
      </c>
      <c r="E1248" s="6705">
        <f>F1248/D1248</f>
        <v>0.05</v>
      </c>
      <c r="F1248" s="6635">
        <v>300000</v>
      </c>
      <c r="G1248" s="6635"/>
      <c r="H1248" s="6635"/>
      <c r="I1248" s="6635" t="s">
        <v>3567</v>
      </c>
      <c r="J1248" s="6635">
        <f t="shared" si="102"/>
        <v>0</v>
      </c>
      <c r="K1248" s="6635">
        <f>F1248-J1248</f>
        <v>300000</v>
      </c>
      <c r="L1248" s="2177" t="s">
        <v>3568</v>
      </c>
      <c r="M1248" s="386"/>
      <c r="N1248" s="386"/>
      <c r="O1248" s="386"/>
      <c r="P1248" s="386"/>
      <c r="Q1248" s="386"/>
    </row>
    <row r="1249" spans="1:17" s="1659" customFormat="1" ht="30" customHeight="1" x14ac:dyDescent="0.2">
      <c r="A1249" s="7703"/>
      <c r="B1249" s="7652" t="s">
        <v>3590</v>
      </c>
      <c r="C1249" s="7723" t="s">
        <v>2278</v>
      </c>
      <c r="D1249" s="7563">
        <v>870000000</v>
      </c>
      <c r="E1249" s="7659">
        <v>7.0999999999999994E-2</v>
      </c>
      <c r="F1249" s="7563">
        <v>62000000</v>
      </c>
      <c r="G1249" s="7563">
        <v>45000000</v>
      </c>
      <c r="H1249" s="7563" t="s">
        <v>8164</v>
      </c>
      <c r="I1249" s="7563" t="s">
        <v>7564</v>
      </c>
      <c r="J1249" s="7563">
        <f>G1249+G1252</f>
        <v>45000000</v>
      </c>
      <c r="K1249" s="7563">
        <f>F1253-J1249</f>
        <v>59500000</v>
      </c>
      <c r="L1249" s="6724" t="s">
        <v>6974</v>
      </c>
      <c r="M1249" s="386"/>
      <c r="N1249" s="386"/>
      <c r="O1249" s="386"/>
      <c r="P1249" s="386"/>
      <c r="Q1249" s="386"/>
    </row>
    <row r="1250" spans="1:17" s="1659" customFormat="1" ht="30" customHeight="1" x14ac:dyDescent="0.2">
      <c r="A1250" s="7704"/>
      <c r="B1250" s="7665"/>
      <c r="C1250" s="7747"/>
      <c r="D1250" s="7586"/>
      <c r="E1250" s="7676"/>
      <c r="F1250" s="7586"/>
      <c r="G1250" s="7586"/>
      <c r="H1250" s="7586"/>
      <c r="I1250" s="7586"/>
      <c r="J1250" s="7586"/>
      <c r="K1250" s="7586"/>
      <c r="L1250" s="6724" t="s">
        <v>6975</v>
      </c>
      <c r="M1250" s="386"/>
      <c r="N1250" s="386"/>
      <c r="O1250" s="386"/>
      <c r="P1250" s="386"/>
      <c r="Q1250" s="386"/>
    </row>
    <row r="1251" spans="1:17" s="1659" customFormat="1" ht="30" customHeight="1" x14ac:dyDescent="0.2">
      <c r="A1251" s="7704"/>
      <c r="B1251" s="7665"/>
      <c r="C1251" s="7747"/>
      <c r="D1251" s="6641">
        <v>150000000</v>
      </c>
      <c r="E1251" s="6647">
        <v>7.0999999999999994E-2</v>
      </c>
      <c r="F1251" s="6635">
        <f>D1251*E1251</f>
        <v>10649999.999999998</v>
      </c>
      <c r="G1251" s="7564"/>
      <c r="H1251" s="7564"/>
      <c r="I1251" s="7564"/>
      <c r="J1251" s="7586"/>
      <c r="K1251" s="7586"/>
      <c r="L1251" s="6724" t="s">
        <v>6976</v>
      </c>
      <c r="M1251" s="386"/>
      <c r="N1251" s="386"/>
      <c r="O1251" s="386"/>
      <c r="P1251" s="386"/>
      <c r="Q1251" s="386"/>
    </row>
    <row r="1252" spans="1:17" s="1659" customFormat="1" ht="30" customHeight="1" x14ac:dyDescent="0.2">
      <c r="A1252" s="7704"/>
      <c r="B1252" s="7665"/>
      <c r="C1252" s="7747"/>
      <c r="D1252" s="6641">
        <f>D1249+D1251+1000000</f>
        <v>1021000000</v>
      </c>
      <c r="E1252" s="6647">
        <v>7.0999999999999994E-2</v>
      </c>
      <c r="F1252" s="6635">
        <v>72500000</v>
      </c>
      <c r="G1252" s="7563"/>
      <c r="H1252" s="7563"/>
      <c r="I1252" s="7563"/>
      <c r="J1252" s="7586"/>
      <c r="K1252" s="7586"/>
      <c r="L1252" s="6724"/>
      <c r="M1252" s="386"/>
      <c r="N1252" s="386"/>
      <c r="O1252" s="386"/>
      <c r="P1252" s="386"/>
      <c r="Q1252" s="386"/>
    </row>
    <row r="1253" spans="1:17" s="1659" customFormat="1" ht="30" customHeight="1" x14ac:dyDescent="0.2">
      <c r="A1253" s="7705"/>
      <c r="B1253" s="7653"/>
      <c r="C1253" s="7724"/>
      <c r="D1253" s="6751">
        <v>1478000000</v>
      </c>
      <c r="E1253" s="6753">
        <v>7.0999999999999994E-2</v>
      </c>
      <c r="F1253" s="6769">
        <v>104500000</v>
      </c>
      <c r="G1253" s="7564"/>
      <c r="H1253" s="7564"/>
      <c r="I1253" s="7564"/>
      <c r="J1253" s="7564"/>
      <c r="K1253" s="7564"/>
      <c r="L1253" s="6766"/>
      <c r="M1253" s="386"/>
      <c r="N1253" s="386"/>
      <c r="O1253" s="386"/>
      <c r="P1253" s="386"/>
      <c r="Q1253" s="386"/>
    </row>
    <row r="1254" spans="1:17" s="1659" customFormat="1" ht="30" customHeight="1" x14ac:dyDescent="0.2">
      <c r="A1254" s="6727"/>
      <c r="B1254" s="6665" t="s">
        <v>3597</v>
      </c>
      <c r="C1254" s="6710" t="s">
        <v>889</v>
      </c>
      <c r="D1254" s="6635">
        <v>200000000</v>
      </c>
      <c r="E1254" s="6705">
        <v>0.05</v>
      </c>
      <c r="F1254" s="6635">
        <f>D1254*E1254</f>
        <v>10000000</v>
      </c>
      <c r="G1254" s="6635">
        <v>10000000</v>
      </c>
      <c r="H1254" s="6635" t="s">
        <v>8042</v>
      </c>
      <c r="I1254" s="6635" t="s">
        <v>8047</v>
      </c>
      <c r="J1254" s="6635">
        <f>G1254</f>
        <v>10000000</v>
      </c>
      <c r="K1254" s="6635">
        <f>F1254-J1254</f>
        <v>0</v>
      </c>
      <c r="L1254" s="6724"/>
      <c r="M1254" s="386"/>
      <c r="N1254" s="386"/>
      <c r="O1254" s="386"/>
      <c r="P1254" s="386"/>
      <c r="Q1254" s="386"/>
    </row>
    <row r="1255" spans="1:17" s="1659" customFormat="1" ht="30" customHeight="1" x14ac:dyDescent="0.2">
      <c r="A1255" s="7703"/>
      <c r="B1255" s="7652" t="s">
        <v>3612</v>
      </c>
      <c r="C1255" s="7723" t="s">
        <v>2278</v>
      </c>
      <c r="D1255" s="6635">
        <v>100000000</v>
      </c>
      <c r="E1255" s="6705">
        <v>0.05</v>
      </c>
      <c r="F1255" s="6635">
        <f t="shared" ref="F1255:F1268" si="104">D1255*E1255</f>
        <v>5000000</v>
      </c>
      <c r="G1255" s="7732" t="s">
        <v>6812</v>
      </c>
      <c r="H1255" s="7733"/>
      <c r="I1255" s="7733"/>
      <c r="J1255" s="7734"/>
      <c r="K1255" s="6635">
        <f>F1255-J1255</f>
        <v>5000000</v>
      </c>
      <c r="L1255" s="6724" t="s">
        <v>6881</v>
      </c>
      <c r="M1255" s="386"/>
      <c r="N1255" s="386"/>
      <c r="O1255" s="386"/>
      <c r="P1255" s="386"/>
      <c r="Q1255" s="386"/>
    </row>
    <row r="1256" spans="1:17" s="1659" customFormat="1" ht="30" customHeight="1" x14ac:dyDescent="0.2">
      <c r="A1256" s="7704"/>
      <c r="B1256" s="7665"/>
      <c r="C1256" s="7747"/>
      <c r="D1256" s="6635">
        <v>100000000</v>
      </c>
      <c r="E1256" s="6705">
        <v>0.05</v>
      </c>
      <c r="F1256" s="6635">
        <f>D1256*E1256</f>
        <v>5000000</v>
      </c>
      <c r="G1256" s="7732" t="s">
        <v>6875</v>
      </c>
      <c r="H1256" s="7733"/>
      <c r="I1256" s="7733"/>
      <c r="J1256" s="7734"/>
      <c r="K1256" s="6635"/>
      <c r="L1256" s="6724" t="s">
        <v>6879</v>
      </c>
      <c r="M1256" s="386"/>
      <c r="N1256" s="386"/>
      <c r="O1256" s="386"/>
      <c r="P1256" s="386"/>
      <c r="Q1256" s="386"/>
    </row>
    <row r="1257" spans="1:17" s="1659" customFormat="1" ht="30" customHeight="1" x14ac:dyDescent="0.2">
      <c r="A1257" s="7704"/>
      <c r="B1257" s="7665"/>
      <c r="C1257" s="7747"/>
      <c r="D1257" s="8026">
        <v>200000000</v>
      </c>
      <c r="E1257" s="8028">
        <v>0.05</v>
      </c>
      <c r="F1257" s="8026">
        <f>D1257*E1257</f>
        <v>10000000</v>
      </c>
      <c r="G1257" s="6635">
        <v>2000000</v>
      </c>
      <c r="H1257" s="6635" t="s">
        <v>8240</v>
      </c>
      <c r="I1257" s="6635" t="s">
        <v>4125</v>
      </c>
      <c r="J1257" s="7563">
        <f>G1257+G1258</f>
        <v>10000000</v>
      </c>
      <c r="K1257" s="7563">
        <f>F1257-J1257</f>
        <v>0</v>
      </c>
      <c r="L1257" s="6724"/>
      <c r="M1257" s="386"/>
      <c r="N1257" s="386"/>
      <c r="O1257" s="386"/>
      <c r="P1257" s="386"/>
      <c r="Q1257" s="386"/>
    </row>
    <row r="1258" spans="1:17" s="1659" customFormat="1" ht="30" customHeight="1" x14ac:dyDescent="0.2">
      <c r="A1258" s="7705"/>
      <c r="B1258" s="7653"/>
      <c r="C1258" s="7724"/>
      <c r="D1258" s="8027"/>
      <c r="E1258" s="8029"/>
      <c r="F1258" s="8027"/>
      <c r="G1258" s="7086">
        <v>8000000</v>
      </c>
      <c r="H1258" s="7086" t="s">
        <v>8247</v>
      </c>
      <c r="I1258" s="7086" t="s">
        <v>8258</v>
      </c>
      <c r="J1258" s="7564"/>
      <c r="K1258" s="7564"/>
      <c r="L1258" s="7093"/>
      <c r="M1258" s="386"/>
      <c r="N1258" s="386"/>
      <c r="O1258" s="386"/>
      <c r="P1258" s="386"/>
      <c r="Q1258" s="386"/>
    </row>
    <row r="1259" spans="1:17" s="1659" customFormat="1" ht="30" customHeight="1" x14ac:dyDescent="0.2">
      <c r="A1259" s="6727"/>
      <c r="B1259" s="6665" t="s">
        <v>4055</v>
      </c>
      <c r="C1259" s="6710" t="s">
        <v>2278</v>
      </c>
      <c r="D1259" s="6635">
        <v>200000000</v>
      </c>
      <c r="E1259" s="6705">
        <v>0.05</v>
      </c>
      <c r="F1259" s="6635">
        <f>D1259*E1259</f>
        <v>10000000</v>
      </c>
      <c r="G1259" s="6635">
        <v>10000000</v>
      </c>
      <c r="H1259" s="6635" t="s">
        <v>5244</v>
      </c>
      <c r="I1259" s="6635" t="s">
        <v>6428</v>
      </c>
      <c r="J1259" s="6635">
        <f>G1259</f>
        <v>10000000</v>
      </c>
      <c r="K1259" s="6635">
        <f>F1259-J1259</f>
        <v>0</v>
      </c>
      <c r="L1259" s="1660" t="s">
        <v>4520</v>
      </c>
      <c r="M1259" s="386"/>
      <c r="N1259" s="386"/>
      <c r="O1259" s="386"/>
      <c r="P1259" s="386"/>
      <c r="Q1259" s="386"/>
    </row>
    <row r="1260" spans="1:17" s="1659" customFormat="1" ht="30" customHeight="1" x14ac:dyDescent="0.2">
      <c r="A1260" s="7703"/>
      <c r="B1260" s="7652" t="s">
        <v>3674</v>
      </c>
      <c r="C1260" s="7723" t="s">
        <v>402</v>
      </c>
      <c r="D1260" s="7563">
        <v>1300000000</v>
      </c>
      <c r="E1260" s="7659">
        <v>7.0000000000000007E-2</v>
      </c>
      <c r="F1260" s="7563">
        <f t="shared" si="104"/>
        <v>91000000.000000015</v>
      </c>
      <c r="G1260" s="6635">
        <v>10000000</v>
      </c>
      <c r="H1260" s="6635" t="s">
        <v>3808</v>
      </c>
      <c r="I1260" s="6635" t="s">
        <v>1613</v>
      </c>
      <c r="J1260" s="7563">
        <f>G1260+G1261</f>
        <v>20000000</v>
      </c>
      <c r="K1260" s="7563"/>
      <c r="L1260" s="6724" t="s">
        <v>3709</v>
      </c>
      <c r="M1260" s="386"/>
      <c r="N1260" s="386"/>
      <c r="O1260" s="386"/>
      <c r="P1260" s="386"/>
      <c r="Q1260" s="386"/>
    </row>
    <row r="1261" spans="1:17" s="1659" customFormat="1" ht="30" customHeight="1" x14ac:dyDescent="0.2">
      <c r="A1261" s="7704"/>
      <c r="B1261" s="7665"/>
      <c r="C1261" s="7747"/>
      <c r="D1261" s="7564"/>
      <c r="E1261" s="7660"/>
      <c r="F1261" s="7564"/>
      <c r="G1261" s="6635">
        <v>10000000</v>
      </c>
      <c r="H1261" s="6635" t="s">
        <v>8424</v>
      </c>
      <c r="I1261" s="6635" t="s">
        <v>7872</v>
      </c>
      <c r="J1261" s="7564"/>
      <c r="K1261" s="7564"/>
      <c r="L1261" s="6724"/>
      <c r="M1261" s="386"/>
      <c r="N1261" s="386"/>
      <c r="O1261" s="386"/>
      <c r="P1261" s="386"/>
      <c r="Q1261" s="386"/>
    </row>
    <row r="1262" spans="1:17" s="1659" customFormat="1" ht="30" customHeight="1" x14ac:dyDescent="0.2">
      <c r="A1262" s="7704"/>
      <c r="B1262" s="7665"/>
      <c r="C1262" s="7747"/>
      <c r="D1262" s="6643">
        <v>500000000</v>
      </c>
      <c r="E1262" s="6649"/>
      <c r="F1262" s="6643"/>
      <c r="G1262" s="6635"/>
      <c r="H1262" s="6635"/>
      <c r="I1262" s="6635"/>
      <c r="J1262" s="6643"/>
      <c r="K1262" s="6643"/>
      <c r="L1262" s="6724" t="s">
        <v>7167</v>
      </c>
      <c r="M1262" s="386"/>
      <c r="N1262" s="386"/>
      <c r="O1262" s="386"/>
      <c r="P1262" s="386"/>
      <c r="Q1262" s="386"/>
    </row>
    <row r="1263" spans="1:17" s="1659" customFormat="1" ht="30" customHeight="1" x14ac:dyDescent="0.2">
      <c r="A1263" s="7704"/>
      <c r="B1263" s="7665"/>
      <c r="C1263" s="7747"/>
      <c r="D1263" s="7991" t="s">
        <v>8206</v>
      </c>
      <c r="E1263" s="7992"/>
      <c r="F1263" s="7993"/>
      <c r="G1263" s="7020"/>
      <c r="H1263" s="7020"/>
      <c r="I1263" s="7020"/>
      <c r="J1263" s="7022"/>
      <c r="K1263" s="7022"/>
      <c r="L1263" s="7044"/>
      <c r="M1263" s="386"/>
      <c r="N1263" s="386"/>
      <c r="O1263" s="386"/>
      <c r="P1263" s="386"/>
      <c r="Q1263" s="386"/>
    </row>
    <row r="1264" spans="1:17" s="1659" customFormat="1" ht="30" customHeight="1" x14ac:dyDescent="0.2">
      <c r="A1264" s="7705"/>
      <c r="B1264" s="7653"/>
      <c r="C1264" s="7724"/>
      <c r="D1264" s="7997"/>
      <c r="E1264" s="7998"/>
      <c r="F1264" s="7999"/>
      <c r="G1264" s="7020"/>
      <c r="H1264" s="7020"/>
      <c r="I1264" s="7020"/>
      <c r="J1264" s="7022"/>
      <c r="K1264" s="7022"/>
      <c r="L1264" s="7044"/>
      <c r="M1264" s="386"/>
      <c r="N1264" s="386"/>
      <c r="O1264" s="386"/>
      <c r="P1264" s="386"/>
      <c r="Q1264" s="386"/>
    </row>
    <row r="1265" spans="1:17" s="1659" customFormat="1" ht="30" customHeight="1" x14ac:dyDescent="0.2">
      <c r="A1265" s="7703"/>
      <c r="B1265" s="7652" t="s">
        <v>3707</v>
      </c>
      <c r="C1265" s="7723" t="s">
        <v>3390</v>
      </c>
      <c r="D1265" s="7563">
        <v>10000000</v>
      </c>
      <c r="E1265" s="7659">
        <v>0.05</v>
      </c>
      <c r="F1265" s="7563">
        <f t="shared" si="104"/>
        <v>500000</v>
      </c>
      <c r="G1265" s="6635"/>
      <c r="H1265" s="6635"/>
      <c r="I1265" s="6635" t="s">
        <v>6570</v>
      </c>
      <c r="J1265" s="6635">
        <f>G1265</f>
        <v>0</v>
      </c>
      <c r="K1265" s="6635">
        <f>F1265-J1265</f>
        <v>500000</v>
      </c>
      <c r="L1265" s="6724"/>
      <c r="M1265" s="386"/>
      <c r="N1265" s="386"/>
      <c r="O1265" s="386"/>
      <c r="P1265" s="386"/>
      <c r="Q1265" s="386"/>
    </row>
    <row r="1266" spans="1:17" s="1659" customFormat="1" ht="30" customHeight="1" x14ac:dyDescent="0.2">
      <c r="A1266" s="7705"/>
      <c r="B1266" s="7653"/>
      <c r="C1266" s="7724"/>
      <c r="D1266" s="7564"/>
      <c r="E1266" s="7660"/>
      <c r="F1266" s="7564"/>
      <c r="G1266" s="6635"/>
      <c r="H1266" s="6635"/>
      <c r="I1266" s="6635" t="s">
        <v>6570</v>
      </c>
      <c r="J1266" s="6635">
        <f>G1266</f>
        <v>0</v>
      </c>
      <c r="K1266" s="6635">
        <f>F1265-J1266</f>
        <v>500000</v>
      </c>
      <c r="L1266" s="6724"/>
      <c r="M1266" s="386"/>
      <c r="N1266" s="386"/>
      <c r="O1266" s="386"/>
      <c r="P1266" s="386"/>
      <c r="Q1266" s="386"/>
    </row>
    <row r="1267" spans="1:17" s="1659" customFormat="1" ht="30" customHeight="1" x14ac:dyDescent="0.2">
      <c r="A1267" s="7703"/>
      <c r="B1267" s="7652" t="s">
        <v>3710</v>
      </c>
      <c r="C1267" s="7723" t="s">
        <v>262</v>
      </c>
      <c r="D1267" s="6635">
        <v>58000000</v>
      </c>
      <c r="E1267" s="6705">
        <v>0.05</v>
      </c>
      <c r="F1267" s="6635">
        <f t="shared" si="104"/>
        <v>2900000</v>
      </c>
      <c r="G1267" s="6635"/>
      <c r="H1267" s="6635"/>
      <c r="I1267" s="6635"/>
      <c r="J1267" s="6635"/>
      <c r="K1267" s="6635"/>
      <c r="L1267" s="6724"/>
      <c r="M1267" s="386"/>
      <c r="N1267" s="386"/>
      <c r="O1267" s="386"/>
      <c r="P1267" s="386"/>
      <c r="Q1267" s="386"/>
    </row>
    <row r="1268" spans="1:17" s="1659" customFormat="1" ht="30" customHeight="1" x14ac:dyDescent="0.2">
      <c r="A1268" s="7704"/>
      <c r="B1268" s="7665"/>
      <c r="C1268" s="7747"/>
      <c r="D1268" s="6635">
        <v>39500000</v>
      </c>
      <c r="E1268" s="6705">
        <v>0.05</v>
      </c>
      <c r="F1268" s="6635">
        <f t="shared" si="104"/>
        <v>1975000</v>
      </c>
      <c r="G1268" s="6635"/>
      <c r="H1268" s="6635"/>
      <c r="I1268" s="6635"/>
      <c r="J1268" s="6635"/>
      <c r="K1268" s="6635"/>
      <c r="L1268" s="6724" t="s">
        <v>5276</v>
      </c>
      <c r="M1268" s="386"/>
      <c r="N1268" s="386"/>
      <c r="O1268" s="386"/>
      <c r="P1268" s="386"/>
      <c r="Q1268" s="386"/>
    </row>
    <row r="1269" spans="1:17" s="1659" customFormat="1" ht="30" customHeight="1" x14ac:dyDescent="0.2">
      <c r="A1269" s="7705"/>
      <c r="B1269" s="7653"/>
      <c r="C1269" s="7724"/>
      <c r="D1269" s="6769">
        <f>D1267+D1268</f>
        <v>97500000</v>
      </c>
      <c r="E1269" s="6789"/>
      <c r="F1269" s="6769"/>
      <c r="G1269" s="6635"/>
      <c r="H1269" s="6635"/>
      <c r="I1269" s="6635"/>
      <c r="J1269" s="6635"/>
      <c r="K1269" s="6635"/>
      <c r="L1269" s="6724"/>
      <c r="M1269" s="386"/>
      <c r="N1269" s="386"/>
      <c r="O1269" s="386"/>
      <c r="P1269" s="386"/>
      <c r="Q1269" s="386"/>
    </row>
    <row r="1270" spans="1:17" s="1659" customFormat="1" ht="30" customHeight="1" x14ac:dyDescent="0.2">
      <c r="A1270" s="6727"/>
      <c r="B1270" s="6665" t="s">
        <v>3742</v>
      </c>
      <c r="C1270" s="6710" t="s">
        <v>1300</v>
      </c>
      <c r="D1270" s="6635">
        <v>100000000</v>
      </c>
      <c r="E1270" s="6705">
        <v>0.05</v>
      </c>
      <c r="F1270" s="6635">
        <f>D1270*E1270</f>
        <v>5000000</v>
      </c>
      <c r="G1270" s="6635">
        <v>5000000</v>
      </c>
      <c r="H1270" s="6635" t="s">
        <v>8186</v>
      </c>
      <c r="I1270" s="6635" t="s">
        <v>4776</v>
      </c>
      <c r="J1270" s="6635">
        <f>G1270</f>
        <v>5000000</v>
      </c>
      <c r="K1270" s="6635">
        <f>F1270-J1270</f>
        <v>0</v>
      </c>
      <c r="L1270" s="6724"/>
      <c r="M1270" s="386"/>
      <c r="N1270" s="386"/>
      <c r="O1270" s="386"/>
      <c r="P1270" s="386"/>
      <c r="Q1270" s="386"/>
    </row>
    <row r="1271" spans="1:17" s="1659" customFormat="1" ht="30" customHeight="1" x14ac:dyDescent="0.2">
      <c r="A1271" s="6727"/>
      <c r="B1271" s="6665" t="s">
        <v>3743</v>
      </c>
      <c r="C1271" s="6710" t="s">
        <v>1300</v>
      </c>
      <c r="D1271" s="6643">
        <v>96000000</v>
      </c>
      <c r="E1271" s="6649">
        <v>0.05</v>
      </c>
      <c r="F1271" s="6643">
        <v>5000000</v>
      </c>
      <c r="G1271" s="6635">
        <v>5000000</v>
      </c>
      <c r="H1271" s="6635" t="s">
        <v>8215</v>
      </c>
      <c r="I1271" s="6635" t="s">
        <v>3525</v>
      </c>
      <c r="J1271" s="6635">
        <f>G1271</f>
        <v>5000000</v>
      </c>
      <c r="K1271" s="6635">
        <f>F1271-J1271</f>
        <v>0</v>
      </c>
      <c r="L1271" s="6724"/>
      <c r="M1271" s="386"/>
      <c r="N1271" s="386"/>
      <c r="O1271" s="386"/>
      <c r="P1271" s="386"/>
      <c r="Q1271" s="386"/>
    </row>
    <row r="1272" spans="1:17" s="1659" customFormat="1" ht="30" customHeight="1" x14ac:dyDescent="0.2">
      <c r="A1272" s="6727"/>
      <c r="B1272" s="6665" t="s">
        <v>3871</v>
      </c>
      <c r="C1272" s="6710" t="s">
        <v>3390</v>
      </c>
      <c r="D1272" s="6635">
        <v>50000000</v>
      </c>
      <c r="E1272" s="6649">
        <v>0.05</v>
      </c>
      <c r="F1272" s="6643">
        <f>D1272*E1272</f>
        <v>2500000</v>
      </c>
      <c r="G1272" s="6643"/>
      <c r="H1272" s="6643"/>
      <c r="I1272" s="6693"/>
      <c r="J1272" s="6643"/>
      <c r="K1272" s="6643"/>
      <c r="L1272" s="6724"/>
      <c r="M1272" s="386"/>
      <c r="N1272" s="386"/>
      <c r="O1272" s="386"/>
      <c r="P1272" s="386"/>
      <c r="Q1272" s="386"/>
    </row>
    <row r="1273" spans="1:17" s="1659" customFormat="1" ht="30" customHeight="1" x14ac:dyDescent="0.2">
      <c r="A1273" s="6727"/>
      <c r="B1273" s="6665" t="s">
        <v>3890</v>
      </c>
      <c r="C1273" s="6710"/>
      <c r="D1273" s="6644"/>
      <c r="E1273" s="6644"/>
      <c r="F1273" s="6644"/>
      <c r="G1273" s="6643"/>
      <c r="H1273" s="6643"/>
      <c r="I1273" s="6693" t="s">
        <v>3891</v>
      </c>
      <c r="J1273" s="6643">
        <f>G1273</f>
        <v>0</v>
      </c>
      <c r="K1273" s="6643">
        <f>F1273-J1273</f>
        <v>0</v>
      </c>
      <c r="L1273" s="6724"/>
      <c r="M1273" s="386"/>
      <c r="N1273" s="386"/>
      <c r="O1273" s="386"/>
      <c r="P1273" s="386"/>
      <c r="Q1273" s="386"/>
    </row>
    <row r="1274" spans="1:17" s="1659" customFormat="1" ht="30" customHeight="1" x14ac:dyDescent="0.2">
      <c r="A1274" s="7703"/>
      <c r="B1274" s="7652" t="s">
        <v>3895</v>
      </c>
      <c r="C1274" s="7723" t="s">
        <v>4105</v>
      </c>
      <c r="D1274" s="6635">
        <v>120000000</v>
      </c>
      <c r="E1274" s="6649">
        <v>0.05</v>
      </c>
      <c r="F1274" s="6643">
        <f t="shared" ref="F1274:F1287" si="105">D1274*E1274</f>
        <v>6000000</v>
      </c>
      <c r="G1274" s="7563">
        <v>8100000</v>
      </c>
      <c r="H1274" s="7563" t="s">
        <v>3808</v>
      </c>
      <c r="I1274" s="7563" t="s">
        <v>4313</v>
      </c>
      <c r="J1274" s="7563">
        <f>G1274</f>
        <v>8100000</v>
      </c>
      <c r="K1274" s="7563">
        <f>(F1274+F1275)-J1274</f>
        <v>0</v>
      </c>
      <c r="L1274" s="7811"/>
      <c r="M1274" s="386"/>
      <c r="N1274" s="386"/>
      <c r="O1274" s="386"/>
      <c r="P1274" s="386"/>
      <c r="Q1274" s="386"/>
    </row>
    <row r="1275" spans="1:17" s="1659" customFormat="1" ht="30" customHeight="1" x14ac:dyDescent="0.2">
      <c r="A1275" s="7704"/>
      <c r="B1275" s="7665"/>
      <c r="C1275" s="7747"/>
      <c r="D1275" s="6643">
        <v>30000000</v>
      </c>
      <c r="E1275" s="6649">
        <v>7.0000000000000007E-2</v>
      </c>
      <c r="F1275" s="6643">
        <f t="shared" si="105"/>
        <v>2100000</v>
      </c>
      <c r="G1275" s="7564"/>
      <c r="H1275" s="7564"/>
      <c r="I1275" s="7564"/>
      <c r="J1275" s="7564"/>
      <c r="K1275" s="7564"/>
      <c r="L1275" s="7812"/>
      <c r="M1275" s="386"/>
      <c r="N1275" s="386"/>
      <c r="O1275" s="386"/>
      <c r="P1275" s="386"/>
      <c r="Q1275" s="386"/>
    </row>
    <row r="1276" spans="1:17" s="1659" customFormat="1" ht="30" customHeight="1" x14ac:dyDescent="0.2">
      <c r="A1276" s="7704"/>
      <c r="B1276" s="7665"/>
      <c r="C1276" s="7747"/>
      <c r="D1276" s="6635">
        <v>120000000</v>
      </c>
      <c r="E1276" s="6649">
        <v>0.05</v>
      </c>
      <c r="F1276" s="6643">
        <f t="shared" si="105"/>
        <v>6000000</v>
      </c>
      <c r="G1276" s="7563">
        <v>8100000</v>
      </c>
      <c r="H1276" s="7563" t="s">
        <v>5244</v>
      </c>
      <c r="I1276" s="7563" t="s">
        <v>4313</v>
      </c>
      <c r="J1276" s="7563">
        <f>G1276</f>
        <v>8100000</v>
      </c>
      <c r="K1276" s="7563">
        <f>(F1276+F1277)-J1276</f>
        <v>0</v>
      </c>
      <c r="L1276" s="7811"/>
      <c r="M1276" s="386"/>
      <c r="N1276" s="386"/>
      <c r="O1276" s="386"/>
      <c r="P1276" s="386"/>
      <c r="Q1276" s="386"/>
    </row>
    <row r="1277" spans="1:17" s="1659" customFormat="1" ht="30" customHeight="1" x14ac:dyDescent="0.2">
      <c r="A1277" s="7705"/>
      <c r="B1277" s="7653"/>
      <c r="C1277" s="7724"/>
      <c r="D1277" s="6643">
        <v>30000000</v>
      </c>
      <c r="E1277" s="6649">
        <v>7.0000000000000007E-2</v>
      </c>
      <c r="F1277" s="6643">
        <f t="shared" si="105"/>
        <v>2100000</v>
      </c>
      <c r="G1277" s="7564"/>
      <c r="H1277" s="7564"/>
      <c r="I1277" s="7564"/>
      <c r="J1277" s="7564"/>
      <c r="K1277" s="7564"/>
      <c r="L1277" s="7812"/>
      <c r="M1277" s="386"/>
      <c r="N1277" s="386"/>
      <c r="O1277" s="386"/>
      <c r="P1277" s="386"/>
      <c r="Q1277" s="386"/>
    </row>
    <row r="1278" spans="1:17" s="1659" customFormat="1" ht="30" customHeight="1" x14ac:dyDescent="0.2">
      <c r="A1278" s="7703"/>
      <c r="B1278" s="7652" t="s">
        <v>3956</v>
      </c>
      <c r="C1278" s="7723" t="s">
        <v>3390</v>
      </c>
      <c r="D1278" s="7563">
        <v>50000000</v>
      </c>
      <c r="E1278" s="7659">
        <v>0.05</v>
      </c>
      <c r="F1278" s="7563">
        <f t="shared" si="105"/>
        <v>2500000</v>
      </c>
      <c r="G1278" s="6643"/>
      <c r="H1278" s="6643"/>
      <c r="I1278" s="6693" t="s">
        <v>4121</v>
      </c>
      <c r="J1278" s="6643">
        <f>G1278</f>
        <v>0</v>
      </c>
      <c r="K1278" s="6643">
        <f>F1278-J1278</f>
        <v>2500000</v>
      </c>
      <c r="L1278" s="6724"/>
      <c r="M1278" s="386"/>
      <c r="N1278" s="386"/>
      <c r="O1278" s="386"/>
      <c r="P1278" s="386"/>
      <c r="Q1278" s="386"/>
    </row>
    <row r="1279" spans="1:17" s="1659" customFormat="1" ht="30" customHeight="1" x14ac:dyDescent="0.2">
      <c r="A1279" s="7705"/>
      <c r="B1279" s="7653"/>
      <c r="C1279" s="7724"/>
      <c r="D1279" s="7564"/>
      <c r="E1279" s="7660"/>
      <c r="F1279" s="7564"/>
      <c r="G1279" s="6643"/>
      <c r="H1279" s="6643"/>
      <c r="I1279" s="6693" t="s">
        <v>4121</v>
      </c>
      <c r="J1279" s="6643">
        <f>G1279</f>
        <v>0</v>
      </c>
      <c r="K1279" s="6643">
        <f>F1278-J1279</f>
        <v>2500000</v>
      </c>
      <c r="L1279" s="6724"/>
      <c r="M1279" s="386"/>
      <c r="N1279" s="386"/>
      <c r="O1279" s="386"/>
      <c r="P1279" s="386"/>
      <c r="Q1279" s="386"/>
    </row>
    <row r="1280" spans="1:17" s="1659" customFormat="1" ht="30" customHeight="1" x14ac:dyDescent="0.2">
      <c r="A1280" s="7703"/>
      <c r="B1280" s="7717" t="s">
        <v>4902</v>
      </c>
      <c r="C1280" s="7873" t="s">
        <v>942</v>
      </c>
      <c r="D1280" s="7482">
        <v>800000000</v>
      </c>
      <c r="E1280" s="7870">
        <v>6.5000000000000002E-2</v>
      </c>
      <c r="F1280" s="7778">
        <f t="shared" si="105"/>
        <v>52000000</v>
      </c>
      <c r="G1280" s="6635">
        <v>15000000</v>
      </c>
      <c r="H1280" s="6635" t="s">
        <v>7945</v>
      </c>
      <c r="I1280" s="6635" t="s">
        <v>4147</v>
      </c>
      <c r="J1280" s="7563">
        <f>G1280+G1281+G1284+G1282</f>
        <v>77000000</v>
      </c>
      <c r="K1280" s="7563"/>
      <c r="L1280" s="7696"/>
      <c r="M1280" s="386"/>
      <c r="N1280" s="386"/>
      <c r="O1280" s="386"/>
      <c r="P1280" s="386"/>
      <c r="Q1280" s="386"/>
    </row>
    <row r="1281" spans="1:17" s="1659" customFormat="1" ht="30" customHeight="1" x14ac:dyDescent="0.2">
      <c r="A1281" s="7704"/>
      <c r="B1281" s="7717"/>
      <c r="C1281" s="7873"/>
      <c r="D1281" s="7482"/>
      <c r="E1281" s="7870"/>
      <c r="F1281" s="7778"/>
      <c r="G1281" s="6635">
        <v>20000000</v>
      </c>
      <c r="H1281" s="6635" t="s">
        <v>7945</v>
      </c>
      <c r="I1281" s="6635" t="s">
        <v>4147</v>
      </c>
      <c r="J1281" s="7586"/>
      <c r="K1281" s="7586"/>
      <c r="L1281" s="8635"/>
      <c r="M1281" s="386"/>
      <c r="N1281" s="386"/>
      <c r="O1281" s="386"/>
      <c r="P1281" s="386"/>
      <c r="Q1281" s="386"/>
    </row>
    <row r="1282" spans="1:17" s="1659" customFormat="1" ht="30" customHeight="1" x14ac:dyDescent="0.2">
      <c r="A1282" s="7704"/>
      <c r="B1282" s="7717"/>
      <c r="C1282" s="7873"/>
      <c r="D1282" s="7482"/>
      <c r="E1282" s="7870"/>
      <c r="F1282" s="7778"/>
      <c r="G1282" s="7292">
        <v>21000000</v>
      </c>
      <c r="H1282" s="7292" t="s">
        <v>8164</v>
      </c>
      <c r="I1282" s="7292" t="s">
        <v>4147</v>
      </c>
      <c r="J1282" s="7586"/>
      <c r="K1282" s="7586"/>
      <c r="L1282" s="7353"/>
      <c r="M1282" s="386"/>
      <c r="N1282" s="386"/>
      <c r="O1282" s="386"/>
      <c r="P1282" s="386"/>
      <c r="Q1282" s="386"/>
    </row>
    <row r="1283" spans="1:17" s="1659" customFormat="1" ht="30" customHeight="1" x14ac:dyDescent="0.2">
      <c r="A1283" s="7704"/>
      <c r="B1283" s="7717"/>
      <c r="C1283" s="7873"/>
      <c r="D1283" s="7482"/>
      <c r="E1283" s="7870"/>
      <c r="F1283" s="7778"/>
      <c r="G1283" s="7394">
        <v>15000000</v>
      </c>
      <c r="H1283" s="7394" t="s">
        <v>8424</v>
      </c>
      <c r="I1283" s="7394" t="s">
        <v>4147</v>
      </c>
      <c r="J1283" s="7586"/>
      <c r="K1283" s="7586"/>
      <c r="L1283" s="7424"/>
      <c r="M1283" s="386"/>
      <c r="N1283" s="386"/>
      <c r="O1283" s="386"/>
      <c r="P1283" s="386"/>
      <c r="Q1283" s="386"/>
    </row>
    <row r="1284" spans="1:17" s="1659" customFormat="1" ht="30" customHeight="1" x14ac:dyDescent="0.2">
      <c r="A1284" s="7705"/>
      <c r="B1284" s="7717"/>
      <c r="C1284" s="7873"/>
      <c r="D1284" s="7482"/>
      <c r="E1284" s="7870"/>
      <c r="F1284" s="7778"/>
      <c r="G1284" s="6635">
        <v>21000000</v>
      </c>
      <c r="H1284" s="6635" t="s">
        <v>8483</v>
      </c>
      <c r="I1284" s="6635" t="s">
        <v>4147</v>
      </c>
      <c r="J1284" s="7564"/>
      <c r="K1284" s="7564"/>
      <c r="L1284" s="6873"/>
      <c r="M1284" s="386"/>
      <c r="N1284" s="386"/>
      <c r="O1284" s="386"/>
      <c r="P1284" s="386"/>
      <c r="Q1284" s="386"/>
    </row>
    <row r="1285" spans="1:17" s="1659" customFormat="1" ht="30" customHeight="1" x14ac:dyDescent="0.2">
      <c r="A1285" s="7703"/>
      <c r="B1285" s="7665" t="s">
        <v>3964</v>
      </c>
      <c r="C1285" s="7747" t="s">
        <v>4223</v>
      </c>
      <c r="D1285" s="6643">
        <v>58000000</v>
      </c>
      <c r="E1285" s="6649">
        <v>0.05</v>
      </c>
      <c r="F1285" s="6643">
        <f t="shared" si="105"/>
        <v>2900000</v>
      </c>
      <c r="G1285" s="7586">
        <v>5000000</v>
      </c>
      <c r="H1285" s="7586" t="s">
        <v>8247</v>
      </c>
      <c r="I1285" s="7586" t="s">
        <v>5535</v>
      </c>
      <c r="J1285" s="7586">
        <f>G1285</f>
        <v>5000000</v>
      </c>
      <c r="K1285" s="7586">
        <f>(F1285+F1286)-J1285</f>
        <v>-100000</v>
      </c>
      <c r="L1285" s="6724"/>
      <c r="M1285" s="386"/>
      <c r="N1285" s="386"/>
      <c r="O1285" s="386"/>
      <c r="P1285" s="386"/>
      <c r="Q1285" s="386"/>
    </row>
    <row r="1286" spans="1:17" s="1659" customFormat="1" ht="30" customHeight="1" x14ac:dyDescent="0.2">
      <c r="A1286" s="7705"/>
      <c r="B1286" s="7653"/>
      <c r="C1286" s="7724"/>
      <c r="D1286" s="6643">
        <v>40000000</v>
      </c>
      <c r="E1286" s="6649">
        <v>0.05</v>
      </c>
      <c r="F1286" s="6643">
        <f t="shared" si="105"/>
        <v>2000000</v>
      </c>
      <c r="G1286" s="7564"/>
      <c r="H1286" s="7564"/>
      <c r="I1286" s="7564"/>
      <c r="J1286" s="7564"/>
      <c r="K1286" s="7564"/>
      <c r="L1286" s="6724"/>
      <c r="M1286" s="386"/>
      <c r="N1286" s="386"/>
      <c r="O1286" s="386"/>
      <c r="P1286" s="386"/>
      <c r="Q1286" s="386"/>
    </row>
    <row r="1287" spans="1:17" s="1659" customFormat="1" ht="30" customHeight="1" x14ac:dyDescent="0.2">
      <c r="A1287" s="7703"/>
      <c r="B1287" s="7652" t="s">
        <v>896</v>
      </c>
      <c r="C1287" s="6710"/>
      <c r="D1287" s="6643">
        <v>130000000</v>
      </c>
      <c r="E1287" s="6649">
        <v>0.05</v>
      </c>
      <c r="F1287" s="6643">
        <f t="shared" si="105"/>
        <v>6500000</v>
      </c>
      <c r="G1287" s="6643">
        <v>6500000</v>
      </c>
      <c r="H1287" s="6643" t="s">
        <v>6460</v>
      </c>
      <c r="I1287" s="6693" t="s">
        <v>7566</v>
      </c>
      <c r="J1287" s="6643">
        <f t="shared" ref="J1287:J1290" si="106">G1287</f>
        <v>6500000</v>
      </c>
      <c r="K1287" s="6643">
        <f>F1287-J1287</f>
        <v>0</v>
      </c>
      <c r="L1287" s="6724"/>
      <c r="M1287" s="386"/>
      <c r="N1287" s="386"/>
      <c r="O1287" s="386"/>
      <c r="P1287" s="386"/>
      <c r="Q1287" s="386"/>
    </row>
    <row r="1288" spans="1:17" s="1659" customFormat="1" ht="30" customHeight="1" x14ac:dyDescent="0.2">
      <c r="A1288" s="7704"/>
      <c r="B1288" s="7665"/>
      <c r="C1288" s="6710" t="s">
        <v>262</v>
      </c>
      <c r="D1288" s="6635">
        <v>342000000</v>
      </c>
      <c r="E1288" s="6649">
        <v>5.5E-2</v>
      </c>
      <c r="F1288" s="6635">
        <v>18800000</v>
      </c>
      <c r="G1288" s="6635">
        <v>18800000</v>
      </c>
      <c r="H1288" s="6635" t="s">
        <v>8267</v>
      </c>
      <c r="I1288" s="6635" t="s">
        <v>7566</v>
      </c>
      <c r="J1288" s="6635">
        <f>G1288</f>
        <v>18800000</v>
      </c>
      <c r="K1288" s="6643">
        <f>F1288-J1288</f>
        <v>0</v>
      </c>
      <c r="L1288" s="6724" t="s">
        <v>7348</v>
      </c>
      <c r="M1288" s="386"/>
      <c r="N1288" s="386"/>
      <c r="O1288" s="386"/>
      <c r="P1288" s="386"/>
      <c r="Q1288" s="386"/>
    </row>
    <row r="1289" spans="1:17" s="1659" customFormat="1" ht="30" customHeight="1" x14ac:dyDescent="0.2">
      <c r="A1289" s="6727"/>
      <c r="B1289" s="6665" t="s">
        <v>4014</v>
      </c>
      <c r="C1289" s="6684" t="s">
        <v>4223</v>
      </c>
      <c r="D1289" s="6643">
        <v>100000000</v>
      </c>
      <c r="E1289" s="6649">
        <v>0.06</v>
      </c>
      <c r="F1289" s="6643">
        <f>D1289*E1289</f>
        <v>6000000</v>
      </c>
      <c r="G1289" s="6635"/>
      <c r="H1289" s="6635"/>
      <c r="I1289" s="6635" t="s">
        <v>5085</v>
      </c>
      <c r="J1289" s="6635">
        <f t="shared" si="106"/>
        <v>0</v>
      </c>
      <c r="K1289" s="6643">
        <f>F1289-J1289</f>
        <v>6000000</v>
      </c>
      <c r="L1289" s="6724"/>
      <c r="M1289" s="386"/>
      <c r="N1289" s="386"/>
      <c r="O1289" s="386"/>
      <c r="P1289" s="386"/>
      <c r="Q1289" s="386"/>
    </row>
    <row r="1290" spans="1:17" s="1659" customFormat="1" ht="30" customHeight="1" x14ac:dyDescent="0.2">
      <c r="A1290" s="7703"/>
      <c r="B1290" s="7652" t="s">
        <v>4025</v>
      </c>
      <c r="C1290" s="7723" t="s">
        <v>1718</v>
      </c>
      <c r="D1290" s="7563">
        <v>110000000</v>
      </c>
      <c r="E1290" s="7659">
        <v>0.04</v>
      </c>
      <c r="F1290" s="7563">
        <f>D1290*E1290</f>
        <v>4400000</v>
      </c>
      <c r="G1290" s="6643">
        <v>10000000</v>
      </c>
      <c r="H1290" s="6643" t="s">
        <v>7987</v>
      </c>
      <c r="I1290" s="6693" t="s">
        <v>4262</v>
      </c>
      <c r="J1290" s="6643">
        <f t="shared" si="106"/>
        <v>10000000</v>
      </c>
      <c r="K1290" s="6643"/>
      <c r="L1290" s="6724" t="s">
        <v>7849</v>
      </c>
      <c r="M1290" s="386"/>
      <c r="N1290" s="386"/>
      <c r="O1290" s="386"/>
      <c r="P1290" s="386"/>
      <c r="Q1290" s="386"/>
    </row>
    <row r="1291" spans="1:17" s="1659" customFormat="1" ht="30" customHeight="1" x14ac:dyDescent="0.2">
      <c r="A1291" s="7705"/>
      <c r="B1291" s="7653"/>
      <c r="C1291" s="7724"/>
      <c r="D1291" s="7564"/>
      <c r="E1291" s="7660"/>
      <c r="F1291" s="7564"/>
      <c r="G1291" s="6918">
        <v>10000000</v>
      </c>
      <c r="H1291" s="6918" t="s">
        <v>6460</v>
      </c>
      <c r="I1291" s="6926" t="s">
        <v>4262</v>
      </c>
      <c r="J1291" s="6918">
        <f>G1291</f>
        <v>10000000</v>
      </c>
      <c r="K1291" s="6918"/>
      <c r="L1291" s="6934"/>
      <c r="M1291" s="386"/>
      <c r="N1291" s="386"/>
      <c r="O1291" s="386"/>
      <c r="P1291" s="386"/>
      <c r="Q1291" s="386"/>
    </row>
    <row r="1292" spans="1:17" s="1659" customFormat="1" ht="30" customHeight="1" x14ac:dyDescent="0.2">
      <c r="A1292" s="7703"/>
      <c r="B1292" s="7652" t="s">
        <v>1455</v>
      </c>
      <c r="C1292" s="7723"/>
      <c r="D1292" s="7563">
        <v>50000000</v>
      </c>
      <c r="E1292" s="7659">
        <v>0.05</v>
      </c>
      <c r="F1292" s="7563">
        <f>D1292*E1292</f>
        <v>2500000</v>
      </c>
      <c r="G1292" s="6635">
        <v>5000000</v>
      </c>
      <c r="H1292" s="6635" t="s">
        <v>8073</v>
      </c>
      <c r="I1292" s="6635" t="s">
        <v>8080</v>
      </c>
      <c r="J1292" s="6635">
        <f>G1292</f>
        <v>5000000</v>
      </c>
      <c r="K1292" s="7056"/>
      <c r="L1292" s="7078"/>
      <c r="M1292" s="386"/>
      <c r="N1292" s="386"/>
      <c r="O1292" s="386"/>
      <c r="P1292" s="386"/>
      <c r="Q1292" s="386"/>
    </row>
    <row r="1293" spans="1:17" s="1659" customFormat="1" ht="30" customHeight="1" x14ac:dyDescent="0.2">
      <c r="A1293" s="7705"/>
      <c r="B1293" s="7653"/>
      <c r="C1293" s="7724"/>
      <c r="D1293" s="7564"/>
      <c r="E1293" s="7660"/>
      <c r="F1293" s="7564"/>
      <c r="G1293" s="7057">
        <v>6000000</v>
      </c>
      <c r="H1293" s="7057" t="s">
        <v>8240</v>
      </c>
      <c r="I1293" s="7056" t="s">
        <v>8080</v>
      </c>
      <c r="J1293" s="7057">
        <f>G1293</f>
        <v>6000000</v>
      </c>
      <c r="K1293" s="7056"/>
      <c r="L1293" s="7078"/>
      <c r="M1293" s="386"/>
      <c r="N1293" s="386"/>
      <c r="O1293" s="386"/>
      <c r="P1293" s="386"/>
      <c r="Q1293" s="386"/>
    </row>
    <row r="1294" spans="1:17" s="1659" customFormat="1" ht="30" customHeight="1" x14ac:dyDescent="0.2">
      <c r="A1294" s="7703"/>
      <c r="B1294" s="7652" t="s">
        <v>4037</v>
      </c>
      <c r="C1294" s="7723"/>
      <c r="D1294" s="6641">
        <v>21000000</v>
      </c>
      <c r="E1294" s="6635"/>
      <c r="F1294" s="6641"/>
      <c r="G1294" s="6641"/>
      <c r="H1294" s="6641"/>
      <c r="I1294" s="6641"/>
      <c r="J1294" s="6641"/>
      <c r="K1294" s="6642"/>
      <c r="L1294" s="6732" t="s">
        <v>4219</v>
      </c>
      <c r="M1294" s="386"/>
      <c r="N1294" s="386"/>
      <c r="O1294" s="386"/>
      <c r="P1294" s="386"/>
      <c r="Q1294" s="386"/>
    </row>
    <row r="1295" spans="1:17" s="1659" customFormat="1" ht="30" customHeight="1" x14ac:dyDescent="0.2">
      <c r="A1295" s="7705"/>
      <c r="B1295" s="7653"/>
      <c r="C1295" s="7724"/>
      <c r="D1295" s="6641">
        <v>520000000</v>
      </c>
      <c r="E1295" s="6643"/>
      <c r="F1295" s="6641"/>
      <c r="G1295" s="6641"/>
      <c r="H1295" s="6641"/>
      <c r="I1295" s="6641"/>
      <c r="J1295" s="6641"/>
      <c r="K1295" s="6642"/>
      <c r="L1295" s="6732" t="s">
        <v>5126</v>
      </c>
      <c r="M1295" s="386"/>
      <c r="N1295" s="386"/>
      <c r="O1295" s="386"/>
      <c r="P1295" s="386"/>
      <c r="Q1295" s="386"/>
    </row>
    <row r="1296" spans="1:17" s="1659" customFormat="1" ht="30" customHeight="1" x14ac:dyDescent="0.2">
      <c r="A1296" s="7703"/>
      <c r="B1296" s="7652" t="s">
        <v>4046</v>
      </c>
      <c r="C1296" s="7723" t="s">
        <v>990</v>
      </c>
      <c r="D1296" s="6635">
        <v>47000000</v>
      </c>
      <c r="E1296" s="6649">
        <v>0.05</v>
      </c>
      <c r="F1296" s="6635">
        <f>D1296*E1296</f>
        <v>2350000</v>
      </c>
      <c r="G1296" s="7563"/>
      <c r="H1296" s="7563"/>
      <c r="I1296" s="7563" t="s">
        <v>4766</v>
      </c>
      <c r="J1296" s="7563">
        <f>G1296</f>
        <v>0</v>
      </c>
      <c r="K1296" s="7563"/>
      <c r="L1296" s="6733"/>
      <c r="M1296" s="386"/>
      <c r="N1296" s="386"/>
      <c r="O1296" s="386"/>
      <c r="P1296" s="386"/>
      <c r="Q1296" s="386"/>
    </row>
    <row r="1297" spans="1:17" s="1659" customFormat="1" ht="30" customHeight="1" x14ac:dyDescent="0.2">
      <c r="A1297" s="7704"/>
      <c r="B1297" s="7665"/>
      <c r="C1297" s="7747"/>
      <c r="D1297" s="6693">
        <v>90000000</v>
      </c>
      <c r="E1297" s="6649">
        <v>0.05</v>
      </c>
      <c r="F1297" s="6694">
        <f>D1297*E1297</f>
        <v>4500000</v>
      </c>
      <c r="G1297" s="7586"/>
      <c r="H1297" s="7586"/>
      <c r="I1297" s="7586"/>
      <c r="J1297" s="7586"/>
      <c r="K1297" s="7586"/>
      <c r="L1297" s="6724"/>
      <c r="M1297" s="386"/>
      <c r="N1297" s="386"/>
      <c r="O1297" s="386"/>
      <c r="P1297" s="386"/>
      <c r="Q1297" s="386"/>
    </row>
    <row r="1298" spans="1:17" s="1659" customFormat="1" ht="30" customHeight="1" x14ac:dyDescent="0.2">
      <c r="A1298" s="7704"/>
      <c r="B1298" s="7665"/>
      <c r="C1298" s="7747"/>
      <c r="D1298" s="6693">
        <v>3000000</v>
      </c>
      <c r="E1298" s="6649">
        <v>0.05</v>
      </c>
      <c r="F1298" s="6694">
        <f>D1298*E1298</f>
        <v>150000</v>
      </c>
      <c r="G1298" s="7564"/>
      <c r="H1298" s="7564"/>
      <c r="I1298" s="7564"/>
      <c r="J1298" s="7564"/>
      <c r="K1298" s="7564"/>
      <c r="L1298" s="6724"/>
      <c r="M1298" s="386"/>
      <c r="N1298" s="386"/>
      <c r="O1298" s="386"/>
      <c r="P1298" s="386"/>
      <c r="Q1298" s="386"/>
    </row>
    <row r="1299" spans="1:17" s="1659" customFormat="1" ht="30" customHeight="1" x14ac:dyDescent="0.2">
      <c r="A1299" s="7704"/>
      <c r="B1299" s="7665"/>
      <c r="C1299" s="7747"/>
      <c r="D1299" s="6693">
        <v>10000000</v>
      </c>
      <c r="E1299" s="6649">
        <v>0.05</v>
      </c>
      <c r="F1299" s="6694">
        <f t="shared" ref="F1299:F1300" si="107">D1299*E1299</f>
        <v>500000</v>
      </c>
      <c r="G1299" s="7732" t="s">
        <v>7141</v>
      </c>
      <c r="H1299" s="7733"/>
      <c r="I1299" s="7733"/>
      <c r="J1299" s="7734"/>
      <c r="K1299" s="6643"/>
      <c r="L1299" s="6724"/>
      <c r="M1299" s="386"/>
      <c r="N1299" s="386"/>
      <c r="O1299" s="386"/>
      <c r="P1299" s="386"/>
      <c r="Q1299" s="386"/>
    </row>
    <row r="1300" spans="1:17" s="1659" customFormat="1" ht="30" customHeight="1" x14ac:dyDescent="0.2">
      <c r="A1300" s="7704"/>
      <c r="B1300" s="7665"/>
      <c r="C1300" s="7747"/>
      <c r="D1300" s="6693">
        <v>10000000</v>
      </c>
      <c r="E1300" s="6649">
        <v>0.05</v>
      </c>
      <c r="F1300" s="6694">
        <f t="shared" si="107"/>
        <v>500000</v>
      </c>
      <c r="G1300" s="7732" t="s">
        <v>7142</v>
      </c>
      <c r="H1300" s="7733"/>
      <c r="I1300" s="7733"/>
      <c r="J1300" s="7734"/>
      <c r="K1300" s="6643"/>
      <c r="L1300" s="6724"/>
      <c r="M1300" s="386"/>
      <c r="N1300" s="386"/>
      <c r="O1300" s="386"/>
      <c r="P1300" s="386"/>
      <c r="Q1300" s="386"/>
    </row>
    <row r="1301" spans="1:17" s="1659" customFormat="1" ht="30" customHeight="1" x14ac:dyDescent="0.2">
      <c r="A1301" s="7705"/>
      <c r="B1301" s="7653"/>
      <c r="C1301" s="7724"/>
      <c r="D1301" s="6787">
        <f>SUM(D1296:D1300)</f>
        <v>160000000</v>
      </c>
      <c r="E1301" s="6754">
        <v>0.05</v>
      </c>
      <c r="F1301" s="6788">
        <f>D1301*E1301</f>
        <v>8000000</v>
      </c>
      <c r="G1301" s="6635">
        <v>8000000</v>
      </c>
      <c r="H1301" s="6635" t="s">
        <v>7945</v>
      </c>
      <c r="I1301" s="6635" t="s">
        <v>4766</v>
      </c>
      <c r="J1301" s="6635">
        <f>G1301</f>
        <v>8000000</v>
      </c>
      <c r="K1301" s="6643">
        <f>F1301-J1301</f>
        <v>0</v>
      </c>
      <c r="L1301" s="6724"/>
      <c r="M1301" s="386"/>
      <c r="N1301" s="386"/>
      <c r="O1301" s="386"/>
      <c r="P1301" s="386"/>
      <c r="Q1301" s="386"/>
    </row>
    <row r="1302" spans="1:17" s="1659" customFormat="1" ht="30" customHeight="1" x14ac:dyDescent="0.2">
      <c r="A1302" s="6727"/>
      <c r="B1302" s="6652" t="s">
        <v>4079</v>
      </c>
      <c r="C1302" s="6684" t="s">
        <v>1652</v>
      </c>
      <c r="D1302" s="6693">
        <v>100000000</v>
      </c>
      <c r="E1302" s="6649">
        <v>0.05</v>
      </c>
      <c r="F1302" s="6694">
        <f>D1302*E1302</f>
        <v>5000000</v>
      </c>
      <c r="G1302" s="6643">
        <v>5000000</v>
      </c>
      <c r="H1302" s="6643" t="s">
        <v>3880</v>
      </c>
      <c r="I1302" s="6693" t="s">
        <v>8306</v>
      </c>
      <c r="J1302" s="6643">
        <f t="shared" ref="J1302:J1304" si="108">G1302</f>
        <v>5000000</v>
      </c>
      <c r="K1302" s="6643">
        <f>F1302-J1302</f>
        <v>0</v>
      </c>
      <c r="L1302" s="6724"/>
      <c r="M1302" s="386"/>
      <c r="N1302" s="386"/>
      <c r="O1302" s="386"/>
      <c r="P1302" s="386"/>
      <c r="Q1302" s="386"/>
    </row>
    <row r="1303" spans="1:17" s="1659" customFormat="1" ht="30" customHeight="1" x14ac:dyDescent="0.2">
      <c r="A1303" s="6727"/>
      <c r="B1303" s="6665" t="s">
        <v>4083</v>
      </c>
      <c r="C1303" s="6684"/>
      <c r="D1303" s="5816"/>
      <c r="E1303" s="6669"/>
      <c r="F1303" s="597"/>
      <c r="G1303" s="6643"/>
      <c r="H1303" s="6643"/>
      <c r="I1303" s="937">
        <v>5423044873</v>
      </c>
      <c r="J1303" s="6643">
        <f t="shared" si="108"/>
        <v>0</v>
      </c>
      <c r="K1303" s="6664"/>
      <c r="L1303" s="6724"/>
      <c r="M1303" s="386"/>
      <c r="N1303" s="386"/>
      <c r="O1303" s="386"/>
      <c r="P1303" s="386"/>
      <c r="Q1303" s="386"/>
    </row>
    <row r="1304" spans="1:17" s="1659" customFormat="1" ht="30" customHeight="1" x14ac:dyDescent="0.2">
      <c r="A1304" s="7703"/>
      <c r="B1304" s="7652" t="s">
        <v>4100</v>
      </c>
      <c r="C1304" s="7723" t="s">
        <v>1796</v>
      </c>
      <c r="D1304" s="6635">
        <v>11000000</v>
      </c>
      <c r="E1304" s="6705">
        <v>0.05</v>
      </c>
      <c r="F1304" s="6635">
        <f>D1304*E1304</f>
        <v>550000</v>
      </c>
      <c r="G1304" s="6635"/>
      <c r="H1304" s="6635"/>
      <c r="I1304" s="6635" t="s">
        <v>7300</v>
      </c>
      <c r="J1304" s="6635">
        <f t="shared" si="108"/>
        <v>0</v>
      </c>
      <c r="K1304" s="6635">
        <f>(F1304+F1305)-J1304</f>
        <v>2050000</v>
      </c>
      <c r="L1304" s="6724"/>
      <c r="M1304" s="386"/>
      <c r="N1304" s="386"/>
      <c r="O1304" s="386"/>
      <c r="P1304" s="386"/>
      <c r="Q1304" s="386"/>
    </row>
    <row r="1305" spans="1:17" s="1659" customFormat="1" ht="30" customHeight="1" x14ac:dyDescent="0.2">
      <c r="A1305" s="7705"/>
      <c r="B1305" s="7653"/>
      <c r="C1305" s="7724"/>
      <c r="D1305" s="6693">
        <v>30000000</v>
      </c>
      <c r="E1305" s="6649">
        <v>0.05</v>
      </c>
      <c r="F1305" s="6694">
        <f>D1305*E1305</f>
        <v>1500000</v>
      </c>
      <c r="G1305" s="6635"/>
      <c r="H1305" s="6635"/>
      <c r="I1305" s="6635" t="s">
        <v>7802</v>
      </c>
      <c r="J1305" s="6635">
        <f>G1305</f>
        <v>0</v>
      </c>
      <c r="K1305" s="6635">
        <f>(F1304+F1305)-J1305</f>
        <v>2050000</v>
      </c>
      <c r="L1305" s="6724"/>
      <c r="M1305" s="386"/>
      <c r="N1305" s="386"/>
      <c r="O1305" s="386"/>
      <c r="P1305" s="386"/>
      <c r="Q1305" s="386"/>
    </row>
    <row r="1306" spans="1:17" s="1659" customFormat="1" ht="30" customHeight="1" x14ac:dyDescent="0.2">
      <c r="A1306" s="6727"/>
      <c r="B1306" s="6665" t="s">
        <v>4114</v>
      </c>
      <c r="C1306" s="6684" t="s">
        <v>1172</v>
      </c>
      <c r="D1306" s="6693">
        <v>50000000</v>
      </c>
      <c r="E1306" s="6649">
        <v>0.05</v>
      </c>
      <c r="F1306" s="6694">
        <f>D1306*E1306</f>
        <v>2500000</v>
      </c>
      <c r="G1306" s="6643"/>
      <c r="H1306" s="6643"/>
      <c r="I1306" s="6693"/>
      <c r="J1306" s="6643"/>
      <c r="K1306" s="6643"/>
      <c r="L1306" s="6724"/>
      <c r="M1306" s="386"/>
      <c r="N1306" s="386"/>
      <c r="O1306" s="386"/>
      <c r="P1306" s="386"/>
      <c r="Q1306" s="386"/>
    </row>
    <row r="1307" spans="1:17" s="1659" customFormat="1" ht="30" customHeight="1" x14ac:dyDescent="0.2">
      <c r="A1307" s="6727"/>
      <c r="B1307" s="6665" t="s">
        <v>4115</v>
      </c>
      <c r="C1307" s="6684"/>
      <c r="D1307" s="6693">
        <v>5000000</v>
      </c>
      <c r="E1307" s="6649"/>
      <c r="F1307" s="6694"/>
      <c r="G1307" s="6643"/>
      <c r="H1307" s="6643"/>
      <c r="I1307" s="6693"/>
      <c r="J1307" s="6643"/>
      <c r="K1307" s="6643"/>
      <c r="L1307" s="6724"/>
      <c r="M1307" s="386"/>
      <c r="N1307" s="386"/>
      <c r="O1307" s="386"/>
      <c r="P1307" s="386"/>
      <c r="Q1307" s="386"/>
    </row>
    <row r="1308" spans="1:17" s="1659" customFormat="1" ht="30" customHeight="1" x14ac:dyDescent="0.2">
      <c r="A1308" s="6727"/>
      <c r="B1308" s="6665" t="s">
        <v>4131</v>
      </c>
      <c r="C1308" s="6684"/>
      <c r="D1308" s="6693">
        <v>45000000</v>
      </c>
      <c r="E1308" s="6649">
        <v>0.05</v>
      </c>
      <c r="F1308" s="6694">
        <f>D1308*E1308</f>
        <v>2250000</v>
      </c>
      <c r="G1308" s="6635">
        <v>2250000</v>
      </c>
      <c r="H1308" s="6635" t="s">
        <v>8073</v>
      </c>
      <c r="I1308" s="6635" t="s">
        <v>7474</v>
      </c>
      <c r="J1308" s="6635">
        <f>G1308</f>
        <v>2250000</v>
      </c>
      <c r="K1308" s="6643">
        <f>F1308-J1308</f>
        <v>0</v>
      </c>
      <c r="L1308" s="6724"/>
      <c r="M1308" s="386"/>
      <c r="N1308" s="386"/>
      <c r="O1308" s="386"/>
      <c r="P1308" s="386"/>
      <c r="Q1308" s="386"/>
    </row>
    <row r="1309" spans="1:17" s="1659" customFormat="1" ht="30" customHeight="1" x14ac:dyDescent="0.2">
      <c r="A1309" s="7703"/>
      <c r="B1309" s="7652" t="s">
        <v>4242</v>
      </c>
      <c r="C1309" s="7723" t="s">
        <v>1299</v>
      </c>
      <c r="D1309" s="7563">
        <v>60000000</v>
      </c>
      <c r="E1309" s="7659">
        <v>0.05</v>
      </c>
      <c r="F1309" s="7563">
        <f>D1309*E1309</f>
        <v>3000000</v>
      </c>
      <c r="G1309" s="6635">
        <v>3500000</v>
      </c>
      <c r="H1309" s="6635" t="s">
        <v>8186</v>
      </c>
      <c r="I1309" s="6635" t="s">
        <v>5760</v>
      </c>
      <c r="J1309" s="6635">
        <f>G1309</f>
        <v>3500000</v>
      </c>
      <c r="K1309" s="6635">
        <f>F1309-J1309</f>
        <v>-500000</v>
      </c>
      <c r="L1309" s="6733"/>
      <c r="M1309" s="386"/>
      <c r="N1309" s="386"/>
      <c r="O1309" s="386"/>
      <c r="P1309" s="386"/>
      <c r="Q1309" s="386"/>
    </row>
    <row r="1310" spans="1:17" s="1659" customFormat="1" ht="30" customHeight="1" x14ac:dyDescent="0.2">
      <c r="A1310" s="7705"/>
      <c r="B1310" s="7653"/>
      <c r="C1310" s="7724"/>
      <c r="D1310" s="7564"/>
      <c r="E1310" s="7660"/>
      <c r="F1310" s="7564"/>
      <c r="G1310" s="7114">
        <v>10000000</v>
      </c>
      <c r="H1310" s="7114" t="s">
        <v>8267</v>
      </c>
      <c r="I1310" s="7136" t="s">
        <v>8272</v>
      </c>
      <c r="J1310" s="7114">
        <f>G1310</f>
        <v>10000000</v>
      </c>
      <c r="K1310" s="7114"/>
      <c r="L1310" s="2020"/>
      <c r="M1310" s="386"/>
      <c r="N1310" s="386"/>
      <c r="O1310" s="386"/>
      <c r="P1310" s="386"/>
      <c r="Q1310" s="386"/>
    </row>
    <row r="1311" spans="1:17" s="1659" customFormat="1" ht="30" customHeight="1" x14ac:dyDescent="0.2">
      <c r="A1311" s="6662"/>
      <c r="B1311" s="6652" t="s">
        <v>4139</v>
      </c>
      <c r="C1311" s="6684"/>
      <c r="D1311" s="6693">
        <v>10000000</v>
      </c>
      <c r="E1311" s="6649"/>
      <c r="F1311" s="6694"/>
      <c r="G1311" s="6643"/>
      <c r="H1311" s="6643"/>
      <c r="I1311" s="6693"/>
      <c r="J1311" s="6643"/>
      <c r="K1311" s="6643"/>
      <c r="L1311" s="7997"/>
      <c r="M1311" s="7733"/>
      <c r="N1311" s="7733"/>
      <c r="O1311" s="7734"/>
      <c r="P1311" s="386"/>
      <c r="Q1311" s="386"/>
    </row>
    <row r="1312" spans="1:17" s="1659" customFormat="1" ht="30" customHeight="1" x14ac:dyDescent="0.2">
      <c r="A1312" s="7703"/>
      <c r="B1312" s="7652" t="s">
        <v>4142</v>
      </c>
      <c r="C1312" s="7723"/>
      <c r="D1312" s="7563">
        <v>200000000</v>
      </c>
      <c r="E1312" s="7659">
        <v>7.0000000000000007E-2</v>
      </c>
      <c r="F1312" s="7563">
        <f>D1312*E1312</f>
        <v>14000000.000000002</v>
      </c>
      <c r="G1312" s="6693">
        <v>10000000</v>
      </c>
      <c r="H1312" s="6649" t="s">
        <v>3808</v>
      </c>
      <c r="I1312" s="6694" t="s">
        <v>815</v>
      </c>
      <c r="J1312" s="6693">
        <f t="shared" ref="J1312:J1321" si="109">G1312</f>
        <v>10000000</v>
      </c>
      <c r="K1312" s="6643">
        <f>F1312-J1312</f>
        <v>4000000.0000000019</v>
      </c>
      <c r="L1312" s="7732"/>
      <c r="M1312" s="7733"/>
      <c r="N1312" s="7733"/>
      <c r="O1312" s="7734"/>
      <c r="P1312" s="386"/>
      <c r="Q1312" s="386"/>
    </row>
    <row r="1313" spans="1:17" s="1659" customFormat="1" ht="30" customHeight="1" x14ac:dyDescent="0.2">
      <c r="A1313" s="7705"/>
      <c r="B1313" s="7653"/>
      <c r="C1313" s="7724"/>
      <c r="D1313" s="7564"/>
      <c r="E1313" s="7660"/>
      <c r="F1313" s="7564"/>
      <c r="G1313" s="6693">
        <v>14000000</v>
      </c>
      <c r="H1313" s="6649" t="s">
        <v>5244</v>
      </c>
      <c r="I1313" s="6700" t="s">
        <v>815</v>
      </c>
      <c r="J1313" s="6693">
        <f>G1313</f>
        <v>14000000</v>
      </c>
      <c r="K1313" s="6643">
        <f>F1312-J1313</f>
        <v>0</v>
      </c>
      <c r="L1313" s="6735"/>
      <c r="M1313" s="6734"/>
      <c r="N1313" s="6734"/>
      <c r="O1313" s="6734"/>
      <c r="P1313" s="386"/>
      <c r="Q1313" s="386"/>
    </row>
    <row r="1314" spans="1:17" s="1659" customFormat="1" ht="30" customHeight="1" x14ac:dyDescent="0.2">
      <c r="A1314" s="6727"/>
      <c r="B1314" s="6774" t="s">
        <v>4155</v>
      </c>
      <c r="C1314" s="6684"/>
      <c r="D1314" s="5816"/>
      <c r="E1314" s="6669"/>
      <c r="F1314" s="597"/>
      <c r="G1314" s="6643"/>
      <c r="H1314" s="6643"/>
      <c r="I1314" s="6693" t="s">
        <v>4156</v>
      </c>
      <c r="J1314" s="6643">
        <f t="shared" si="109"/>
        <v>0</v>
      </c>
      <c r="K1314" s="6643"/>
      <c r="L1314" s="6724"/>
      <c r="M1314" s="6734"/>
      <c r="N1314" s="6734"/>
      <c r="O1314" s="6734"/>
      <c r="P1314" s="386"/>
      <c r="Q1314" s="386"/>
    </row>
    <row r="1315" spans="1:17" s="1659" customFormat="1" ht="30" customHeight="1" x14ac:dyDescent="0.2">
      <c r="A1315" s="6727"/>
      <c r="B1315" s="6774" t="s">
        <v>4157</v>
      </c>
      <c r="C1315" s="6684"/>
      <c r="D1315" s="5816"/>
      <c r="E1315" s="6669"/>
      <c r="F1315" s="597"/>
      <c r="G1315" s="6643"/>
      <c r="H1315" s="6643"/>
      <c r="I1315" s="6693" t="s">
        <v>4158</v>
      </c>
      <c r="J1315" s="6643">
        <f t="shared" si="109"/>
        <v>0</v>
      </c>
      <c r="K1315" s="6643"/>
      <c r="L1315" s="6724"/>
      <c r="M1315" s="6734"/>
      <c r="N1315" s="6734"/>
      <c r="O1315" s="6734"/>
      <c r="P1315" s="386"/>
      <c r="Q1315" s="386"/>
    </row>
    <row r="1316" spans="1:17" s="1659" customFormat="1" ht="30" customHeight="1" x14ac:dyDescent="0.2">
      <c r="A1316" s="6727"/>
      <c r="B1316" s="6774" t="s">
        <v>4160</v>
      </c>
      <c r="C1316" s="6684"/>
      <c r="D1316" s="5816"/>
      <c r="E1316" s="6669"/>
      <c r="F1316" s="597"/>
      <c r="G1316" s="6643"/>
      <c r="H1316" s="6643"/>
      <c r="I1316" s="6693" t="s">
        <v>4161</v>
      </c>
      <c r="J1316" s="6643">
        <f t="shared" si="109"/>
        <v>0</v>
      </c>
      <c r="K1316" s="6643"/>
      <c r="L1316" s="6724"/>
      <c r="M1316" s="6734"/>
      <c r="N1316" s="6734"/>
      <c r="O1316" s="6734"/>
      <c r="P1316" s="386"/>
      <c r="Q1316" s="386"/>
    </row>
    <row r="1317" spans="1:17" s="1659" customFormat="1" ht="30" customHeight="1" x14ac:dyDescent="0.2">
      <c r="A1317" s="6713"/>
      <c r="B1317" s="6711" t="s">
        <v>4162</v>
      </c>
      <c r="C1317" s="6683" t="s">
        <v>392</v>
      </c>
      <c r="D1317" s="6635">
        <v>95281280</v>
      </c>
      <c r="E1317" s="6705">
        <v>0.06</v>
      </c>
      <c r="F1317" s="6635">
        <v>5716876.7999999998</v>
      </c>
      <c r="G1317" s="6643"/>
      <c r="H1317" s="6643"/>
      <c r="I1317" s="6635" t="s">
        <v>1840</v>
      </c>
      <c r="J1317" s="6635">
        <f t="shared" si="109"/>
        <v>0</v>
      </c>
      <c r="K1317" s="6635">
        <f>F1317-J1317</f>
        <v>5716876.7999999998</v>
      </c>
      <c r="L1317" s="6733" t="s">
        <v>7671</v>
      </c>
      <c r="M1317" s="6734"/>
      <c r="N1317" s="6734"/>
      <c r="O1317" s="6734"/>
      <c r="P1317" s="386"/>
      <c r="Q1317" s="386"/>
    </row>
    <row r="1318" spans="1:17" s="1659" customFormat="1" ht="30" customHeight="1" x14ac:dyDescent="0.2">
      <c r="A1318" s="6727"/>
      <c r="B1318" s="6665" t="s">
        <v>4186</v>
      </c>
      <c r="C1318" s="6710" t="s">
        <v>392</v>
      </c>
      <c r="D1318" s="6635">
        <v>120000000</v>
      </c>
      <c r="E1318" s="6705">
        <v>0.05</v>
      </c>
      <c r="F1318" s="6635">
        <f t="shared" ref="F1318:F1321" si="110">D1318*E1318</f>
        <v>6000000</v>
      </c>
      <c r="G1318" s="6643">
        <v>6000000</v>
      </c>
      <c r="H1318" s="6643" t="s">
        <v>8111</v>
      </c>
      <c r="I1318" s="6635" t="s">
        <v>5061</v>
      </c>
      <c r="J1318" s="6635">
        <f t="shared" si="109"/>
        <v>6000000</v>
      </c>
      <c r="K1318" s="6635">
        <f>F1318-J1318</f>
        <v>0</v>
      </c>
      <c r="L1318" s="6724"/>
      <c r="M1318" s="6734"/>
      <c r="N1318" s="6734"/>
      <c r="O1318" s="6734"/>
      <c r="P1318" s="386"/>
      <c r="Q1318" s="386"/>
    </row>
    <row r="1319" spans="1:17" s="1659" customFormat="1" ht="30" customHeight="1" x14ac:dyDescent="0.2">
      <c r="A1319" s="7703"/>
      <c r="B1319" s="7652" t="s">
        <v>4196</v>
      </c>
      <c r="C1319" s="7723" t="s">
        <v>1306</v>
      </c>
      <c r="D1319" s="7563">
        <v>100000000</v>
      </c>
      <c r="E1319" s="7659">
        <v>0.05</v>
      </c>
      <c r="F1319" s="7563">
        <f t="shared" si="110"/>
        <v>5000000</v>
      </c>
      <c r="G1319" s="6643"/>
      <c r="H1319" s="6643"/>
      <c r="I1319" s="6693" t="s">
        <v>5844</v>
      </c>
      <c r="J1319" s="6643">
        <f t="shared" si="109"/>
        <v>0</v>
      </c>
      <c r="K1319" s="6643">
        <f>F1319-J1319</f>
        <v>5000000</v>
      </c>
      <c r="L1319" s="6724"/>
      <c r="M1319" s="6734"/>
      <c r="N1319" s="6734"/>
      <c r="O1319" s="6734"/>
      <c r="P1319" s="386"/>
      <c r="Q1319" s="386"/>
    </row>
    <row r="1320" spans="1:17" s="1659" customFormat="1" ht="30" customHeight="1" x14ac:dyDescent="0.2">
      <c r="A1320" s="7705"/>
      <c r="B1320" s="7653"/>
      <c r="C1320" s="7724"/>
      <c r="D1320" s="7564"/>
      <c r="E1320" s="7660"/>
      <c r="F1320" s="7564"/>
      <c r="G1320" s="6643"/>
      <c r="H1320" s="6643"/>
      <c r="I1320" s="6693" t="s">
        <v>5844</v>
      </c>
      <c r="J1320" s="6643">
        <f t="shared" si="109"/>
        <v>0</v>
      </c>
      <c r="K1320" s="6643">
        <f>F1319-J1320</f>
        <v>5000000</v>
      </c>
      <c r="L1320" s="6724"/>
      <c r="M1320" s="6734"/>
      <c r="N1320" s="6734"/>
      <c r="O1320" s="6734"/>
      <c r="P1320" s="386"/>
      <c r="Q1320" s="386"/>
    </row>
    <row r="1321" spans="1:17" s="1659" customFormat="1" ht="30" customHeight="1" x14ac:dyDescent="0.2">
      <c r="A1321" s="6727"/>
      <c r="B1321" s="6665" t="s">
        <v>4213</v>
      </c>
      <c r="C1321" s="6710" t="s">
        <v>4105</v>
      </c>
      <c r="D1321" s="6635">
        <v>100000000</v>
      </c>
      <c r="E1321" s="6705">
        <v>7.0000000000000007E-2</v>
      </c>
      <c r="F1321" s="6635">
        <f t="shared" si="110"/>
        <v>7000000.0000000009</v>
      </c>
      <c r="G1321" s="6643">
        <v>7000000</v>
      </c>
      <c r="H1321" s="6643" t="s">
        <v>7945</v>
      </c>
      <c r="I1321" s="6693" t="s">
        <v>4845</v>
      </c>
      <c r="J1321" s="6643">
        <f t="shared" si="109"/>
        <v>7000000</v>
      </c>
      <c r="K1321" s="6643">
        <f>F1321-J1321</f>
        <v>0</v>
      </c>
      <c r="L1321" s="6766"/>
      <c r="M1321" s="6734"/>
      <c r="N1321" s="6734"/>
      <c r="O1321" s="6734"/>
      <c r="P1321" s="386"/>
      <c r="Q1321" s="386"/>
    </row>
    <row r="1322" spans="1:17" s="1659" customFormat="1" ht="30" customHeight="1" x14ac:dyDescent="0.2">
      <c r="A1322" s="6727"/>
      <c r="B1322" s="6665" t="s">
        <v>4292</v>
      </c>
      <c r="C1322" s="6710"/>
      <c r="D1322" s="6635"/>
      <c r="E1322" s="6649"/>
      <c r="F1322" s="6643"/>
      <c r="G1322" s="6643"/>
      <c r="H1322" s="6643"/>
      <c r="I1322" s="6693"/>
      <c r="J1322" s="6643"/>
      <c r="K1322" s="6643"/>
      <c r="L1322" s="4242" t="s">
        <v>6056</v>
      </c>
      <c r="M1322" s="6734"/>
      <c r="N1322" s="6734"/>
      <c r="O1322" s="6734"/>
      <c r="P1322" s="386"/>
      <c r="Q1322" s="386"/>
    </row>
    <row r="1323" spans="1:17" s="1659" customFormat="1" ht="30" customHeight="1" x14ac:dyDescent="0.2">
      <c r="A1323" s="7703"/>
      <c r="B1323" s="7652" t="s">
        <v>4295</v>
      </c>
      <c r="C1323" s="7723" t="s">
        <v>4296</v>
      </c>
      <c r="D1323" s="7563">
        <v>80000000</v>
      </c>
      <c r="E1323" s="7659">
        <v>0.05</v>
      </c>
      <c r="F1323" s="7563">
        <f>D1323*E1323</f>
        <v>4000000</v>
      </c>
      <c r="G1323" s="6643">
        <v>4000000</v>
      </c>
      <c r="H1323" s="6643" t="s">
        <v>3808</v>
      </c>
      <c r="I1323" s="6693" t="s">
        <v>1720</v>
      </c>
      <c r="J1323" s="6643">
        <f t="shared" ref="J1323:J1349" si="111">G1323</f>
        <v>4000000</v>
      </c>
      <c r="K1323" s="6643">
        <f>F1323-J1323</f>
        <v>0</v>
      </c>
      <c r="L1323" s="6766" t="s">
        <v>7915</v>
      </c>
      <c r="M1323" s="6734"/>
      <c r="N1323" s="6734"/>
      <c r="O1323" s="6734"/>
      <c r="P1323" s="386"/>
      <c r="Q1323" s="386"/>
    </row>
    <row r="1324" spans="1:17" s="1659" customFormat="1" ht="30" customHeight="1" x14ac:dyDescent="0.2">
      <c r="A1324" s="7704"/>
      <c r="B1324" s="7665"/>
      <c r="C1324" s="7747"/>
      <c r="D1324" s="7586"/>
      <c r="E1324" s="7676"/>
      <c r="F1324" s="7586"/>
      <c r="G1324" s="6643"/>
      <c r="H1324" s="6643"/>
      <c r="I1324" s="6693" t="s">
        <v>7815</v>
      </c>
      <c r="J1324" s="7563">
        <f t="shared" si="111"/>
        <v>0</v>
      </c>
      <c r="K1324" s="7563">
        <f>F1323-J1324</f>
        <v>4000000</v>
      </c>
      <c r="L1324" s="8265"/>
      <c r="M1324" s="6734"/>
      <c r="N1324" s="6734"/>
      <c r="O1324" s="6734"/>
      <c r="P1324" s="386"/>
      <c r="Q1324" s="386"/>
    </row>
    <row r="1325" spans="1:17" s="1659" customFormat="1" ht="30" customHeight="1" x14ac:dyDescent="0.2">
      <c r="A1325" s="7705"/>
      <c r="B1325" s="7653"/>
      <c r="C1325" s="7724"/>
      <c r="D1325" s="7564"/>
      <c r="E1325" s="7660"/>
      <c r="F1325" s="7564"/>
      <c r="G1325" s="6643"/>
      <c r="H1325" s="6643"/>
      <c r="I1325" s="6693"/>
      <c r="J1325" s="7564"/>
      <c r="K1325" s="7564"/>
      <c r="L1325" s="8266"/>
      <c r="M1325" s="6734"/>
      <c r="N1325" s="6734"/>
      <c r="O1325" s="6734"/>
      <c r="P1325" s="386"/>
      <c r="Q1325" s="386"/>
    </row>
    <row r="1326" spans="1:17" s="1659" customFormat="1" ht="30" customHeight="1" x14ac:dyDescent="0.2">
      <c r="A1326" s="6711"/>
      <c r="B1326" s="6711" t="s">
        <v>4332</v>
      </c>
      <c r="C1326" s="6710" t="s">
        <v>402</v>
      </c>
      <c r="D1326" s="6635">
        <v>200000000</v>
      </c>
      <c r="E1326" s="6705">
        <v>0.05</v>
      </c>
      <c r="F1326" s="6635">
        <f>D1326*E1326</f>
        <v>10000000</v>
      </c>
      <c r="G1326" s="7111">
        <v>10000000</v>
      </c>
      <c r="H1326" s="7111" t="s">
        <v>8267</v>
      </c>
      <c r="I1326" s="7111" t="s">
        <v>1220</v>
      </c>
      <c r="J1326" s="7111">
        <f t="shared" ref="J1326" si="112">G1326</f>
        <v>10000000</v>
      </c>
      <c r="K1326" s="6635">
        <f>F1326-J1326</f>
        <v>0</v>
      </c>
      <c r="L1326" s="2700"/>
      <c r="M1326" s="6734"/>
      <c r="N1326" s="6734"/>
      <c r="O1326" s="6734"/>
      <c r="P1326" s="386"/>
      <c r="Q1326" s="386"/>
    </row>
    <row r="1327" spans="1:17" s="1659" customFormat="1" ht="30" customHeight="1" x14ac:dyDescent="0.2">
      <c r="A1327" s="6727"/>
      <c r="B1327" s="6665" t="s">
        <v>4368</v>
      </c>
      <c r="C1327" s="6684"/>
      <c r="D1327" s="5816"/>
      <c r="E1327" s="6669"/>
      <c r="F1327" s="597"/>
      <c r="G1327" s="6643"/>
      <c r="H1327" s="6643"/>
      <c r="I1327" s="6693" t="s">
        <v>2986</v>
      </c>
      <c r="J1327" s="6643">
        <f t="shared" si="111"/>
        <v>0</v>
      </c>
      <c r="K1327" s="6643"/>
      <c r="L1327" s="6766"/>
      <c r="M1327" s="6734"/>
      <c r="N1327" s="6734"/>
      <c r="O1327" s="6734"/>
      <c r="P1327" s="386"/>
      <c r="Q1327" s="386"/>
    </row>
    <row r="1328" spans="1:17" s="1659" customFormat="1" ht="30" customHeight="1" x14ac:dyDescent="0.2">
      <c r="A1328" s="6727"/>
      <c r="B1328" s="6665" t="s">
        <v>4374</v>
      </c>
      <c r="C1328" s="6710" t="s">
        <v>1718</v>
      </c>
      <c r="D1328" s="6635">
        <v>100000000</v>
      </c>
      <c r="E1328" s="6705">
        <v>0.05</v>
      </c>
      <c r="F1328" s="6635">
        <f>D1328*E1328</f>
        <v>5000000</v>
      </c>
      <c r="G1328" s="6643">
        <v>5000000</v>
      </c>
      <c r="H1328" s="6643" t="s">
        <v>8186</v>
      </c>
      <c r="I1328" s="6693" t="s">
        <v>5014</v>
      </c>
      <c r="J1328" s="6641">
        <f>G1328</f>
        <v>5000000</v>
      </c>
      <c r="K1328" s="6635">
        <f>F1328-J1328</f>
        <v>0</v>
      </c>
      <c r="L1328" s="6724"/>
      <c r="M1328" s="6734"/>
      <c r="N1328" s="6734"/>
      <c r="O1328" s="6734"/>
      <c r="P1328" s="386"/>
      <c r="Q1328" s="386"/>
    </row>
    <row r="1329" spans="1:17" s="1659" customFormat="1" ht="30" customHeight="1" x14ac:dyDescent="0.2">
      <c r="A1329" s="7703"/>
      <c r="B1329" s="7652" t="s">
        <v>5361</v>
      </c>
      <c r="C1329" s="7723" t="s">
        <v>262</v>
      </c>
      <c r="D1329" s="6635">
        <v>115000000</v>
      </c>
      <c r="E1329" s="6705">
        <v>0.05</v>
      </c>
      <c r="F1329" s="6635">
        <f>D1329*E1329</f>
        <v>5750000</v>
      </c>
      <c r="G1329" s="7563">
        <v>6000000</v>
      </c>
      <c r="H1329" s="7563" t="s">
        <v>8142</v>
      </c>
      <c r="I1329" s="7563" t="s">
        <v>8145</v>
      </c>
      <c r="J1329" s="7563">
        <f>G1329</f>
        <v>6000000</v>
      </c>
      <c r="K1329" s="7563">
        <f>(F1329+F1330)-J1329</f>
        <v>0</v>
      </c>
      <c r="L1329" s="6724"/>
      <c r="M1329" s="6734"/>
      <c r="N1329" s="6734"/>
      <c r="O1329" s="6734"/>
      <c r="P1329" s="386"/>
      <c r="Q1329" s="386"/>
    </row>
    <row r="1330" spans="1:17" s="1659" customFormat="1" ht="30" customHeight="1" x14ac:dyDescent="0.2">
      <c r="A1330" s="7704"/>
      <c r="B1330" s="7665"/>
      <c r="C1330" s="7747"/>
      <c r="D1330" s="7159">
        <v>5000000</v>
      </c>
      <c r="E1330" s="7167">
        <v>0.05</v>
      </c>
      <c r="F1330" s="7159">
        <f>D1330*E1330</f>
        <v>250000</v>
      </c>
      <c r="G1330" s="7564"/>
      <c r="H1330" s="7564"/>
      <c r="I1330" s="7564"/>
      <c r="J1330" s="7564"/>
      <c r="K1330" s="7564"/>
      <c r="L1330" s="7191"/>
      <c r="M1330" s="7193"/>
      <c r="N1330" s="7193"/>
      <c r="O1330" s="7193"/>
      <c r="P1330" s="386"/>
      <c r="Q1330" s="386"/>
    </row>
    <row r="1331" spans="1:17" s="1659" customFormat="1" ht="30" customHeight="1" x14ac:dyDescent="0.2">
      <c r="A1331" s="7704"/>
      <c r="B1331" s="7665"/>
      <c r="C1331" s="7747"/>
      <c r="D1331" s="7494"/>
      <c r="E1331" s="7495"/>
      <c r="F1331" s="7768"/>
      <c r="G1331" s="7157">
        <v>10000000</v>
      </c>
      <c r="H1331" s="7157" t="s">
        <v>3880</v>
      </c>
      <c r="I1331" s="7157" t="s">
        <v>8307</v>
      </c>
      <c r="J1331" s="7157">
        <f t="shared" ref="J1331:J1336" si="113">G1331</f>
        <v>10000000</v>
      </c>
      <c r="K1331" s="7157"/>
      <c r="L1331" s="6724"/>
      <c r="M1331" s="6734"/>
      <c r="N1331" s="6734"/>
      <c r="O1331" s="6734"/>
      <c r="P1331" s="386"/>
      <c r="Q1331" s="386"/>
    </row>
    <row r="1332" spans="1:17" s="1659" customFormat="1" ht="30" customHeight="1" x14ac:dyDescent="0.2">
      <c r="A1332" s="7704"/>
      <c r="B1332" s="7665"/>
      <c r="C1332" s="7747"/>
      <c r="D1332" s="7877"/>
      <c r="E1332" s="7524"/>
      <c r="F1332" s="7878"/>
      <c r="G1332" s="7238">
        <v>10000000</v>
      </c>
      <c r="H1332" s="7238" t="s">
        <v>8316</v>
      </c>
      <c r="I1332" s="7263" t="s">
        <v>8307</v>
      </c>
      <c r="J1332" s="7238">
        <f t="shared" si="113"/>
        <v>10000000</v>
      </c>
      <c r="K1332" s="7238"/>
      <c r="L1332" s="7265"/>
      <c r="M1332" s="7277"/>
      <c r="N1332" s="7277"/>
      <c r="O1332" s="7277"/>
      <c r="P1332" s="386"/>
      <c r="Q1332" s="386"/>
    </row>
    <row r="1333" spans="1:17" s="1659" customFormat="1" ht="30" customHeight="1" x14ac:dyDescent="0.2">
      <c r="A1333" s="7704"/>
      <c r="B1333" s="7665"/>
      <c r="C1333" s="7747"/>
      <c r="D1333" s="7877"/>
      <c r="E1333" s="7524"/>
      <c r="F1333" s="7878"/>
      <c r="G1333" s="7238">
        <v>15000000</v>
      </c>
      <c r="H1333" s="7238" t="s">
        <v>5200</v>
      </c>
      <c r="I1333" s="7263" t="s">
        <v>8307</v>
      </c>
      <c r="J1333" s="7238">
        <f t="shared" si="113"/>
        <v>15000000</v>
      </c>
      <c r="K1333" s="7238"/>
      <c r="L1333" s="7265"/>
      <c r="M1333" s="7277"/>
      <c r="N1333" s="7277"/>
      <c r="O1333" s="7277"/>
      <c r="P1333" s="386"/>
      <c r="Q1333" s="386"/>
    </row>
    <row r="1334" spans="1:17" s="1659" customFormat="1" ht="30" customHeight="1" x14ac:dyDescent="0.2">
      <c r="A1334" s="7704"/>
      <c r="B1334" s="7665"/>
      <c r="C1334" s="7747"/>
      <c r="D1334" s="7877"/>
      <c r="E1334" s="7524"/>
      <c r="F1334" s="7878"/>
      <c r="G1334" s="7296">
        <v>15000000</v>
      </c>
      <c r="H1334" s="7296" t="s">
        <v>8366</v>
      </c>
      <c r="I1334" s="7320" t="s">
        <v>8307</v>
      </c>
      <c r="J1334" s="7296">
        <f t="shared" si="113"/>
        <v>15000000</v>
      </c>
      <c r="K1334" s="7296"/>
      <c r="L1334" s="7333"/>
      <c r="M1334" s="7338"/>
      <c r="N1334" s="7338"/>
      <c r="O1334" s="7338"/>
      <c r="P1334" s="386"/>
      <c r="Q1334" s="386"/>
    </row>
    <row r="1335" spans="1:17" s="1659" customFormat="1" ht="30" customHeight="1" x14ac:dyDescent="0.2">
      <c r="A1335" s="7704"/>
      <c r="B1335" s="7665"/>
      <c r="C1335" s="7747"/>
      <c r="D1335" s="7877"/>
      <c r="E1335" s="7524"/>
      <c r="F1335" s="7878"/>
      <c r="G1335" s="7359">
        <v>20000000</v>
      </c>
      <c r="H1335" s="7359" t="s">
        <v>8398</v>
      </c>
      <c r="I1335" s="7374" t="s">
        <v>8307</v>
      </c>
      <c r="J1335" s="7359">
        <f t="shared" si="113"/>
        <v>20000000</v>
      </c>
      <c r="K1335" s="7359"/>
      <c r="L1335" s="7376"/>
      <c r="M1335" s="7381"/>
      <c r="N1335" s="7381"/>
      <c r="O1335" s="7381"/>
      <c r="P1335" s="386"/>
      <c r="Q1335" s="386"/>
    </row>
    <row r="1336" spans="1:17" s="1659" customFormat="1" ht="30" customHeight="1" x14ac:dyDescent="0.2">
      <c r="A1336" s="7705"/>
      <c r="B1336" s="7653"/>
      <c r="C1336" s="7724"/>
      <c r="D1336" s="7769"/>
      <c r="E1336" s="7805"/>
      <c r="F1336" s="7770"/>
      <c r="G1336" s="7161">
        <v>20000000</v>
      </c>
      <c r="H1336" s="7161" t="s">
        <v>5244</v>
      </c>
      <c r="I1336" s="7179" t="s">
        <v>8307</v>
      </c>
      <c r="J1336" s="7161">
        <f t="shared" si="113"/>
        <v>20000000</v>
      </c>
      <c r="K1336" s="7161"/>
      <c r="L1336" s="7191"/>
      <c r="M1336" s="7193"/>
      <c r="N1336" s="7193"/>
      <c r="O1336" s="7193"/>
      <c r="P1336" s="386"/>
      <c r="Q1336" s="386"/>
    </row>
    <row r="1337" spans="1:17" s="1659" customFormat="1" ht="30" customHeight="1" x14ac:dyDescent="0.2">
      <c r="A1337" s="6727"/>
      <c r="B1337" s="6665" t="s">
        <v>4376</v>
      </c>
      <c r="C1337" s="6710" t="s">
        <v>1718</v>
      </c>
      <c r="D1337" s="6693">
        <v>70000000</v>
      </c>
      <c r="E1337" s="6649">
        <v>7.0000000000000007E-2</v>
      </c>
      <c r="F1337" s="6694">
        <f>D1337*E1337</f>
        <v>4900000.0000000009</v>
      </c>
      <c r="G1337" s="6643">
        <v>4900000</v>
      </c>
      <c r="H1337" s="6643" t="s">
        <v>8156</v>
      </c>
      <c r="I1337" s="6693" t="s">
        <v>4928</v>
      </c>
      <c r="J1337" s="6643">
        <f t="shared" si="111"/>
        <v>4900000</v>
      </c>
      <c r="K1337" s="6643">
        <f t="shared" ref="K1337:K1348" si="114">F1337-J1337</f>
        <v>0</v>
      </c>
      <c r="L1337" s="6766"/>
      <c r="M1337" s="6734"/>
      <c r="N1337" s="6734"/>
      <c r="O1337" s="6734"/>
      <c r="P1337" s="386"/>
      <c r="Q1337" s="386"/>
    </row>
    <row r="1338" spans="1:17" s="1659" customFormat="1" ht="30" customHeight="1" x14ac:dyDescent="0.2">
      <c r="A1338" s="6727"/>
      <c r="B1338" s="6665" t="s">
        <v>4393</v>
      </c>
      <c r="C1338" s="6710" t="s">
        <v>1718</v>
      </c>
      <c r="D1338" s="6693">
        <v>350000000</v>
      </c>
      <c r="E1338" s="6649">
        <v>7.0000000000000007E-2</v>
      </c>
      <c r="F1338" s="6694">
        <f>D1338*E1338</f>
        <v>24500000.000000004</v>
      </c>
      <c r="G1338" s="6643">
        <v>24500000</v>
      </c>
      <c r="H1338" s="6643" t="s">
        <v>8186</v>
      </c>
      <c r="I1338" s="6693" t="s">
        <v>4900</v>
      </c>
      <c r="J1338" s="6643">
        <f t="shared" si="111"/>
        <v>24500000</v>
      </c>
      <c r="K1338" s="6643">
        <f t="shared" si="114"/>
        <v>0</v>
      </c>
      <c r="L1338" s="6766"/>
      <c r="M1338" s="6734"/>
      <c r="N1338" s="6734"/>
      <c r="O1338" s="6734"/>
      <c r="P1338" s="386"/>
      <c r="Q1338" s="386"/>
    </row>
    <row r="1339" spans="1:17" s="1659" customFormat="1" ht="30" customHeight="1" x14ac:dyDescent="0.2">
      <c r="A1339" s="6727"/>
      <c r="B1339" s="6665" t="s">
        <v>4397</v>
      </c>
      <c r="C1339" s="6710"/>
      <c r="D1339" s="6693">
        <v>50000000</v>
      </c>
      <c r="E1339" s="6649">
        <v>0.05</v>
      </c>
      <c r="F1339" s="6694">
        <f t="shared" ref="F1339:F1357" si="115">D1339*E1339</f>
        <v>2500000</v>
      </c>
      <c r="G1339" s="6643">
        <v>7000000</v>
      </c>
      <c r="H1339" s="6643" t="s">
        <v>6460</v>
      </c>
      <c r="I1339" s="6693" t="s">
        <v>7464</v>
      </c>
      <c r="J1339" s="6643">
        <f t="shared" si="111"/>
        <v>7000000</v>
      </c>
      <c r="K1339" s="6643">
        <f t="shared" si="114"/>
        <v>-4500000</v>
      </c>
      <c r="L1339" s="6766"/>
      <c r="M1339" s="6734"/>
      <c r="N1339" s="6734"/>
      <c r="O1339" s="6734"/>
      <c r="P1339" s="386"/>
      <c r="Q1339" s="386"/>
    </row>
    <row r="1340" spans="1:17" s="1659" customFormat="1" ht="30" customHeight="1" x14ac:dyDescent="0.2">
      <c r="A1340" s="6727"/>
      <c r="B1340" s="6665" t="s">
        <v>5013</v>
      </c>
      <c r="C1340" s="6710" t="s">
        <v>1652</v>
      </c>
      <c r="D1340" s="6693">
        <v>100000000</v>
      </c>
      <c r="E1340" s="6649">
        <v>0.05</v>
      </c>
      <c r="F1340" s="6694">
        <f t="shared" si="115"/>
        <v>5000000</v>
      </c>
      <c r="G1340" s="6643"/>
      <c r="H1340" s="6643"/>
      <c r="I1340" s="6693" t="s">
        <v>7522</v>
      </c>
      <c r="J1340" s="6643">
        <f t="shared" si="111"/>
        <v>0</v>
      </c>
      <c r="K1340" s="6643">
        <f t="shared" si="114"/>
        <v>5000000</v>
      </c>
      <c r="L1340" s="6766" t="s">
        <v>7523</v>
      </c>
      <c r="M1340" s="6734"/>
      <c r="N1340" s="6734"/>
      <c r="O1340" s="6734"/>
      <c r="P1340" s="386"/>
      <c r="Q1340" s="386"/>
    </row>
    <row r="1341" spans="1:17" s="1659" customFormat="1" ht="30" customHeight="1" x14ac:dyDescent="0.2">
      <c r="A1341" s="6727"/>
      <c r="B1341" s="6665" t="s">
        <v>4410</v>
      </c>
      <c r="C1341" s="6710"/>
      <c r="D1341" s="6693">
        <v>50000000</v>
      </c>
      <c r="E1341" s="6649">
        <v>0.05</v>
      </c>
      <c r="F1341" s="6694">
        <f t="shared" si="115"/>
        <v>2500000</v>
      </c>
      <c r="G1341" s="6643">
        <v>2500000</v>
      </c>
      <c r="H1341" s="6643" t="s">
        <v>8215</v>
      </c>
      <c r="I1341" s="6693" t="s">
        <v>4411</v>
      </c>
      <c r="J1341" s="6643">
        <f t="shared" si="111"/>
        <v>2500000</v>
      </c>
      <c r="K1341" s="6643">
        <f t="shared" si="114"/>
        <v>0</v>
      </c>
      <c r="L1341" s="6766"/>
      <c r="M1341" s="6734"/>
      <c r="N1341" s="6734"/>
      <c r="O1341" s="6734"/>
      <c r="P1341" s="386"/>
      <c r="Q1341" s="386"/>
    </row>
    <row r="1342" spans="1:17" s="1659" customFormat="1" ht="30" customHeight="1" x14ac:dyDescent="0.2">
      <c r="A1342" s="7703"/>
      <c r="B1342" s="7652" t="s">
        <v>5005</v>
      </c>
      <c r="C1342" s="7723" t="s">
        <v>262</v>
      </c>
      <c r="D1342" s="6693">
        <v>20000000</v>
      </c>
      <c r="E1342" s="6649">
        <v>0.05</v>
      </c>
      <c r="F1342" s="6694">
        <f t="shared" si="115"/>
        <v>1000000</v>
      </c>
      <c r="G1342" s="7732" t="s">
        <v>2889</v>
      </c>
      <c r="H1342" s="7733"/>
      <c r="I1342" s="7733"/>
      <c r="J1342" s="7734"/>
      <c r="K1342" s="6643">
        <f t="shared" si="114"/>
        <v>1000000</v>
      </c>
      <c r="L1342" s="6766" t="s">
        <v>7486</v>
      </c>
      <c r="M1342" s="6734"/>
      <c r="N1342" s="6734"/>
      <c r="O1342" s="6734"/>
      <c r="P1342" s="386"/>
      <c r="Q1342" s="386"/>
    </row>
    <row r="1343" spans="1:17" s="1659" customFormat="1" ht="30" customHeight="1" x14ac:dyDescent="0.2">
      <c r="A1343" s="7704"/>
      <c r="B1343" s="7665"/>
      <c r="C1343" s="7747"/>
      <c r="D1343" s="6693">
        <v>30000000</v>
      </c>
      <c r="E1343" s="6649"/>
      <c r="F1343" s="6694"/>
      <c r="G1343" s="7732" t="s">
        <v>7369</v>
      </c>
      <c r="H1343" s="7733"/>
      <c r="I1343" s="7733"/>
      <c r="J1343" s="7734"/>
      <c r="K1343" s="6643"/>
      <c r="L1343" s="6766"/>
      <c r="M1343" s="6734"/>
      <c r="N1343" s="6734"/>
      <c r="O1343" s="6734"/>
      <c r="P1343" s="386"/>
      <c r="Q1343" s="386"/>
    </row>
    <row r="1344" spans="1:17" s="1659" customFormat="1" ht="30" customHeight="1" x14ac:dyDescent="0.2">
      <c r="A1344" s="7704"/>
      <c r="B1344" s="7665"/>
      <c r="C1344" s="7747"/>
      <c r="D1344" s="6693">
        <v>9000000</v>
      </c>
      <c r="E1344" s="6649"/>
      <c r="F1344" s="6694"/>
      <c r="G1344" s="7732" t="s">
        <v>7370</v>
      </c>
      <c r="H1344" s="7733"/>
      <c r="I1344" s="7733"/>
      <c r="J1344" s="7734"/>
      <c r="K1344" s="6643"/>
      <c r="L1344" s="6766"/>
      <c r="M1344" s="6734"/>
      <c r="N1344" s="6734"/>
      <c r="O1344" s="6734"/>
      <c r="P1344" s="386"/>
      <c r="Q1344" s="386"/>
    </row>
    <row r="1345" spans="1:17" s="1659" customFormat="1" ht="30" customHeight="1" x14ac:dyDescent="0.2">
      <c r="A1345" s="7705"/>
      <c r="B1345" s="7653"/>
      <c r="C1345" s="7724"/>
      <c r="D1345" s="6787">
        <v>60000000</v>
      </c>
      <c r="E1345" s="6754">
        <v>7.0000000000000007E-2</v>
      </c>
      <c r="F1345" s="6788">
        <f>D1345*E1345</f>
        <v>4200000</v>
      </c>
      <c r="G1345" s="6986">
        <v>4200000</v>
      </c>
      <c r="H1345" s="6986" t="s">
        <v>8156</v>
      </c>
      <c r="I1345" s="6986" t="s">
        <v>8162</v>
      </c>
      <c r="J1345" s="6986">
        <f>G1345</f>
        <v>4200000</v>
      </c>
      <c r="K1345" s="6643">
        <f>F1345-J1345</f>
        <v>0</v>
      </c>
      <c r="L1345" s="6766" t="s">
        <v>7487</v>
      </c>
      <c r="M1345" s="6734"/>
      <c r="N1345" s="6734"/>
      <c r="O1345" s="6734"/>
      <c r="P1345" s="386"/>
      <c r="Q1345" s="386"/>
    </row>
    <row r="1346" spans="1:17" s="1659" customFormat="1" ht="30" customHeight="1" x14ac:dyDescent="0.2">
      <c r="A1346" s="6727"/>
      <c r="B1346" s="6665" t="s">
        <v>4432</v>
      </c>
      <c r="C1346" s="6710" t="s">
        <v>2644</v>
      </c>
      <c r="D1346" s="6693">
        <v>300000000</v>
      </c>
      <c r="E1346" s="6649">
        <v>0.05</v>
      </c>
      <c r="F1346" s="6694">
        <f t="shared" si="115"/>
        <v>15000000</v>
      </c>
      <c r="G1346" s="6643">
        <v>15000000</v>
      </c>
      <c r="H1346" s="6643" t="s">
        <v>8111</v>
      </c>
      <c r="I1346" s="6693" t="s">
        <v>7433</v>
      </c>
      <c r="J1346" s="6643">
        <f t="shared" si="111"/>
        <v>15000000</v>
      </c>
      <c r="K1346" s="6643">
        <f t="shared" si="114"/>
        <v>0</v>
      </c>
      <c r="L1346" s="6766"/>
      <c r="M1346" s="6734"/>
      <c r="N1346" s="6734"/>
      <c r="O1346" s="6734"/>
      <c r="P1346" s="386"/>
      <c r="Q1346" s="386"/>
    </row>
    <row r="1347" spans="1:17" s="1659" customFormat="1" ht="30" customHeight="1" x14ac:dyDescent="0.2">
      <c r="A1347" s="6727"/>
      <c r="B1347" s="6665" t="s">
        <v>4433</v>
      </c>
      <c r="C1347" s="6710" t="s">
        <v>371</v>
      </c>
      <c r="D1347" s="6693">
        <v>200000000</v>
      </c>
      <c r="E1347" s="6649">
        <v>0.05</v>
      </c>
      <c r="F1347" s="6694">
        <f t="shared" si="115"/>
        <v>10000000</v>
      </c>
      <c r="G1347" s="6643">
        <v>10000000</v>
      </c>
      <c r="H1347" s="6643" t="s">
        <v>8186</v>
      </c>
      <c r="I1347" s="6693" t="s">
        <v>4167</v>
      </c>
      <c r="J1347" s="6643">
        <f t="shared" si="111"/>
        <v>10000000</v>
      </c>
      <c r="K1347" s="6643">
        <f t="shared" si="114"/>
        <v>0</v>
      </c>
      <c r="L1347" s="6766"/>
      <c r="M1347" s="6734"/>
      <c r="N1347" s="6734"/>
      <c r="O1347" s="6734"/>
      <c r="P1347" s="386"/>
      <c r="Q1347" s="386"/>
    </row>
    <row r="1348" spans="1:17" s="1659" customFormat="1" ht="30" customHeight="1" x14ac:dyDescent="0.2">
      <c r="A1348" s="6727"/>
      <c r="B1348" s="6665" t="s">
        <v>4454</v>
      </c>
      <c r="C1348" s="6710" t="s">
        <v>262</v>
      </c>
      <c r="D1348" s="6693">
        <v>120000000</v>
      </c>
      <c r="E1348" s="6649">
        <v>0.06</v>
      </c>
      <c r="F1348" s="6694">
        <f t="shared" si="115"/>
        <v>7200000</v>
      </c>
      <c r="G1348" s="6643">
        <v>7200000</v>
      </c>
      <c r="H1348" s="6643" t="s">
        <v>8366</v>
      </c>
      <c r="I1348" s="6693" t="s">
        <v>4455</v>
      </c>
      <c r="J1348" s="6643">
        <f t="shared" si="111"/>
        <v>7200000</v>
      </c>
      <c r="K1348" s="6643">
        <f t="shared" si="114"/>
        <v>0</v>
      </c>
      <c r="L1348" s="6766"/>
      <c r="M1348" s="6734"/>
      <c r="N1348" s="6734"/>
      <c r="O1348" s="6734"/>
      <c r="P1348" s="386"/>
      <c r="Q1348" s="386"/>
    </row>
    <row r="1349" spans="1:17" s="1659" customFormat="1" ht="30" customHeight="1" x14ac:dyDescent="0.2">
      <c r="A1349" s="7703"/>
      <c r="B1349" s="7652" t="s">
        <v>4468</v>
      </c>
      <c r="C1349" s="7723" t="s">
        <v>1300</v>
      </c>
      <c r="D1349" s="6693">
        <v>75000000</v>
      </c>
      <c r="E1349" s="6649">
        <v>0.05</v>
      </c>
      <c r="F1349" s="6694">
        <f t="shared" si="115"/>
        <v>3750000</v>
      </c>
      <c r="G1349" s="7563">
        <v>5500000</v>
      </c>
      <c r="H1349" s="7563" t="s">
        <v>8240</v>
      </c>
      <c r="I1349" s="7563" t="s">
        <v>7081</v>
      </c>
      <c r="J1349" s="7563">
        <f t="shared" si="111"/>
        <v>5500000</v>
      </c>
      <c r="K1349" s="7563">
        <f>(F1349+F1350)-J1349</f>
        <v>0</v>
      </c>
      <c r="L1349" s="6766"/>
      <c r="M1349" s="6734"/>
      <c r="N1349" s="6734"/>
      <c r="O1349" s="6734"/>
      <c r="P1349" s="386"/>
      <c r="Q1349" s="386"/>
    </row>
    <row r="1350" spans="1:17" s="1659" customFormat="1" ht="30" customHeight="1" x14ac:dyDescent="0.2">
      <c r="A1350" s="7704"/>
      <c r="B1350" s="7665"/>
      <c r="C1350" s="7747"/>
      <c r="D1350" s="6635">
        <v>35000000</v>
      </c>
      <c r="E1350" s="6705">
        <v>0.05</v>
      </c>
      <c r="F1350" s="6635">
        <f t="shared" si="115"/>
        <v>1750000</v>
      </c>
      <c r="G1350" s="7586"/>
      <c r="H1350" s="7586"/>
      <c r="I1350" s="7586"/>
      <c r="J1350" s="7586"/>
      <c r="K1350" s="7586"/>
      <c r="L1350" s="6766"/>
      <c r="M1350" s="6734"/>
      <c r="N1350" s="6734"/>
      <c r="O1350" s="6734"/>
      <c r="P1350" s="386"/>
      <c r="Q1350" s="386"/>
    </row>
    <row r="1351" spans="1:17" s="1659" customFormat="1" ht="30" customHeight="1" x14ac:dyDescent="0.2">
      <c r="A1351" s="7703"/>
      <c r="B1351" s="7652" t="s">
        <v>4496</v>
      </c>
      <c r="C1351" s="7723" t="s">
        <v>1287</v>
      </c>
      <c r="D1351" s="6693">
        <v>100000000</v>
      </c>
      <c r="E1351" s="6649">
        <v>0.06</v>
      </c>
      <c r="F1351" s="6694">
        <f t="shared" si="115"/>
        <v>6000000</v>
      </c>
      <c r="G1351" s="7563">
        <v>20300000</v>
      </c>
      <c r="H1351" s="7563" t="s">
        <v>8215</v>
      </c>
      <c r="I1351" s="7563" t="s">
        <v>5133</v>
      </c>
      <c r="J1351" s="7563">
        <f>G1351+G1353</f>
        <v>20300000</v>
      </c>
      <c r="K1351" s="7563">
        <f>F1353-J1351</f>
        <v>0</v>
      </c>
      <c r="L1351" s="6766"/>
      <c r="M1351" s="6734"/>
      <c r="N1351" s="6734"/>
      <c r="O1351" s="6734"/>
      <c r="P1351" s="386"/>
      <c r="Q1351" s="386"/>
    </row>
    <row r="1352" spans="1:17" s="1659" customFormat="1" ht="30" customHeight="1" x14ac:dyDescent="0.2">
      <c r="A1352" s="7704"/>
      <c r="B1352" s="7665"/>
      <c r="C1352" s="7747"/>
      <c r="D1352" s="6635">
        <v>160000000</v>
      </c>
      <c r="E1352" s="6705">
        <v>0.06</v>
      </c>
      <c r="F1352" s="6635">
        <f t="shared" si="115"/>
        <v>9600000</v>
      </c>
      <c r="G1352" s="7586"/>
      <c r="H1352" s="7586"/>
      <c r="I1352" s="7586"/>
      <c r="J1352" s="7586"/>
      <c r="K1352" s="7586"/>
      <c r="L1352" s="6766"/>
      <c r="M1352" s="6734"/>
      <c r="N1352" s="6734"/>
      <c r="O1352" s="6734"/>
      <c r="P1352" s="386"/>
      <c r="Q1352" s="386"/>
    </row>
    <row r="1353" spans="1:17" s="1659" customFormat="1" ht="30" customHeight="1" x14ac:dyDescent="0.2">
      <c r="A1353" s="7704"/>
      <c r="B1353" s="7665"/>
      <c r="C1353" s="7747"/>
      <c r="D1353" s="6743">
        <v>290000000</v>
      </c>
      <c r="E1353" s="6677">
        <v>7.0000000000000007E-2</v>
      </c>
      <c r="F1353" s="6744">
        <f t="shared" si="115"/>
        <v>20300000.000000004</v>
      </c>
      <c r="G1353" s="7564"/>
      <c r="H1353" s="7564"/>
      <c r="I1353" s="7564"/>
      <c r="J1353" s="7564"/>
      <c r="K1353" s="7564"/>
      <c r="L1353" s="6766" t="s">
        <v>8479</v>
      </c>
      <c r="M1353" s="6734"/>
      <c r="N1353" s="6734"/>
      <c r="O1353" s="6734"/>
      <c r="P1353" s="386"/>
      <c r="Q1353" s="386"/>
    </row>
    <row r="1354" spans="1:17" s="1659" customFormat="1" ht="30" customHeight="1" x14ac:dyDescent="0.2">
      <c r="A1354" s="7705"/>
      <c r="B1354" s="7653"/>
      <c r="C1354" s="7724"/>
      <c r="D1354" s="7096">
        <v>80000000</v>
      </c>
      <c r="E1354" s="7091">
        <v>7.0000000000000007E-2</v>
      </c>
      <c r="F1354" s="7097">
        <f>D1354*E1354</f>
        <v>5600000.0000000009</v>
      </c>
      <c r="G1354" s="7732" t="s">
        <v>8253</v>
      </c>
      <c r="H1354" s="7733"/>
      <c r="I1354" s="7733"/>
      <c r="J1354" s="7734"/>
      <c r="K1354" s="7088"/>
      <c r="L1354" s="7099" t="s">
        <v>8254</v>
      </c>
      <c r="M1354" s="7095"/>
      <c r="N1354" s="7095"/>
      <c r="O1354" s="7095"/>
      <c r="P1354" s="386"/>
      <c r="Q1354" s="386"/>
    </row>
    <row r="1355" spans="1:17" s="1659" customFormat="1" ht="30" customHeight="1" x14ac:dyDescent="0.2">
      <c r="A1355" s="7703"/>
      <c r="B1355" s="7652" t="s">
        <v>4494</v>
      </c>
      <c r="C1355" s="7723" t="s">
        <v>1287</v>
      </c>
      <c r="D1355" s="6635">
        <v>150000000</v>
      </c>
      <c r="E1355" s="6649">
        <v>0.06</v>
      </c>
      <c r="F1355" s="6643">
        <f t="shared" si="115"/>
        <v>9000000</v>
      </c>
      <c r="G1355" s="7563">
        <v>14000000</v>
      </c>
      <c r="H1355" s="7563" t="s">
        <v>8316</v>
      </c>
      <c r="I1355" s="7563" t="s">
        <v>2078</v>
      </c>
      <c r="J1355" s="7563">
        <f>G1355+G1357</f>
        <v>28000000</v>
      </c>
      <c r="K1355" s="7563"/>
      <c r="L1355" s="6682"/>
      <c r="M1355" s="6734"/>
      <c r="N1355" s="6734"/>
      <c r="O1355" s="6734"/>
      <c r="P1355" s="386"/>
      <c r="Q1355" s="386"/>
    </row>
    <row r="1356" spans="1:17" s="1659" customFormat="1" ht="30" customHeight="1" x14ac:dyDescent="0.2">
      <c r="A1356" s="7704"/>
      <c r="B1356" s="7665"/>
      <c r="C1356" s="7747"/>
      <c r="D1356" s="6635">
        <v>130000000</v>
      </c>
      <c r="E1356" s="6649">
        <v>0.06</v>
      </c>
      <c r="F1356" s="6643">
        <f t="shared" si="115"/>
        <v>7800000</v>
      </c>
      <c r="G1356" s="7564"/>
      <c r="H1356" s="7564"/>
      <c r="I1356" s="7564"/>
      <c r="J1356" s="7586"/>
      <c r="K1356" s="7586"/>
      <c r="L1356" s="6766"/>
      <c r="M1356" s="6734"/>
      <c r="N1356" s="6734"/>
      <c r="O1356" s="6734"/>
      <c r="P1356" s="386"/>
      <c r="Q1356" s="386"/>
    </row>
    <row r="1357" spans="1:17" s="1659" customFormat="1" ht="30" customHeight="1" x14ac:dyDescent="0.2">
      <c r="A1357" s="7705"/>
      <c r="B1357" s="7653"/>
      <c r="C1357" s="7724"/>
      <c r="D1357" s="6640">
        <f>D1355+D1356</f>
        <v>280000000</v>
      </c>
      <c r="E1357" s="6677">
        <v>0.06</v>
      </c>
      <c r="F1357" s="6679">
        <f t="shared" si="115"/>
        <v>16800000</v>
      </c>
      <c r="G1357" s="7232">
        <v>14000000</v>
      </c>
      <c r="H1357" s="7232" t="s">
        <v>8366</v>
      </c>
      <c r="I1357" s="7232" t="s">
        <v>2078</v>
      </c>
      <c r="J1357" s="7564"/>
      <c r="K1357" s="7564"/>
      <c r="L1357" s="6682"/>
      <c r="M1357" s="6734"/>
      <c r="N1357" s="6734"/>
      <c r="O1357" s="6734"/>
      <c r="P1357" s="386"/>
      <c r="Q1357" s="386"/>
    </row>
    <row r="1358" spans="1:17" s="1659" customFormat="1" ht="30" customHeight="1" x14ac:dyDescent="0.2">
      <c r="A1358" s="7703"/>
      <c r="B1358" s="7864" t="s">
        <v>4513</v>
      </c>
      <c r="C1358" s="6710" t="s">
        <v>1299</v>
      </c>
      <c r="D1358" s="6635">
        <v>20000000</v>
      </c>
      <c r="E1358" s="6649">
        <f>F1358/D1358</f>
        <v>0.06</v>
      </c>
      <c r="F1358" s="6643">
        <v>1200000</v>
      </c>
      <c r="G1358" s="6643"/>
      <c r="H1358" s="6643"/>
      <c r="I1358" s="6693" t="s">
        <v>2026</v>
      </c>
      <c r="J1358" s="6643">
        <f>G1358</f>
        <v>0</v>
      </c>
      <c r="K1358" s="6643"/>
      <c r="L1358" s="6682" t="s">
        <v>7280</v>
      </c>
      <c r="M1358" s="6734"/>
      <c r="N1358" s="6734"/>
      <c r="O1358" s="6734"/>
      <c r="P1358" s="386"/>
      <c r="Q1358" s="386"/>
    </row>
    <row r="1359" spans="1:17" s="1659" customFormat="1" ht="30" customHeight="1" x14ac:dyDescent="0.2">
      <c r="A1359" s="7704"/>
      <c r="B1359" s="7865"/>
      <c r="C1359" s="6710" t="s">
        <v>1138</v>
      </c>
      <c r="D1359" s="6635">
        <v>130000000</v>
      </c>
      <c r="E1359" s="6649">
        <v>7.0000000000000007E-2</v>
      </c>
      <c r="F1359" s="6643">
        <v>9000000</v>
      </c>
      <c r="G1359" s="6643"/>
      <c r="H1359" s="6643"/>
      <c r="I1359" s="6693" t="s">
        <v>4526</v>
      </c>
      <c r="J1359" s="6643">
        <f>G1359</f>
        <v>0</v>
      </c>
      <c r="K1359" s="6643"/>
      <c r="L1359" s="6682" t="s">
        <v>6034</v>
      </c>
      <c r="M1359" s="6734"/>
      <c r="N1359" s="6734"/>
      <c r="O1359" s="6734"/>
      <c r="P1359" s="386"/>
      <c r="Q1359" s="386"/>
    </row>
    <row r="1360" spans="1:17" s="1659" customFormat="1" ht="30" customHeight="1" x14ac:dyDescent="0.2">
      <c r="A1360" s="7705"/>
      <c r="B1360" s="7866"/>
      <c r="C1360" s="6683" t="s">
        <v>2644</v>
      </c>
      <c r="D1360" s="6751">
        <v>200000000</v>
      </c>
      <c r="E1360" s="6795"/>
      <c r="F1360" s="6794"/>
      <c r="G1360" s="7732" t="s">
        <v>7767</v>
      </c>
      <c r="H1360" s="7733"/>
      <c r="I1360" s="7733"/>
      <c r="J1360" s="7734"/>
      <c r="K1360" s="6642"/>
      <c r="L1360" s="6682" t="s">
        <v>7768</v>
      </c>
      <c r="M1360" s="6734"/>
      <c r="N1360" s="6734"/>
      <c r="O1360" s="6734"/>
      <c r="P1360" s="386"/>
      <c r="Q1360" s="386"/>
    </row>
    <row r="1361" spans="1:17" s="1659" customFormat="1" ht="30" customHeight="1" x14ac:dyDescent="0.2">
      <c r="A1361" s="7703"/>
      <c r="B1361" s="7652" t="s">
        <v>3186</v>
      </c>
      <c r="C1361" s="7723" t="s">
        <v>889</v>
      </c>
      <c r="D1361" s="7563">
        <v>150000000</v>
      </c>
      <c r="E1361" s="7659">
        <v>0.06</v>
      </c>
      <c r="F1361" s="7563">
        <f>D1361*E1361</f>
        <v>9000000</v>
      </c>
      <c r="G1361" s="6961">
        <v>17000000</v>
      </c>
      <c r="H1361" s="6961" t="s">
        <v>7987</v>
      </c>
      <c r="I1361" s="6961" t="s">
        <v>4782</v>
      </c>
      <c r="J1361" s="7563">
        <f>G1361+G1362</f>
        <v>27000000</v>
      </c>
      <c r="K1361" s="7563">
        <f>27000000-J1361</f>
        <v>0</v>
      </c>
      <c r="L1361" s="6682" t="s">
        <v>4682</v>
      </c>
      <c r="M1361" s="6734"/>
      <c r="N1361" s="6734"/>
      <c r="O1361" s="6734"/>
      <c r="P1361" s="386"/>
      <c r="Q1361" s="386"/>
    </row>
    <row r="1362" spans="1:17" s="1659" customFormat="1" ht="30" customHeight="1" x14ac:dyDescent="0.2">
      <c r="A1362" s="7705"/>
      <c r="B1362" s="7653"/>
      <c r="C1362" s="7724"/>
      <c r="D1362" s="7564"/>
      <c r="E1362" s="7660"/>
      <c r="F1362" s="7564"/>
      <c r="G1362" s="6961">
        <v>10000000</v>
      </c>
      <c r="H1362" s="6961" t="s">
        <v>8111</v>
      </c>
      <c r="I1362" s="6961" t="s">
        <v>4782</v>
      </c>
      <c r="J1362" s="7564"/>
      <c r="K1362" s="7564"/>
      <c r="L1362" s="6682" t="s">
        <v>4681</v>
      </c>
      <c r="M1362" s="6734"/>
      <c r="N1362" s="6734"/>
      <c r="O1362" s="6734"/>
      <c r="P1362" s="386"/>
      <c r="Q1362" s="386"/>
    </row>
    <row r="1363" spans="1:17" s="1659" customFormat="1" ht="30" customHeight="1" x14ac:dyDescent="0.2">
      <c r="A1363" s="7703"/>
      <c r="B1363" s="7652" t="s">
        <v>4527</v>
      </c>
      <c r="C1363" s="8341" t="s">
        <v>2278</v>
      </c>
      <c r="D1363" s="6635">
        <v>100000000</v>
      </c>
      <c r="E1363" s="6649">
        <v>0.05</v>
      </c>
      <c r="F1363" s="6643">
        <v>5000000</v>
      </c>
      <c r="G1363" s="7563"/>
      <c r="H1363" s="7563"/>
      <c r="I1363" s="7563" t="s">
        <v>5757</v>
      </c>
      <c r="J1363" s="7563">
        <f>G1363</f>
        <v>0</v>
      </c>
      <c r="K1363" s="7563">
        <f>(F1363+F1364)-J1363</f>
        <v>6500000</v>
      </c>
      <c r="L1363" s="6682"/>
      <c r="M1363" s="6734"/>
      <c r="N1363" s="6734"/>
      <c r="O1363" s="6734"/>
      <c r="P1363" s="386"/>
      <c r="Q1363" s="386"/>
    </row>
    <row r="1364" spans="1:17" s="1659" customFormat="1" ht="30" customHeight="1" x14ac:dyDescent="0.2">
      <c r="A1364" s="7705"/>
      <c r="B1364" s="7653"/>
      <c r="C1364" s="8343"/>
      <c r="D1364" s="6635">
        <v>30000000</v>
      </c>
      <c r="E1364" s="6649">
        <v>0.05</v>
      </c>
      <c r="F1364" s="6643">
        <f t="shared" ref="F1364:F1385" si="116">D1364*E1364</f>
        <v>1500000</v>
      </c>
      <c r="G1364" s="7564"/>
      <c r="H1364" s="7564"/>
      <c r="I1364" s="7564"/>
      <c r="J1364" s="7564"/>
      <c r="K1364" s="7564"/>
      <c r="L1364" s="6682"/>
      <c r="M1364" s="6734"/>
      <c r="N1364" s="6734"/>
      <c r="O1364" s="6734"/>
      <c r="P1364" s="386"/>
      <c r="Q1364" s="386"/>
    </row>
    <row r="1365" spans="1:17" s="1659" customFormat="1" ht="30" customHeight="1" x14ac:dyDescent="0.2">
      <c r="A1365" s="3428"/>
      <c r="B1365" s="2551" t="s">
        <v>5135</v>
      </c>
      <c r="C1365" s="3024" t="s">
        <v>3007</v>
      </c>
      <c r="D1365" s="2548">
        <v>10000000</v>
      </c>
      <c r="E1365" s="2556">
        <v>0.05</v>
      </c>
      <c r="F1365" s="6756">
        <f t="shared" si="116"/>
        <v>500000</v>
      </c>
      <c r="G1365" s="6756"/>
      <c r="H1365" s="6756"/>
      <c r="I1365" s="6759" t="s">
        <v>4125</v>
      </c>
      <c r="J1365" s="6756">
        <f t="shared" ref="J1365:J1387" si="117">G1365</f>
        <v>0</v>
      </c>
      <c r="K1365" s="6756"/>
      <c r="L1365" s="3836"/>
      <c r="M1365" s="6734"/>
      <c r="N1365" s="6734"/>
      <c r="O1365" s="6734"/>
      <c r="P1365" s="386"/>
      <c r="Q1365" s="386"/>
    </row>
    <row r="1366" spans="1:17" s="1659" customFormat="1" ht="30" customHeight="1" x14ac:dyDescent="0.2">
      <c r="A1366" s="7255"/>
      <c r="B1366" s="7240" t="s">
        <v>4537</v>
      </c>
      <c r="C1366" s="7259" t="s">
        <v>1299</v>
      </c>
      <c r="D1366" s="7236">
        <v>100000000</v>
      </c>
      <c r="E1366" s="7244">
        <v>0.05</v>
      </c>
      <c r="F1366" s="7236">
        <f t="shared" si="116"/>
        <v>5000000</v>
      </c>
      <c r="G1366" s="6643">
        <v>5000000</v>
      </c>
      <c r="H1366" s="6643" t="s">
        <v>5200</v>
      </c>
      <c r="I1366" s="6693" t="s">
        <v>8357</v>
      </c>
      <c r="J1366" s="6643">
        <f t="shared" si="117"/>
        <v>5000000</v>
      </c>
      <c r="K1366" s="6643">
        <f>F1366-J1366</f>
        <v>0</v>
      </c>
      <c r="L1366" s="6682"/>
      <c r="M1366" s="6734"/>
      <c r="N1366" s="6734"/>
      <c r="O1366" s="6734"/>
      <c r="P1366" s="386"/>
      <c r="Q1366" s="386"/>
    </row>
    <row r="1367" spans="1:17" s="1659" customFormat="1" ht="30" customHeight="1" x14ac:dyDescent="0.2">
      <c r="A1367" s="7703"/>
      <c r="B1367" s="7652" t="s">
        <v>105</v>
      </c>
      <c r="C1367" s="7723" t="s">
        <v>990</v>
      </c>
      <c r="D1367" s="7563">
        <v>200000000</v>
      </c>
      <c r="E1367" s="7659">
        <v>7.0000000000000007E-2</v>
      </c>
      <c r="F1367" s="7563">
        <f t="shared" si="116"/>
        <v>14000000.000000002</v>
      </c>
      <c r="G1367" s="6643">
        <v>7000000</v>
      </c>
      <c r="H1367" s="6643" t="s">
        <v>8215</v>
      </c>
      <c r="I1367" s="6693" t="s">
        <v>2794</v>
      </c>
      <c r="J1367" s="6643">
        <f t="shared" si="117"/>
        <v>7000000</v>
      </c>
      <c r="K1367" s="6643">
        <f>F1367-J1367</f>
        <v>7000000.0000000019</v>
      </c>
      <c r="L1367" s="6766"/>
      <c r="M1367" s="6734"/>
      <c r="N1367" s="6734"/>
      <c r="O1367" s="6734"/>
      <c r="P1367" s="386"/>
      <c r="Q1367" s="386"/>
    </row>
    <row r="1368" spans="1:17" s="1659" customFormat="1" ht="30" customHeight="1" x14ac:dyDescent="0.2">
      <c r="A1368" s="7705"/>
      <c r="B1368" s="7653"/>
      <c r="C1368" s="7724"/>
      <c r="D1368" s="7564"/>
      <c r="E1368" s="7660"/>
      <c r="F1368" s="7564"/>
      <c r="G1368" s="6643"/>
      <c r="H1368" s="6643"/>
      <c r="I1368" s="6693" t="s">
        <v>2794</v>
      </c>
      <c r="J1368" s="6643">
        <f t="shared" si="117"/>
        <v>0</v>
      </c>
      <c r="K1368" s="6643">
        <f>F1367-J1368</f>
        <v>14000000.000000002</v>
      </c>
      <c r="L1368" s="6682"/>
      <c r="M1368" s="6734"/>
      <c r="N1368" s="6734"/>
      <c r="O1368" s="6734"/>
      <c r="P1368" s="386"/>
      <c r="Q1368" s="386"/>
    </row>
    <row r="1369" spans="1:17" s="1659" customFormat="1" ht="30" customHeight="1" x14ac:dyDescent="0.2">
      <c r="A1369" s="6727"/>
      <c r="B1369" s="6665" t="s">
        <v>4550</v>
      </c>
      <c r="C1369" s="6710" t="s">
        <v>1299</v>
      </c>
      <c r="D1369" s="6635">
        <v>120000000</v>
      </c>
      <c r="E1369" s="6705">
        <v>7.0000000000000007E-2</v>
      </c>
      <c r="F1369" s="6635">
        <f t="shared" si="116"/>
        <v>8400000</v>
      </c>
      <c r="G1369" s="6635">
        <v>8400000</v>
      </c>
      <c r="H1369" s="6635" t="s">
        <v>3880</v>
      </c>
      <c r="I1369" s="6635" t="s">
        <v>5178</v>
      </c>
      <c r="J1369" s="6635">
        <f t="shared" si="117"/>
        <v>8400000</v>
      </c>
      <c r="K1369" s="6635">
        <f>F1369-J1369</f>
        <v>0</v>
      </c>
      <c r="L1369" s="6682"/>
      <c r="M1369" s="6734"/>
      <c r="N1369" s="6734"/>
      <c r="O1369" s="6734"/>
      <c r="P1369" s="386"/>
      <c r="Q1369" s="386"/>
    </row>
    <row r="1370" spans="1:17" s="1659" customFormat="1" ht="30" customHeight="1" x14ac:dyDescent="0.2">
      <c r="A1370" s="6727"/>
      <c r="B1370" s="6665" t="s">
        <v>4577</v>
      </c>
      <c r="C1370" s="6710" t="s">
        <v>371</v>
      </c>
      <c r="D1370" s="6635">
        <v>50000000</v>
      </c>
      <c r="E1370" s="6649">
        <v>0.05</v>
      </c>
      <c r="F1370" s="6643">
        <f t="shared" si="116"/>
        <v>2500000</v>
      </c>
      <c r="G1370" s="6643">
        <v>2500000</v>
      </c>
      <c r="H1370" s="6643" t="s">
        <v>8215</v>
      </c>
      <c r="I1370" s="6693" t="s">
        <v>8230</v>
      </c>
      <c r="J1370" s="6643">
        <f t="shared" si="117"/>
        <v>2500000</v>
      </c>
      <c r="K1370" s="6643">
        <f>F1370-G1370</f>
        <v>0</v>
      </c>
      <c r="L1370" s="6682"/>
      <c r="M1370" s="6734"/>
      <c r="N1370" s="6734"/>
      <c r="O1370" s="6734"/>
      <c r="P1370" s="386"/>
      <c r="Q1370" s="386"/>
    </row>
    <row r="1371" spans="1:17" s="1659" customFormat="1" ht="30" customHeight="1" x14ac:dyDescent="0.2">
      <c r="A1371" s="7703"/>
      <c r="B1371" s="7652" t="s">
        <v>4657</v>
      </c>
      <c r="C1371" s="7723" t="s">
        <v>990</v>
      </c>
      <c r="D1371" s="7563">
        <v>10000000</v>
      </c>
      <c r="E1371" s="7659">
        <v>0.05</v>
      </c>
      <c r="F1371" s="7563">
        <f t="shared" si="116"/>
        <v>500000</v>
      </c>
      <c r="G1371" s="6635">
        <v>500000</v>
      </c>
      <c r="H1371" s="7563" t="s">
        <v>5244</v>
      </c>
      <c r="I1371" s="7563" t="s">
        <v>5351</v>
      </c>
      <c r="J1371" s="6635">
        <f t="shared" si="117"/>
        <v>500000</v>
      </c>
      <c r="K1371" s="6643">
        <f t="shared" ref="K1371:K1387" si="118">F1371-J1371</f>
        <v>0</v>
      </c>
      <c r="L1371" s="6766" t="s">
        <v>7915</v>
      </c>
      <c r="M1371" s="6734"/>
      <c r="N1371" s="6734"/>
      <c r="O1371" s="6734"/>
      <c r="P1371" s="386"/>
      <c r="Q1371" s="386"/>
    </row>
    <row r="1372" spans="1:17" s="1659" customFormat="1" ht="30" customHeight="1" x14ac:dyDescent="0.2">
      <c r="A1372" s="7705"/>
      <c r="B1372" s="7653"/>
      <c r="C1372" s="7724"/>
      <c r="D1372" s="7564"/>
      <c r="E1372" s="7660"/>
      <c r="F1372" s="7564"/>
      <c r="G1372" s="6643">
        <v>500000</v>
      </c>
      <c r="H1372" s="7564"/>
      <c r="I1372" s="7564"/>
      <c r="J1372" s="6643">
        <f t="shared" si="117"/>
        <v>500000</v>
      </c>
      <c r="K1372" s="6643">
        <f>F1371-J1372</f>
        <v>0</v>
      </c>
      <c r="L1372" s="7388" t="s">
        <v>1313</v>
      </c>
      <c r="M1372" s="6734"/>
      <c r="N1372" s="6734"/>
      <c r="O1372" s="6734"/>
      <c r="P1372" s="386"/>
      <c r="Q1372" s="386"/>
    </row>
    <row r="1373" spans="1:17" s="1659" customFormat="1" ht="30" customHeight="1" x14ac:dyDescent="0.2">
      <c r="A1373" s="6727"/>
      <c r="B1373" s="6665" t="s">
        <v>4667</v>
      </c>
      <c r="C1373" s="6710" t="s">
        <v>1796</v>
      </c>
      <c r="D1373" s="6635">
        <v>100000000</v>
      </c>
      <c r="E1373" s="6649">
        <v>7.0000000000000007E-2</v>
      </c>
      <c r="F1373" s="6643">
        <f t="shared" si="116"/>
        <v>7000000.0000000009</v>
      </c>
      <c r="G1373" s="6643"/>
      <c r="H1373" s="6643"/>
      <c r="I1373" s="6693" t="s">
        <v>4787</v>
      </c>
      <c r="J1373" s="6643">
        <f t="shared" si="117"/>
        <v>0</v>
      </c>
      <c r="K1373" s="6643">
        <f t="shared" si="118"/>
        <v>7000000.0000000009</v>
      </c>
      <c r="L1373" s="6682"/>
      <c r="M1373" s="6734"/>
      <c r="N1373" s="6734"/>
      <c r="O1373" s="6734"/>
      <c r="P1373" s="386"/>
      <c r="Q1373" s="386"/>
    </row>
    <row r="1374" spans="1:17" s="1659" customFormat="1" ht="30" customHeight="1" x14ac:dyDescent="0.2">
      <c r="A1374" s="6727"/>
      <c r="B1374" s="6665" t="s">
        <v>4668</v>
      </c>
      <c r="C1374" s="6710"/>
      <c r="D1374" s="6635">
        <v>100000000</v>
      </c>
      <c r="E1374" s="6649">
        <v>7.0000000000000007E-2</v>
      </c>
      <c r="F1374" s="6643">
        <f t="shared" si="116"/>
        <v>7000000.0000000009</v>
      </c>
      <c r="G1374" s="6643"/>
      <c r="H1374" s="6643"/>
      <c r="I1374" s="6693" t="s">
        <v>4861</v>
      </c>
      <c r="J1374" s="6643">
        <f t="shared" si="117"/>
        <v>0</v>
      </c>
      <c r="K1374" s="6643">
        <f t="shared" si="118"/>
        <v>7000000.0000000009</v>
      </c>
      <c r="L1374" s="6682"/>
      <c r="M1374" s="6734"/>
      <c r="N1374" s="6734"/>
      <c r="O1374" s="6734"/>
      <c r="P1374" s="386"/>
      <c r="Q1374" s="386"/>
    </row>
    <row r="1375" spans="1:17" s="1659" customFormat="1" ht="30" customHeight="1" x14ac:dyDescent="0.2">
      <c r="A1375" s="6727"/>
      <c r="B1375" s="6665" t="s">
        <v>4669</v>
      </c>
      <c r="C1375" s="6710"/>
      <c r="D1375" s="6635">
        <v>35000000</v>
      </c>
      <c r="E1375" s="6649">
        <v>7.0000000000000007E-2</v>
      </c>
      <c r="F1375" s="6643">
        <f t="shared" si="116"/>
        <v>2450000.0000000005</v>
      </c>
      <c r="G1375" s="6643"/>
      <c r="H1375" s="6643"/>
      <c r="I1375" s="6693" t="s">
        <v>4862</v>
      </c>
      <c r="J1375" s="6643">
        <f t="shared" si="117"/>
        <v>0</v>
      </c>
      <c r="K1375" s="6643">
        <f t="shared" si="118"/>
        <v>2450000.0000000005</v>
      </c>
      <c r="L1375" s="6682"/>
      <c r="M1375" s="6734"/>
      <c r="N1375" s="6734"/>
      <c r="O1375" s="6734"/>
      <c r="P1375" s="386"/>
      <c r="Q1375" s="386"/>
    </row>
    <row r="1376" spans="1:17" s="1659" customFormat="1" ht="30" customHeight="1" x14ac:dyDescent="0.2">
      <c r="A1376" s="7703"/>
      <c r="B1376" s="7652" t="s">
        <v>4676</v>
      </c>
      <c r="C1376" s="7723" t="s">
        <v>1287</v>
      </c>
      <c r="D1376" s="6635">
        <v>110000000</v>
      </c>
      <c r="E1376" s="6649">
        <v>0.05</v>
      </c>
      <c r="F1376" s="6643">
        <f t="shared" si="116"/>
        <v>5500000</v>
      </c>
      <c r="G1376" s="6643"/>
      <c r="H1376" s="6643"/>
      <c r="I1376" s="6693" t="s">
        <v>7669</v>
      </c>
      <c r="J1376" s="6643">
        <f t="shared" si="117"/>
        <v>0</v>
      </c>
      <c r="K1376" s="6643">
        <f t="shared" si="118"/>
        <v>5500000</v>
      </c>
      <c r="L1376" s="6682"/>
      <c r="M1376" s="6734"/>
      <c r="N1376" s="6734"/>
      <c r="O1376" s="6734"/>
      <c r="P1376" s="386"/>
      <c r="Q1376" s="386"/>
    </row>
    <row r="1377" spans="1:17" s="1659" customFormat="1" ht="30" customHeight="1" x14ac:dyDescent="0.2">
      <c r="A1377" s="7705"/>
      <c r="B1377" s="7653"/>
      <c r="C1377" s="7724"/>
      <c r="D1377" s="7470" t="s">
        <v>4531</v>
      </c>
      <c r="E1377" s="7493"/>
      <c r="F1377" s="7510"/>
      <c r="G1377" s="6643"/>
      <c r="H1377" s="6643"/>
      <c r="I1377" s="6693" t="s">
        <v>7746</v>
      </c>
      <c r="J1377" s="6643">
        <f>G1377</f>
        <v>0</v>
      </c>
      <c r="K1377" s="6643">
        <f>D1376-J1377</f>
        <v>110000000</v>
      </c>
      <c r="L1377" s="6682"/>
      <c r="M1377" s="6734"/>
      <c r="N1377" s="6734"/>
      <c r="O1377" s="6734"/>
      <c r="P1377" s="386"/>
      <c r="Q1377" s="386"/>
    </row>
    <row r="1378" spans="1:17" s="1659" customFormat="1" ht="30" customHeight="1" x14ac:dyDescent="0.2">
      <c r="A1378" s="6727"/>
      <c r="B1378" s="6665" t="s">
        <v>4755</v>
      </c>
      <c r="C1378" s="6710" t="s">
        <v>1796</v>
      </c>
      <c r="D1378" s="6635">
        <v>50000000</v>
      </c>
      <c r="E1378" s="6705">
        <v>0.05</v>
      </c>
      <c r="F1378" s="6635">
        <f t="shared" si="116"/>
        <v>2500000</v>
      </c>
      <c r="G1378" s="6635">
        <v>2500000</v>
      </c>
      <c r="H1378" s="6635" t="s">
        <v>8215</v>
      </c>
      <c r="I1378" s="6635" t="s">
        <v>8226</v>
      </c>
      <c r="J1378" s="6635">
        <f t="shared" si="117"/>
        <v>2500000</v>
      </c>
      <c r="K1378" s="6635">
        <f t="shared" si="118"/>
        <v>0</v>
      </c>
      <c r="L1378" s="6766" t="s">
        <v>8227</v>
      </c>
      <c r="M1378" s="6734"/>
      <c r="N1378" s="6734"/>
      <c r="O1378" s="6734"/>
      <c r="P1378" s="386"/>
      <c r="Q1378" s="386"/>
    </row>
    <row r="1379" spans="1:17" s="1659" customFormat="1" ht="30" customHeight="1" x14ac:dyDescent="0.2">
      <c r="A1379" s="7703"/>
      <c r="B1379" s="7652" t="s">
        <v>229</v>
      </c>
      <c r="C1379" s="7723" t="s">
        <v>1306</v>
      </c>
      <c r="D1379" s="7563">
        <v>60000000</v>
      </c>
      <c r="E1379" s="7659">
        <v>0.05</v>
      </c>
      <c r="F1379" s="7563">
        <f t="shared" si="116"/>
        <v>3000000</v>
      </c>
      <c r="G1379" s="6643"/>
      <c r="H1379" s="6643"/>
      <c r="I1379" s="6693" t="s">
        <v>1063</v>
      </c>
      <c r="J1379" s="6643">
        <f t="shared" si="117"/>
        <v>0</v>
      </c>
      <c r="K1379" s="6643">
        <f t="shared" si="118"/>
        <v>3000000</v>
      </c>
      <c r="L1379" s="6682"/>
      <c r="M1379" s="6734"/>
      <c r="N1379" s="6734"/>
      <c r="O1379" s="6734"/>
      <c r="P1379" s="386"/>
      <c r="Q1379" s="386"/>
    </row>
    <row r="1380" spans="1:17" s="1659" customFormat="1" ht="30" customHeight="1" x14ac:dyDescent="0.2">
      <c r="A1380" s="7705"/>
      <c r="B1380" s="7653"/>
      <c r="C1380" s="7724"/>
      <c r="D1380" s="7564"/>
      <c r="E1380" s="7660"/>
      <c r="F1380" s="7564"/>
      <c r="G1380" s="6643"/>
      <c r="H1380" s="6643"/>
      <c r="I1380" s="6693" t="s">
        <v>1063</v>
      </c>
      <c r="J1380" s="6643">
        <f t="shared" si="117"/>
        <v>0</v>
      </c>
      <c r="K1380" s="6643">
        <f>F1379-J1380</f>
        <v>3000000</v>
      </c>
      <c r="L1380" s="6682"/>
      <c r="M1380" s="6734"/>
      <c r="N1380" s="6734"/>
      <c r="O1380" s="6734"/>
      <c r="P1380" s="386"/>
      <c r="Q1380" s="386"/>
    </row>
    <row r="1381" spans="1:17" s="1659" customFormat="1" ht="30" customHeight="1" x14ac:dyDescent="0.2">
      <c r="A1381" s="6727"/>
      <c r="B1381" s="6665" t="s">
        <v>4792</v>
      </c>
      <c r="C1381" s="6710" t="s">
        <v>2278</v>
      </c>
      <c r="D1381" s="6635">
        <v>200000000</v>
      </c>
      <c r="E1381" s="6649">
        <v>7.0000000000000007E-2</v>
      </c>
      <c r="F1381" s="6643">
        <f t="shared" si="116"/>
        <v>14000000.000000002</v>
      </c>
      <c r="G1381" s="6643">
        <v>14000000</v>
      </c>
      <c r="H1381" s="6643" t="s">
        <v>8398</v>
      </c>
      <c r="I1381" s="6693" t="s">
        <v>5122</v>
      </c>
      <c r="J1381" s="6643">
        <f t="shared" si="117"/>
        <v>14000000</v>
      </c>
      <c r="K1381" s="6643">
        <f t="shared" si="118"/>
        <v>0</v>
      </c>
      <c r="L1381" s="6682"/>
      <c r="M1381" s="6734"/>
      <c r="N1381" s="6734"/>
      <c r="O1381" s="6734"/>
      <c r="P1381" s="386"/>
      <c r="Q1381" s="386"/>
    </row>
    <row r="1382" spans="1:17" s="1659" customFormat="1" ht="30" customHeight="1" x14ac:dyDescent="0.2">
      <c r="A1382" s="6727"/>
      <c r="B1382" s="6665" t="s">
        <v>5040</v>
      </c>
      <c r="C1382" s="6710" t="s">
        <v>1300</v>
      </c>
      <c r="D1382" s="6635">
        <v>250000000</v>
      </c>
      <c r="E1382" s="6649">
        <v>7.0000000000000007E-2</v>
      </c>
      <c r="F1382" s="6643">
        <f t="shared" si="116"/>
        <v>17500000</v>
      </c>
      <c r="G1382" s="6643">
        <v>17500000</v>
      </c>
      <c r="H1382" s="6643" t="s">
        <v>8424</v>
      </c>
      <c r="I1382" s="6693" t="s">
        <v>5132</v>
      </c>
      <c r="J1382" s="6643">
        <f t="shared" si="117"/>
        <v>17500000</v>
      </c>
      <c r="K1382" s="6643">
        <f t="shared" si="118"/>
        <v>0</v>
      </c>
      <c r="L1382" s="6682"/>
      <c r="M1382" s="6734"/>
      <c r="N1382" s="6734"/>
      <c r="O1382" s="6734"/>
      <c r="P1382" s="386"/>
      <c r="Q1382" s="386"/>
    </row>
    <row r="1383" spans="1:17" s="1659" customFormat="1" ht="30" customHeight="1" x14ac:dyDescent="0.2">
      <c r="A1383" s="7703"/>
      <c r="B1383" s="7652" t="s">
        <v>4914</v>
      </c>
      <c r="C1383" s="7723" t="s">
        <v>1299</v>
      </c>
      <c r="D1383" s="7563">
        <v>200000000</v>
      </c>
      <c r="E1383" s="7659">
        <v>5.5E-2</v>
      </c>
      <c r="F1383" s="7563">
        <f t="shared" si="116"/>
        <v>11000000</v>
      </c>
      <c r="G1383" s="6643"/>
      <c r="H1383" s="6643"/>
      <c r="I1383" s="6693" t="s">
        <v>4581</v>
      </c>
      <c r="J1383" s="6643">
        <f t="shared" si="117"/>
        <v>0</v>
      </c>
      <c r="K1383" s="6643">
        <f t="shared" si="118"/>
        <v>11000000</v>
      </c>
      <c r="L1383" s="6682"/>
      <c r="M1383" s="6734"/>
      <c r="N1383" s="6734"/>
      <c r="O1383" s="6734"/>
      <c r="P1383" s="386"/>
      <c r="Q1383" s="386"/>
    </row>
    <row r="1384" spans="1:17" s="1659" customFormat="1" ht="30" customHeight="1" x14ac:dyDescent="0.2">
      <c r="A1384" s="7705"/>
      <c r="B1384" s="7653"/>
      <c r="C1384" s="7724"/>
      <c r="D1384" s="7564"/>
      <c r="E1384" s="7660"/>
      <c r="F1384" s="7564"/>
      <c r="G1384" s="6643"/>
      <c r="H1384" s="6643"/>
      <c r="I1384" s="6693" t="s">
        <v>1574</v>
      </c>
      <c r="J1384" s="6643">
        <f t="shared" si="117"/>
        <v>0</v>
      </c>
      <c r="K1384" s="6643">
        <f>F1383-J1384</f>
        <v>11000000</v>
      </c>
      <c r="L1384" s="6682"/>
      <c r="M1384" s="6734"/>
      <c r="N1384" s="6734"/>
      <c r="O1384" s="6734"/>
      <c r="P1384" s="386"/>
      <c r="Q1384" s="386"/>
    </row>
    <row r="1385" spans="1:17" s="1659" customFormat="1" ht="30" customHeight="1" x14ac:dyDescent="0.2">
      <c r="A1385" s="6727"/>
      <c r="B1385" s="6665" t="s">
        <v>4922</v>
      </c>
      <c r="C1385" s="6710"/>
      <c r="D1385" s="6635">
        <v>600000000</v>
      </c>
      <c r="E1385" s="6649">
        <v>7.0000000000000007E-2</v>
      </c>
      <c r="F1385" s="6643">
        <f t="shared" si="116"/>
        <v>42000000.000000007</v>
      </c>
      <c r="G1385" s="6643"/>
      <c r="H1385" s="6643"/>
      <c r="I1385" s="6693" t="s">
        <v>5604</v>
      </c>
      <c r="J1385" s="6643">
        <f t="shared" si="117"/>
        <v>0</v>
      </c>
      <c r="K1385" s="6643">
        <f t="shared" si="118"/>
        <v>42000000.000000007</v>
      </c>
      <c r="L1385" s="6682" t="s">
        <v>5656</v>
      </c>
      <c r="M1385" s="6734"/>
      <c r="N1385" s="6734"/>
      <c r="O1385" s="6734"/>
      <c r="P1385" s="386"/>
      <c r="Q1385" s="386"/>
    </row>
    <row r="1386" spans="1:17" s="1659" customFormat="1" ht="30" customHeight="1" x14ac:dyDescent="0.2">
      <c r="A1386" s="6727"/>
      <c r="B1386" s="6665" t="s">
        <v>4967</v>
      </c>
      <c r="C1386" s="6710" t="s">
        <v>3483</v>
      </c>
      <c r="D1386" s="6635">
        <v>150000000</v>
      </c>
      <c r="E1386" s="6649">
        <v>5.6000000000000001E-2</v>
      </c>
      <c r="F1386" s="6643">
        <v>8500000</v>
      </c>
      <c r="G1386" s="6643">
        <v>8500000</v>
      </c>
      <c r="H1386" s="6643" t="s">
        <v>8142</v>
      </c>
      <c r="I1386" s="6693" t="s">
        <v>5515</v>
      </c>
      <c r="J1386" s="6643">
        <f t="shared" si="117"/>
        <v>8500000</v>
      </c>
      <c r="K1386" s="6643">
        <f t="shared" si="118"/>
        <v>0</v>
      </c>
      <c r="L1386" s="6682"/>
      <c r="M1386" s="6734"/>
      <c r="N1386" s="6734"/>
      <c r="O1386" s="6734"/>
      <c r="P1386" s="386"/>
      <c r="Q1386" s="386"/>
    </row>
    <row r="1387" spans="1:17" s="1659" customFormat="1" ht="30" customHeight="1" x14ac:dyDescent="0.2">
      <c r="A1387" s="6727"/>
      <c r="B1387" s="6665" t="s">
        <v>5019</v>
      </c>
      <c r="C1387" s="6684"/>
      <c r="D1387" s="6643">
        <v>130000000</v>
      </c>
      <c r="E1387" s="6649">
        <v>0.05</v>
      </c>
      <c r="F1387" s="6643">
        <f>D1387*E1387</f>
        <v>6500000</v>
      </c>
      <c r="G1387" s="6643">
        <v>6500000</v>
      </c>
      <c r="H1387" s="6643" t="s">
        <v>8267</v>
      </c>
      <c r="I1387" s="6693" t="s">
        <v>1220</v>
      </c>
      <c r="J1387" s="6643">
        <f t="shared" si="117"/>
        <v>6500000</v>
      </c>
      <c r="K1387" s="6643">
        <f t="shared" si="118"/>
        <v>0</v>
      </c>
      <c r="L1387" s="6682"/>
      <c r="M1387" s="6734"/>
      <c r="N1387" s="6734"/>
      <c r="O1387" s="6734"/>
      <c r="P1387" s="386"/>
      <c r="Q1387" s="386"/>
    </row>
    <row r="1388" spans="1:17" s="1659" customFormat="1" ht="30" customHeight="1" x14ac:dyDescent="0.2">
      <c r="A1388" s="7151"/>
      <c r="B1388" s="7130" t="s">
        <v>8277</v>
      </c>
      <c r="C1388" s="7132"/>
      <c r="D1388" s="7126"/>
      <c r="E1388" s="7128"/>
      <c r="F1388" s="7126"/>
      <c r="G1388" s="7114">
        <v>7700000</v>
      </c>
      <c r="H1388" s="7114" t="s">
        <v>8267</v>
      </c>
      <c r="I1388" s="7136" t="s">
        <v>7917</v>
      </c>
      <c r="J1388" s="7114">
        <f>G1388</f>
        <v>7700000</v>
      </c>
      <c r="K1388" s="7114">
        <f>F1388-J1388</f>
        <v>-7700000</v>
      </c>
      <c r="L1388" s="7123"/>
      <c r="M1388" s="7152"/>
      <c r="N1388" s="7152"/>
      <c r="O1388" s="7152"/>
      <c r="P1388" s="386"/>
      <c r="Q1388" s="386"/>
    </row>
    <row r="1389" spans="1:17" s="1659" customFormat="1" ht="30" customHeight="1" x14ac:dyDescent="0.2">
      <c r="A1389" s="7703"/>
      <c r="B1389" s="7652" t="s">
        <v>5021</v>
      </c>
      <c r="C1389" s="7723" t="s">
        <v>1287</v>
      </c>
      <c r="D1389" s="7563">
        <v>400000000</v>
      </c>
      <c r="E1389" s="7659">
        <v>0.05</v>
      </c>
      <c r="F1389" s="7563">
        <f>D1389*E1389</f>
        <v>20000000</v>
      </c>
      <c r="G1389" s="6635">
        <v>12000000</v>
      </c>
      <c r="H1389" s="6635" t="s">
        <v>8366</v>
      </c>
      <c r="I1389" s="6635" t="s">
        <v>7699</v>
      </c>
      <c r="J1389" s="7563">
        <f>G1389+G1390</f>
        <v>20000000</v>
      </c>
      <c r="K1389" s="7563">
        <f>F1389-J1389</f>
        <v>0</v>
      </c>
      <c r="L1389" s="6682"/>
      <c r="M1389" s="6734"/>
      <c r="N1389" s="6734"/>
      <c r="O1389" s="6734"/>
      <c r="P1389" s="386"/>
      <c r="Q1389" s="386"/>
    </row>
    <row r="1390" spans="1:17" s="1659" customFormat="1" ht="30" customHeight="1" x14ac:dyDescent="0.2">
      <c r="A1390" s="7705"/>
      <c r="B1390" s="7653"/>
      <c r="C1390" s="7724"/>
      <c r="D1390" s="7564"/>
      <c r="E1390" s="7660"/>
      <c r="F1390" s="7564"/>
      <c r="G1390" s="7238">
        <v>8000000</v>
      </c>
      <c r="H1390" s="7238" t="s">
        <v>8366</v>
      </c>
      <c r="I1390" s="7263" t="s">
        <v>7699</v>
      </c>
      <c r="J1390" s="7564"/>
      <c r="K1390" s="7564"/>
      <c r="L1390" s="7250"/>
      <c r="M1390" s="7277"/>
      <c r="N1390" s="7277"/>
      <c r="O1390" s="7277"/>
      <c r="P1390" s="386"/>
      <c r="Q1390" s="386"/>
    </row>
    <row r="1391" spans="1:17" s="1659" customFormat="1" ht="30" customHeight="1" x14ac:dyDescent="0.2">
      <c r="A1391" s="6727"/>
      <c r="B1391" s="6665" t="s">
        <v>5033</v>
      </c>
      <c r="C1391" s="6684"/>
      <c r="D1391" s="6664"/>
      <c r="E1391" s="6669"/>
      <c r="F1391" s="6664"/>
      <c r="G1391" s="6643"/>
      <c r="H1391" s="6643"/>
      <c r="I1391" s="6693" t="s">
        <v>5034</v>
      </c>
      <c r="J1391" s="6643">
        <f>G1391</f>
        <v>0</v>
      </c>
      <c r="K1391" s="6664">
        <f>F1391-J1391</f>
        <v>0</v>
      </c>
      <c r="L1391" s="6682"/>
      <c r="M1391" s="6734"/>
      <c r="N1391" s="6734"/>
      <c r="O1391" s="6734"/>
      <c r="P1391" s="386"/>
      <c r="Q1391" s="386"/>
    </row>
    <row r="1392" spans="1:17" s="1659" customFormat="1" ht="30" customHeight="1" x14ac:dyDescent="0.2">
      <c r="A1392" s="6773"/>
      <c r="B1392" s="6665" t="s">
        <v>5037</v>
      </c>
      <c r="C1392" s="6684" t="s">
        <v>371</v>
      </c>
      <c r="D1392" s="6643">
        <v>60000000</v>
      </c>
      <c r="E1392" s="6649">
        <v>0.06</v>
      </c>
      <c r="F1392" s="6643">
        <f t="shared" ref="F1392:F1398" si="119">D1392*E1392</f>
        <v>3600000</v>
      </c>
      <c r="G1392" s="6643"/>
      <c r="H1392" s="6643"/>
      <c r="I1392" s="6693"/>
      <c r="J1392" s="6643"/>
      <c r="K1392" s="6643"/>
      <c r="L1392" s="6802" t="s">
        <v>5038</v>
      </c>
      <c r="M1392" s="6734"/>
      <c r="N1392" s="6734"/>
      <c r="O1392" s="6734"/>
      <c r="P1392" s="386"/>
      <c r="Q1392" s="386"/>
    </row>
    <row r="1393" spans="1:17" s="1659" customFormat="1" ht="30" customHeight="1" x14ac:dyDescent="0.2">
      <c r="A1393" s="6773"/>
      <c r="B1393" s="6665" t="s">
        <v>5053</v>
      </c>
      <c r="C1393" s="6684"/>
      <c r="D1393" s="6643">
        <v>300000000</v>
      </c>
      <c r="E1393" s="6649">
        <v>0.05</v>
      </c>
      <c r="F1393" s="6643">
        <f t="shared" si="119"/>
        <v>15000000</v>
      </c>
      <c r="G1393" s="6643">
        <v>15000000</v>
      </c>
      <c r="H1393" s="6643" t="s">
        <v>8164</v>
      </c>
      <c r="I1393" s="6693" t="s">
        <v>8167</v>
      </c>
      <c r="J1393" s="6643">
        <f t="shared" ref="J1393:J1401" si="120">G1393</f>
        <v>15000000</v>
      </c>
      <c r="K1393" s="6643">
        <f>F1393-J1393</f>
        <v>0</v>
      </c>
      <c r="L1393" s="6682"/>
      <c r="M1393" s="6734"/>
      <c r="N1393" s="6734"/>
      <c r="O1393" s="6734"/>
      <c r="P1393" s="386"/>
      <c r="Q1393" s="386"/>
    </row>
    <row r="1394" spans="1:17" s="1659" customFormat="1" ht="30" customHeight="1" x14ac:dyDescent="0.2">
      <c r="A1394" s="7703"/>
      <c r="B1394" s="7652" t="s">
        <v>5064</v>
      </c>
      <c r="C1394" s="7723" t="s">
        <v>372</v>
      </c>
      <c r="D1394" s="7563">
        <v>700000000</v>
      </c>
      <c r="E1394" s="7659">
        <v>6.5000000000000002E-2</v>
      </c>
      <c r="F1394" s="7563">
        <f t="shared" si="119"/>
        <v>45500000</v>
      </c>
      <c r="G1394" s="6643">
        <v>25000000</v>
      </c>
      <c r="H1394" s="6643" t="s">
        <v>8245</v>
      </c>
      <c r="I1394" s="6693" t="s">
        <v>7653</v>
      </c>
      <c r="J1394" s="7563">
        <f>G1394+G1395</f>
        <v>45500000</v>
      </c>
      <c r="K1394" s="7563">
        <f>F1394-J1394</f>
        <v>0</v>
      </c>
      <c r="L1394" s="6682"/>
      <c r="M1394" s="6734"/>
      <c r="N1394" s="6734"/>
      <c r="O1394" s="6734"/>
      <c r="P1394" s="386"/>
      <c r="Q1394" s="386"/>
    </row>
    <row r="1395" spans="1:17" s="1659" customFormat="1" ht="30" customHeight="1" x14ac:dyDescent="0.2">
      <c r="A1395" s="7705"/>
      <c r="B1395" s="7653"/>
      <c r="C1395" s="7724"/>
      <c r="D1395" s="7564"/>
      <c r="E1395" s="7660"/>
      <c r="F1395" s="7564"/>
      <c r="G1395" s="6643">
        <v>20500000</v>
      </c>
      <c r="H1395" s="6643" t="s">
        <v>8424</v>
      </c>
      <c r="I1395" s="6693" t="s">
        <v>7653</v>
      </c>
      <c r="J1395" s="7564"/>
      <c r="K1395" s="7564"/>
      <c r="L1395" s="6682"/>
      <c r="M1395" s="6734"/>
      <c r="N1395" s="6734"/>
      <c r="O1395" s="6734"/>
      <c r="P1395" s="386"/>
      <c r="Q1395" s="386"/>
    </row>
    <row r="1396" spans="1:17" s="1659" customFormat="1" ht="30" customHeight="1" x14ac:dyDescent="0.2">
      <c r="A1396" s="6773"/>
      <c r="B1396" s="6665" t="s">
        <v>5065</v>
      </c>
      <c r="C1396" s="6684" t="s">
        <v>372</v>
      </c>
      <c r="D1396" s="6643">
        <v>400000000</v>
      </c>
      <c r="E1396" s="6649">
        <v>6.5000000000000002E-2</v>
      </c>
      <c r="F1396" s="6643">
        <f t="shared" si="119"/>
        <v>26000000</v>
      </c>
      <c r="G1396" s="6643">
        <v>26000000</v>
      </c>
      <c r="H1396" s="6643" t="s">
        <v>8245</v>
      </c>
      <c r="I1396" s="6693" t="s">
        <v>5519</v>
      </c>
      <c r="J1396" s="6643">
        <f t="shared" si="120"/>
        <v>26000000</v>
      </c>
      <c r="K1396" s="6643">
        <f>F1396-J1396</f>
        <v>0</v>
      </c>
      <c r="L1396" s="6682"/>
      <c r="M1396" s="6734"/>
      <c r="N1396" s="6734"/>
      <c r="O1396" s="6734"/>
      <c r="P1396" s="386"/>
      <c r="Q1396" s="386"/>
    </row>
    <row r="1397" spans="1:17" s="1659" customFormat="1" ht="30" customHeight="1" x14ac:dyDescent="0.2">
      <c r="A1397" s="6727"/>
      <c r="B1397" s="19" t="s">
        <v>5067</v>
      </c>
      <c r="C1397" s="378" t="s">
        <v>990</v>
      </c>
      <c r="D1397" s="6635">
        <v>32000000</v>
      </c>
      <c r="E1397" s="6705">
        <v>0.05</v>
      </c>
      <c r="F1397" s="6635">
        <f t="shared" si="119"/>
        <v>1600000</v>
      </c>
      <c r="G1397" s="6635">
        <v>1600000</v>
      </c>
      <c r="H1397" s="6635" t="s">
        <v>8483</v>
      </c>
      <c r="I1397" s="6635" t="s">
        <v>8486</v>
      </c>
      <c r="J1397" s="6635">
        <f t="shared" si="120"/>
        <v>1600000</v>
      </c>
      <c r="K1397" s="6635">
        <f>F1397-J1397</f>
        <v>0</v>
      </c>
      <c r="L1397" s="6682"/>
      <c r="M1397" s="6734"/>
      <c r="N1397" s="6734"/>
      <c r="O1397" s="6734"/>
      <c r="P1397" s="386"/>
      <c r="Q1397" s="386"/>
    </row>
    <row r="1398" spans="1:17" s="1659" customFormat="1" ht="30" customHeight="1" x14ac:dyDescent="0.2">
      <c r="A1398" s="6773"/>
      <c r="B1398" s="6652" t="s">
        <v>5113</v>
      </c>
      <c r="C1398" s="6684" t="s">
        <v>1291</v>
      </c>
      <c r="D1398" s="6643">
        <v>500000000</v>
      </c>
      <c r="E1398" s="6649">
        <v>0.05</v>
      </c>
      <c r="F1398" s="6643">
        <f t="shared" si="119"/>
        <v>25000000</v>
      </c>
      <c r="G1398" s="6643">
        <v>25000000</v>
      </c>
      <c r="H1398" s="6643" t="s">
        <v>8240</v>
      </c>
      <c r="I1398" s="6693" t="s">
        <v>7719</v>
      </c>
      <c r="J1398" s="6643">
        <f t="shared" si="120"/>
        <v>25000000</v>
      </c>
      <c r="K1398" s="6643">
        <f>F1398-J1398</f>
        <v>0</v>
      </c>
      <c r="L1398" s="6682"/>
      <c r="M1398" s="6734"/>
      <c r="N1398" s="6734"/>
      <c r="O1398" s="6734"/>
      <c r="P1398" s="386"/>
      <c r="Q1398" s="386"/>
    </row>
    <row r="1399" spans="1:17" s="1659" customFormat="1" ht="30" customHeight="1" x14ac:dyDescent="0.2">
      <c r="A1399" s="6773"/>
      <c r="B1399" s="6665" t="s">
        <v>5124</v>
      </c>
      <c r="C1399" s="6684"/>
      <c r="D1399" s="6664"/>
      <c r="E1399" s="6669"/>
      <c r="F1399" s="6664"/>
      <c r="G1399" s="6643"/>
      <c r="H1399" s="6643"/>
      <c r="I1399" s="6693" t="s">
        <v>7327</v>
      </c>
      <c r="J1399" s="6643">
        <f t="shared" si="120"/>
        <v>0</v>
      </c>
      <c r="K1399" s="6643"/>
      <c r="L1399" s="6682" t="s">
        <v>7328</v>
      </c>
      <c r="M1399" s="6734"/>
      <c r="N1399" s="6734"/>
      <c r="O1399" s="6734"/>
      <c r="P1399" s="386"/>
      <c r="Q1399" s="386"/>
    </row>
    <row r="1400" spans="1:17" s="1659" customFormat="1" ht="30" customHeight="1" x14ac:dyDescent="0.2">
      <c r="A1400" s="6773"/>
      <c r="B1400" s="6774" t="s">
        <v>5129</v>
      </c>
      <c r="C1400" s="6684"/>
      <c r="D1400" s="6664"/>
      <c r="E1400" s="6669"/>
      <c r="F1400" s="6664"/>
      <c r="G1400" s="6643"/>
      <c r="H1400" s="6643"/>
      <c r="I1400" s="6693" t="s">
        <v>6361</v>
      </c>
      <c r="J1400" s="6643">
        <f t="shared" si="120"/>
        <v>0</v>
      </c>
      <c r="K1400" s="6643"/>
      <c r="L1400" s="6682"/>
      <c r="M1400" s="6734"/>
      <c r="N1400" s="6734"/>
      <c r="O1400" s="6734"/>
      <c r="P1400" s="386"/>
      <c r="Q1400" s="386"/>
    </row>
    <row r="1401" spans="1:17" s="1659" customFormat="1" ht="30" customHeight="1" x14ac:dyDescent="0.2">
      <c r="A1401" s="7255"/>
      <c r="B1401" s="7240" t="s">
        <v>5218</v>
      </c>
      <c r="C1401" s="7259" t="s">
        <v>990</v>
      </c>
      <c r="D1401" s="7236">
        <v>50000000</v>
      </c>
      <c r="E1401" s="7244">
        <v>0.05</v>
      </c>
      <c r="F1401" s="7236">
        <f>D1401*E1401</f>
        <v>2500000</v>
      </c>
      <c r="G1401" s="6643">
        <v>2500000</v>
      </c>
      <c r="H1401" s="6643" t="s">
        <v>5200</v>
      </c>
      <c r="I1401" s="6693" t="s">
        <v>8362</v>
      </c>
      <c r="J1401" s="6643">
        <f t="shared" si="120"/>
        <v>2500000</v>
      </c>
      <c r="K1401" s="6643">
        <f>F1401-J1401</f>
        <v>0</v>
      </c>
      <c r="L1401" s="6682"/>
      <c r="M1401" s="6734"/>
      <c r="N1401" s="6734"/>
      <c r="O1401" s="6734"/>
      <c r="P1401" s="386"/>
      <c r="Q1401" s="386"/>
    </row>
    <row r="1402" spans="1:17" s="1659" customFormat="1" ht="30" customHeight="1" x14ac:dyDescent="0.2">
      <c r="A1402" s="7703"/>
      <c r="B1402" s="7652" t="s">
        <v>5241</v>
      </c>
      <c r="C1402" s="7723" t="s">
        <v>1306</v>
      </c>
      <c r="D1402" s="7563">
        <v>1275000000</v>
      </c>
      <c r="E1402" s="7659">
        <v>7.0000000000000007E-2</v>
      </c>
      <c r="F1402" s="7563">
        <f>D1402*E1402</f>
        <v>89250000.000000015</v>
      </c>
      <c r="G1402" s="6643">
        <v>20000000</v>
      </c>
      <c r="H1402" s="6643" t="s">
        <v>7945</v>
      </c>
      <c r="I1402" s="6693" t="s">
        <v>7313</v>
      </c>
      <c r="J1402" s="7482">
        <f>G1402+G1403+G1404+G1405+G1406</f>
        <v>89250000</v>
      </c>
      <c r="K1402" s="7482">
        <f>F1402-J1402</f>
        <v>0</v>
      </c>
      <c r="L1402" s="4242" t="s">
        <v>6009</v>
      </c>
      <c r="M1402" s="6734"/>
      <c r="N1402" s="6734"/>
      <c r="O1402" s="6734"/>
      <c r="P1402" s="386"/>
      <c r="Q1402" s="386"/>
    </row>
    <row r="1403" spans="1:17" s="1659" customFormat="1" ht="30" customHeight="1" x14ac:dyDescent="0.2">
      <c r="A1403" s="7704"/>
      <c r="B1403" s="7665"/>
      <c r="C1403" s="7747"/>
      <c r="D1403" s="7586"/>
      <c r="E1403" s="7676"/>
      <c r="F1403" s="7586"/>
      <c r="G1403" s="6635">
        <v>15000000</v>
      </c>
      <c r="H1403" s="6635" t="s">
        <v>7974</v>
      </c>
      <c r="I1403" s="6693" t="s">
        <v>7313</v>
      </c>
      <c r="J1403" s="7482"/>
      <c r="K1403" s="7482"/>
      <c r="L1403" s="7364" t="s">
        <v>8459</v>
      </c>
      <c r="M1403" s="6734"/>
      <c r="N1403" s="6734"/>
      <c r="O1403" s="6734"/>
      <c r="P1403" s="386"/>
      <c r="Q1403" s="386"/>
    </row>
    <row r="1404" spans="1:17" s="1659" customFormat="1" ht="30" customHeight="1" x14ac:dyDescent="0.2">
      <c r="A1404" s="7704"/>
      <c r="B1404" s="7665"/>
      <c r="C1404" s="7747"/>
      <c r="D1404" s="7586"/>
      <c r="E1404" s="7676"/>
      <c r="F1404" s="7586"/>
      <c r="G1404" s="7232">
        <v>19250000</v>
      </c>
      <c r="H1404" s="7232" t="s">
        <v>5200</v>
      </c>
      <c r="I1404" s="7232" t="s">
        <v>7313</v>
      </c>
      <c r="J1404" s="7482"/>
      <c r="K1404" s="7482"/>
      <c r="L1404" s="7386" t="s">
        <v>8460</v>
      </c>
      <c r="M1404" s="7277"/>
      <c r="N1404" s="7277"/>
      <c r="O1404" s="7277"/>
      <c r="P1404" s="386"/>
      <c r="Q1404" s="386"/>
    </row>
    <row r="1405" spans="1:17" s="1659" customFormat="1" ht="30" customHeight="1" x14ac:dyDescent="0.2">
      <c r="A1405" s="7704"/>
      <c r="B1405" s="7665"/>
      <c r="C1405" s="7747"/>
      <c r="D1405" s="7586"/>
      <c r="E1405" s="7676"/>
      <c r="F1405" s="7586"/>
      <c r="G1405" s="7292">
        <v>20000000</v>
      </c>
      <c r="H1405" s="7292" t="s">
        <v>8366</v>
      </c>
      <c r="I1405" s="7292" t="s">
        <v>7313</v>
      </c>
      <c r="J1405" s="7482"/>
      <c r="K1405" s="7482"/>
      <c r="L1405" s="7386" t="s">
        <v>8461</v>
      </c>
      <c r="M1405" s="7338"/>
      <c r="N1405" s="7338"/>
      <c r="O1405" s="7338"/>
      <c r="P1405" s="386"/>
      <c r="Q1405" s="386"/>
    </row>
    <row r="1406" spans="1:17" s="1659" customFormat="1" ht="30" customHeight="1" x14ac:dyDescent="0.2">
      <c r="A1406" s="7704"/>
      <c r="B1406" s="7665"/>
      <c r="C1406" s="7747"/>
      <c r="D1406" s="7586"/>
      <c r="E1406" s="7676"/>
      <c r="F1406" s="7586"/>
      <c r="G1406" s="7357">
        <v>15000000</v>
      </c>
      <c r="H1406" s="7357" t="s">
        <v>8245</v>
      </c>
      <c r="I1406" s="7357" t="s">
        <v>7313</v>
      </c>
      <c r="J1406" s="7482"/>
      <c r="K1406" s="7482"/>
      <c r="L1406" s="7386" t="s">
        <v>8463</v>
      </c>
      <c r="M1406" s="7381"/>
      <c r="N1406" s="7381"/>
      <c r="O1406" s="7381"/>
      <c r="P1406" s="386"/>
      <c r="Q1406" s="386"/>
    </row>
    <row r="1407" spans="1:17" s="1659" customFormat="1" ht="30" customHeight="1" x14ac:dyDescent="0.2">
      <c r="A1407" s="7704"/>
      <c r="B1407" s="7665"/>
      <c r="C1407" s="7724"/>
      <c r="D1407" s="7564"/>
      <c r="E1407" s="7660"/>
      <c r="F1407" s="7564"/>
      <c r="G1407" s="6635">
        <v>15000000</v>
      </c>
      <c r="H1407" s="6635" t="s">
        <v>5244</v>
      </c>
      <c r="I1407" s="6635" t="s">
        <v>7313</v>
      </c>
      <c r="J1407" s="7"/>
      <c r="K1407" s="7"/>
      <c r="L1407" s="7365" t="s">
        <v>8462</v>
      </c>
      <c r="M1407" s="6734"/>
      <c r="N1407" s="6734"/>
      <c r="O1407" s="6734"/>
      <c r="P1407" s="386"/>
      <c r="Q1407" s="386"/>
    </row>
    <row r="1408" spans="1:17" s="1659" customFormat="1" ht="30" customHeight="1" x14ac:dyDescent="0.2">
      <c r="A1408" s="7704"/>
      <c r="B1408" s="7665"/>
      <c r="C1408" s="7723" t="s">
        <v>1306</v>
      </c>
      <c r="D1408" s="7563">
        <v>1275000000</v>
      </c>
      <c r="E1408" s="7659">
        <v>7.0000000000000007E-2</v>
      </c>
      <c r="F1408" s="7563">
        <f>D1408*E1408</f>
        <v>89250000.000000015</v>
      </c>
      <c r="G1408" s="6635"/>
      <c r="H1408" s="6635"/>
      <c r="I1408" s="6635" t="s">
        <v>7313</v>
      </c>
      <c r="J1408" s="7563">
        <f>G1408+G1409+G1410</f>
        <v>0</v>
      </c>
      <c r="K1408" s="7563">
        <f>F1408-J1408</f>
        <v>89250000.000000015</v>
      </c>
      <c r="L1408" s="7674"/>
      <c r="M1408" s="6734"/>
      <c r="N1408" s="6734"/>
      <c r="O1408" s="6734"/>
      <c r="P1408" s="386"/>
      <c r="Q1408" s="386"/>
    </row>
    <row r="1409" spans="1:17" s="1659" customFormat="1" ht="30" customHeight="1" x14ac:dyDescent="0.2">
      <c r="A1409" s="7704"/>
      <c r="B1409" s="7665"/>
      <c r="C1409" s="7747"/>
      <c r="D1409" s="7586"/>
      <c r="E1409" s="7676"/>
      <c r="F1409" s="7586"/>
      <c r="G1409" s="6635"/>
      <c r="H1409" s="6635"/>
      <c r="I1409" s="6635" t="s">
        <v>7313</v>
      </c>
      <c r="J1409" s="7586"/>
      <c r="K1409" s="7586"/>
      <c r="L1409" s="8186"/>
      <c r="M1409" s="6734"/>
      <c r="N1409" s="6734"/>
      <c r="O1409" s="6734"/>
      <c r="P1409" s="386"/>
      <c r="Q1409" s="386"/>
    </row>
    <row r="1410" spans="1:17" s="1659" customFormat="1" ht="30" customHeight="1" x14ac:dyDescent="0.2">
      <c r="A1410" s="7705"/>
      <c r="B1410" s="7653"/>
      <c r="C1410" s="7724"/>
      <c r="D1410" s="7564"/>
      <c r="E1410" s="7660"/>
      <c r="F1410" s="7564"/>
      <c r="G1410" s="6635"/>
      <c r="H1410" s="6635"/>
      <c r="I1410" s="6635"/>
      <c r="J1410" s="7564"/>
      <c r="K1410" s="7564"/>
      <c r="L1410" s="7675"/>
      <c r="M1410" s="6734"/>
      <c r="N1410" s="6734"/>
      <c r="O1410" s="6734"/>
      <c r="P1410" s="386"/>
      <c r="Q1410" s="386"/>
    </row>
    <row r="1411" spans="1:17" s="1659" customFormat="1" ht="30" customHeight="1" x14ac:dyDescent="0.2">
      <c r="A1411" s="7703"/>
      <c r="B1411" s="7652" t="s">
        <v>5243</v>
      </c>
      <c r="C1411" s="7723" t="s">
        <v>1081</v>
      </c>
      <c r="D1411" s="6643">
        <v>50000000</v>
      </c>
      <c r="E1411" s="6649">
        <v>0.05</v>
      </c>
      <c r="F1411" s="6643">
        <f t="shared" ref="F1411:F1419" si="121">D1411*E1411</f>
        <v>2500000</v>
      </c>
      <c r="G1411" s="7563">
        <v>4000000</v>
      </c>
      <c r="H1411" s="7563" t="s">
        <v>8245</v>
      </c>
      <c r="I1411" s="7563" t="s">
        <v>5994</v>
      </c>
      <c r="J1411" s="7563">
        <f t="shared" ref="J1411:J1421" si="122">G1411</f>
        <v>4000000</v>
      </c>
      <c r="K1411" s="7563">
        <f>(F1411+F1412)-J1411</f>
        <v>0</v>
      </c>
      <c r="L1411" s="6681"/>
      <c r="M1411" s="6734" t="s">
        <v>5277</v>
      </c>
      <c r="N1411" s="6734"/>
      <c r="O1411" s="6734"/>
      <c r="P1411" s="386"/>
      <c r="Q1411" s="386"/>
    </row>
    <row r="1412" spans="1:17" s="1659" customFormat="1" ht="30" customHeight="1" x14ac:dyDescent="0.2">
      <c r="A1412" s="7705"/>
      <c r="B1412" s="7653"/>
      <c r="C1412" s="7724"/>
      <c r="D1412" s="6643">
        <v>30000000</v>
      </c>
      <c r="E1412" s="6649">
        <v>0.05</v>
      </c>
      <c r="F1412" s="6643">
        <f t="shared" si="121"/>
        <v>1500000</v>
      </c>
      <c r="G1412" s="7564"/>
      <c r="H1412" s="7564"/>
      <c r="I1412" s="7564"/>
      <c r="J1412" s="7564"/>
      <c r="K1412" s="7564"/>
      <c r="L1412" s="6682"/>
      <c r="M1412" s="6734"/>
      <c r="N1412" s="6734"/>
      <c r="O1412" s="6734"/>
      <c r="P1412" s="386"/>
      <c r="Q1412" s="386"/>
    </row>
    <row r="1413" spans="1:17" s="1659" customFormat="1" ht="30" customHeight="1" x14ac:dyDescent="0.2">
      <c r="A1413" s="7703"/>
      <c r="B1413" s="7652" t="s">
        <v>5250</v>
      </c>
      <c r="C1413" s="7723" t="s">
        <v>1138</v>
      </c>
      <c r="D1413" s="6635">
        <v>100000000</v>
      </c>
      <c r="E1413" s="6649">
        <v>0.05</v>
      </c>
      <c r="F1413" s="6643">
        <f t="shared" si="121"/>
        <v>5000000</v>
      </c>
      <c r="G1413" s="6643">
        <v>12000000</v>
      </c>
      <c r="H1413" s="6643" t="s">
        <v>7945</v>
      </c>
      <c r="I1413" s="6693" t="s">
        <v>5997</v>
      </c>
      <c r="J1413" s="6643">
        <f t="shared" si="122"/>
        <v>12000000</v>
      </c>
      <c r="K1413" s="6643">
        <f>F1417-J1413</f>
        <v>0</v>
      </c>
      <c r="L1413" s="6681"/>
      <c r="M1413" s="6734"/>
      <c r="N1413" s="6734"/>
      <c r="O1413" s="6734"/>
      <c r="P1413" s="386"/>
      <c r="Q1413" s="386"/>
    </row>
    <row r="1414" spans="1:17" s="1659" customFormat="1" ht="30" customHeight="1" x14ac:dyDescent="0.2">
      <c r="A1414" s="7704"/>
      <c r="B1414" s="7665"/>
      <c r="C1414" s="7747"/>
      <c r="D1414" s="6643">
        <v>5000000</v>
      </c>
      <c r="E1414" s="6649">
        <v>7.0000000000000007E-2</v>
      </c>
      <c r="F1414" s="6643">
        <f t="shared" si="121"/>
        <v>350000.00000000006</v>
      </c>
      <c r="G1414" s="7732" t="s">
        <v>7635</v>
      </c>
      <c r="H1414" s="7733"/>
      <c r="I1414" s="7733"/>
      <c r="J1414" s="7734"/>
      <c r="K1414" s="6643"/>
      <c r="L1414" s="6745"/>
      <c r="M1414" s="6734"/>
      <c r="N1414" s="6734"/>
      <c r="O1414" s="6734"/>
      <c r="P1414" s="386"/>
      <c r="Q1414" s="386"/>
    </row>
    <row r="1415" spans="1:17" s="1659" customFormat="1" ht="30" customHeight="1" x14ac:dyDescent="0.2">
      <c r="A1415" s="7704"/>
      <c r="B1415" s="7665"/>
      <c r="C1415" s="7747"/>
      <c r="D1415" s="6643">
        <v>92700000</v>
      </c>
      <c r="E1415" s="6649">
        <v>7.0000000000000007E-2</v>
      </c>
      <c r="F1415" s="6643">
        <f t="shared" si="121"/>
        <v>6489000.0000000009</v>
      </c>
      <c r="G1415" s="7732" t="s">
        <v>7631</v>
      </c>
      <c r="H1415" s="7733"/>
      <c r="I1415" s="7733"/>
      <c r="J1415" s="7734"/>
      <c r="K1415" s="6643"/>
      <c r="L1415" s="6745" t="s">
        <v>7633</v>
      </c>
      <c r="M1415" s="6734"/>
      <c r="N1415" s="6734"/>
      <c r="O1415" s="6734"/>
      <c r="P1415" s="386"/>
      <c r="Q1415" s="386"/>
    </row>
    <row r="1416" spans="1:17" s="1659" customFormat="1" ht="30" customHeight="1" x14ac:dyDescent="0.2">
      <c r="A1416" s="7704"/>
      <c r="B1416" s="7665"/>
      <c r="C1416" s="7747"/>
      <c r="D1416" s="6643">
        <v>2300000</v>
      </c>
      <c r="E1416" s="6649">
        <v>7.0000000000000007E-2</v>
      </c>
      <c r="F1416" s="6643">
        <f t="shared" si="121"/>
        <v>161000.00000000003</v>
      </c>
      <c r="G1416" s="7732" t="s">
        <v>7636</v>
      </c>
      <c r="H1416" s="7733"/>
      <c r="I1416" s="7733"/>
      <c r="J1416" s="7734"/>
      <c r="K1416" s="6643"/>
      <c r="L1416" s="6745"/>
      <c r="M1416" s="6734"/>
      <c r="N1416" s="6734"/>
      <c r="O1416" s="6734"/>
      <c r="P1416" s="386"/>
      <c r="Q1416" s="386"/>
    </row>
    <row r="1417" spans="1:17" s="1659" customFormat="1" ht="30" customHeight="1" x14ac:dyDescent="0.2">
      <c r="A1417" s="7704"/>
      <c r="B1417" s="7665"/>
      <c r="C1417" s="7747"/>
      <c r="D1417" s="8026">
        <v>200000000</v>
      </c>
      <c r="E1417" s="7448"/>
      <c r="F1417" s="8026">
        <v>12000000</v>
      </c>
      <c r="G1417" s="7732" t="s">
        <v>7634</v>
      </c>
      <c r="H1417" s="7733"/>
      <c r="I1417" s="7733"/>
      <c r="J1417" s="7734"/>
      <c r="K1417" s="6643"/>
      <c r="L1417" s="6745" t="s">
        <v>7632</v>
      </c>
      <c r="M1417" s="6734"/>
      <c r="N1417" s="6734"/>
      <c r="O1417" s="6734"/>
      <c r="P1417" s="386"/>
      <c r="Q1417" s="386"/>
    </row>
    <row r="1418" spans="1:17" s="1659" customFormat="1" ht="30" customHeight="1" x14ac:dyDescent="0.2">
      <c r="A1418" s="7705"/>
      <c r="B1418" s="7653"/>
      <c r="C1418" s="7724"/>
      <c r="D1418" s="8027"/>
      <c r="E1418" s="7449"/>
      <c r="F1418" s="8027"/>
      <c r="G1418" s="7394">
        <v>12000000</v>
      </c>
      <c r="H1418" s="7394" t="s">
        <v>8483</v>
      </c>
      <c r="I1418" s="7394" t="s">
        <v>5997</v>
      </c>
      <c r="J1418" s="7394">
        <f>G1418</f>
        <v>12000000</v>
      </c>
      <c r="K1418" s="7397">
        <f>F1417-J1418</f>
        <v>0</v>
      </c>
      <c r="L1418" s="7407"/>
      <c r="M1418" s="7415"/>
      <c r="N1418" s="7415"/>
      <c r="O1418" s="7415"/>
      <c r="P1418" s="386"/>
      <c r="Q1418" s="386"/>
    </row>
    <row r="1419" spans="1:17" s="1659" customFormat="1" ht="30" customHeight="1" x14ac:dyDescent="0.2">
      <c r="A1419" s="6773"/>
      <c r="B1419" s="6665" t="s">
        <v>5252</v>
      </c>
      <c r="C1419" s="6684" t="s">
        <v>942</v>
      </c>
      <c r="D1419" s="6643">
        <v>200000000</v>
      </c>
      <c r="E1419" s="6649">
        <v>5.5E-2</v>
      </c>
      <c r="F1419" s="6643">
        <f t="shared" si="121"/>
        <v>11000000</v>
      </c>
      <c r="G1419" s="6643">
        <v>11000000</v>
      </c>
      <c r="H1419" s="6643" t="s">
        <v>8164</v>
      </c>
      <c r="I1419" s="6693" t="s">
        <v>6141</v>
      </c>
      <c r="J1419" s="6643">
        <f t="shared" si="122"/>
        <v>11000000</v>
      </c>
      <c r="K1419" s="6643">
        <f>F1419-J1419</f>
        <v>0</v>
      </c>
      <c r="L1419" s="6682"/>
      <c r="M1419" s="6734"/>
      <c r="N1419" s="6734"/>
      <c r="O1419" s="6734"/>
      <c r="P1419" s="386"/>
      <c r="Q1419" s="386"/>
    </row>
    <row r="1420" spans="1:17" s="1659" customFormat="1" ht="30" customHeight="1" x14ac:dyDescent="0.2">
      <c r="A1420" s="6773"/>
      <c r="B1420" s="6665" t="s">
        <v>5304</v>
      </c>
      <c r="C1420" s="6684"/>
      <c r="D1420" s="6664"/>
      <c r="E1420" s="6669"/>
      <c r="F1420" s="6664"/>
      <c r="G1420" s="6643"/>
      <c r="H1420" s="6643"/>
      <c r="I1420" s="6693" t="s">
        <v>4147</v>
      </c>
      <c r="J1420" s="6643">
        <f t="shared" si="122"/>
        <v>0</v>
      </c>
      <c r="K1420" s="6664"/>
      <c r="L1420" s="6682"/>
      <c r="M1420" s="6734"/>
      <c r="N1420" s="6734"/>
      <c r="O1420" s="6734"/>
      <c r="P1420" s="386"/>
      <c r="Q1420" s="386"/>
    </row>
    <row r="1421" spans="1:17" s="1659" customFormat="1" ht="30" customHeight="1" x14ac:dyDescent="0.2">
      <c r="A1421" s="7703"/>
      <c r="B1421" s="7652" t="s">
        <v>5310</v>
      </c>
      <c r="C1421" s="7723" t="s">
        <v>1138</v>
      </c>
      <c r="D1421" s="6635">
        <v>30000000</v>
      </c>
      <c r="E1421" s="6705">
        <v>0.05</v>
      </c>
      <c r="F1421" s="6635">
        <f>D1421*E1421</f>
        <v>1500000</v>
      </c>
      <c r="G1421" s="6643"/>
      <c r="H1421" s="6643"/>
      <c r="I1421" s="6693" t="s">
        <v>6139</v>
      </c>
      <c r="J1421" s="6643">
        <f t="shared" si="122"/>
        <v>0</v>
      </c>
      <c r="K1421" s="6643">
        <f>F1421-J1421</f>
        <v>1500000</v>
      </c>
      <c r="L1421" s="6682" t="s">
        <v>8401</v>
      </c>
      <c r="M1421" s="6734"/>
      <c r="N1421" s="6734"/>
      <c r="O1421" s="6734"/>
      <c r="P1421" s="386"/>
      <c r="Q1421" s="386"/>
    </row>
    <row r="1422" spans="1:17" s="1659" customFormat="1" ht="30" customHeight="1" x14ac:dyDescent="0.2">
      <c r="A1422" s="7704"/>
      <c r="B1422" s="7665"/>
      <c r="C1422" s="7747"/>
      <c r="D1422" s="7296">
        <v>10000000</v>
      </c>
      <c r="E1422" s="7303"/>
      <c r="F1422" s="7296"/>
      <c r="G1422" s="7296"/>
      <c r="H1422" s="7296"/>
      <c r="I1422" s="7320"/>
      <c r="J1422" s="7296"/>
      <c r="K1422" s="7296"/>
      <c r="L1422" s="7314" t="s">
        <v>2685</v>
      </c>
      <c r="M1422" s="7338"/>
      <c r="N1422" s="7338"/>
      <c r="O1422" s="7338"/>
      <c r="P1422" s="386"/>
      <c r="Q1422" s="386"/>
    </row>
    <row r="1423" spans="1:17" s="1659" customFormat="1" ht="30" customHeight="1" x14ac:dyDescent="0.2">
      <c r="A1423" s="7705"/>
      <c r="B1423" s="7653"/>
      <c r="C1423" s="7724"/>
      <c r="D1423" s="7342">
        <v>40000000</v>
      </c>
      <c r="E1423" s="7344">
        <v>7.0000000000000007E-2</v>
      </c>
      <c r="F1423" s="7342">
        <f>D1423*E1423</f>
        <v>2800000.0000000005</v>
      </c>
      <c r="G1423" s="7732" t="s">
        <v>8402</v>
      </c>
      <c r="H1423" s="7733"/>
      <c r="I1423" s="7733"/>
      <c r="J1423" s="7734"/>
      <c r="K1423" s="7296"/>
      <c r="L1423" s="7339" t="s">
        <v>8403</v>
      </c>
      <c r="M1423" s="7338"/>
      <c r="N1423" s="7338"/>
      <c r="O1423" s="7338"/>
      <c r="P1423" s="386"/>
      <c r="Q1423" s="386"/>
    </row>
    <row r="1424" spans="1:17" s="1659" customFormat="1" ht="30" customHeight="1" x14ac:dyDescent="0.2">
      <c r="A1424" s="6773"/>
      <c r="B1424" s="6665" t="s">
        <v>5311</v>
      </c>
      <c r="C1424" s="6684"/>
      <c r="D1424" s="6643">
        <v>10000000</v>
      </c>
      <c r="E1424" s="6649">
        <v>0.05</v>
      </c>
      <c r="F1424" s="6643">
        <f>D1424*E1424</f>
        <v>500000</v>
      </c>
      <c r="G1424" s="6643"/>
      <c r="H1424" s="6643"/>
      <c r="I1424" s="6693"/>
      <c r="J1424" s="6643"/>
      <c r="K1424" s="6643"/>
      <c r="L1424" s="6682"/>
      <c r="M1424" s="6734"/>
      <c r="N1424" s="6734"/>
      <c r="O1424" s="6734"/>
      <c r="P1424" s="386"/>
      <c r="Q1424" s="386"/>
    </row>
    <row r="1425" spans="1:17" s="1659" customFormat="1" ht="30" customHeight="1" x14ac:dyDescent="0.2">
      <c r="A1425" s="6773"/>
      <c r="B1425" s="6665" t="s">
        <v>5319</v>
      </c>
      <c r="C1425" s="6684" t="s">
        <v>889</v>
      </c>
      <c r="D1425" s="6643">
        <v>110000000</v>
      </c>
      <c r="E1425" s="6649">
        <v>0.05</v>
      </c>
      <c r="F1425" s="6643">
        <f>D1425*E1425</f>
        <v>5500000</v>
      </c>
      <c r="G1425" s="6643"/>
      <c r="H1425" s="6643"/>
      <c r="I1425" s="6693" t="s">
        <v>6194</v>
      </c>
      <c r="J1425" s="6643">
        <f>G1425</f>
        <v>0</v>
      </c>
      <c r="K1425" s="6643">
        <f>F1425-J1425</f>
        <v>5500000</v>
      </c>
      <c r="L1425" s="6682"/>
      <c r="M1425" s="6734"/>
      <c r="N1425" s="6734"/>
      <c r="O1425" s="6734"/>
      <c r="P1425" s="386"/>
      <c r="Q1425" s="386"/>
    </row>
    <row r="1426" spans="1:17" s="1659" customFormat="1" ht="30" customHeight="1" x14ac:dyDescent="0.2">
      <c r="A1426" s="6773"/>
      <c r="B1426" s="6774" t="s">
        <v>5325</v>
      </c>
      <c r="C1426" s="6725"/>
      <c r="D1426" s="6664"/>
      <c r="E1426" s="6669"/>
      <c r="F1426" s="6664"/>
      <c r="G1426" s="6664">
        <v>1000000</v>
      </c>
      <c r="H1426" s="6664" t="s">
        <v>8186</v>
      </c>
      <c r="I1426" s="5816" t="s">
        <v>5326</v>
      </c>
      <c r="J1426" s="6664">
        <f>G1426</f>
        <v>1000000</v>
      </c>
      <c r="K1426" s="6664"/>
      <c r="L1426" s="7031"/>
      <c r="M1426" s="6734"/>
      <c r="N1426" s="6734"/>
      <c r="O1426" s="6734"/>
      <c r="P1426" s="386"/>
      <c r="Q1426" s="386"/>
    </row>
    <row r="1427" spans="1:17" s="1659" customFormat="1" ht="30" customHeight="1" x14ac:dyDescent="0.2">
      <c r="A1427" s="6773"/>
      <c r="B1427" s="6665" t="s">
        <v>5332</v>
      </c>
      <c r="C1427" s="6684"/>
      <c r="D1427" s="6643">
        <v>30000000</v>
      </c>
      <c r="E1427" s="6649">
        <v>7.0000000000000007E-2</v>
      </c>
      <c r="F1427" s="6643">
        <f>D1427*E1427</f>
        <v>2100000</v>
      </c>
      <c r="G1427" s="6643"/>
      <c r="H1427" s="6643"/>
      <c r="I1427" s="6693" t="s">
        <v>5918</v>
      </c>
      <c r="J1427" s="6643">
        <f>G1427</f>
        <v>0</v>
      </c>
      <c r="K1427" s="6643">
        <f>F1427-J1427</f>
        <v>2100000</v>
      </c>
      <c r="L1427" s="6682"/>
      <c r="M1427" s="6734"/>
      <c r="N1427" s="6734"/>
      <c r="O1427" s="6734"/>
      <c r="P1427" s="386"/>
      <c r="Q1427" s="386"/>
    </row>
    <row r="1428" spans="1:17" s="1659" customFormat="1" ht="30" customHeight="1" x14ac:dyDescent="0.2">
      <c r="A1428" s="6711"/>
      <c r="B1428" s="6711" t="s">
        <v>5362</v>
      </c>
      <c r="C1428" s="345"/>
      <c r="D1428" s="6635">
        <v>13000000</v>
      </c>
      <c r="E1428" s="6705">
        <v>0.06</v>
      </c>
      <c r="F1428" s="6635">
        <f>D1428*E1428</f>
        <v>780000</v>
      </c>
      <c r="G1428" s="6635">
        <v>720000</v>
      </c>
      <c r="H1428" s="6635" t="s">
        <v>5244</v>
      </c>
      <c r="I1428" s="6635" t="s">
        <v>7650</v>
      </c>
      <c r="J1428" s="6635">
        <f>G1428</f>
        <v>720000</v>
      </c>
      <c r="K1428" s="6635">
        <f>F1428-J1428</f>
        <v>60000</v>
      </c>
      <c r="L1428" s="6682" t="s">
        <v>7651</v>
      </c>
      <c r="M1428" s="6734"/>
      <c r="N1428" s="6734"/>
      <c r="O1428" s="6734"/>
      <c r="P1428" s="386"/>
      <c r="Q1428" s="386"/>
    </row>
    <row r="1429" spans="1:17" s="1659" customFormat="1" ht="30" customHeight="1" x14ac:dyDescent="0.2">
      <c r="A1429" s="7703"/>
      <c r="B1429" s="7710" t="s">
        <v>5365</v>
      </c>
      <c r="C1429" s="7813"/>
      <c r="D1429" s="7677"/>
      <c r="E1429" s="7691"/>
      <c r="F1429" s="7677"/>
      <c r="G1429" s="6664"/>
      <c r="H1429" s="6664"/>
      <c r="I1429" s="5816" t="s">
        <v>678</v>
      </c>
      <c r="J1429" s="7690">
        <f>G1429+G1430</f>
        <v>0</v>
      </c>
      <c r="K1429" s="7690"/>
      <c r="L1429" s="8570"/>
      <c r="M1429" s="6734"/>
      <c r="N1429" s="6734"/>
      <c r="O1429" s="6734"/>
      <c r="P1429" s="386"/>
      <c r="Q1429" s="386"/>
    </row>
    <row r="1430" spans="1:17" s="1659" customFormat="1" ht="30" customHeight="1" x14ac:dyDescent="0.2">
      <c r="A1430" s="7705"/>
      <c r="B1430" s="7712"/>
      <c r="C1430" s="7815"/>
      <c r="D1430" s="7678"/>
      <c r="E1430" s="7693"/>
      <c r="F1430" s="7678"/>
      <c r="G1430" s="6664"/>
      <c r="H1430" s="6664"/>
      <c r="I1430" s="5816" t="s">
        <v>5418</v>
      </c>
      <c r="J1430" s="7678"/>
      <c r="K1430" s="7678"/>
      <c r="L1430" s="8571"/>
      <c r="M1430" s="6734"/>
      <c r="N1430" s="6734"/>
      <c r="O1430" s="6734"/>
      <c r="P1430" s="386"/>
      <c r="Q1430" s="386"/>
    </row>
    <row r="1431" spans="1:17" s="1659" customFormat="1" ht="30" customHeight="1" x14ac:dyDescent="0.2">
      <c r="A1431" s="6727"/>
      <c r="B1431" s="6665" t="s">
        <v>5370</v>
      </c>
      <c r="C1431" s="6710" t="s">
        <v>4223</v>
      </c>
      <c r="D1431" s="6635">
        <v>300000000</v>
      </c>
      <c r="E1431" s="6705">
        <v>5.5E-2</v>
      </c>
      <c r="F1431" s="6635">
        <f>D1431*E1431</f>
        <v>16500000</v>
      </c>
      <c r="G1431" s="6635">
        <v>16500000</v>
      </c>
      <c r="H1431" s="6635" t="s">
        <v>8316</v>
      </c>
      <c r="I1431" s="6635" t="s">
        <v>7014</v>
      </c>
      <c r="J1431" s="6635">
        <f>G1431</f>
        <v>16500000</v>
      </c>
      <c r="K1431" s="6643">
        <f>F1431-J1431</f>
        <v>0</v>
      </c>
      <c r="L1431" s="6682"/>
      <c r="M1431" s="6734"/>
      <c r="N1431" s="6734"/>
      <c r="O1431" s="6734"/>
      <c r="P1431" s="386"/>
      <c r="Q1431" s="386"/>
    </row>
    <row r="1432" spans="1:17" s="1659" customFormat="1" ht="30" customHeight="1" x14ac:dyDescent="0.2">
      <c r="A1432" s="6773"/>
      <c r="B1432" s="6665" t="s">
        <v>5401</v>
      </c>
      <c r="C1432" s="6684"/>
      <c r="D1432" s="6664"/>
      <c r="E1432" s="6669"/>
      <c r="F1432" s="6664"/>
      <c r="G1432" s="6643"/>
      <c r="H1432" s="6643"/>
      <c r="I1432" s="6693" t="s">
        <v>5402</v>
      </c>
      <c r="J1432" s="6643">
        <f>G1432</f>
        <v>0</v>
      </c>
      <c r="K1432" s="6664"/>
      <c r="L1432" s="6682"/>
      <c r="M1432" s="6734"/>
      <c r="N1432" s="6734"/>
      <c r="O1432" s="6734"/>
      <c r="P1432" s="386"/>
      <c r="Q1432" s="386"/>
    </row>
    <row r="1433" spans="1:17" s="1659" customFormat="1" ht="30" customHeight="1" x14ac:dyDescent="0.2">
      <c r="A1433" s="6773"/>
      <c r="B1433" s="6665" t="s">
        <v>5421</v>
      </c>
      <c r="C1433" s="6684"/>
      <c r="D1433" s="6664"/>
      <c r="E1433" s="6669"/>
      <c r="F1433" s="6664"/>
      <c r="G1433" s="6635">
        <v>20000000</v>
      </c>
      <c r="H1433" s="6635" t="s">
        <v>8398</v>
      </c>
      <c r="I1433" s="6635" t="s">
        <v>8410</v>
      </c>
      <c r="J1433" s="6635">
        <f>G1433</f>
        <v>20000000</v>
      </c>
      <c r="K1433" s="6664"/>
      <c r="L1433" s="6682"/>
      <c r="M1433" s="6734"/>
      <c r="N1433" s="6734"/>
      <c r="O1433" s="6734"/>
      <c r="P1433" s="386"/>
      <c r="Q1433" s="386"/>
    </row>
    <row r="1434" spans="1:17" s="1659" customFormat="1" ht="30" customHeight="1" x14ac:dyDescent="0.2">
      <c r="A1434" s="6773"/>
      <c r="B1434" s="6774" t="s">
        <v>5407</v>
      </c>
      <c r="C1434" s="6725"/>
      <c r="D1434" s="6664">
        <v>70000000</v>
      </c>
      <c r="E1434" s="6669"/>
      <c r="F1434" s="6664"/>
      <c r="G1434" s="7552" t="s">
        <v>5410</v>
      </c>
      <c r="H1434" s="7843"/>
      <c r="I1434" s="7843"/>
      <c r="J1434" s="7844"/>
      <c r="K1434" s="6664"/>
      <c r="L1434" s="6802" t="s">
        <v>5675</v>
      </c>
      <c r="M1434" s="6734"/>
      <c r="N1434" s="6734"/>
      <c r="O1434" s="6734"/>
      <c r="P1434" s="386"/>
      <c r="Q1434" s="386"/>
    </row>
    <row r="1435" spans="1:17" s="1659" customFormat="1" ht="30" customHeight="1" x14ac:dyDescent="0.2">
      <c r="A1435" s="6773"/>
      <c r="B1435" s="6665" t="s">
        <v>5411</v>
      </c>
      <c r="C1435" s="6684" t="s">
        <v>392</v>
      </c>
      <c r="D1435" s="6643">
        <v>8000000</v>
      </c>
      <c r="E1435" s="6649">
        <v>0.05</v>
      </c>
      <c r="F1435" s="6643">
        <f>D1435*E1435</f>
        <v>400000</v>
      </c>
      <c r="G1435" s="6635">
        <v>400000</v>
      </c>
      <c r="H1435" s="6635" t="s">
        <v>8156</v>
      </c>
      <c r="I1435" s="6635" t="s">
        <v>6245</v>
      </c>
      <c r="J1435" s="6635">
        <f>G1435</f>
        <v>400000</v>
      </c>
      <c r="K1435" s="6643">
        <f>F1435-J1435</f>
        <v>0</v>
      </c>
      <c r="L1435" s="6682"/>
      <c r="M1435" s="6734"/>
      <c r="N1435" s="6734"/>
      <c r="O1435" s="6734"/>
      <c r="P1435" s="386"/>
      <c r="Q1435" s="386"/>
    </row>
    <row r="1436" spans="1:17" s="1659" customFormat="1" ht="30" customHeight="1" x14ac:dyDescent="0.2">
      <c r="A1436" s="6727"/>
      <c r="B1436" s="6665" t="s">
        <v>5676</v>
      </c>
      <c r="C1436" s="6710" t="s">
        <v>2644</v>
      </c>
      <c r="D1436" s="6641">
        <v>260000000</v>
      </c>
      <c r="E1436" s="6647">
        <v>0.05</v>
      </c>
      <c r="F1436" s="6641">
        <f>D1436*E1436</f>
        <v>13000000</v>
      </c>
      <c r="G1436" s="8000"/>
      <c r="H1436" s="8000"/>
      <c r="I1436" s="8000"/>
      <c r="J1436" s="8000"/>
      <c r="K1436" s="1604"/>
      <c r="L1436" s="6682"/>
      <c r="M1436" s="6734"/>
      <c r="N1436" s="6734"/>
      <c r="O1436" s="6734"/>
      <c r="P1436" s="386"/>
      <c r="Q1436" s="386"/>
    </row>
    <row r="1437" spans="1:17" s="1659" customFormat="1" ht="30" customHeight="1" x14ac:dyDescent="0.2">
      <c r="A1437" s="7703"/>
      <c r="B1437" s="7652" t="s">
        <v>5440</v>
      </c>
      <c r="C1437" s="7723" t="s">
        <v>1718</v>
      </c>
      <c r="D1437" s="7846">
        <v>250000000</v>
      </c>
      <c r="E1437" s="7659">
        <v>0.06</v>
      </c>
      <c r="F1437" s="7563">
        <f>D1437*E1437</f>
        <v>15000000</v>
      </c>
      <c r="G1437" s="7563">
        <v>9000000</v>
      </c>
      <c r="H1437" s="7563" t="s">
        <v>8366</v>
      </c>
      <c r="I1437" s="7563" t="s">
        <v>7340</v>
      </c>
      <c r="J1437" s="7563">
        <f>G1437</f>
        <v>9000000</v>
      </c>
      <c r="K1437" s="7563">
        <f>F1441-J1437</f>
        <v>0</v>
      </c>
      <c r="L1437" s="4242" t="s">
        <v>6882</v>
      </c>
      <c r="M1437" s="6734"/>
      <c r="N1437" s="6734"/>
      <c r="O1437" s="6734"/>
      <c r="P1437" s="386"/>
      <c r="Q1437" s="386"/>
    </row>
    <row r="1438" spans="1:17" s="1659" customFormat="1" ht="30" customHeight="1" x14ac:dyDescent="0.2">
      <c r="A1438" s="7704"/>
      <c r="B1438" s="7665"/>
      <c r="C1438" s="7747"/>
      <c r="D1438" s="7848"/>
      <c r="E1438" s="7660"/>
      <c r="F1438" s="7564"/>
      <c r="G1438" s="7586"/>
      <c r="H1438" s="7586"/>
      <c r="I1438" s="7586"/>
      <c r="J1438" s="7586"/>
      <c r="K1438" s="7586"/>
      <c r="L1438" s="6682" t="s">
        <v>6883</v>
      </c>
      <c r="M1438" s="6734"/>
      <c r="N1438" s="6734"/>
      <c r="O1438" s="6734"/>
      <c r="P1438" s="386"/>
      <c r="Q1438" s="386"/>
    </row>
    <row r="1439" spans="1:17" s="1659" customFormat="1" ht="30" customHeight="1" x14ac:dyDescent="0.2">
      <c r="A1439" s="7704"/>
      <c r="B1439" s="7665"/>
      <c r="C1439" s="7747"/>
      <c r="D1439" s="7778" t="s">
        <v>6884</v>
      </c>
      <c r="E1439" s="7778"/>
      <c r="F1439" s="7778"/>
      <c r="G1439" s="7586"/>
      <c r="H1439" s="7586"/>
      <c r="I1439" s="7586"/>
      <c r="J1439" s="7586"/>
      <c r="K1439" s="7586"/>
      <c r="L1439" s="7563"/>
      <c r="M1439" s="6734"/>
      <c r="N1439" s="6734"/>
      <c r="O1439" s="6734"/>
      <c r="P1439" s="386"/>
      <c r="Q1439" s="386"/>
    </row>
    <row r="1440" spans="1:17" s="1659" customFormat="1" ht="30" customHeight="1" x14ac:dyDescent="0.2">
      <c r="A1440" s="7704"/>
      <c r="B1440" s="7665"/>
      <c r="C1440" s="7747"/>
      <c r="D1440" s="7778"/>
      <c r="E1440" s="7778"/>
      <c r="F1440" s="7778"/>
      <c r="G1440" s="7586"/>
      <c r="H1440" s="7586"/>
      <c r="I1440" s="7586"/>
      <c r="J1440" s="7586"/>
      <c r="K1440" s="7586"/>
      <c r="L1440" s="7586"/>
      <c r="M1440" s="6734"/>
      <c r="N1440" s="6734"/>
      <c r="O1440" s="6734"/>
      <c r="P1440" s="386"/>
      <c r="Q1440" s="386"/>
    </row>
    <row r="1441" spans="1:17" s="1659" customFormat="1" ht="30" customHeight="1" x14ac:dyDescent="0.2">
      <c r="A1441" s="7705"/>
      <c r="B1441" s="7653"/>
      <c r="C1441" s="7724"/>
      <c r="D1441" s="5267">
        <v>150000000</v>
      </c>
      <c r="E1441" s="6795">
        <v>0.06</v>
      </c>
      <c r="F1441" s="6794">
        <f>D1441*E1441</f>
        <v>9000000</v>
      </c>
      <c r="G1441" s="7564"/>
      <c r="H1441" s="7564"/>
      <c r="I1441" s="7564"/>
      <c r="J1441" s="7564"/>
      <c r="K1441" s="7564"/>
      <c r="L1441" s="7564"/>
      <c r="M1441" s="6734"/>
      <c r="N1441" s="6734"/>
      <c r="O1441" s="6734"/>
      <c r="P1441" s="386"/>
      <c r="Q1441" s="386"/>
    </row>
    <row r="1442" spans="1:17" s="1659" customFormat="1" ht="30" customHeight="1" x14ac:dyDescent="0.2">
      <c r="A1442" s="6727"/>
      <c r="B1442" s="6665" t="s">
        <v>5452</v>
      </c>
      <c r="C1442" s="6710"/>
      <c r="D1442" s="6635">
        <v>200000000</v>
      </c>
      <c r="E1442" s="6705">
        <v>0.06</v>
      </c>
      <c r="F1442" s="6635">
        <f>D1442*E1442</f>
        <v>12000000</v>
      </c>
      <c r="G1442" s="6635">
        <v>12000000</v>
      </c>
      <c r="H1442" s="6635" t="s">
        <v>6460</v>
      </c>
      <c r="I1442" s="6635" t="s">
        <v>7463</v>
      </c>
      <c r="J1442" s="6635">
        <f>G1442</f>
        <v>12000000</v>
      </c>
      <c r="K1442" s="6635">
        <f>F1442-J1442</f>
        <v>0</v>
      </c>
      <c r="L1442" s="6635"/>
      <c r="M1442" s="6734"/>
      <c r="N1442" s="6734"/>
      <c r="O1442" s="6734"/>
      <c r="P1442" s="386"/>
      <c r="Q1442" s="386"/>
    </row>
    <row r="1443" spans="1:17" s="1659" customFormat="1" ht="30" customHeight="1" x14ac:dyDescent="0.2">
      <c r="A1443" s="7703"/>
      <c r="B1443" s="7652" t="s">
        <v>5462</v>
      </c>
      <c r="C1443" s="7723" t="s">
        <v>889</v>
      </c>
      <c r="D1443" s="6643">
        <v>20000000</v>
      </c>
      <c r="E1443" s="6649">
        <v>7.0000000000000007E-2</v>
      </c>
      <c r="F1443" s="6643">
        <f>D1443*E1443</f>
        <v>1400000.0000000002</v>
      </c>
      <c r="G1443" s="7563">
        <v>12000000</v>
      </c>
      <c r="H1443" s="7563" t="s">
        <v>8247</v>
      </c>
      <c r="I1443" s="7563" t="s">
        <v>1613</v>
      </c>
      <c r="J1443" s="7563">
        <f>G1443</f>
        <v>12000000</v>
      </c>
      <c r="K1443" s="7563">
        <f>F1443-J1443</f>
        <v>-10600000</v>
      </c>
      <c r="L1443" s="6682"/>
      <c r="M1443" s="6734"/>
      <c r="N1443" s="6734"/>
      <c r="O1443" s="6734"/>
      <c r="P1443" s="386"/>
      <c r="Q1443" s="386"/>
    </row>
    <row r="1444" spans="1:17" s="1659" customFormat="1" ht="30" customHeight="1" x14ac:dyDescent="0.2">
      <c r="A1444" s="7704"/>
      <c r="B1444" s="7665"/>
      <c r="C1444" s="7747"/>
      <c r="D1444" s="6635">
        <v>130000000</v>
      </c>
      <c r="E1444" s="6635"/>
      <c r="F1444" s="6635"/>
      <c r="G1444" s="7586"/>
      <c r="H1444" s="7586"/>
      <c r="I1444" s="7586"/>
      <c r="J1444" s="7586"/>
      <c r="K1444" s="7586"/>
      <c r="L1444" s="6682" t="s">
        <v>7574</v>
      </c>
      <c r="M1444" s="6734"/>
      <c r="N1444" s="6734"/>
      <c r="O1444" s="6734"/>
      <c r="P1444" s="386"/>
      <c r="Q1444" s="386"/>
    </row>
    <row r="1445" spans="1:17" s="1659" customFormat="1" ht="30" customHeight="1" x14ac:dyDescent="0.2">
      <c r="A1445" s="7705"/>
      <c r="B1445" s="7653"/>
      <c r="C1445" s="7724"/>
      <c r="D1445" s="6123">
        <v>150000000</v>
      </c>
      <c r="E1445" s="6789">
        <v>7.0000000000000007E-2</v>
      </c>
      <c r="F1445" s="6769">
        <f>D1445*E1445</f>
        <v>10500000.000000002</v>
      </c>
      <c r="G1445" s="7564"/>
      <c r="H1445" s="7564"/>
      <c r="I1445" s="7564"/>
      <c r="J1445" s="7564"/>
      <c r="K1445" s="7564"/>
      <c r="L1445" s="6682" t="s">
        <v>7570</v>
      </c>
      <c r="M1445" s="6734"/>
      <c r="N1445" s="6734"/>
      <c r="O1445" s="6734"/>
      <c r="P1445" s="386"/>
      <c r="Q1445" s="386"/>
    </row>
    <row r="1446" spans="1:17" s="1659" customFormat="1" ht="30" customHeight="1" x14ac:dyDescent="0.2">
      <c r="A1446" s="6727"/>
      <c r="B1446" s="6665" t="s">
        <v>5506</v>
      </c>
      <c r="C1446" s="6710" t="s">
        <v>371</v>
      </c>
      <c r="D1446" s="6643">
        <v>125000000</v>
      </c>
      <c r="E1446" s="6649">
        <v>0.06</v>
      </c>
      <c r="F1446" s="6643">
        <f>D1446*E1446</f>
        <v>7500000</v>
      </c>
      <c r="G1446" s="6635">
        <v>7500000</v>
      </c>
      <c r="H1446" s="6635" t="s">
        <v>8111</v>
      </c>
      <c r="I1446" s="6635" t="s">
        <v>6430</v>
      </c>
      <c r="J1446" s="6635">
        <f>G1446</f>
        <v>7500000</v>
      </c>
      <c r="K1446" s="6643">
        <f>F1446-J1446</f>
        <v>0</v>
      </c>
      <c r="L1446" s="6682"/>
      <c r="M1446" s="6734"/>
      <c r="N1446" s="6734"/>
      <c r="O1446" s="6734"/>
      <c r="P1446" s="386"/>
      <c r="Q1446" s="386"/>
    </row>
    <row r="1447" spans="1:17" s="1659" customFormat="1" ht="30" customHeight="1" x14ac:dyDescent="0.2">
      <c r="A1447" s="6727"/>
      <c r="B1447" s="3823"/>
      <c r="C1447" s="6684"/>
      <c r="D1447" s="6643">
        <v>43000000</v>
      </c>
      <c r="E1447" s="6649">
        <v>0.05</v>
      </c>
      <c r="F1447" s="6643">
        <f>D1447*E1447</f>
        <v>2150000</v>
      </c>
      <c r="G1447" s="6643"/>
      <c r="H1447" s="6643"/>
      <c r="I1447" s="6693"/>
      <c r="J1447" s="6643"/>
      <c r="K1447" s="6643"/>
      <c r="L1447" s="6682" t="s">
        <v>5509</v>
      </c>
      <c r="M1447" s="6734"/>
      <c r="N1447" s="6734"/>
      <c r="O1447" s="6734"/>
      <c r="P1447" s="386"/>
      <c r="Q1447" s="386"/>
    </row>
    <row r="1448" spans="1:17" s="1659" customFormat="1" ht="30" customHeight="1" x14ac:dyDescent="0.2">
      <c r="A1448" s="6727"/>
      <c r="B1448" s="6665" t="s">
        <v>1473</v>
      </c>
      <c r="C1448" s="6710" t="s">
        <v>262</v>
      </c>
      <c r="D1448" s="6635">
        <v>150000000</v>
      </c>
      <c r="E1448" s="6705">
        <v>5.7000000000000002E-2</v>
      </c>
      <c r="F1448" s="6635">
        <v>8500000</v>
      </c>
      <c r="G1448" s="6635">
        <v>8500000</v>
      </c>
      <c r="H1448" s="6635" t="s">
        <v>8366</v>
      </c>
      <c r="I1448" s="6635" t="s">
        <v>7591</v>
      </c>
      <c r="J1448" s="6635">
        <f>G1448:G1448</f>
        <v>8500000</v>
      </c>
      <c r="K1448" s="6643">
        <f>F1448-J1448</f>
        <v>0</v>
      </c>
      <c r="L1448" s="6682"/>
      <c r="M1448" s="6734"/>
      <c r="N1448" s="6734"/>
      <c r="O1448" s="6734"/>
      <c r="P1448" s="386"/>
      <c r="Q1448" s="386"/>
    </row>
    <row r="1449" spans="1:17" s="1659" customFormat="1" ht="30" customHeight="1" x14ac:dyDescent="0.2">
      <c r="A1449" s="6727"/>
      <c r="B1449" s="4921" t="s">
        <v>5527</v>
      </c>
      <c r="C1449" s="6684" t="s">
        <v>4223</v>
      </c>
      <c r="D1449" s="6643">
        <v>300000000</v>
      </c>
      <c r="E1449" s="6649">
        <v>0.06</v>
      </c>
      <c r="F1449" s="6643">
        <f>D1449*E1449</f>
        <v>18000000</v>
      </c>
      <c r="G1449" s="6643"/>
      <c r="H1449" s="6643"/>
      <c r="I1449" s="6693"/>
      <c r="J1449" s="6643"/>
      <c r="K1449" s="6643"/>
      <c r="L1449" s="6682" t="s">
        <v>5529</v>
      </c>
      <c r="M1449" s="6734"/>
      <c r="N1449" s="6734"/>
      <c r="O1449" s="6734"/>
      <c r="P1449" s="386"/>
      <c r="Q1449" s="386"/>
    </row>
    <row r="1450" spans="1:17" s="1659" customFormat="1" ht="30" customHeight="1" x14ac:dyDescent="0.2">
      <c r="A1450" s="6727"/>
      <c r="B1450" s="4921" t="s">
        <v>5545</v>
      </c>
      <c r="C1450" s="6684" t="s">
        <v>371</v>
      </c>
      <c r="D1450" s="6643">
        <v>100000000</v>
      </c>
      <c r="E1450" s="6649">
        <v>0.05</v>
      </c>
      <c r="F1450" s="6643">
        <f>D1450*E1450</f>
        <v>5000000</v>
      </c>
      <c r="G1450" s="6643"/>
      <c r="H1450" s="6643"/>
      <c r="I1450" s="6693"/>
      <c r="J1450" s="6643"/>
      <c r="K1450" s="6643"/>
      <c r="L1450" s="6682" t="s">
        <v>5546</v>
      </c>
      <c r="M1450" s="6734"/>
      <c r="N1450" s="6734"/>
      <c r="O1450" s="6734"/>
      <c r="P1450" s="386"/>
      <c r="Q1450" s="386"/>
    </row>
    <row r="1451" spans="1:17" s="1659" customFormat="1" ht="30" customHeight="1" x14ac:dyDescent="0.2">
      <c r="A1451" s="7703"/>
      <c r="B1451" s="7652" t="s">
        <v>5551</v>
      </c>
      <c r="C1451" s="7723" t="s">
        <v>4223</v>
      </c>
      <c r="D1451" s="7846">
        <v>40000000</v>
      </c>
      <c r="E1451" s="7659">
        <v>0.04</v>
      </c>
      <c r="F1451" s="7563">
        <f>D1451*E1451</f>
        <v>1600000</v>
      </c>
      <c r="G1451" s="7732" t="s">
        <v>5552</v>
      </c>
      <c r="H1451" s="7733"/>
      <c r="I1451" s="7733"/>
      <c r="J1451" s="7734"/>
      <c r="K1451" s="6643"/>
      <c r="L1451" s="6682" t="s">
        <v>5553</v>
      </c>
      <c r="M1451" s="6734"/>
      <c r="N1451" s="6734"/>
      <c r="O1451" s="6734"/>
      <c r="P1451" s="386"/>
      <c r="Q1451" s="386"/>
    </row>
    <row r="1452" spans="1:17" s="1659" customFormat="1" ht="30" customHeight="1" x14ac:dyDescent="0.2">
      <c r="A1452" s="7705"/>
      <c r="B1452" s="7653"/>
      <c r="C1452" s="7724"/>
      <c r="D1452" s="7848"/>
      <c r="E1452" s="7660"/>
      <c r="F1452" s="7564"/>
      <c r="G1452" s="6635">
        <v>1600000</v>
      </c>
      <c r="H1452" s="6635" t="s">
        <v>8247</v>
      </c>
      <c r="I1452" s="6635" t="s">
        <v>6390</v>
      </c>
      <c r="J1452" s="6635">
        <f>G1452</f>
        <v>1600000</v>
      </c>
      <c r="K1452" s="6643">
        <f>F1451-J1452</f>
        <v>0</v>
      </c>
      <c r="L1452" s="6682"/>
      <c r="M1452" s="6734"/>
      <c r="N1452" s="6734"/>
      <c r="O1452" s="6734"/>
      <c r="P1452" s="386"/>
      <c r="Q1452" s="386"/>
    </row>
    <row r="1453" spans="1:17" s="1659" customFormat="1" ht="30" customHeight="1" x14ac:dyDescent="0.2">
      <c r="A1453" s="7703"/>
      <c r="B1453" s="7652" t="s">
        <v>5562</v>
      </c>
      <c r="C1453" s="7723" t="s">
        <v>1652</v>
      </c>
      <c r="D1453" s="7563">
        <v>100000000</v>
      </c>
      <c r="E1453" s="7659">
        <v>0.05</v>
      </c>
      <c r="F1453" s="7563">
        <f>D1453*E1453</f>
        <v>5000000</v>
      </c>
      <c r="G1453" s="7563">
        <v>5000000</v>
      </c>
      <c r="H1453" s="7563" t="s">
        <v>8247</v>
      </c>
      <c r="I1453" s="7563" t="s">
        <v>5563</v>
      </c>
      <c r="J1453" s="7563">
        <f>G1453</f>
        <v>5000000</v>
      </c>
      <c r="K1453" s="7563">
        <f>F1453-J1453</f>
        <v>0</v>
      </c>
      <c r="L1453" s="6682" t="s">
        <v>5657</v>
      </c>
      <c r="M1453" s="6734"/>
      <c r="N1453" s="6734"/>
      <c r="O1453" s="6734"/>
      <c r="P1453" s="386"/>
      <c r="Q1453" s="386"/>
    </row>
    <row r="1454" spans="1:17" s="1659" customFormat="1" ht="30" customHeight="1" x14ac:dyDescent="0.2">
      <c r="A1454" s="7705"/>
      <c r="B1454" s="7653"/>
      <c r="C1454" s="7724"/>
      <c r="D1454" s="7564"/>
      <c r="E1454" s="7660"/>
      <c r="F1454" s="7564"/>
      <c r="G1454" s="7564"/>
      <c r="H1454" s="7564"/>
      <c r="I1454" s="7564"/>
      <c r="J1454" s="7564"/>
      <c r="K1454" s="7564"/>
      <c r="L1454" s="6682" t="s">
        <v>5807</v>
      </c>
      <c r="M1454" s="6734"/>
      <c r="N1454" s="6734"/>
      <c r="O1454" s="6734"/>
      <c r="P1454" s="386"/>
      <c r="Q1454" s="386"/>
    </row>
    <row r="1455" spans="1:17" s="1659" customFormat="1" ht="30" customHeight="1" x14ac:dyDescent="0.2">
      <c r="A1455" s="6662"/>
      <c r="B1455" s="4921" t="s">
        <v>5573</v>
      </c>
      <c r="C1455" s="6684" t="s">
        <v>371</v>
      </c>
      <c r="D1455" s="6643">
        <v>150000000</v>
      </c>
      <c r="E1455" s="6649">
        <v>0.06</v>
      </c>
      <c r="F1455" s="6643">
        <f t="shared" ref="F1455:F1482" si="123">D1455*E1455</f>
        <v>9000000</v>
      </c>
      <c r="G1455" s="6635"/>
      <c r="H1455" s="6635"/>
      <c r="I1455" s="6635" t="s">
        <v>4141</v>
      </c>
      <c r="J1455" s="6635">
        <f>G1455</f>
        <v>0</v>
      </c>
      <c r="K1455" s="6643">
        <f>F1455-J1455</f>
        <v>9000000</v>
      </c>
      <c r="L1455" s="6682"/>
      <c r="M1455" s="6734"/>
      <c r="N1455" s="6734"/>
      <c r="O1455" s="6734"/>
      <c r="P1455" s="386"/>
      <c r="Q1455" s="386"/>
    </row>
    <row r="1456" spans="1:17" s="1659" customFormat="1" ht="30" customHeight="1" x14ac:dyDescent="0.2">
      <c r="A1456" s="6662"/>
      <c r="B1456" s="4921" t="s">
        <v>5574</v>
      </c>
      <c r="C1456" s="6684" t="s">
        <v>371</v>
      </c>
      <c r="D1456" s="6643">
        <v>80000000</v>
      </c>
      <c r="E1456" s="6649">
        <v>0.06</v>
      </c>
      <c r="F1456" s="6643">
        <f t="shared" si="123"/>
        <v>4800000</v>
      </c>
      <c r="G1456" s="6635">
        <v>4800000</v>
      </c>
      <c r="H1456" s="6635" t="s">
        <v>3880</v>
      </c>
      <c r="I1456" s="6635" t="s">
        <v>6398</v>
      </c>
      <c r="J1456" s="6635">
        <f>G1456</f>
        <v>4800000</v>
      </c>
      <c r="K1456" s="6643">
        <f>F1456-J1456</f>
        <v>0</v>
      </c>
      <c r="L1456" s="6682" t="s">
        <v>8310</v>
      </c>
      <c r="M1456" s="6734"/>
      <c r="N1456" s="6734"/>
      <c r="O1456" s="6734"/>
      <c r="P1456" s="386"/>
      <c r="Q1456" s="386"/>
    </row>
    <row r="1457" spans="1:17" s="1659" customFormat="1" ht="30" customHeight="1" x14ac:dyDescent="0.2">
      <c r="A1457" s="7172"/>
      <c r="B1457" s="7162" t="s">
        <v>64</v>
      </c>
      <c r="C1457" s="7176" t="s">
        <v>3390</v>
      </c>
      <c r="D1457" s="7159">
        <v>20000000</v>
      </c>
      <c r="E1457" s="7167">
        <v>0.05</v>
      </c>
      <c r="F1457" s="7159">
        <f t="shared" si="123"/>
        <v>1000000</v>
      </c>
      <c r="G1457" s="6635">
        <v>1000000</v>
      </c>
      <c r="H1457" s="6635" t="s">
        <v>8267</v>
      </c>
      <c r="I1457" s="6635" t="s">
        <v>7730</v>
      </c>
      <c r="J1457" s="6635">
        <f>G1457</f>
        <v>1000000</v>
      </c>
      <c r="K1457" s="6643">
        <f>F1457-J1457</f>
        <v>0</v>
      </c>
      <c r="L1457" s="6682"/>
      <c r="M1457" s="6734"/>
      <c r="N1457" s="6734"/>
      <c r="O1457" s="6734"/>
      <c r="P1457" s="386"/>
      <c r="Q1457" s="386"/>
    </row>
    <row r="1458" spans="1:17" s="1659" customFormat="1" ht="30" customHeight="1" x14ac:dyDescent="0.2">
      <c r="A1458" s="6711"/>
      <c r="B1458" s="6711" t="s">
        <v>5638</v>
      </c>
      <c r="C1458" s="6710" t="s">
        <v>3390</v>
      </c>
      <c r="D1458" s="6635">
        <v>8000000</v>
      </c>
      <c r="E1458" s="6705">
        <v>0.05</v>
      </c>
      <c r="F1458" s="6635">
        <f t="shared" si="123"/>
        <v>400000</v>
      </c>
      <c r="G1458" s="7157">
        <v>400000</v>
      </c>
      <c r="H1458" s="7157" t="s">
        <v>8267</v>
      </c>
      <c r="I1458" s="7157" t="s">
        <v>3538</v>
      </c>
      <c r="J1458" s="7157">
        <f>G1458</f>
        <v>400000</v>
      </c>
      <c r="K1458" s="7157">
        <f>F1458-J1458</f>
        <v>0</v>
      </c>
      <c r="L1458" s="6635"/>
      <c r="M1458" s="6734"/>
      <c r="N1458" s="6734"/>
      <c r="O1458" s="6734"/>
      <c r="P1458" s="386"/>
      <c r="Q1458" s="386"/>
    </row>
    <row r="1459" spans="1:17" s="1659" customFormat="1" ht="30" customHeight="1" x14ac:dyDescent="0.2">
      <c r="A1459" s="7703"/>
      <c r="B1459" s="7652" t="s">
        <v>5639</v>
      </c>
      <c r="C1459" s="7723" t="s">
        <v>3390</v>
      </c>
      <c r="D1459" s="6685">
        <v>12000000</v>
      </c>
      <c r="E1459" s="6705">
        <v>0.05</v>
      </c>
      <c r="F1459" s="6635">
        <f t="shared" si="123"/>
        <v>600000</v>
      </c>
      <c r="G1459" s="7157">
        <v>1000000</v>
      </c>
      <c r="H1459" s="7157" t="s">
        <v>8316</v>
      </c>
      <c r="I1459" s="7157" t="s">
        <v>7729</v>
      </c>
      <c r="J1459" s="7157">
        <f>G1459</f>
        <v>1000000</v>
      </c>
      <c r="K1459" s="7157">
        <f>F1459-J1459</f>
        <v>-400000</v>
      </c>
      <c r="L1459" s="7278" t="s">
        <v>8345</v>
      </c>
      <c r="M1459" s="6734"/>
      <c r="N1459" s="6734"/>
      <c r="O1459" s="6734"/>
      <c r="P1459" s="386"/>
      <c r="Q1459" s="386"/>
    </row>
    <row r="1460" spans="1:17" s="1659" customFormat="1" ht="30" customHeight="1" x14ac:dyDescent="0.2">
      <c r="A1460" s="7704"/>
      <c r="B1460" s="7665"/>
      <c r="C1460" s="7747"/>
      <c r="D1460" s="7267">
        <v>8000000</v>
      </c>
      <c r="E1460" s="7244">
        <v>7.0000000000000007E-2</v>
      </c>
      <c r="F1460" s="7236">
        <f t="shared" si="123"/>
        <v>560000</v>
      </c>
      <c r="G1460" s="7231"/>
      <c r="H1460" s="7233"/>
      <c r="I1460" s="7233"/>
      <c r="J1460" s="7234"/>
      <c r="K1460" s="7238"/>
      <c r="L1460" s="7249" t="s">
        <v>8346</v>
      </c>
      <c r="M1460" s="7277"/>
      <c r="N1460" s="7277"/>
      <c r="O1460" s="7277"/>
      <c r="P1460" s="386"/>
      <c r="Q1460" s="386"/>
    </row>
    <row r="1461" spans="1:17" s="1659" customFormat="1" ht="30" customHeight="1" x14ac:dyDescent="0.2">
      <c r="A1461" s="7705"/>
      <c r="B1461" s="7653"/>
      <c r="C1461" s="7724"/>
      <c r="D1461" s="7286">
        <v>20000000</v>
      </c>
      <c r="E1461" s="7281">
        <v>0.06</v>
      </c>
      <c r="F1461" s="7280">
        <f t="shared" si="123"/>
        <v>1200000</v>
      </c>
      <c r="G1461" s="7231"/>
      <c r="H1461" s="7233"/>
      <c r="I1461" s="7233"/>
      <c r="J1461" s="7234"/>
      <c r="K1461" s="7238"/>
      <c r="L1461" s="7250" t="s">
        <v>8347</v>
      </c>
      <c r="M1461" s="7277"/>
      <c r="N1461" s="7277"/>
      <c r="O1461" s="7277"/>
      <c r="P1461" s="386"/>
      <c r="Q1461" s="386"/>
    </row>
    <row r="1462" spans="1:17" s="1659" customFormat="1" ht="30" customHeight="1" x14ac:dyDescent="0.2">
      <c r="A1462" s="7269"/>
      <c r="B1462" s="7652" t="s">
        <v>7379</v>
      </c>
      <c r="C1462" s="8341" t="s">
        <v>372</v>
      </c>
      <c r="D1462" s="7846">
        <v>200000000</v>
      </c>
      <c r="E1462" s="7659">
        <v>0.06</v>
      </c>
      <c r="F1462" s="7563">
        <f>D1462*E1462</f>
        <v>12000000</v>
      </c>
      <c r="G1462" s="7732" t="s">
        <v>7380</v>
      </c>
      <c r="H1462" s="7733"/>
      <c r="I1462" s="7733"/>
      <c r="J1462" s="7734"/>
      <c r="K1462" s="6643"/>
      <c r="L1462" s="7674" t="s">
        <v>7381</v>
      </c>
      <c r="M1462" s="6734"/>
      <c r="N1462" s="6734"/>
      <c r="O1462" s="6734"/>
      <c r="P1462" s="386"/>
      <c r="Q1462" s="386"/>
    </row>
    <row r="1463" spans="1:17" s="1659" customFormat="1" ht="30" customHeight="1" x14ac:dyDescent="0.2">
      <c r="A1463" s="7270"/>
      <c r="B1463" s="7665"/>
      <c r="C1463" s="8342"/>
      <c r="D1463" s="7847"/>
      <c r="E1463" s="7676"/>
      <c r="F1463" s="7586"/>
      <c r="G1463" s="7732" t="s">
        <v>7382</v>
      </c>
      <c r="H1463" s="7733"/>
      <c r="I1463" s="7733"/>
      <c r="J1463" s="7734"/>
      <c r="K1463" s="6643"/>
      <c r="L1463" s="7675"/>
      <c r="M1463" s="6734"/>
      <c r="N1463" s="6734"/>
      <c r="O1463" s="6734"/>
      <c r="P1463" s="386"/>
      <c r="Q1463" s="386"/>
    </row>
    <row r="1464" spans="1:17" s="1659" customFormat="1" ht="30" customHeight="1" x14ac:dyDescent="0.2">
      <c r="A1464" s="7271"/>
      <c r="B1464" s="7653"/>
      <c r="C1464" s="8343"/>
      <c r="D1464" s="7848"/>
      <c r="E1464" s="7660"/>
      <c r="F1464" s="7564"/>
      <c r="G1464" s="7111">
        <v>12000000</v>
      </c>
      <c r="H1464" s="7111" t="s">
        <v>8267</v>
      </c>
      <c r="I1464" s="7111" t="s">
        <v>8278</v>
      </c>
      <c r="J1464" s="7111">
        <f>G1464</f>
        <v>12000000</v>
      </c>
      <c r="K1464" s="7114">
        <f>F1462-J1464</f>
        <v>0</v>
      </c>
      <c r="L1464" s="7123"/>
      <c r="M1464" s="7152"/>
      <c r="N1464" s="7152"/>
      <c r="O1464" s="7152"/>
      <c r="P1464" s="386"/>
      <c r="Q1464" s="386"/>
    </row>
    <row r="1465" spans="1:17" s="1659" customFormat="1" ht="30" customHeight="1" x14ac:dyDescent="0.2">
      <c r="A1465" s="7703"/>
      <c r="B1465" s="7652" t="s">
        <v>5660</v>
      </c>
      <c r="C1465" s="7723" t="s">
        <v>889</v>
      </c>
      <c r="D1465" s="6643">
        <v>50000000</v>
      </c>
      <c r="E1465" s="6649">
        <v>0.05</v>
      </c>
      <c r="F1465" s="6643">
        <f t="shared" si="123"/>
        <v>2500000</v>
      </c>
      <c r="G1465" s="6643"/>
      <c r="H1465" s="6643"/>
      <c r="I1465" s="6693" t="s">
        <v>815</v>
      </c>
      <c r="J1465" s="6643">
        <f>G1465</f>
        <v>0</v>
      </c>
      <c r="K1465" s="6643">
        <f>F1465-J1465</f>
        <v>2500000</v>
      </c>
      <c r="L1465" s="6682" t="s">
        <v>5661</v>
      </c>
      <c r="M1465" s="6734"/>
      <c r="N1465" s="6734"/>
      <c r="O1465" s="6734"/>
      <c r="P1465" s="386"/>
      <c r="Q1465" s="386"/>
    </row>
    <row r="1466" spans="1:17" s="1659" customFormat="1" ht="30" customHeight="1" x14ac:dyDescent="0.2">
      <c r="A1466" s="7704"/>
      <c r="B1466" s="7665"/>
      <c r="C1466" s="7747"/>
      <c r="D1466" s="6643">
        <v>2000000</v>
      </c>
      <c r="E1466" s="6649"/>
      <c r="F1466" s="6643"/>
      <c r="G1466" s="7732" t="s">
        <v>7053</v>
      </c>
      <c r="H1466" s="7733"/>
      <c r="I1466" s="7733"/>
      <c r="J1466" s="7733"/>
      <c r="K1466" s="7734"/>
      <c r="L1466" s="6682"/>
      <c r="M1466" s="6734"/>
      <c r="N1466" s="6734"/>
      <c r="O1466" s="6734"/>
      <c r="P1466" s="386"/>
      <c r="Q1466" s="386"/>
    </row>
    <row r="1467" spans="1:17" s="1659" customFormat="1" ht="30" customHeight="1" x14ac:dyDescent="0.2">
      <c r="A1467" s="7704"/>
      <c r="B1467" s="7665"/>
      <c r="C1467" s="7747"/>
      <c r="D1467" s="6643">
        <v>10000000</v>
      </c>
      <c r="E1467" s="6649"/>
      <c r="F1467" s="6643"/>
      <c r="G1467" s="7732" t="s">
        <v>7054</v>
      </c>
      <c r="H1467" s="7733"/>
      <c r="I1467" s="7733"/>
      <c r="J1467" s="7733"/>
      <c r="K1467" s="7734"/>
      <c r="L1467" s="6682"/>
      <c r="M1467" s="6734"/>
      <c r="N1467" s="6734"/>
      <c r="O1467" s="6734"/>
      <c r="P1467" s="386"/>
      <c r="Q1467" s="386"/>
    </row>
    <row r="1468" spans="1:17" s="1659" customFormat="1" ht="30" customHeight="1" x14ac:dyDescent="0.2">
      <c r="A1468" s="7705"/>
      <c r="B1468" s="7653"/>
      <c r="C1468" s="7724"/>
      <c r="D1468" s="6752">
        <v>62000000</v>
      </c>
      <c r="E1468" s="6754">
        <v>0.05</v>
      </c>
      <c r="F1468" s="6752">
        <f>D1468*E1468</f>
        <v>3100000</v>
      </c>
      <c r="G1468" s="6635">
        <v>4400000</v>
      </c>
      <c r="H1468" s="6635" t="s">
        <v>7945</v>
      </c>
      <c r="I1468" s="6635" t="s">
        <v>815</v>
      </c>
      <c r="J1468" s="6635">
        <f>G1468</f>
        <v>4400000</v>
      </c>
      <c r="K1468" s="6635">
        <f>F1468-J1468</f>
        <v>-1300000</v>
      </c>
      <c r="L1468" s="6682"/>
      <c r="M1468" s="6734"/>
      <c r="N1468" s="6734"/>
      <c r="O1468" s="6734"/>
      <c r="P1468" s="386"/>
      <c r="Q1468" s="386"/>
    </row>
    <row r="1469" spans="1:17" s="1659" customFormat="1" ht="30" customHeight="1" x14ac:dyDescent="0.2">
      <c r="A1469" s="7703"/>
      <c r="B1469" s="7652" t="s">
        <v>7397</v>
      </c>
      <c r="C1469" s="7723"/>
      <c r="D1469" s="7563">
        <v>10000000</v>
      </c>
      <c r="E1469" s="7659">
        <v>0.05</v>
      </c>
      <c r="F1469" s="7563">
        <f>D1469*E1469</f>
        <v>500000</v>
      </c>
      <c r="G1469" s="7732" t="s">
        <v>7398</v>
      </c>
      <c r="H1469" s="7733"/>
      <c r="I1469" s="7733"/>
      <c r="J1469" s="7733"/>
      <c r="K1469" s="7734"/>
      <c r="L1469" s="6682"/>
      <c r="M1469" s="6734"/>
      <c r="N1469" s="6734"/>
      <c r="O1469" s="6734"/>
      <c r="P1469" s="386"/>
      <c r="Q1469" s="386"/>
    </row>
    <row r="1470" spans="1:17" s="1659" customFormat="1" ht="30" customHeight="1" x14ac:dyDescent="0.2">
      <c r="A1470" s="7704"/>
      <c r="B1470" s="7665"/>
      <c r="C1470" s="7747"/>
      <c r="D1470" s="7586"/>
      <c r="E1470" s="7676"/>
      <c r="F1470" s="7586"/>
      <c r="G1470" s="6635">
        <v>500000</v>
      </c>
      <c r="H1470" s="6635" t="s">
        <v>7945</v>
      </c>
      <c r="I1470" s="6635" t="s">
        <v>7960</v>
      </c>
      <c r="J1470" s="6635">
        <f>G1470</f>
        <v>500000</v>
      </c>
      <c r="K1470" s="6635">
        <f>F1469-J1470</f>
        <v>0</v>
      </c>
      <c r="L1470" s="6682"/>
      <c r="M1470" s="6734"/>
      <c r="N1470" s="6734"/>
      <c r="O1470" s="6734"/>
      <c r="P1470" s="386"/>
      <c r="Q1470" s="386"/>
    </row>
    <row r="1471" spans="1:17" s="1659" customFormat="1" ht="30" customHeight="1" x14ac:dyDescent="0.2">
      <c r="A1471" s="7705"/>
      <c r="B1471" s="7653"/>
      <c r="C1471" s="7724"/>
      <c r="D1471" s="7564"/>
      <c r="E1471" s="7660"/>
      <c r="F1471" s="7564"/>
      <c r="G1471" s="7157">
        <v>500000</v>
      </c>
      <c r="H1471" s="7157" t="s">
        <v>3880</v>
      </c>
      <c r="I1471" s="7157" t="s">
        <v>7960</v>
      </c>
      <c r="J1471" s="7157">
        <f>G1471</f>
        <v>500000</v>
      </c>
      <c r="K1471" s="7158">
        <f>F1469-J1471</f>
        <v>0</v>
      </c>
      <c r="L1471" s="7175"/>
      <c r="M1471" s="7193"/>
      <c r="N1471" s="7193"/>
      <c r="O1471" s="7193"/>
      <c r="P1471" s="386"/>
      <c r="Q1471" s="386"/>
    </row>
    <row r="1472" spans="1:17" s="1659" customFormat="1" ht="30" customHeight="1" x14ac:dyDescent="0.2">
      <c r="A1472" s="6662"/>
      <c r="B1472" s="4921" t="s">
        <v>5684</v>
      </c>
      <c r="C1472" s="6684"/>
      <c r="D1472" s="6643">
        <v>20000000</v>
      </c>
      <c r="E1472" s="6649">
        <v>0.05</v>
      </c>
      <c r="F1472" s="6643">
        <f t="shared" si="123"/>
        <v>1000000</v>
      </c>
      <c r="G1472" s="7732" t="s">
        <v>5685</v>
      </c>
      <c r="H1472" s="7733"/>
      <c r="I1472" s="7733"/>
      <c r="J1472" s="7733"/>
      <c r="K1472" s="7734"/>
      <c r="L1472" s="6682"/>
      <c r="M1472" s="6734"/>
      <c r="N1472" s="6734"/>
      <c r="O1472" s="6734"/>
      <c r="P1472" s="386"/>
      <c r="Q1472" s="386"/>
    </row>
    <row r="1473" spans="1:17" s="1659" customFormat="1" ht="30" customHeight="1" x14ac:dyDescent="0.2">
      <c r="A1473" s="7703"/>
      <c r="B1473" s="7652" t="s">
        <v>5738</v>
      </c>
      <c r="C1473" s="7723" t="s">
        <v>3007</v>
      </c>
      <c r="D1473" s="6643">
        <v>200000000</v>
      </c>
      <c r="E1473" s="6649">
        <v>6.5000000000000002E-2</v>
      </c>
      <c r="F1473" s="6643">
        <f t="shared" si="123"/>
        <v>13000000</v>
      </c>
      <c r="G1473" s="6635"/>
      <c r="H1473" s="6635"/>
      <c r="I1473" s="6635"/>
      <c r="J1473" s="6635"/>
      <c r="K1473" s="7482"/>
      <c r="L1473" s="6682"/>
      <c r="M1473" s="6734"/>
      <c r="N1473" s="6734"/>
      <c r="O1473" s="6734"/>
      <c r="P1473" s="386"/>
      <c r="Q1473" s="386"/>
    </row>
    <row r="1474" spans="1:17" s="1659" customFormat="1" ht="30" customHeight="1" x14ac:dyDescent="0.2">
      <c r="A1474" s="7704"/>
      <c r="B1474" s="7665"/>
      <c r="C1474" s="7747"/>
      <c r="D1474" s="6635">
        <v>350000000</v>
      </c>
      <c r="E1474" s="6705">
        <v>6.5000000000000002E-2</v>
      </c>
      <c r="F1474" s="6635">
        <f t="shared" si="123"/>
        <v>22750000</v>
      </c>
      <c r="G1474" s="6635"/>
      <c r="H1474" s="6635"/>
      <c r="I1474" s="6635"/>
      <c r="J1474" s="6635"/>
      <c r="K1474" s="7482"/>
      <c r="L1474" s="6682"/>
      <c r="M1474" s="6734"/>
      <c r="N1474" s="6734"/>
      <c r="O1474" s="6734"/>
      <c r="P1474" s="386"/>
      <c r="Q1474" s="386"/>
    </row>
    <row r="1475" spans="1:17" s="1659" customFormat="1" ht="30" customHeight="1" x14ac:dyDescent="0.2">
      <c r="A1475" s="7705"/>
      <c r="B1475" s="7653"/>
      <c r="C1475" s="7724"/>
      <c r="D1475" s="7203">
        <v>170000000</v>
      </c>
      <c r="E1475" s="7224"/>
      <c r="F1475" s="7203"/>
      <c r="G1475" s="7732" t="s">
        <v>8337</v>
      </c>
      <c r="H1475" s="7733"/>
      <c r="I1475" s="7733"/>
      <c r="J1475" s="7733"/>
      <c r="K1475" s="7734"/>
      <c r="L1475" s="7217" t="s">
        <v>8338</v>
      </c>
      <c r="M1475" s="7227"/>
      <c r="N1475" s="7227"/>
      <c r="O1475" s="7227"/>
      <c r="P1475" s="386"/>
      <c r="Q1475" s="386"/>
    </row>
    <row r="1476" spans="1:17" s="1659" customFormat="1" ht="30" customHeight="1" x14ac:dyDescent="0.2">
      <c r="A1476" s="6727"/>
      <c r="B1476" s="6665" t="s">
        <v>5688</v>
      </c>
      <c r="C1476" s="6710" t="s">
        <v>1300</v>
      </c>
      <c r="D1476" s="6635">
        <v>4000000</v>
      </c>
      <c r="E1476" s="6705">
        <v>7.0000000000000007E-2</v>
      </c>
      <c r="F1476" s="6635">
        <f t="shared" si="123"/>
        <v>280000</v>
      </c>
      <c r="G1476" s="6635">
        <v>4620000</v>
      </c>
      <c r="H1476" s="6635" t="s">
        <v>7945</v>
      </c>
      <c r="I1476" s="6635" t="s">
        <v>6623</v>
      </c>
      <c r="J1476" s="6635">
        <f>G1476</f>
        <v>4620000</v>
      </c>
      <c r="K1476" s="6643">
        <f>F1476-J1476</f>
        <v>-4340000</v>
      </c>
      <c r="L1476" s="6682"/>
      <c r="M1476" s="6734"/>
      <c r="N1476" s="6734"/>
      <c r="O1476" s="6734"/>
      <c r="P1476" s="386"/>
      <c r="Q1476" s="386"/>
    </row>
    <row r="1477" spans="1:17" s="1659" customFormat="1" ht="30" customHeight="1" x14ac:dyDescent="0.2">
      <c r="A1477" s="6662"/>
      <c r="B1477" s="4921" t="s">
        <v>5690</v>
      </c>
      <c r="C1477" s="6684"/>
      <c r="D1477" s="6643">
        <v>1000000000</v>
      </c>
      <c r="E1477" s="6649">
        <v>7.0000000000000007E-2</v>
      </c>
      <c r="F1477" s="6643">
        <f t="shared" si="123"/>
        <v>70000000</v>
      </c>
      <c r="G1477" s="6643"/>
      <c r="H1477" s="6643"/>
      <c r="I1477" s="6693"/>
      <c r="J1477" s="6643"/>
      <c r="K1477" s="6643"/>
      <c r="L1477" s="6682"/>
      <c r="M1477" s="6734"/>
      <c r="N1477" s="6734"/>
      <c r="O1477" s="6734"/>
      <c r="P1477" s="386"/>
      <c r="Q1477" s="386"/>
    </row>
    <row r="1478" spans="1:17" s="1659" customFormat="1" ht="30" customHeight="1" x14ac:dyDescent="0.2">
      <c r="A1478" s="7703"/>
      <c r="B1478" s="7652" t="s">
        <v>5691</v>
      </c>
      <c r="C1478" s="6710" t="s">
        <v>1287</v>
      </c>
      <c r="D1478" s="6635">
        <v>60000000</v>
      </c>
      <c r="E1478" s="6705">
        <v>0.05</v>
      </c>
      <c r="F1478" s="6635">
        <f t="shared" si="123"/>
        <v>3000000</v>
      </c>
      <c r="G1478" s="6635">
        <v>8000000</v>
      </c>
      <c r="H1478" s="6635" t="s">
        <v>8111</v>
      </c>
      <c r="I1478" s="6635" t="s">
        <v>2460</v>
      </c>
      <c r="J1478" s="6635">
        <f>G1478</f>
        <v>8000000</v>
      </c>
      <c r="K1478" s="6635"/>
      <c r="L1478" s="6682"/>
      <c r="M1478" s="6734"/>
      <c r="N1478" s="6734"/>
      <c r="O1478" s="6734"/>
      <c r="P1478" s="386"/>
      <c r="Q1478" s="386"/>
    </row>
    <row r="1479" spans="1:17" s="1659" customFormat="1" ht="30" customHeight="1" x14ac:dyDescent="0.2">
      <c r="A1479" s="7705"/>
      <c r="B1479" s="7653"/>
      <c r="C1479" s="6710" t="s">
        <v>3483</v>
      </c>
      <c r="D1479" s="6643">
        <v>40000000</v>
      </c>
      <c r="E1479" s="6649">
        <v>0.05</v>
      </c>
      <c r="F1479" s="6643">
        <f t="shared" si="123"/>
        <v>2000000</v>
      </c>
      <c r="G1479" s="6635"/>
      <c r="H1479" s="6635"/>
      <c r="I1479" s="6635"/>
      <c r="J1479" s="6635"/>
      <c r="K1479" s="6643"/>
      <c r="L1479" s="6682"/>
      <c r="M1479" s="6734"/>
      <c r="N1479" s="6734"/>
      <c r="O1479" s="6734"/>
      <c r="P1479" s="386"/>
      <c r="Q1479" s="386"/>
    </row>
    <row r="1480" spans="1:17" s="1659" customFormat="1" ht="30" customHeight="1" x14ac:dyDescent="0.2">
      <c r="A1480" s="7703"/>
      <c r="B1480" s="7652" t="s">
        <v>5848</v>
      </c>
      <c r="C1480" s="7723" t="s">
        <v>1299</v>
      </c>
      <c r="D1480" s="7563">
        <v>350000000</v>
      </c>
      <c r="E1480" s="7659">
        <v>0.05</v>
      </c>
      <c r="F1480" s="7563">
        <f t="shared" si="123"/>
        <v>17500000</v>
      </c>
      <c r="G1480" s="6643"/>
      <c r="H1480" s="6643"/>
      <c r="I1480" s="6693" t="s">
        <v>1063</v>
      </c>
      <c r="J1480" s="6643">
        <f>G1480</f>
        <v>0</v>
      </c>
      <c r="K1480" s="6643">
        <f>F1480-J1480</f>
        <v>17500000</v>
      </c>
      <c r="L1480" s="6682"/>
      <c r="M1480" s="6734"/>
      <c r="N1480" s="6734"/>
      <c r="O1480" s="6734"/>
      <c r="P1480" s="386"/>
      <c r="Q1480" s="386"/>
    </row>
    <row r="1481" spans="1:17" s="1659" customFormat="1" ht="30" customHeight="1" x14ac:dyDescent="0.2">
      <c r="A1481" s="7704"/>
      <c r="B1481" s="7665"/>
      <c r="C1481" s="7747"/>
      <c r="D1481" s="7564"/>
      <c r="E1481" s="7660"/>
      <c r="F1481" s="7564"/>
      <c r="G1481" s="7732" t="s">
        <v>7616</v>
      </c>
      <c r="H1481" s="7733"/>
      <c r="I1481" s="7733"/>
      <c r="J1481" s="7734"/>
      <c r="K1481" s="6643"/>
      <c r="L1481" s="6682"/>
      <c r="M1481" s="6734"/>
      <c r="N1481" s="6734"/>
      <c r="O1481" s="6734"/>
      <c r="P1481" s="386"/>
      <c r="Q1481" s="386"/>
    </row>
    <row r="1482" spans="1:17" s="1659" customFormat="1" ht="30" customHeight="1" x14ac:dyDescent="0.2">
      <c r="A1482" s="7705"/>
      <c r="B1482" s="7653"/>
      <c r="C1482" s="7724"/>
      <c r="D1482" s="6752">
        <v>400000000</v>
      </c>
      <c r="E1482" s="6754">
        <v>0.05</v>
      </c>
      <c r="F1482" s="6752">
        <f t="shared" si="123"/>
        <v>20000000</v>
      </c>
      <c r="G1482" s="6643"/>
      <c r="H1482" s="6643"/>
      <c r="I1482" s="6693"/>
      <c r="J1482" s="6643"/>
      <c r="K1482" s="6643"/>
      <c r="L1482" s="6682"/>
      <c r="M1482" s="6734"/>
      <c r="N1482" s="6734"/>
      <c r="O1482" s="6734"/>
      <c r="P1482" s="386"/>
      <c r="Q1482" s="386"/>
    </row>
    <row r="1483" spans="1:17" s="1659" customFormat="1" ht="30" customHeight="1" x14ac:dyDescent="0.2">
      <c r="A1483" s="7703"/>
      <c r="B1483" s="7652" t="s">
        <v>5715</v>
      </c>
      <c r="C1483" s="7723" t="s">
        <v>4223</v>
      </c>
      <c r="D1483" s="6635">
        <v>100000000</v>
      </c>
      <c r="E1483" s="6705">
        <v>5.5E-2</v>
      </c>
      <c r="F1483" s="6635">
        <f>D1483*E1483</f>
        <v>5500000</v>
      </c>
      <c r="G1483" s="6635"/>
      <c r="H1483" s="6635"/>
      <c r="I1483" s="6635" t="s">
        <v>4776</v>
      </c>
      <c r="J1483" s="6635">
        <f>G1483</f>
        <v>0</v>
      </c>
      <c r="K1483" s="6635">
        <f>F1483-J1483</f>
        <v>5500000</v>
      </c>
      <c r="L1483" s="6745" t="s">
        <v>6821</v>
      </c>
      <c r="M1483" s="6734"/>
      <c r="N1483" s="6734"/>
      <c r="O1483" s="6734"/>
      <c r="P1483" s="386"/>
      <c r="Q1483" s="386"/>
    </row>
    <row r="1484" spans="1:17" s="1659" customFormat="1" ht="30" customHeight="1" x14ac:dyDescent="0.2">
      <c r="A1484" s="7704"/>
      <c r="B1484" s="7665"/>
      <c r="C1484" s="7747"/>
      <c r="D1484" s="6635">
        <v>100000000</v>
      </c>
      <c r="E1484" s="6705">
        <v>5.5E-2</v>
      </c>
      <c r="F1484" s="6635">
        <f>D1484*E1484</f>
        <v>5500000</v>
      </c>
      <c r="G1484" s="7732" t="s">
        <v>6824</v>
      </c>
      <c r="H1484" s="7733"/>
      <c r="I1484" s="7733"/>
      <c r="J1484" s="7734"/>
      <c r="K1484" s="6635"/>
      <c r="L1484" s="6745" t="s">
        <v>6820</v>
      </c>
      <c r="M1484" s="6734"/>
      <c r="N1484" s="6734"/>
      <c r="O1484" s="6734"/>
      <c r="P1484" s="386"/>
      <c r="Q1484" s="386"/>
    </row>
    <row r="1485" spans="1:17" s="1659" customFormat="1" ht="30" customHeight="1" x14ac:dyDescent="0.2">
      <c r="A1485" s="7705"/>
      <c r="B1485" s="7653"/>
      <c r="C1485" s="7724"/>
      <c r="D1485" s="6794">
        <v>200000000</v>
      </c>
      <c r="E1485" s="6795">
        <v>5.5E-2</v>
      </c>
      <c r="F1485" s="6794">
        <f>D1485*E1485</f>
        <v>11000000</v>
      </c>
      <c r="G1485" s="6635">
        <v>11000000</v>
      </c>
      <c r="H1485" s="6635" t="s">
        <v>8247</v>
      </c>
      <c r="I1485" s="6635" t="s">
        <v>4776</v>
      </c>
      <c r="J1485" s="6635">
        <f>G1485</f>
        <v>11000000</v>
      </c>
      <c r="K1485" s="6643">
        <f>F1485-J1485</f>
        <v>0</v>
      </c>
      <c r="L1485" s="6681" t="s">
        <v>6825</v>
      </c>
      <c r="M1485" s="6734"/>
      <c r="N1485" s="6734"/>
      <c r="O1485" s="6734"/>
      <c r="P1485" s="386"/>
      <c r="Q1485" s="386"/>
    </row>
    <row r="1486" spans="1:17" s="1659" customFormat="1" ht="30" customHeight="1" x14ac:dyDescent="0.2">
      <c r="A1486" s="6711"/>
      <c r="B1486" s="19" t="s">
        <v>5732</v>
      </c>
      <c r="C1486" s="6710" t="s">
        <v>3390</v>
      </c>
      <c r="D1486" s="6635">
        <v>80000000</v>
      </c>
      <c r="E1486" s="6705">
        <v>7.0000000000000007E-2</v>
      </c>
      <c r="F1486" s="6635">
        <f t="shared" ref="F1486:F1491" si="124">D1486*E1486</f>
        <v>5600000.0000000009</v>
      </c>
      <c r="G1486" s="6635"/>
      <c r="H1486" s="6635"/>
      <c r="I1486" s="6635" t="s">
        <v>6554</v>
      </c>
      <c r="J1486" s="6635">
        <f>G1486</f>
        <v>0</v>
      </c>
      <c r="K1486" s="6643">
        <f>F1486-J1486</f>
        <v>5600000.0000000009</v>
      </c>
      <c r="L1486" s="6681"/>
      <c r="M1486" s="6734"/>
      <c r="N1486" s="6734"/>
      <c r="O1486" s="6734"/>
      <c r="P1486" s="386"/>
      <c r="Q1486" s="386"/>
    </row>
    <row r="1487" spans="1:17" s="1659" customFormat="1" ht="30" customHeight="1" x14ac:dyDescent="0.2">
      <c r="A1487" s="6662"/>
      <c r="B1487" s="4921" t="s">
        <v>5744</v>
      </c>
      <c r="C1487" s="6684"/>
      <c r="D1487" s="6643">
        <v>50000000</v>
      </c>
      <c r="E1487" s="6649">
        <v>0.05</v>
      </c>
      <c r="F1487" s="6643">
        <f t="shared" si="124"/>
        <v>2500000</v>
      </c>
      <c r="G1487" s="6643"/>
      <c r="H1487" s="6643"/>
      <c r="I1487" s="6693"/>
      <c r="J1487" s="6643"/>
      <c r="K1487" s="6643"/>
      <c r="L1487" s="6682" t="s">
        <v>5745</v>
      </c>
      <c r="M1487" s="6734"/>
      <c r="N1487" s="6734"/>
      <c r="O1487" s="6734"/>
      <c r="P1487" s="386"/>
      <c r="Q1487" s="386"/>
    </row>
    <row r="1488" spans="1:17" s="1659" customFormat="1" ht="30" customHeight="1" x14ac:dyDescent="0.2">
      <c r="A1488" s="19"/>
      <c r="B1488" s="19" t="s">
        <v>5762</v>
      </c>
      <c r="C1488" s="6710" t="s">
        <v>3390</v>
      </c>
      <c r="D1488" s="6635">
        <v>150000000</v>
      </c>
      <c r="E1488" s="6705">
        <v>0.05</v>
      </c>
      <c r="F1488" s="6635">
        <f t="shared" si="124"/>
        <v>7500000</v>
      </c>
      <c r="G1488" s="6635">
        <v>7500000</v>
      </c>
      <c r="H1488" s="6635" t="s">
        <v>8424</v>
      </c>
      <c r="I1488" s="6635" t="s">
        <v>1220</v>
      </c>
      <c r="J1488" s="6635">
        <f t="shared" ref="J1488:J1493" si="125">G1488</f>
        <v>7500000</v>
      </c>
      <c r="K1488" s="6635">
        <f t="shared" ref="K1488:K1494" si="126">F1488-J1488</f>
        <v>0</v>
      </c>
      <c r="L1488" s="6681"/>
      <c r="M1488" s="6734"/>
      <c r="N1488" s="6734"/>
      <c r="O1488" s="6734"/>
      <c r="P1488" s="386"/>
      <c r="Q1488" s="386"/>
    </row>
    <row r="1489" spans="1:17" s="1659" customFormat="1" ht="30" customHeight="1" x14ac:dyDescent="0.2">
      <c r="A1489" s="6662"/>
      <c r="B1489" s="4921" t="s">
        <v>5771</v>
      </c>
      <c r="C1489" s="6684" t="s">
        <v>1306</v>
      </c>
      <c r="D1489" s="6643">
        <v>150000000</v>
      </c>
      <c r="E1489" s="6649">
        <v>0.06</v>
      </c>
      <c r="F1489" s="6643">
        <f t="shared" si="124"/>
        <v>9000000</v>
      </c>
      <c r="G1489" s="6643">
        <v>9000000</v>
      </c>
      <c r="H1489" s="6643" t="s">
        <v>8424</v>
      </c>
      <c r="I1489" s="6693" t="s">
        <v>6567</v>
      </c>
      <c r="J1489" s="6643">
        <f t="shared" si="125"/>
        <v>9000000</v>
      </c>
      <c r="K1489" s="6643">
        <f t="shared" si="126"/>
        <v>0</v>
      </c>
      <c r="L1489" s="6682" t="s">
        <v>5810</v>
      </c>
      <c r="M1489" s="6734"/>
      <c r="N1489" s="6734"/>
      <c r="O1489" s="6734"/>
      <c r="P1489" s="386"/>
      <c r="Q1489" s="386"/>
    </row>
    <row r="1490" spans="1:17" s="1659" customFormat="1" ht="30" customHeight="1" x14ac:dyDescent="0.2">
      <c r="A1490" s="6711"/>
      <c r="B1490" s="6711" t="s">
        <v>5772</v>
      </c>
      <c r="C1490" s="6710" t="s">
        <v>3390</v>
      </c>
      <c r="D1490" s="6635">
        <v>20000000</v>
      </c>
      <c r="E1490" s="6705">
        <v>0.05</v>
      </c>
      <c r="F1490" s="6635">
        <f t="shared" si="124"/>
        <v>1000000</v>
      </c>
      <c r="G1490" s="7111">
        <v>1000000</v>
      </c>
      <c r="H1490" s="7111" t="s">
        <v>8267</v>
      </c>
      <c r="I1490" s="7111" t="s">
        <v>6583</v>
      </c>
      <c r="J1490" s="7111">
        <f t="shared" si="125"/>
        <v>1000000</v>
      </c>
      <c r="K1490" s="6635">
        <f t="shared" si="126"/>
        <v>0</v>
      </c>
      <c r="L1490" s="6635"/>
      <c r="M1490" s="6734"/>
      <c r="N1490" s="6734"/>
      <c r="O1490" s="6734"/>
      <c r="P1490" s="386"/>
      <c r="Q1490" s="386"/>
    </row>
    <row r="1491" spans="1:17" s="1659" customFormat="1" ht="30" customHeight="1" x14ac:dyDescent="0.2">
      <c r="A1491" s="19"/>
      <c r="B1491" s="19" t="s">
        <v>5805</v>
      </c>
      <c r="C1491" s="6710" t="s">
        <v>1306</v>
      </c>
      <c r="D1491" s="6635">
        <v>50000000</v>
      </c>
      <c r="E1491" s="6705">
        <v>0.05</v>
      </c>
      <c r="F1491" s="6635">
        <f t="shared" si="124"/>
        <v>2500000</v>
      </c>
      <c r="G1491" s="6635">
        <v>2500000</v>
      </c>
      <c r="H1491" s="6635" t="s">
        <v>8316</v>
      </c>
      <c r="I1491" s="6635" t="s">
        <v>6584</v>
      </c>
      <c r="J1491" s="6635">
        <f t="shared" si="125"/>
        <v>2500000</v>
      </c>
      <c r="K1491" s="6635">
        <f t="shared" si="126"/>
        <v>0</v>
      </c>
      <c r="L1491" s="6745"/>
      <c r="M1491" s="6734"/>
      <c r="N1491" s="6734"/>
      <c r="O1491" s="6734"/>
      <c r="P1491" s="386"/>
      <c r="Q1491" s="386"/>
    </row>
    <row r="1492" spans="1:17" s="1659" customFormat="1" ht="30" customHeight="1" x14ac:dyDescent="0.2">
      <c r="A1492" s="7703"/>
      <c r="B1492" s="7652" t="s">
        <v>5970</v>
      </c>
      <c r="C1492" s="7723" t="s">
        <v>942</v>
      </c>
      <c r="D1492" s="7563">
        <v>100000000</v>
      </c>
      <c r="E1492" s="7659">
        <v>0.06</v>
      </c>
      <c r="F1492" s="7563">
        <f>D1492*E1492</f>
        <v>6000000</v>
      </c>
      <c r="G1492" s="6635">
        <v>6000000</v>
      </c>
      <c r="H1492" s="6635" t="s">
        <v>3808</v>
      </c>
      <c r="I1492" s="6635" t="s">
        <v>7304</v>
      </c>
      <c r="J1492" s="6635">
        <f t="shared" si="125"/>
        <v>6000000</v>
      </c>
      <c r="K1492" s="6643">
        <f t="shared" si="126"/>
        <v>0</v>
      </c>
      <c r="L1492" s="6682"/>
      <c r="M1492" s="6734"/>
      <c r="N1492" s="6734"/>
      <c r="O1492" s="6734"/>
      <c r="P1492" s="386"/>
      <c r="Q1492" s="386"/>
    </row>
    <row r="1493" spans="1:17" s="1659" customFormat="1" ht="30" customHeight="1" x14ac:dyDescent="0.2">
      <c r="A1493" s="7705"/>
      <c r="B1493" s="7653"/>
      <c r="C1493" s="7724"/>
      <c r="D1493" s="7564"/>
      <c r="E1493" s="7660"/>
      <c r="F1493" s="7564"/>
      <c r="G1493" s="6635"/>
      <c r="H1493" s="6635"/>
      <c r="I1493" s="6635" t="s">
        <v>7788</v>
      </c>
      <c r="J1493" s="6635">
        <f t="shared" si="125"/>
        <v>0</v>
      </c>
      <c r="K1493" s="6643">
        <f>F1492-J1493</f>
        <v>6000000</v>
      </c>
      <c r="L1493" s="6682"/>
      <c r="M1493" s="6734"/>
      <c r="N1493" s="6734"/>
      <c r="O1493" s="6734"/>
      <c r="P1493" s="386"/>
      <c r="Q1493" s="386"/>
    </row>
    <row r="1494" spans="1:17" s="1659" customFormat="1" ht="30" customHeight="1" x14ac:dyDescent="0.2">
      <c r="A1494" s="7703"/>
      <c r="B1494" s="7652" t="s">
        <v>5975</v>
      </c>
      <c r="C1494" s="7723" t="s">
        <v>3483</v>
      </c>
      <c r="D1494" s="7563">
        <v>270000000</v>
      </c>
      <c r="E1494" s="7659">
        <v>0.06</v>
      </c>
      <c r="F1494" s="7563">
        <f>D1494*E1494</f>
        <v>16200000</v>
      </c>
      <c r="G1494" s="6635">
        <v>12000000</v>
      </c>
      <c r="H1494" s="6635" t="s">
        <v>8424</v>
      </c>
      <c r="I1494" s="6635" t="s">
        <v>4141</v>
      </c>
      <c r="J1494" s="7563">
        <f>G1494+G1496+G1495</f>
        <v>20400000</v>
      </c>
      <c r="K1494" s="7563">
        <f t="shared" si="126"/>
        <v>-4200000</v>
      </c>
      <c r="L1494" s="6682"/>
      <c r="M1494" s="6734"/>
      <c r="N1494" s="6734"/>
      <c r="O1494" s="6734"/>
      <c r="P1494" s="386"/>
      <c r="Q1494" s="386"/>
    </row>
    <row r="1495" spans="1:17" s="1659" customFormat="1" ht="30" customHeight="1" x14ac:dyDescent="0.2">
      <c r="A1495" s="7704"/>
      <c r="B1495" s="7665"/>
      <c r="C1495" s="7747"/>
      <c r="D1495" s="7586"/>
      <c r="E1495" s="7676"/>
      <c r="F1495" s="7586"/>
      <c r="G1495" s="7394">
        <v>4200000</v>
      </c>
      <c r="H1495" s="7394" t="s">
        <v>5244</v>
      </c>
      <c r="I1495" s="7394" t="s">
        <v>4141</v>
      </c>
      <c r="J1495" s="7586"/>
      <c r="K1495" s="7586"/>
      <c r="L1495" s="7407"/>
      <c r="M1495" s="7415"/>
      <c r="N1495" s="7415"/>
      <c r="O1495" s="7415"/>
      <c r="P1495" s="386"/>
      <c r="Q1495" s="386"/>
    </row>
    <row r="1496" spans="1:17" s="1659" customFormat="1" ht="30" customHeight="1" x14ac:dyDescent="0.2">
      <c r="A1496" s="7705"/>
      <c r="B1496" s="7653"/>
      <c r="C1496" s="7724"/>
      <c r="D1496" s="7564"/>
      <c r="E1496" s="7660"/>
      <c r="F1496" s="7564"/>
      <c r="G1496" s="7357">
        <v>4200000</v>
      </c>
      <c r="H1496" s="7357" t="s">
        <v>8483</v>
      </c>
      <c r="I1496" s="7357" t="s">
        <v>8484</v>
      </c>
      <c r="J1496" s="7564"/>
      <c r="K1496" s="7564"/>
      <c r="L1496" s="7365" t="s">
        <v>8485</v>
      </c>
      <c r="M1496" s="7381"/>
      <c r="N1496" s="7381"/>
      <c r="O1496" s="7381"/>
      <c r="P1496" s="386"/>
      <c r="Q1496" s="386"/>
    </row>
    <row r="1497" spans="1:17" s="1659" customFormat="1" ht="30" customHeight="1" x14ac:dyDescent="0.2">
      <c r="A1497" s="7703"/>
      <c r="B1497" s="7652" t="s">
        <v>5980</v>
      </c>
      <c r="C1497" s="7723" t="s">
        <v>942</v>
      </c>
      <c r="D1497" s="6643">
        <v>490000000</v>
      </c>
      <c r="E1497" s="6649">
        <v>0.06</v>
      </c>
      <c r="F1497" s="6643">
        <f>D1497*E1497</f>
        <v>29400000</v>
      </c>
      <c r="G1497" s="7732" t="s">
        <v>6013</v>
      </c>
      <c r="H1497" s="7733"/>
      <c r="I1497" s="7733"/>
      <c r="J1497" s="7733"/>
      <c r="K1497" s="7734"/>
      <c r="L1497" s="4242" t="s">
        <v>6702</v>
      </c>
      <c r="M1497" s="6734"/>
      <c r="N1497" s="6734"/>
      <c r="O1497" s="6734"/>
      <c r="P1497" s="386"/>
      <c r="Q1497" s="386"/>
    </row>
    <row r="1498" spans="1:17" s="1659" customFormat="1" ht="30" customHeight="1" x14ac:dyDescent="0.2">
      <c r="A1498" s="7704"/>
      <c r="B1498" s="7665"/>
      <c r="C1498" s="7747"/>
      <c r="D1498" s="6643">
        <v>30000000</v>
      </c>
      <c r="E1498" s="6649">
        <v>0.06</v>
      </c>
      <c r="F1498" s="6643">
        <f t="shared" ref="F1498:F1503" si="127">D1498*E1498</f>
        <v>1800000</v>
      </c>
      <c r="G1498" s="8000" t="s">
        <v>6704</v>
      </c>
      <c r="H1498" s="8000"/>
      <c r="I1498" s="8000"/>
      <c r="J1498" s="8000"/>
      <c r="K1498" s="6737"/>
      <c r="L1498" s="4242"/>
      <c r="M1498" s="6734"/>
      <c r="N1498" s="6734"/>
      <c r="O1498" s="6734"/>
      <c r="P1498" s="386"/>
      <c r="Q1498" s="386"/>
    </row>
    <row r="1499" spans="1:17" s="1659" customFormat="1" ht="30" customHeight="1" x14ac:dyDescent="0.2">
      <c r="A1499" s="7704"/>
      <c r="B1499" s="7665"/>
      <c r="C1499" s="7747"/>
      <c r="D1499" s="6643">
        <v>60000000</v>
      </c>
      <c r="E1499" s="6649">
        <v>0.06</v>
      </c>
      <c r="F1499" s="6643">
        <f t="shared" si="127"/>
        <v>3600000</v>
      </c>
      <c r="G1499" s="7732" t="s">
        <v>6705</v>
      </c>
      <c r="H1499" s="7733"/>
      <c r="I1499" s="7733"/>
      <c r="J1499" s="7734"/>
      <c r="K1499" s="6737"/>
      <c r="L1499" s="4242"/>
      <c r="M1499" s="6734"/>
      <c r="N1499" s="6734"/>
      <c r="O1499" s="6734"/>
      <c r="P1499" s="386"/>
      <c r="Q1499" s="386"/>
    </row>
    <row r="1500" spans="1:17" s="1659" customFormat="1" ht="30" customHeight="1" x14ac:dyDescent="0.2">
      <c r="A1500" s="7704"/>
      <c r="B1500" s="7665"/>
      <c r="C1500" s="7747"/>
      <c r="D1500" s="6643">
        <v>75000000</v>
      </c>
      <c r="E1500" s="6649">
        <v>0.06</v>
      </c>
      <c r="F1500" s="6643">
        <f t="shared" si="127"/>
        <v>4500000</v>
      </c>
      <c r="G1500" s="7732" t="s">
        <v>6706</v>
      </c>
      <c r="H1500" s="7733"/>
      <c r="I1500" s="7733"/>
      <c r="J1500" s="7734"/>
      <c r="K1500" s="6737"/>
      <c r="L1500" s="4242"/>
      <c r="M1500" s="6734"/>
      <c r="N1500" s="6734"/>
      <c r="O1500" s="6734"/>
      <c r="P1500" s="386"/>
      <c r="Q1500" s="386"/>
    </row>
    <row r="1501" spans="1:17" s="1659" customFormat="1" ht="30" customHeight="1" x14ac:dyDescent="0.2">
      <c r="A1501" s="7704"/>
      <c r="B1501" s="7665"/>
      <c r="C1501" s="7747"/>
      <c r="D1501" s="6643">
        <v>75000000</v>
      </c>
      <c r="E1501" s="6649">
        <v>0.06</v>
      </c>
      <c r="F1501" s="6643">
        <f t="shared" si="127"/>
        <v>4500000</v>
      </c>
      <c r="G1501" s="7732" t="s">
        <v>6707</v>
      </c>
      <c r="H1501" s="7733"/>
      <c r="I1501" s="7733"/>
      <c r="J1501" s="7734"/>
      <c r="K1501" s="6737"/>
      <c r="L1501" s="4242"/>
      <c r="M1501" s="6734"/>
      <c r="N1501" s="6734"/>
      <c r="O1501" s="6734"/>
      <c r="P1501" s="386"/>
      <c r="Q1501" s="386"/>
    </row>
    <row r="1502" spans="1:17" s="1659" customFormat="1" ht="30" customHeight="1" x14ac:dyDescent="0.2">
      <c r="A1502" s="7704"/>
      <c r="B1502" s="7665"/>
      <c r="C1502" s="7747"/>
      <c r="D1502" s="6643">
        <v>70000000</v>
      </c>
      <c r="E1502" s="6649">
        <v>0.06</v>
      </c>
      <c r="F1502" s="6643">
        <f t="shared" si="127"/>
        <v>4200000</v>
      </c>
      <c r="G1502" s="7732" t="s">
        <v>6708</v>
      </c>
      <c r="H1502" s="7733"/>
      <c r="I1502" s="7733"/>
      <c r="J1502" s="7734"/>
      <c r="K1502" s="6737"/>
      <c r="L1502" s="4242"/>
      <c r="M1502" s="6734"/>
      <c r="N1502" s="6734"/>
      <c r="O1502" s="6734"/>
      <c r="P1502" s="386"/>
      <c r="Q1502" s="386"/>
    </row>
    <row r="1503" spans="1:17" s="1659" customFormat="1" ht="30" customHeight="1" x14ac:dyDescent="0.2">
      <c r="A1503" s="7704"/>
      <c r="B1503" s="7665"/>
      <c r="C1503" s="7747"/>
      <c r="D1503" s="6643">
        <v>70000000</v>
      </c>
      <c r="E1503" s="6649">
        <v>0.06</v>
      </c>
      <c r="F1503" s="6643">
        <f t="shared" si="127"/>
        <v>4200000</v>
      </c>
      <c r="G1503" s="7732" t="s">
        <v>6709</v>
      </c>
      <c r="H1503" s="7733"/>
      <c r="I1503" s="7733"/>
      <c r="J1503" s="7734"/>
      <c r="K1503" s="6737"/>
      <c r="L1503" s="4242"/>
      <c r="M1503" s="6734"/>
      <c r="N1503" s="6734"/>
      <c r="O1503" s="6734"/>
      <c r="P1503" s="386"/>
      <c r="Q1503" s="386"/>
    </row>
    <row r="1504" spans="1:17" s="1659" customFormat="1" ht="30" customHeight="1" x14ac:dyDescent="0.2">
      <c r="A1504" s="7704"/>
      <c r="B1504" s="7665"/>
      <c r="C1504" s="7747"/>
      <c r="D1504" s="8026">
        <v>870000000</v>
      </c>
      <c r="E1504" s="8028">
        <v>0.06</v>
      </c>
      <c r="F1504" s="8026">
        <f>D1504*E1504</f>
        <v>52200000</v>
      </c>
      <c r="G1504" s="8000" t="s">
        <v>6703</v>
      </c>
      <c r="H1504" s="8000"/>
      <c r="I1504" s="8000"/>
      <c r="J1504" s="8000"/>
      <c r="K1504" s="6737"/>
      <c r="L1504" s="6682" t="s">
        <v>6701</v>
      </c>
      <c r="M1504" s="6734"/>
      <c r="N1504" s="6734"/>
      <c r="O1504" s="6734"/>
      <c r="P1504" s="386"/>
      <c r="Q1504" s="386"/>
    </row>
    <row r="1505" spans="1:17" s="1659" customFormat="1" ht="30" customHeight="1" x14ac:dyDescent="0.2">
      <c r="A1505" s="7704"/>
      <c r="B1505" s="7665"/>
      <c r="C1505" s="7747"/>
      <c r="D1505" s="8497"/>
      <c r="E1505" s="8498"/>
      <c r="F1505" s="8497"/>
      <c r="G1505" s="6851">
        <v>15000000</v>
      </c>
      <c r="H1505" s="6851" t="s">
        <v>7974</v>
      </c>
      <c r="I1505" s="6851" t="s">
        <v>7495</v>
      </c>
      <c r="J1505" s="7563">
        <f>G1505+G1507+G1506</f>
        <v>50000000</v>
      </c>
      <c r="K1505" s="7563"/>
      <c r="L1505" s="7674"/>
      <c r="M1505" s="6734"/>
      <c r="N1505" s="6734"/>
      <c r="O1505" s="6734"/>
      <c r="P1505" s="386"/>
      <c r="Q1505" s="386"/>
    </row>
    <row r="1506" spans="1:17" s="1659" customFormat="1" ht="30" customHeight="1" x14ac:dyDescent="0.2">
      <c r="A1506" s="7704"/>
      <c r="B1506" s="7665"/>
      <c r="C1506" s="7747"/>
      <c r="D1506" s="8497"/>
      <c r="E1506" s="8498"/>
      <c r="F1506" s="8497"/>
      <c r="G1506" s="7359">
        <v>15000000</v>
      </c>
      <c r="H1506" s="7359" t="s">
        <v>8081</v>
      </c>
      <c r="I1506" s="7359" t="s">
        <v>7495</v>
      </c>
      <c r="J1506" s="7586"/>
      <c r="K1506" s="7586"/>
      <c r="L1506" s="8186"/>
      <c r="M1506" s="7381"/>
      <c r="N1506" s="7381"/>
      <c r="O1506" s="7381"/>
      <c r="P1506" s="386"/>
      <c r="Q1506" s="386"/>
    </row>
    <row r="1507" spans="1:17" s="1659" customFormat="1" ht="30" customHeight="1" x14ac:dyDescent="0.2">
      <c r="A1507" s="7704"/>
      <c r="B1507" s="7665"/>
      <c r="C1507" s="7747"/>
      <c r="D1507" s="8027"/>
      <c r="E1507" s="8029"/>
      <c r="F1507" s="8027"/>
      <c r="G1507" s="6643">
        <v>20000000</v>
      </c>
      <c r="H1507" s="6643" t="s">
        <v>5244</v>
      </c>
      <c r="I1507" s="6643" t="s">
        <v>7495</v>
      </c>
      <c r="J1507" s="7564"/>
      <c r="K1507" s="7564"/>
      <c r="L1507" s="7675"/>
      <c r="M1507" s="6734"/>
      <c r="N1507" s="6734"/>
      <c r="O1507" s="6734"/>
      <c r="P1507" s="386"/>
      <c r="Q1507" s="386"/>
    </row>
    <row r="1508" spans="1:17" s="1659" customFormat="1" ht="30" customHeight="1" x14ac:dyDescent="0.2">
      <c r="A1508" s="7704"/>
      <c r="B1508" s="7665"/>
      <c r="C1508" s="7747"/>
      <c r="D1508" s="8026">
        <v>870000000</v>
      </c>
      <c r="E1508" s="8028">
        <v>0.06</v>
      </c>
      <c r="F1508" s="8026">
        <f>D1508*E1508</f>
        <v>52200000</v>
      </c>
      <c r="G1508" s="6635"/>
      <c r="H1508" s="6635"/>
      <c r="I1508" s="6635"/>
      <c r="J1508" s="7563">
        <f>G1508+G1509</f>
        <v>0</v>
      </c>
      <c r="K1508" s="7563"/>
      <c r="L1508" s="7674"/>
      <c r="M1508" s="6734"/>
      <c r="N1508" s="6734"/>
      <c r="O1508" s="6734"/>
      <c r="P1508" s="386"/>
      <c r="Q1508" s="386"/>
    </row>
    <row r="1509" spans="1:17" s="1659" customFormat="1" ht="30" customHeight="1" x14ac:dyDescent="0.2">
      <c r="A1509" s="7705"/>
      <c r="B1509" s="7653"/>
      <c r="C1509" s="7724"/>
      <c r="D1509" s="8027"/>
      <c r="E1509" s="8029"/>
      <c r="F1509" s="8027"/>
      <c r="G1509" s="6635"/>
      <c r="H1509" s="6635"/>
      <c r="I1509" s="6635"/>
      <c r="J1509" s="7564"/>
      <c r="K1509" s="7564"/>
      <c r="L1509" s="7675"/>
      <c r="M1509" s="6734"/>
      <c r="N1509" s="6734"/>
      <c r="O1509" s="6734"/>
      <c r="P1509" s="386"/>
      <c r="Q1509" s="386"/>
    </row>
    <row r="1510" spans="1:17" s="1659" customFormat="1" ht="30" customHeight="1" x14ac:dyDescent="0.2">
      <c r="A1510" s="7703"/>
      <c r="B1510" s="7652" t="s">
        <v>5985</v>
      </c>
      <c r="C1510" s="7723" t="s">
        <v>1081</v>
      </c>
      <c r="D1510" s="7563">
        <v>40000000</v>
      </c>
      <c r="E1510" s="7659">
        <v>0.05</v>
      </c>
      <c r="F1510" s="7563">
        <f>D1510*E1510</f>
        <v>2000000</v>
      </c>
      <c r="G1510" s="6635">
        <v>2000000</v>
      </c>
      <c r="H1510" s="6635" t="s">
        <v>3808</v>
      </c>
      <c r="I1510" s="6635" t="s">
        <v>7921</v>
      </c>
      <c r="J1510" s="6635">
        <f>G1510</f>
        <v>2000000</v>
      </c>
      <c r="K1510" s="6643">
        <f>F1510-J1510</f>
        <v>0</v>
      </c>
      <c r="L1510" s="6682" t="s">
        <v>7915</v>
      </c>
      <c r="M1510" s="6734"/>
      <c r="N1510" s="6734"/>
      <c r="O1510" s="6734"/>
      <c r="P1510" s="386"/>
      <c r="Q1510" s="386"/>
    </row>
    <row r="1511" spans="1:17" s="1659" customFormat="1" ht="30" customHeight="1" x14ac:dyDescent="0.2">
      <c r="A1511" s="7705"/>
      <c r="B1511" s="7653"/>
      <c r="C1511" s="7724"/>
      <c r="D1511" s="7564"/>
      <c r="E1511" s="7660"/>
      <c r="F1511" s="7564"/>
      <c r="G1511" s="6635">
        <v>2000000</v>
      </c>
      <c r="H1511" s="6635" t="s">
        <v>8424</v>
      </c>
      <c r="I1511" s="6635" t="s">
        <v>6761</v>
      </c>
      <c r="J1511" s="6635">
        <f>G1511</f>
        <v>2000000</v>
      </c>
      <c r="K1511" s="6694">
        <f>F1510-J1511</f>
        <v>0</v>
      </c>
      <c r="L1511" s="6758" t="s">
        <v>1313</v>
      </c>
      <c r="M1511" s="6734"/>
      <c r="N1511" s="6734"/>
      <c r="O1511" s="6734"/>
      <c r="P1511" s="386"/>
      <c r="Q1511" s="386"/>
    </row>
    <row r="1512" spans="1:17" s="1659" customFormat="1" ht="30" customHeight="1" x14ac:dyDescent="0.2">
      <c r="A1512" s="7703"/>
      <c r="B1512" s="7652" t="s">
        <v>6017</v>
      </c>
      <c r="C1512" s="7723" t="s">
        <v>3323</v>
      </c>
      <c r="D1512" s="7563">
        <v>1900000000</v>
      </c>
      <c r="E1512" s="7659">
        <v>7.0000000000000007E-2</v>
      </c>
      <c r="F1512" s="7563">
        <f>D1512*E1512</f>
        <v>133000000.00000001</v>
      </c>
      <c r="G1512" s="6635">
        <v>3000000</v>
      </c>
      <c r="H1512" s="6635" t="s">
        <v>7979</v>
      </c>
      <c r="I1512" s="6635" t="s">
        <v>7983</v>
      </c>
      <c r="J1512" s="7563">
        <f>G1512+G1513</f>
        <v>3000000</v>
      </c>
      <c r="K1512" s="7563"/>
      <c r="L1512" s="227" t="s">
        <v>6019</v>
      </c>
      <c r="M1512" s="6734"/>
      <c r="N1512" s="6734"/>
      <c r="O1512" s="6734"/>
      <c r="P1512" s="386"/>
      <c r="Q1512" s="386"/>
    </row>
    <row r="1513" spans="1:17" s="1659" customFormat="1" ht="30" customHeight="1" x14ac:dyDescent="0.2">
      <c r="A1513" s="7704"/>
      <c r="B1513" s="7665"/>
      <c r="C1513" s="7747"/>
      <c r="D1513" s="7586"/>
      <c r="E1513" s="7676"/>
      <c r="F1513" s="7586"/>
      <c r="G1513" s="6635"/>
      <c r="H1513" s="6635"/>
      <c r="I1513" s="6635"/>
      <c r="J1513" s="7586"/>
      <c r="K1513" s="7586"/>
      <c r="L1513" s="6682" t="s">
        <v>6018</v>
      </c>
      <c r="M1513" s="6734"/>
      <c r="N1513" s="6734"/>
      <c r="O1513" s="6734"/>
      <c r="P1513" s="386"/>
      <c r="Q1513" s="386"/>
    </row>
    <row r="1514" spans="1:17" s="1659" customFormat="1" ht="30" customHeight="1" x14ac:dyDescent="0.2">
      <c r="A1514" s="7704"/>
      <c r="B1514" s="7665"/>
      <c r="C1514" s="7747"/>
      <c r="D1514" s="7586"/>
      <c r="E1514" s="7676"/>
      <c r="F1514" s="7586"/>
      <c r="G1514" s="6635"/>
      <c r="H1514" s="6635"/>
      <c r="I1514" s="6635"/>
      <c r="J1514" s="7586"/>
      <c r="K1514" s="7586"/>
      <c r="L1514" s="6682"/>
      <c r="M1514" s="6734"/>
      <c r="N1514" s="6734"/>
      <c r="O1514" s="6734"/>
      <c r="P1514" s="386"/>
      <c r="Q1514" s="386"/>
    </row>
    <row r="1515" spans="1:17" s="1659" customFormat="1" ht="30" customHeight="1" x14ac:dyDescent="0.2">
      <c r="A1515" s="7704"/>
      <c r="B1515" s="7665"/>
      <c r="C1515" s="7747"/>
      <c r="D1515" s="7586"/>
      <c r="E1515" s="7676"/>
      <c r="F1515" s="7586"/>
      <c r="G1515" s="6635"/>
      <c r="H1515" s="6635"/>
      <c r="I1515" s="6635"/>
      <c r="J1515" s="7586"/>
      <c r="K1515" s="7586"/>
      <c r="L1515" s="6682"/>
      <c r="M1515" s="6734"/>
      <c r="N1515" s="6734"/>
      <c r="O1515" s="6734"/>
      <c r="P1515" s="386"/>
      <c r="Q1515" s="386"/>
    </row>
    <row r="1516" spans="1:17" s="1659" customFormat="1" ht="30" customHeight="1" x14ac:dyDescent="0.2">
      <c r="A1516" s="7705"/>
      <c r="B1516" s="7653"/>
      <c r="C1516" s="7724"/>
      <c r="D1516" s="7564"/>
      <c r="E1516" s="7660"/>
      <c r="F1516" s="7564"/>
      <c r="G1516" s="6635"/>
      <c r="H1516" s="6635"/>
      <c r="I1516" s="6635"/>
      <c r="J1516" s="7564"/>
      <c r="K1516" s="7564"/>
      <c r="L1516" s="6682"/>
      <c r="M1516" s="6734"/>
      <c r="N1516" s="6734"/>
      <c r="O1516" s="6734"/>
      <c r="P1516" s="386"/>
      <c r="Q1516" s="386"/>
    </row>
    <row r="1517" spans="1:17" s="1659" customFormat="1" ht="30" customHeight="1" x14ac:dyDescent="0.2">
      <c r="A1517" s="6662"/>
      <c r="B1517" s="4921" t="s">
        <v>6031</v>
      </c>
      <c r="C1517" s="6684"/>
      <c r="D1517" s="6643">
        <v>120000000</v>
      </c>
      <c r="E1517" s="6649"/>
      <c r="F1517" s="6643"/>
      <c r="G1517" s="7732" t="s">
        <v>6033</v>
      </c>
      <c r="H1517" s="7733"/>
      <c r="I1517" s="7733"/>
      <c r="J1517" s="7734"/>
      <c r="K1517" s="6643"/>
      <c r="L1517" s="6682" t="s">
        <v>6032</v>
      </c>
      <c r="M1517" s="6734"/>
      <c r="N1517" s="6734"/>
      <c r="O1517" s="6734"/>
      <c r="P1517" s="386"/>
      <c r="Q1517" s="386"/>
    </row>
    <row r="1518" spans="1:17" s="1659" customFormat="1" ht="30" customHeight="1" x14ac:dyDescent="0.2">
      <c r="A1518" s="6727"/>
      <c r="B1518" s="6665" t="s">
        <v>6053</v>
      </c>
      <c r="C1518" s="6710" t="s">
        <v>1287</v>
      </c>
      <c r="D1518" s="6635">
        <v>200000000</v>
      </c>
      <c r="E1518" s="6705">
        <v>0.06</v>
      </c>
      <c r="F1518" s="6635">
        <f t="shared" ref="F1518:F1523" si="128">D1518*E1518</f>
        <v>12000000</v>
      </c>
      <c r="G1518" s="6635">
        <v>12000000</v>
      </c>
      <c r="H1518" s="6635" t="s">
        <v>5244</v>
      </c>
      <c r="I1518" s="6635" t="s">
        <v>1259</v>
      </c>
      <c r="J1518" s="6635">
        <f>G1518</f>
        <v>12000000</v>
      </c>
      <c r="K1518" s="6641">
        <f>F1518-J1518</f>
        <v>0</v>
      </c>
      <c r="L1518" s="6681"/>
      <c r="M1518" s="6734"/>
      <c r="N1518" s="6734"/>
      <c r="O1518" s="6734"/>
      <c r="P1518" s="386"/>
      <c r="Q1518" s="386"/>
    </row>
    <row r="1519" spans="1:17" s="1659" customFormat="1" ht="30" customHeight="1" x14ac:dyDescent="0.2">
      <c r="A1519" s="6711"/>
      <c r="B1519" s="6711" t="s">
        <v>4767</v>
      </c>
      <c r="C1519" s="6710" t="s">
        <v>989</v>
      </c>
      <c r="D1519" s="6635">
        <v>4200000</v>
      </c>
      <c r="E1519" s="6705">
        <v>0.05</v>
      </c>
      <c r="F1519" s="6635">
        <f t="shared" si="128"/>
        <v>210000</v>
      </c>
      <c r="G1519" s="6635"/>
      <c r="H1519" s="6635"/>
      <c r="I1519" s="6635" t="s">
        <v>6137</v>
      </c>
      <c r="J1519" s="6635" t="e">
        <f>G1519+#REF!+#REF!+#REF!+G1527</f>
        <v>#REF!</v>
      </c>
      <c r="K1519" s="6635"/>
      <c r="L1519" s="6635" t="s">
        <v>6138</v>
      </c>
      <c r="M1519" s="6734"/>
      <c r="N1519" s="6734"/>
      <c r="O1519" s="6734"/>
      <c r="P1519" s="386"/>
      <c r="Q1519" s="386"/>
    </row>
    <row r="1520" spans="1:17" s="1659" customFormat="1" ht="30" customHeight="1" x14ac:dyDescent="0.2">
      <c r="A1520" s="7703"/>
      <c r="B1520" s="7652" t="s">
        <v>6143</v>
      </c>
      <c r="C1520" s="7747"/>
      <c r="D1520" s="6643">
        <v>1100000000</v>
      </c>
      <c r="E1520" s="6649">
        <v>7.0000000000000007E-2</v>
      </c>
      <c r="F1520" s="6643">
        <f t="shared" si="128"/>
        <v>77000000</v>
      </c>
      <c r="G1520" s="7563"/>
      <c r="H1520" s="7563"/>
      <c r="I1520" s="7563" t="s">
        <v>7429</v>
      </c>
      <c r="J1520" s="7563">
        <f>G1520</f>
        <v>0</v>
      </c>
      <c r="K1520" s="7563">
        <f>(F1520+F1521)-J1520</f>
        <v>80500000</v>
      </c>
      <c r="L1520" s="6682" t="s">
        <v>6335</v>
      </c>
      <c r="M1520" s="6734"/>
      <c r="N1520" s="6734"/>
      <c r="O1520" s="6734"/>
      <c r="P1520" s="386"/>
      <c r="Q1520" s="386"/>
    </row>
    <row r="1521" spans="1:17" s="1659" customFormat="1" ht="30" customHeight="1" x14ac:dyDescent="0.2">
      <c r="A1521" s="7705"/>
      <c r="B1521" s="7653"/>
      <c r="C1521" s="7724"/>
      <c r="D1521" s="6643">
        <v>50000000</v>
      </c>
      <c r="E1521" s="6705">
        <v>7.0000000000000007E-2</v>
      </c>
      <c r="F1521" s="6643">
        <f t="shared" si="128"/>
        <v>3500000.0000000005</v>
      </c>
      <c r="G1521" s="7564"/>
      <c r="H1521" s="7564"/>
      <c r="I1521" s="7564"/>
      <c r="J1521" s="7564"/>
      <c r="K1521" s="7564"/>
      <c r="L1521" s="6682" t="s">
        <v>6203</v>
      </c>
      <c r="M1521" s="6734"/>
      <c r="N1521" s="6734"/>
      <c r="O1521" s="6734"/>
      <c r="P1521" s="386"/>
      <c r="Q1521" s="386"/>
    </row>
    <row r="1522" spans="1:17" s="1659" customFormat="1" ht="30" customHeight="1" x14ac:dyDescent="0.2">
      <c r="A1522" s="6662"/>
      <c r="B1522" s="4921" t="s">
        <v>6144</v>
      </c>
      <c r="C1522" s="6684"/>
      <c r="D1522" s="6643">
        <v>100000000</v>
      </c>
      <c r="E1522" s="6649">
        <v>7.0000000000000007E-2</v>
      </c>
      <c r="F1522" s="6643">
        <f t="shared" si="128"/>
        <v>7000000.0000000009</v>
      </c>
      <c r="G1522" s="6643">
        <v>7000000</v>
      </c>
      <c r="H1522" s="6643" t="s">
        <v>8111</v>
      </c>
      <c r="I1522" s="6643" t="s">
        <v>3537</v>
      </c>
      <c r="J1522" s="6643">
        <f>G1522</f>
        <v>7000000</v>
      </c>
      <c r="K1522" s="6643">
        <f>F1522-J1522</f>
        <v>0</v>
      </c>
      <c r="L1522" s="6682" t="s">
        <v>6145</v>
      </c>
      <c r="M1522" s="6734"/>
      <c r="N1522" s="6734"/>
      <c r="O1522" s="6734"/>
      <c r="P1522" s="386"/>
      <c r="Q1522" s="386"/>
    </row>
    <row r="1523" spans="1:17" s="1659" customFormat="1" ht="30" customHeight="1" x14ac:dyDescent="0.2">
      <c r="A1523" s="19"/>
      <c r="B1523" s="6665" t="s">
        <v>6172</v>
      </c>
      <c r="C1523" s="6710" t="s">
        <v>2644</v>
      </c>
      <c r="D1523" s="6635">
        <v>100000000</v>
      </c>
      <c r="E1523" s="6705">
        <v>0.05</v>
      </c>
      <c r="F1523" s="6635">
        <f t="shared" si="128"/>
        <v>5000000</v>
      </c>
      <c r="G1523" s="6635">
        <v>5000000</v>
      </c>
      <c r="H1523" s="6635" t="s">
        <v>8215</v>
      </c>
      <c r="I1523" s="6635" t="s">
        <v>1810</v>
      </c>
      <c r="J1523" s="6635">
        <f>G1523</f>
        <v>5000000</v>
      </c>
      <c r="K1523" s="6635">
        <f>F1523-J1523</f>
        <v>0</v>
      </c>
      <c r="L1523" s="6682"/>
      <c r="M1523" s="6734"/>
      <c r="N1523" s="6734"/>
      <c r="O1523" s="6734"/>
      <c r="P1523" s="386"/>
      <c r="Q1523" s="386"/>
    </row>
    <row r="1524" spans="1:17" s="1659" customFormat="1" ht="30" customHeight="1" x14ac:dyDescent="0.2">
      <c r="A1524" s="6662"/>
      <c r="B1524" s="4921" t="s">
        <v>6176</v>
      </c>
      <c r="C1524" s="6684"/>
      <c r="D1524" s="6644"/>
      <c r="E1524" s="6644"/>
      <c r="F1524" s="6644"/>
      <c r="G1524" s="6643"/>
      <c r="H1524" s="6643"/>
      <c r="I1524" s="6643" t="s">
        <v>6177</v>
      </c>
      <c r="J1524" s="6643">
        <f>G1524</f>
        <v>0</v>
      </c>
      <c r="K1524" s="6664">
        <f>F1524-J1524</f>
        <v>0</v>
      </c>
      <c r="L1524" s="6682"/>
      <c r="M1524" s="6734"/>
      <c r="N1524" s="6734"/>
      <c r="O1524" s="6734"/>
      <c r="P1524" s="386"/>
      <c r="Q1524" s="386"/>
    </row>
    <row r="1525" spans="1:17" s="1659" customFormat="1" ht="30" customHeight="1" x14ac:dyDescent="0.2">
      <c r="A1525" s="7703"/>
      <c r="B1525" s="7703" t="s">
        <v>6295</v>
      </c>
      <c r="C1525" s="7723" t="s">
        <v>262</v>
      </c>
      <c r="D1525" s="7563">
        <v>50000000</v>
      </c>
      <c r="E1525" s="7659">
        <v>7.0000000000000007E-2</v>
      </c>
      <c r="F1525" s="7563">
        <f>D1525*E1525</f>
        <v>3500000.0000000005</v>
      </c>
      <c r="G1525" s="7991" t="s">
        <v>5756</v>
      </c>
      <c r="H1525" s="7992"/>
      <c r="I1525" s="7992"/>
      <c r="J1525" s="7993"/>
      <c r="K1525" s="6664"/>
      <c r="L1525" s="6682" t="s">
        <v>5631</v>
      </c>
      <c r="M1525" s="6734"/>
      <c r="N1525" s="6734"/>
      <c r="O1525" s="6734"/>
      <c r="P1525" s="386"/>
      <c r="Q1525" s="386"/>
    </row>
    <row r="1526" spans="1:17" s="1659" customFormat="1" ht="30" customHeight="1" x14ac:dyDescent="0.2">
      <c r="A1526" s="7704"/>
      <c r="B1526" s="7704"/>
      <c r="C1526" s="7747"/>
      <c r="D1526" s="7564"/>
      <c r="E1526" s="7660"/>
      <c r="F1526" s="7564"/>
      <c r="G1526" s="6635"/>
      <c r="H1526" s="6635"/>
      <c r="I1526" s="6635" t="s">
        <v>6527</v>
      </c>
      <c r="J1526" s="6635">
        <f>G1526</f>
        <v>0</v>
      </c>
      <c r="K1526" s="6664"/>
      <c r="L1526" s="6682" t="s">
        <v>5632</v>
      </c>
      <c r="M1526" s="6734"/>
      <c r="N1526" s="6734"/>
      <c r="O1526" s="6734"/>
      <c r="P1526" s="386"/>
      <c r="Q1526" s="386"/>
    </row>
    <row r="1527" spans="1:17" s="1659" customFormat="1" ht="30" customHeight="1" x14ac:dyDescent="0.2">
      <c r="A1527" s="7704"/>
      <c r="B1527" s="7704"/>
      <c r="C1527" s="7747"/>
      <c r="D1527" s="8378">
        <v>1000000000</v>
      </c>
      <c r="E1527" s="8375"/>
      <c r="F1527" s="8378"/>
      <c r="G1527" s="8384" t="s">
        <v>6184</v>
      </c>
      <c r="H1527" s="8385"/>
      <c r="I1527" s="8385"/>
      <c r="J1527" s="8386"/>
      <c r="K1527" s="6786"/>
      <c r="L1527" s="4619" t="s">
        <v>6183</v>
      </c>
      <c r="M1527" s="6734"/>
      <c r="N1527" s="6734"/>
      <c r="O1527" s="6734"/>
      <c r="P1527" s="386"/>
      <c r="Q1527" s="386"/>
    </row>
    <row r="1528" spans="1:17" s="1659" customFormat="1" ht="30" customHeight="1" x14ac:dyDescent="0.2">
      <c r="A1528" s="7704"/>
      <c r="B1528" s="7704"/>
      <c r="C1528" s="7747"/>
      <c r="D1528" s="8379"/>
      <c r="E1528" s="8376"/>
      <c r="F1528" s="8379"/>
      <c r="G1528" s="8387" t="s">
        <v>6185</v>
      </c>
      <c r="H1528" s="8388"/>
      <c r="I1528" s="8388"/>
      <c r="J1528" s="8389"/>
      <c r="K1528" s="6786"/>
      <c r="L1528" s="4619" t="s">
        <v>6182</v>
      </c>
      <c r="M1528" s="6734"/>
      <c r="N1528" s="6734"/>
      <c r="O1528" s="6734"/>
      <c r="P1528" s="386"/>
      <c r="Q1528" s="386"/>
    </row>
    <row r="1529" spans="1:17" s="1659" customFormat="1" ht="30" customHeight="1" x14ac:dyDescent="0.2">
      <c r="A1529" s="7704"/>
      <c r="B1529" s="7704"/>
      <c r="C1529" s="7747"/>
      <c r="D1529" s="8379"/>
      <c r="E1529" s="8376"/>
      <c r="F1529" s="8379"/>
      <c r="G1529" s="7732" t="s">
        <v>6346</v>
      </c>
      <c r="H1529" s="7733"/>
      <c r="I1529" s="7733"/>
      <c r="J1529" s="7734"/>
      <c r="K1529" s="6786"/>
      <c r="L1529" s="4619"/>
      <c r="M1529" s="6734"/>
      <c r="N1529" s="6734"/>
      <c r="O1529" s="6734"/>
      <c r="P1529" s="386"/>
      <c r="Q1529" s="386"/>
    </row>
    <row r="1530" spans="1:17" s="1659" customFormat="1" ht="30" customHeight="1" x14ac:dyDescent="0.2">
      <c r="A1530" s="7704"/>
      <c r="B1530" s="7704"/>
      <c r="C1530" s="7747"/>
      <c r="D1530" s="8379"/>
      <c r="E1530" s="8376"/>
      <c r="F1530" s="8379"/>
      <c r="G1530" s="7732" t="s">
        <v>6340</v>
      </c>
      <c r="H1530" s="7733"/>
      <c r="I1530" s="7733"/>
      <c r="J1530" s="7734"/>
      <c r="K1530" s="6786"/>
      <c r="L1530" s="4619"/>
      <c r="M1530" s="6734"/>
      <c r="N1530" s="6734"/>
      <c r="O1530" s="6734"/>
      <c r="P1530" s="386"/>
      <c r="Q1530" s="386"/>
    </row>
    <row r="1531" spans="1:17" s="1659" customFormat="1" ht="30" customHeight="1" x14ac:dyDescent="0.2">
      <c r="A1531" s="7704"/>
      <c r="B1531" s="7704"/>
      <c r="C1531" s="7747"/>
      <c r="D1531" s="8379"/>
      <c r="E1531" s="8376"/>
      <c r="F1531" s="8379"/>
      <c r="G1531" s="7732" t="s">
        <v>6348</v>
      </c>
      <c r="H1531" s="7733"/>
      <c r="I1531" s="7733"/>
      <c r="J1531" s="7734"/>
      <c r="K1531" s="6786"/>
      <c r="L1531" s="4619"/>
      <c r="M1531" s="6734"/>
      <c r="N1531" s="6734"/>
      <c r="O1531" s="6734"/>
      <c r="P1531" s="386"/>
      <c r="Q1531" s="386"/>
    </row>
    <row r="1532" spans="1:17" s="1659" customFormat="1" ht="30" customHeight="1" x14ac:dyDescent="0.2">
      <c r="A1532" s="7704"/>
      <c r="B1532" s="7704"/>
      <c r="C1532" s="7747"/>
      <c r="D1532" s="8379"/>
      <c r="E1532" s="8376"/>
      <c r="F1532" s="8379"/>
      <c r="G1532" s="7732" t="s">
        <v>6347</v>
      </c>
      <c r="H1532" s="7733"/>
      <c r="I1532" s="7733"/>
      <c r="J1532" s="7734"/>
      <c r="K1532" s="6786"/>
      <c r="L1532" s="4619"/>
      <c r="M1532" s="6734"/>
      <c r="N1532" s="6734"/>
      <c r="O1532" s="6734"/>
      <c r="P1532" s="386"/>
      <c r="Q1532" s="386"/>
    </row>
    <row r="1533" spans="1:17" s="1659" customFormat="1" ht="30" customHeight="1" x14ac:dyDescent="0.2">
      <c r="A1533" s="7704"/>
      <c r="B1533" s="7704"/>
      <c r="C1533" s="7747"/>
      <c r="D1533" s="8379"/>
      <c r="E1533" s="8376"/>
      <c r="F1533" s="8379"/>
      <c r="G1533" s="7732" t="s">
        <v>6341</v>
      </c>
      <c r="H1533" s="7733"/>
      <c r="I1533" s="7733"/>
      <c r="J1533" s="7734"/>
      <c r="K1533" s="6786"/>
      <c r="L1533" s="4619"/>
      <c r="M1533" s="6734"/>
      <c r="N1533" s="6734"/>
      <c r="O1533" s="6734"/>
      <c r="P1533" s="386"/>
      <c r="Q1533" s="386"/>
    </row>
    <row r="1534" spans="1:17" s="1659" customFormat="1" ht="30" customHeight="1" x14ac:dyDescent="0.2">
      <c r="A1534" s="7704"/>
      <c r="B1534" s="7704"/>
      <c r="C1534" s="7747"/>
      <c r="D1534" s="8379"/>
      <c r="E1534" s="8376"/>
      <c r="F1534" s="8379"/>
      <c r="G1534" s="7732" t="s">
        <v>6344</v>
      </c>
      <c r="H1534" s="7733"/>
      <c r="I1534" s="7733"/>
      <c r="J1534" s="7734"/>
      <c r="K1534" s="6786"/>
      <c r="L1534" s="4619"/>
      <c r="M1534" s="6734"/>
      <c r="N1534" s="6734"/>
      <c r="O1534" s="6734"/>
      <c r="P1534" s="386"/>
      <c r="Q1534" s="386"/>
    </row>
    <row r="1535" spans="1:17" s="1659" customFormat="1" ht="30" customHeight="1" x14ac:dyDescent="0.2">
      <c r="A1535" s="7704"/>
      <c r="B1535" s="7704"/>
      <c r="C1535" s="7747"/>
      <c r="D1535" s="8379"/>
      <c r="E1535" s="8376"/>
      <c r="F1535" s="8379"/>
      <c r="G1535" s="7732" t="s">
        <v>6345</v>
      </c>
      <c r="H1535" s="7733"/>
      <c r="I1535" s="7733"/>
      <c r="J1535" s="7734"/>
      <c r="K1535" s="6786"/>
      <c r="L1535" s="4619"/>
      <c r="M1535" s="6734"/>
      <c r="N1535" s="6734"/>
      <c r="O1535" s="6734"/>
      <c r="P1535" s="386"/>
      <c r="Q1535" s="386"/>
    </row>
    <row r="1536" spans="1:17" s="1659" customFormat="1" ht="30" customHeight="1" x14ac:dyDescent="0.2">
      <c r="A1536" s="7704"/>
      <c r="B1536" s="7704"/>
      <c r="C1536" s="7747"/>
      <c r="D1536" s="8379"/>
      <c r="E1536" s="8376"/>
      <c r="F1536" s="8379"/>
      <c r="G1536" s="7732" t="s">
        <v>6342</v>
      </c>
      <c r="H1536" s="7733"/>
      <c r="I1536" s="7733"/>
      <c r="J1536" s="7734"/>
      <c r="K1536" s="6786"/>
      <c r="L1536" s="4619"/>
      <c r="M1536" s="6734"/>
      <c r="N1536" s="6734"/>
      <c r="O1536" s="6734"/>
      <c r="P1536" s="386"/>
      <c r="Q1536" s="386"/>
    </row>
    <row r="1537" spans="1:17" s="1659" customFormat="1" ht="30" customHeight="1" x14ac:dyDescent="0.2">
      <c r="A1537" s="7704"/>
      <c r="B1537" s="7704"/>
      <c r="C1537" s="7747"/>
      <c r="D1537" s="8379"/>
      <c r="E1537" s="8376"/>
      <c r="F1537" s="8379"/>
      <c r="G1537" s="7732" t="s">
        <v>6343</v>
      </c>
      <c r="H1537" s="7733"/>
      <c r="I1537" s="7733"/>
      <c r="J1537" s="7734"/>
      <c r="K1537" s="6786"/>
      <c r="L1537" s="4619"/>
      <c r="M1537" s="6734"/>
      <c r="N1537" s="6734"/>
      <c r="O1537" s="6734"/>
      <c r="P1537" s="386"/>
      <c r="Q1537" s="386"/>
    </row>
    <row r="1538" spans="1:17" s="1659" customFormat="1" ht="30" customHeight="1" x14ac:dyDescent="0.2">
      <c r="A1538" s="7705"/>
      <c r="B1538" s="6712" t="s">
        <v>6819</v>
      </c>
      <c r="C1538" s="7724"/>
      <c r="D1538" s="8380"/>
      <c r="E1538" s="8377"/>
      <c r="F1538" s="8380"/>
      <c r="G1538" s="7732" t="s">
        <v>6349</v>
      </c>
      <c r="H1538" s="7733"/>
      <c r="I1538" s="7733"/>
      <c r="J1538" s="7734"/>
      <c r="K1538" s="6786"/>
      <c r="L1538" s="4619"/>
      <c r="M1538" s="6734"/>
      <c r="N1538" s="6734"/>
      <c r="O1538" s="6734"/>
      <c r="P1538" s="386"/>
      <c r="Q1538" s="386"/>
    </row>
    <row r="1539" spans="1:17" s="1659" customFormat="1" ht="30" customHeight="1" x14ac:dyDescent="0.2">
      <c r="A1539" s="7703"/>
      <c r="B1539" s="7652" t="s">
        <v>6295</v>
      </c>
      <c r="C1539" s="7723" t="s">
        <v>262</v>
      </c>
      <c r="D1539" s="6635">
        <f>977000000+D1525</f>
        <v>1027000000</v>
      </c>
      <c r="E1539" s="6705">
        <v>7.0000000000000007E-2</v>
      </c>
      <c r="F1539" s="6635">
        <f>D1539*E1539</f>
        <v>71890000</v>
      </c>
      <c r="G1539" s="7991" t="s">
        <v>7593</v>
      </c>
      <c r="H1539" s="7992"/>
      <c r="I1539" s="7992"/>
      <c r="J1539" s="7993"/>
      <c r="K1539" s="227"/>
      <c r="L1539" s="6682"/>
      <c r="M1539" s="6734"/>
      <c r="N1539" s="6734"/>
      <c r="O1539" s="6734"/>
      <c r="P1539" s="386"/>
      <c r="Q1539" s="386"/>
    </row>
    <row r="1540" spans="1:17" s="1659" customFormat="1" ht="30" customHeight="1" x14ac:dyDescent="0.2">
      <c r="A1540" s="7704"/>
      <c r="B1540" s="7665"/>
      <c r="C1540" s="7747"/>
      <c r="D1540" s="7563">
        <v>1032000000</v>
      </c>
      <c r="E1540" s="7659">
        <v>7.0000000000000007E-2</v>
      </c>
      <c r="F1540" s="7563">
        <f>D1540*E1540</f>
        <v>72240000</v>
      </c>
      <c r="G1540" s="7991" t="s">
        <v>8133</v>
      </c>
      <c r="H1540" s="7992"/>
      <c r="I1540" s="7992"/>
      <c r="J1540" s="7993"/>
      <c r="K1540" s="7586"/>
      <c r="L1540" s="6682"/>
      <c r="M1540" s="6734"/>
      <c r="N1540" s="6734"/>
      <c r="O1540" s="6734"/>
      <c r="P1540" s="386"/>
      <c r="Q1540" s="386"/>
    </row>
    <row r="1541" spans="1:17" s="1659" customFormat="1" ht="30" customHeight="1" x14ac:dyDescent="0.2">
      <c r="A1541" s="7704"/>
      <c r="B1541" s="7665"/>
      <c r="C1541" s="7747"/>
      <c r="D1541" s="7586"/>
      <c r="E1541" s="7676"/>
      <c r="F1541" s="7586"/>
      <c r="G1541" s="7994"/>
      <c r="H1541" s="7995"/>
      <c r="I1541" s="7995"/>
      <c r="J1541" s="7996"/>
      <c r="K1541" s="7586"/>
      <c r="L1541" s="6682"/>
      <c r="M1541" s="6734"/>
      <c r="N1541" s="6734"/>
      <c r="O1541" s="6734"/>
      <c r="P1541" s="386"/>
      <c r="Q1541" s="386"/>
    </row>
    <row r="1542" spans="1:17" s="1659" customFormat="1" ht="30" customHeight="1" x14ac:dyDescent="0.2">
      <c r="A1542" s="7705"/>
      <c r="B1542" s="7653"/>
      <c r="C1542" s="7724"/>
      <c r="D1542" s="7564"/>
      <c r="E1542" s="7660"/>
      <c r="F1542" s="7564"/>
      <c r="G1542" s="7997"/>
      <c r="H1542" s="7998"/>
      <c r="I1542" s="7998"/>
      <c r="J1542" s="7999"/>
      <c r="K1542" s="7564"/>
      <c r="L1542" s="6682"/>
      <c r="M1542" s="6734"/>
      <c r="N1542" s="6734"/>
      <c r="O1542" s="6734"/>
      <c r="P1542" s="386"/>
      <c r="Q1542" s="386"/>
    </row>
    <row r="1543" spans="1:17" s="1659" customFormat="1" ht="30" customHeight="1" x14ac:dyDescent="0.2">
      <c r="A1543" s="6727"/>
      <c r="B1543" s="6665" t="s">
        <v>6189</v>
      </c>
      <c r="C1543" s="6684" t="s">
        <v>392</v>
      </c>
      <c r="D1543" s="6643">
        <v>100000000</v>
      </c>
      <c r="E1543" s="6649">
        <v>0.04</v>
      </c>
      <c r="F1543" s="6643">
        <f>D1543*E1543</f>
        <v>4000000</v>
      </c>
      <c r="G1543" s="7732" t="s">
        <v>6284</v>
      </c>
      <c r="H1543" s="7733"/>
      <c r="I1543" s="7733"/>
      <c r="J1543" s="7734"/>
      <c r="K1543" s="6643"/>
      <c r="L1543" s="6802" t="s">
        <v>6190</v>
      </c>
      <c r="M1543" s="6734"/>
      <c r="N1543" s="6734"/>
      <c r="O1543" s="6734"/>
      <c r="P1543" s="386"/>
      <c r="Q1543" s="386"/>
    </row>
    <row r="1544" spans="1:17" s="1659" customFormat="1" ht="30" customHeight="1" x14ac:dyDescent="0.2">
      <c r="A1544" s="6727"/>
      <c r="B1544" s="4921" t="s">
        <v>6229</v>
      </c>
      <c r="C1544" s="6684"/>
      <c r="D1544" s="6643">
        <v>47000000</v>
      </c>
      <c r="E1544" s="6649">
        <v>4.2999999999999997E-2</v>
      </c>
      <c r="F1544" s="6643">
        <v>2000000</v>
      </c>
      <c r="G1544" s="6643">
        <v>2000000</v>
      </c>
      <c r="H1544" s="6643" t="s">
        <v>8267</v>
      </c>
      <c r="I1544" s="6693" t="s">
        <v>6230</v>
      </c>
      <c r="J1544" s="6643">
        <f t="shared" ref="J1544:J1549" si="129">G1544</f>
        <v>2000000</v>
      </c>
      <c r="K1544" s="6643">
        <f t="shared" ref="K1544:K1549" si="130">F1544-J1544</f>
        <v>0</v>
      </c>
      <c r="L1544" s="6682"/>
      <c r="M1544" s="6734"/>
      <c r="N1544" s="6734"/>
      <c r="O1544" s="6734"/>
      <c r="P1544" s="386"/>
      <c r="Q1544" s="386"/>
    </row>
    <row r="1545" spans="1:17" s="1659" customFormat="1" ht="30" customHeight="1" x14ac:dyDescent="0.2">
      <c r="A1545" s="6727"/>
      <c r="B1545" s="6665" t="s">
        <v>6271</v>
      </c>
      <c r="C1545" s="6710" t="s">
        <v>402</v>
      </c>
      <c r="D1545" s="6635">
        <v>150000000</v>
      </c>
      <c r="E1545" s="6705">
        <v>0.05</v>
      </c>
      <c r="F1545" s="6635">
        <f t="shared" ref="F1545:F1551" si="131">D1545*E1545</f>
        <v>7500000</v>
      </c>
      <c r="G1545" s="6635">
        <v>7500000</v>
      </c>
      <c r="H1545" s="6635" t="s">
        <v>7987</v>
      </c>
      <c r="I1545" s="6635" t="s">
        <v>6899</v>
      </c>
      <c r="J1545" s="6635">
        <f t="shared" si="129"/>
        <v>7500000</v>
      </c>
      <c r="K1545" s="6643">
        <f t="shared" si="130"/>
        <v>0</v>
      </c>
      <c r="L1545" s="6682" t="s">
        <v>7515</v>
      </c>
      <c r="M1545" s="6734"/>
      <c r="N1545" s="6734"/>
      <c r="O1545" s="6734"/>
      <c r="P1545" s="386"/>
      <c r="Q1545" s="386"/>
    </row>
    <row r="1546" spans="1:17" s="1659" customFormat="1" ht="30" customHeight="1" x14ac:dyDescent="0.2">
      <c r="A1546" s="6661"/>
      <c r="B1546" s="7121" t="s">
        <v>8270</v>
      </c>
      <c r="C1546" s="7133"/>
      <c r="D1546" s="7113">
        <v>50000000</v>
      </c>
      <c r="E1546" s="7125">
        <v>7.0000000000000007E-2</v>
      </c>
      <c r="F1546" s="7113">
        <f t="shared" si="131"/>
        <v>3500000.0000000005</v>
      </c>
      <c r="G1546" s="7111">
        <v>3500000</v>
      </c>
      <c r="H1546" s="7111" t="s">
        <v>8267</v>
      </c>
      <c r="I1546" s="7111" t="s">
        <v>6899</v>
      </c>
      <c r="J1546" s="7111">
        <f t="shared" si="129"/>
        <v>3500000</v>
      </c>
      <c r="K1546" s="7114">
        <f t="shared" si="130"/>
        <v>0</v>
      </c>
      <c r="L1546" s="7123" t="s">
        <v>8271</v>
      </c>
      <c r="M1546" s="6734"/>
      <c r="N1546" s="6734"/>
      <c r="O1546" s="6734"/>
      <c r="P1546" s="386"/>
      <c r="Q1546" s="386"/>
    </row>
    <row r="1547" spans="1:17" s="1659" customFormat="1" ht="30" customHeight="1" x14ac:dyDescent="0.2">
      <c r="A1547" s="6727"/>
      <c r="B1547" s="6665" t="s">
        <v>6352</v>
      </c>
      <c r="C1547" s="6710" t="s">
        <v>1172</v>
      </c>
      <c r="D1547" s="6635">
        <v>100000000</v>
      </c>
      <c r="E1547" s="6705">
        <v>0.05</v>
      </c>
      <c r="F1547" s="6635">
        <f t="shared" si="131"/>
        <v>5000000</v>
      </c>
      <c r="G1547" s="6635">
        <v>5000000</v>
      </c>
      <c r="H1547" s="6635" t="s">
        <v>8186</v>
      </c>
      <c r="I1547" s="6635" t="s">
        <v>8190</v>
      </c>
      <c r="J1547" s="6635">
        <f t="shared" si="129"/>
        <v>5000000</v>
      </c>
      <c r="K1547" s="6635">
        <f t="shared" si="130"/>
        <v>0</v>
      </c>
      <c r="L1547" s="6682"/>
      <c r="M1547" s="6734"/>
      <c r="N1547" s="6734"/>
      <c r="O1547" s="6734"/>
      <c r="P1547" s="386"/>
      <c r="Q1547" s="386"/>
    </row>
    <row r="1548" spans="1:17" s="1659" customFormat="1" ht="30" customHeight="1" x14ac:dyDescent="0.2">
      <c r="A1548" s="6662"/>
      <c r="B1548" s="6652" t="s">
        <v>6306</v>
      </c>
      <c r="C1548" s="6684" t="s">
        <v>2644</v>
      </c>
      <c r="D1548" s="6643">
        <v>20000000</v>
      </c>
      <c r="E1548" s="6649">
        <v>0.06</v>
      </c>
      <c r="F1548" s="6643">
        <f t="shared" si="131"/>
        <v>1200000</v>
      </c>
      <c r="G1548" s="6643">
        <v>1200000</v>
      </c>
      <c r="H1548" s="6643" t="s">
        <v>2109</v>
      </c>
      <c r="I1548" s="6693" t="s">
        <v>6384</v>
      </c>
      <c r="J1548" s="6643">
        <f t="shared" si="129"/>
        <v>1200000</v>
      </c>
      <c r="K1548" s="6643">
        <f t="shared" si="130"/>
        <v>0</v>
      </c>
      <c r="L1548" s="6682"/>
      <c r="M1548" s="6734"/>
      <c r="N1548" s="6734"/>
      <c r="O1548" s="6734"/>
      <c r="P1548" s="386"/>
      <c r="Q1548" s="386"/>
    </row>
    <row r="1549" spans="1:17" s="1659" customFormat="1" ht="30" customHeight="1" x14ac:dyDescent="0.2">
      <c r="A1549" s="6660"/>
      <c r="B1549" s="6665" t="s">
        <v>6371</v>
      </c>
      <c r="C1549" s="6710"/>
      <c r="D1549" s="6635">
        <v>100000000</v>
      </c>
      <c r="E1549" s="6705">
        <v>0.05</v>
      </c>
      <c r="F1549" s="6635">
        <f t="shared" si="131"/>
        <v>5000000</v>
      </c>
      <c r="G1549" s="6635">
        <v>5000000</v>
      </c>
      <c r="H1549" s="6635" t="s">
        <v>8245</v>
      </c>
      <c r="I1549" s="6635" t="s">
        <v>1574</v>
      </c>
      <c r="J1549" s="6641">
        <f t="shared" si="129"/>
        <v>5000000</v>
      </c>
      <c r="K1549" s="6635">
        <f t="shared" si="130"/>
        <v>0</v>
      </c>
      <c r="L1549" s="6682"/>
      <c r="M1549" s="6734"/>
      <c r="N1549" s="6734"/>
      <c r="O1549" s="6734"/>
      <c r="P1549" s="386"/>
      <c r="Q1549" s="386"/>
    </row>
    <row r="1550" spans="1:17" s="1659" customFormat="1" ht="30" customHeight="1" x14ac:dyDescent="0.2">
      <c r="A1550" s="6727"/>
      <c r="B1550" s="6665" t="s">
        <v>6377</v>
      </c>
      <c r="C1550" s="6710"/>
      <c r="D1550" s="6635">
        <v>100000000</v>
      </c>
      <c r="E1550" s="6705">
        <v>0.06</v>
      </c>
      <c r="F1550" s="6635">
        <f t="shared" si="131"/>
        <v>6000000</v>
      </c>
      <c r="G1550" s="6635"/>
      <c r="H1550" s="6635"/>
      <c r="I1550" s="6635"/>
      <c r="J1550" s="6635"/>
      <c r="K1550" s="6643"/>
      <c r="L1550" s="6682"/>
      <c r="M1550" s="6734"/>
      <c r="N1550" s="6734"/>
      <c r="O1550" s="6734"/>
      <c r="P1550" s="386"/>
      <c r="Q1550" s="386"/>
    </row>
    <row r="1551" spans="1:17" s="1659" customFormat="1" ht="30" customHeight="1" x14ac:dyDescent="0.2">
      <c r="A1551" s="6660"/>
      <c r="B1551" s="6665" t="s">
        <v>6401</v>
      </c>
      <c r="C1551" s="6710"/>
      <c r="D1551" s="6635">
        <v>20000000</v>
      </c>
      <c r="E1551" s="6705">
        <v>0.05</v>
      </c>
      <c r="F1551" s="6635">
        <f t="shared" si="131"/>
        <v>1000000</v>
      </c>
      <c r="G1551" s="6643">
        <v>1000000</v>
      </c>
      <c r="H1551" s="6643" t="s">
        <v>5244</v>
      </c>
      <c r="I1551" s="6693" t="s">
        <v>6402</v>
      </c>
      <c r="J1551" s="6643">
        <f t="shared" ref="J1551:J1560" si="132">G1551</f>
        <v>1000000</v>
      </c>
      <c r="K1551" s="6643">
        <f>F1551-J1551</f>
        <v>0</v>
      </c>
      <c r="L1551" s="6682"/>
      <c r="M1551" s="6734"/>
      <c r="N1551" s="6734"/>
      <c r="O1551" s="6734"/>
      <c r="P1551" s="386"/>
      <c r="Q1551" s="386"/>
    </row>
    <row r="1552" spans="1:17" s="1659" customFormat="1" ht="30" customHeight="1" x14ac:dyDescent="0.2">
      <c r="A1552" s="6727"/>
      <c r="B1552" s="6665" t="s">
        <v>6415</v>
      </c>
      <c r="C1552" s="6710"/>
      <c r="D1552" s="6635">
        <v>90000000</v>
      </c>
      <c r="E1552" s="6705">
        <v>5.5E-2</v>
      </c>
      <c r="F1552" s="6635">
        <v>5000000</v>
      </c>
      <c r="G1552" s="6635">
        <v>5000000</v>
      </c>
      <c r="H1552" s="6635" t="s">
        <v>3880</v>
      </c>
      <c r="I1552" s="6635" t="s">
        <v>8315</v>
      </c>
      <c r="J1552" s="6635">
        <f t="shared" si="132"/>
        <v>5000000</v>
      </c>
      <c r="K1552" s="6635">
        <f>F1552-J1552</f>
        <v>0</v>
      </c>
      <c r="L1552" s="6635"/>
      <c r="M1552" s="6734"/>
      <c r="N1552" s="6734"/>
      <c r="O1552" s="6734"/>
      <c r="P1552" s="386"/>
      <c r="Q1552" s="386"/>
    </row>
    <row r="1553" spans="1:17" s="1659" customFormat="1" ht="30" customHeight="1" x14ac:dyDescent="0.2">
      <c r="A1553" s="7703"/>
      <c r="B1553" s="7652" t="s">
        <v>6433</v>
      </c>
      <c r="C1553" s="7723"/>
      <c r="D1553" s="7563">
        <v>100000000</v>
      </c>
      <c r="E1553" s="7659">
        <v>0.05</v>
      </c>
      <c r="F1553" s="7563">
        <f t="shared" ref="F1553:F1578" si="133">D1553*E1553</f>
        <v>5000000</v>
      </c>
      <c r="G1553" s="6635"/>
      <c r="H1553" s="6635"/>
      <c r="I1553" s="6635" t="s">
        <v>7288</v>
      </c>
      <c r="J1553" s="6635">
        <f t="shared" si="132"/>
        <v>0</v>
      </c>
      <c r="K1553" s="6643">
        <f>F1553-J1553</f>
        <v>5000000</v>
      </c>
      <c r="L1553" s="6682"/>
      <c r="M1553" s="6734"/>
      <c r="N1553" s="6734"/>
      <c r="O1553" s="6734"/>
      <c r="P1553" s="386"/>
      <c r="Q1553" s="386"/>
    </row>
    <row r="1554" spans="1:17" s="1659" customFormat="1" ht="30" customHeight="1" x14ac:dyDescent="0.2">
      <c r="A1554" s="7705"/>
      <c r="B1554" s="7653"/>
      <c r="C1554" s="7724"/>
      <c r="D1554" s="7564"/>
      <c r="E1554" s="7660"/>
      <c r="F1554" s="7564"/>
      <c r="G1554" s="6635"/>
      <c r="H1554" s="6635"/>
      <c r="I1554" s="6635" t="s">
        <v>7725</v>
      </c>
      <c r="J1554" s="6635">
        <f t="shared" si="132"/>
        <v>0</v>
      </c>
      <c r="K1554" s="6643">
        <f>F1553-J1554</f>
        <v>5000000</v>
      </c>
      <c r="L1554" s="6682"/>
      <c r="M1554" s="6734"/>
      <c r="N1554" s="6734"/>
      <c r="O1554" s="6734"/>
      <c r="P1554" s="386"/>
      <c r="Q1554" s="386"/>
    </row>
    <row r="1555" spans="1:17" s="1659" customFormat="1" ht="30" customHeight="1" x14ac:dyDescent="0.2">
      <c r="A1555" s="6727"/>
      <c r="B1555" s="6665" t="s">
        <v>6470</v>
      </c>
      <c r="C1555" s="6710"/>
      <c r="D1555" s="6635">
        <v>25000000</v>
      </c>
      <c r="E1555" s="6705">
        <v>0.05</v>
      </c>
      <c r="F1555" s="6635">
        <f t="shared" si="133"/>
        <v>1250000</v>
      </c>
      <c r="G1555" s="6635">
        <v>1250000</v>
      </c>
      <c r="H1555" s="6635" t="s">
        <v>8247</v>
      </c>
      <c r="I1555" s="6635" t="s">
        <v>8266</v>
      </c>
      <c r="J1555" s="6635">
        <f t="shared" si="132"/>
        <v>1250000</v>
      </c>
      <c r="K1555" s="6643">
        <f>F1555-J1555</f>
        <v>0</v>
      </c>
      <c r="L1555" s="6682"/>
      <c r="M1555" s="6734"/>
      <c r="N1555" s="6734"/>
      <c r="O1555" s="6734"/>
      <c r="P1555" s="386"/>
      <c r="Q1555" s="386"/>
    </row>
    <row r="1556" spans="1:17" s="1659" customFormat="1" ht="30" customHeight="1" x14ac:dyDescent="0.2">
      <c r="A1556" s="7703"/>
      <c r="B1556" s="7652" t="s">
        <v>6507</v>
      </c>
      <c r="C1556" s="7723"/>
      <c r="D1556" s="7563">
        <v>100000000</v>
      </c>
      <c r="E1556" s="7659">
        <v>0.05</v>
      </c>
      <c r="F1556" s="7563">
        <f t="shared" si="133"/>
        <v>5000000</v>
      </c>
      <c r="G1556" s="6635">
        <v>5000000</v>
      </c>
      <c r="H1556" s="6635" t="s">
        <v>8215</v>
      </c>
      <c r="I1556" s="6635" t="s">
        <v>7284</v>
      </c>
      <c r="J1556" s="6635">
        <f t="shared" si="132"/>
        <v>5000000</v>
      </c>
      <c r="K1556" s="6643">
        <f>F1556-J1556</f>
        <v>0</v>
      </c>
      <c r="L1556" s="6682"/>
      <c r="M1556" s="6734"/>
      <c r="N1556" s="6734"/>
      <c r="O1556" s="6734"/>
      <c r="P1556" s="386"/>
      <c r="Q1556" s="386"/>
    </row>
    <row r="1557" spans="1:17" s="1659" customFormat="1" ht="30" customHeight="1" x14ac:dyDescent="0.2">
      <c r="A1557" s="7705"/>
      <c r="B1557" s="7653"/>
      <c r="C1557" s="7724"/>
      <c r="D1557" s="7564"/>
      <c r="E1557" s="7660"/>
      <c r="F1557" s="7564"/>
      <c r="G1557" s="6635"/>
      <c r="H1557" s="6635"/>
      <c r="I1557" s="6635" t="s">
        <v>7775</v>
      </c>
      <c r="J1557" s="6635">
        <f t="shared" si="132"/>
        <v>0</v>
      </c>
      <c r="K1557" s="6643">
        <f>F1556-J1557</f>
        <v>5000000</v>
      </c>
      <c r="L1557" s="6682"/>
      <c r="M1557" s="6734"/>
      <c r="N1557" s="6734"/>
      <c r="O1557" s="6734"/>
      <c r="P1557" s="386"/>
      <c r="Q1557" s="386"/>
    </row>
    <row r="1558" spans="1:17" s="1659" customFormat="1" ht="30" customHeight="1" x14ac:dyDescent="0.2">
      <c r="A1558" s="6727"/>
      <c r="B1558" s="6665" t="s">
        <v>6524</v>
      </c>
      <c r="C1558" s="6710"/>
      <c r="D1558" s="6635">
        <v>200000000</v>
      </c>
      <c r="E1558" s="6705">
        <v>0.05</v>
      </c>
      <c r="F1558" s="6635">
        <f t="shared" si="133"/>
        <v>10000000</v>
      </c>
      <c r="G1558" s="6635"/>
      <c r="H1558" s="6635"/>
      <c r="I1558" s="6635" t="s">
        <v>7209</v>
      </c>
      <c r="J1558" s="6635">
        <f t="shared" si="132"/>
        <v>0</v>
      </c>
      <c r="K1558" s="6635">
        <f>F1558-J1558</f>
        <v>10000000</v>
      </c>
      <c r="L1558" s="6682"/>
      <c r="M1558" s="6734"/>
      <c r="N1558" s="6734"/>
      <c r="O1558" s="6734"/>
      <c r="P1558" s="386"/>
      <c r="Q1558" s="386"/>
    </row>
    <row r="1559" spans="1:17" s="1659" customFormat="1" ht="30" customHeight="1" x14ac:dyDescent="0.2">
      <c r="A1559" s="6662"/>
      <c r="B1559" s="6652" t="s">
        <v>6544</v>
      </c>
      <c r="C1559" s="6684"/>
      <c r="D1559" s="6643">
        <v>316000000</v>
      </c>
      <c r="E1559" s="6649">
        <v>7.0000000000000007E-2</v>
      </c>
      <c r="F1559" s="6643">
        <f t="shared" si="133"/>
        <v>22120000.000000004</v>
      </c>
      <c r="G1559" s="6635">
        <v>10000000</v>
      </c>
      <c r="H1559" s="6635" t="s">
        <v>8339</v>
      </c>
      <c r="I1559" s="6635" t="s">
        <v>6545</v>
      </c>
      <c r="J1559" s="6635">
        <f t="shared" si="132"/>
        <v>10000000</v>
      </c>
      <c r="K1559" s="6643">
        <f>F1559-J1559</f>
        <v>12120000.000000004</v>
      </c>
      <c r="L1559" s="6682"/>
      <c r="M1559" s="6734"/>
      <c r="N1559" s="6734"/>
      <c r="O1559" s="6734"/>
      <c r="P1559" s="386"/>
      <c r="Q1559" s="386"/>
    </row>
    <row r="1560" spans="1:17" s="1659" customFormat="1" ht="30" customHeight="1" x14ac:dyDescent="0.2">
      <c r="A1560" s="6660"/>
      <c r="B1560" s="6665" t="s">
        <v>6548</v>
      </c>
      <c r="C1560" s="6710"/>
      <c r="D1560" s="6635">
        <v>40000000</v>
      </c>
      <c r="E1560" s="6705">
        <v>0.05</v>
      </c>
      <c r="F1560" s="6635">
        <f t="shared" si="133"/>
        <v>2000000</v>
      </c>
      <c r="G1560" s="7111">
        <v>2000000</v>
      </c>
      <c r="H1560" s="7111" t="s">
        <v>8267</v>
      </c>
      <c r="I1560" s="7111" t="s">
        <v>8269</v>
      </c>
      <c r="J1560" s="7111">
        <f t="shared" si="132"/>
        <v>2000000</v>
      </c>
      <c r="K1560" s="6635">
        <f>F1560-J1560</f>
        <v>0</v>
      </c>
      <c r="L1560" s="6682"/>
      <c r="M1560" s="6734"/>
      <c r="N1560" s="6734"/>
      <c r="O1560" s="6734"/>
      <c r="P1560" s="386"/>
      <c r="Q1560" s="386"/>
    </row>
    <row r="1561" spans="1:17" s="1659" customFormat="1" ht="30" customHeight="1" x14ac:dyDescent="0.2">
      <c r="A1561" s="6662"/>
      <c r="B1561" s="6658" t="s">
        <v>6550</v>
      </c>
      <c r="C1561" s="6725"/>
      <c r="D1561" s="6664">
        <v>60000000</v>
      </c>
      <c r="E1561" s="6669">
        <v>0.05</v>
      </c>
      <c r="F1561" s="6664">
        <f t="shared" si="133"/>
        <v>3000000</v>
      </c>
      <c r="G1561" s="6644"/>
      <c r="H1561" s="6644"/>
      <c r="I1561" s="6644"/>
      <c r="J1561" s="6644"/>
      <c r="K1561" s="6664"/>
      <c r="L1561" s="6802" t="s">
        <v>6551</v>
      </c>
      <c r="M1561" s="6734"/>
      <c r="N1561" s="6734"/>
      <c r="O1561" s="6734"/>
      <c r="P1561" s="386"/>
      <c r="Q1561" s="386"/>
    </row>
    <row r="1562" spans="1:17" s="1659" customFormat="1" ht="30" customHeight="1" x14ac:dyDescent="0.2">
      <c r="A1562" s="6662"/>
      <c r="B1562" s="6652" t="s">
        <v>6574</v>
      </c>
      <c r="C1562" s="6684" t="s">
        <v>1299</v>
      </c>
      <c r="D1562" s="6643">
        <v>50000000</v>
      </c>
      <c r="E1562" s="6649">
        <v>0.05</v>
      </c>
      <c r="F1562" s="6643">
        <f t="shared" si="133"/>
        <v>2500000</v>
      </c>
      <c r="G1562" s="6643"/>
      <c r="H1562" s="6643"/>
      <c r="I1562" s="6693" t="s">
        <v>6575</v>
      </c>
      <c r="J1562" s="6643">
        <f>G1562</f>
        <v>0</v>
      </c>
      <c r="K1562" s="6643">
        <f>F1562-J1562</f>
        <v>2500000</v>
      </c>
      <c r="L1562" s="6682" t="s">
        <v>6576</v>
      </c>
      <c r="M1562" s="6734"/>
      <c r="N1562" s="6734"/>
      <c r="O1562" s="6734"/>
      <c r="P1562" s="386"/>
      <c r="Q1562" s="386"/>
    </row>
    <row r="1563" spans="1:17" s="1659" customFormat="1" ht="30" customHeight="1" x14ac:dyDescent="0.2">
      <c r="A1563" s="7703"/>
      <c r="B1563" s="7652" t="s">
        <v>6585</v>
      </c>
      <c r="C1563" s="7723" t="s">
        <v>372</v>
      </c>
      <c r="D1563" s="7563">
        <v>20000000</v>
      </c>
      <c r="E1563" s="7659">
        <v>0.05</v>
      </c>
      <c r="F1563" s="7563">
        <f t="shared" si="133"/>
        <v>1000000</v>
      </c>
      <c r="G1563" s="6635">
        <v>1000000</v>
      </c>
      <c r="H1563" s="6635" t="s">
        <v>3880</v>
      </c>
      <c r="I1563" s="6635" t="s">
        <v>8305</v>
      </c>
      <c r="J1563" s="6635">
        <f>G1563</f>
        <v>1000000</v>
      </c>
      <c r="K1563" s="6643">
        <f>F1563-J1563</f>
        <v>0</v>
      </c>
      <c r="L1563" s="6682" t="s">
        <v>6586</v>
      </c>
      <c r="M1563" s="6734"/>
      <c r="N1563" s="6734"/>
      <c r="O1563" s="6734"/>
      <c r="P1563" s="386"/>
      <c r="Q1563" s="386"/>
    </row>
    <row r="1564" spans="1:17" s="1659" customFormat="1" ht="30" customHeight="1" x14ac:dyDescent="0.2">
      <c r="A1564" s="7705"/>
      <c r="B1564" s="7653"/>
      <c r="C1564" s="7724"/>
      <c r="D1564" s="7564"/>
      <c r="E1564" s="7660"/>
      <c r="F1564" s="7564"/>
      <c r="G1564" s="7161">
        <v>1000000</v>
      </c>
      <c r="H1564" s="7161" t="s">
        <v>3880</v>
      </c>
      <c r="I1564" s="7179" t="s">
        <v>8305</v>
      </c>
      <c r="J1564" s="7159">
        <f>G1564</f>
        <v>1000000</v>
      </c>
      <c r="K1564" s="7160">
        <f>F1563-J1564</f>
        <v>0</v>
      </c>
      <c r="L1564" s="7175" t="s">
        <v>1712</v>
      </c>
      <c r="M1564" s="7193"/>
      <c r="N1564" s="7193"/>
      <c r="O1564" s="7193"/>
      <c r="P1564" s="386"/>
      <c r="Q1564" s="386"/>
    </row>
    <row r="1565" spans="1:17" s="1659" customFormat="1" ht="30" customHeight="1" x14ac:dyDescent="0.2">
      <c r="A1565" s="7185"/>
      <c r="B1565" s="7652" t="s">
        <v>6587</v>
      </c>
      <c r="C1565" s="7723"/>
      <c r="D1565" s="7482">
        <v>44000000</v>
      </c>
      <c r="E1565" s="7870">
        <v>0.05</v>
      </c>
      <c r="F1565" s="7482">
        <f t="shared" si="133"/>
        <v>2200000</v>
      </c>
      <c r="G1565" s="6643">
        <v>1000000</v>
      </c>
      <c r="H1565" s="6643" t="s">
        <v>7987</v>
      </c>
      <c r="I1565" s="6693" t="s">
        <v>7989</v>
      </c>
      <c r="J1565" s="7563">
        <f>G1565+G1566</f>
        <v>2500000</v>
      </c>
      <c r="K1565" s="7563">
        <f>F1565-J1565</f>
        <v>-300000</v>
      </c>
      <c r="L1565" s="6682" t="s">
        <v>6588</v>
      </c>
      <c r="M1565" s="6734"/>
      <c r="N1565" s="6734"/>
      <c r="O1565" s="6734"/>
      <c r="P1565" s="386"/>
      <c r="Q1565" s="386"/>
    </row>
    <row r="1566" spans="1:17" s="1659" customFormat="1" ht="30" customHeight="1" x14ac:dyDescent="0.2">
      <c r="A1566" s="7186"/>
      <c r="B1566" s="7665"/>
      <c r="C1566" s="7747"/>
      <c r="D1566" s="7482"/>
      <c r="E1566" s="7870"/>
      <c r="F1566" s="7482"/>
      <c r="G1566" s="6876">
        <v>1500000</v>
      </c>
      <c r="H1566" s="6876" t="s">
        <v>7987</v>
      </c>
      <c r="I1566" s="6890" t="s">
        <v>7994</v>
      </c>
      <c r="J1566" s="7564"/>
      <c r="K1566" s="7564"/>
      <c r="L1566" s="6888"/>
      <c r="M1566" s="6895"/>
      <c r="N1566" s="6895"/>
      <c r="O1566" s="6895"/>
      <c r="P1566" s="386"/>
      <c r="Q1566" s="386"/>
    </row>
    <row r="1567" spans="1:17" s="1659" customFormat="1" ht="30" customHeight="1" x14ac:dyDescent="0.2">
      <c r="A1567" s="7186"/>
      <c r="B1567" s="7665"/>
      <c r="C1567" s="7747"/>
      <c r="D1567" s="7494" t="s">
        <v>7512</v>
      </c>
      <c r="E1567" s="7495"/>
      <c r="F1567" s="7768"/>
      <c r="G1567" s="6635"/>
      <c r="H1567" s="6635"/>
      <c r="I1567" s="6635" t="s">
        <v>815</v>
      </c>
      <c r="J1567" s="7563">
        <f>G1567+G1568+G1569</f>
        <v>0</v>
      </c>
      <c r="K1567" s="7563">
        <f>100000000-J1567</f>
        <v>100000000</v>
      </c>
      <c r="L1567" s="6682"/>
      <c r="M1567" s="6734"/>
      <c r="N1567" s="6734"/>
      <c r="O1567" s="6734"/>
      <c r="P1567" s="386"/>
      <c r="Q1567" s="386"/>
    </row>
    <row r="1568" spans="1:17" s="1659" customFormat="1" ht="30" customHeight="1" x14ac:dyDescent="0.2">
      <c r="A1568" s="7186"/>
      <c r="B1568" s="7665"/>
      <c r="C1568" s="7747"/>
      <c r="D1568" s="7877"/>
      <c r="E1568" s="7524"/>
      <c r="F1568" s="7878"/>
      <c r="G1568" s="6635"/>
      <c r="H1568" s="6635"/>
      <c r="I1568" s="6635" t="s">
        <v>815</v>
      </c>
      <c r="J1568" s="7586"/>
      <c r="K1568" s="7586"/>
      <c r="L1568" s="6682"/>
      <c r="M1568" s="6734"/>
      <c r="N1568" s="6734"/>
      <c r="O1568" s="6734"/>
      <c r="P1568" s="386"/>
      <c r="Q1568" s="386"/>
    </row>
    <row r="1569" spans="1:17" s="1659" customFormat="1" ht="30" customHeight="1" x14ac:dyDescent="0.2">
      <c r="A1569" s="7187"/>
      <c r="B1569" s="7653"/>
      <c r="C1569" s="7724"/>
      <c r="D1569" s="7769"/>
      <c r="E1569" s="7805"/>
      <c r="F1569" s="7770"/>
      <c r="G1569" s="6635"/>
      <c r="H1569" s="6635"/>
      <c r="I1569" s="6635" t="s">
        <v>815</v>
      </c>
      <c r="J1569" s="7564"/>
      <c r="K1569" s="7564"/>
      <c r="L1569" s="6682"/>
      <c r="M1569" s="6734"/>
      <c r="N1569" s="6734"/>
      <c r="O1569" s="6734"/>
      <c r="P1569" s="386"/>
      <c r="Q1569" s="386"/>
    </row>
    <row r="1570" spans="1:17" s="1659" customFormat="1" ht="30" customHeight="1" x14ac:dyDescent="0.2">
      <c r="A1570" s="7703"/>
      <c r="B1570" s="7652" t="s">
        <v>6550</v>
      </c>
      <c r="C1570" s="7723" t="s">
        <v>1652</v>
      </c>
      <c r="D1570" s="6643">
        <v>50000000</v>
      </c>
      <c r="E1570" s="6649">
        <v>0.05</v>
      </c>
      <c r="F1570" s="6643">
        <f t="shared" si="133"/>
        <v>2500000</v>
      </c>
      <c r="G1570" s="7991" t="s">
        <v>6590</v>
      </c>
      <c r="H1570" s="7992"/>
      <c r="I1570" s="7992"/>
      <c r="J1570" s="7993"/>
      <c r="K1570" s="6643"/>
      <c r="L1570" s="6682" t="s">
        <v>6592</v>
      </c>
      <c r="M1570" s="6734"/>
      <c r="N1570" s="6734"/>
      <c r="O1570" s="6734"/>
      <c r="P1570" s="386"/>
      <c r="Q1570" s="386"/>
    </row>
    <row r="1571" spans="1:17" s="1659" customFormat="1" ht="30" customHeight="1" x14ac:dyDescent="0.2">
      <c r="A1571" s="7704"/>
      <c r="B1571" s="7665"/>
      <c r="C1571" s="7747"/>
      <c r="D1571" s="6643">
        <v>10000000</v>
      </c>
      <c r="E1571" s="6649">
        <v>0.05</v>
      </c>
      <c r="F1571" s="6643">
        <f t="shared" si="133"/>
        <v>500000</v>
      </c>
      <c r="G1571" s="7997"/>
      <c r="H1571" s="7998"/>
      <c r="I1571" s="7998"/>
      <c r="J1571" s="7999"/>
      <c r="K1571" s="6643"/>
      <c r="L1571" s="6682" t="s">
        <v>6593</v>
      </c>
      <c r="M1571" s="6734"/>
      <c r="N1571" s="6734"/>
      <c r="O1571" s="6734"/>
      <c r="P1571" s="386"/>
      <c r="Q1571" s="386"/>
    </row>
    <row r="1572" spans="1:17" s="1659" customFormat="1" ht="30" customHeight="1" x14ac:dyDescent="0.2">
      <c r="A1572" s="7705"/>
      <c r="B1572" s="7653"/>
      <c r="C1572" s="7724"/>
      <c r="D1572" s="6643">
        <v>90000000</v>
      </c>
      <c r="E1572" s="6649">
        <v>0.05</v>
      </c>
      <c r="F1572" s="6643">
        <f t="shared" si="133"/>
        <v>4500000</v>
      </c>
      <c r="G1572" s="6635"/>
      <c r="H1572" s="6635"/>
      <c r="I1572" s="6635" t="s">
        <v>6901</v>
      </c>
      <c r="J1572" s="6635">
        <f>G1572</f>
        <v>0</v>
      </c>
      <c r="K1572" s="6643">
        <f>(F1570+F1571+F1572)-J1572</f>
        <v>7500000</v>
      </c>
      <c r="L1572" s="6682" t="s">
        <v>6591</v>
      </c>
      <c r="M1572" s="6734"/>
      <c r="N1572" s="6734"/>
      <c r="O1572" s="6734"/>
      <c r="P1572" s="386"/>
      <c r="Q1572" s="386"/>
    </row>
    <row r="1573" spans="1:17" s="1659" customFormat="1" ht="30" customHeight="1" x14ac:dyDescent="0.2">
      <c r="A1573" s="7703"/>
      <c r="B1573" s="7652" t="s">
        <v>6605</v>
      </c>
      <c r="C1573" s="7723" t="s">
        <v>3007</v>
      </c>
      <c r="D1573" s="7563">
        <v>40000000</v>
      </c>
      <c r="E1573" s="7659">
        <v>0.05</v>
      </c>
      <c r="F1573" s="7563">
        <f t="shared" si="133"/>
        <v>2000000</v>
      </c>
      <c r="G1573" s="7563">
        <v>9700000</v>
      </c>
      <c r="H1573" s="7846" t="s">
        <v>8247</v>
      </c>
      <c r="I1573" s="7563" t="s">
        <v>8248</v>
      </c>
      <c r="J1573" s="7563">
        <f>G1573</f>
        <v>9700000</v>
      </c>
      <c r="K1573" s="7563">
        <f>(F1573+F1575)-J1573</f>
        <v>-7550000</v>
      </c>
      <c r="L1573" s="6682" t="s">
        <v>6608</v>
      </c>
      <c r="M1573" s="6734"/>
      <c r="N1573" s="6734"/>
      <c r="O1573" s="6734"/>
      <c r="P1573" s="386"/>
      <c r="Q1573" s="386"/>
    </row>
    <row r="1574" spans="1:17" s="1659" customFormat="1" ht="30" customHeight="1" x14ac:dyDescent="0.2">
      <c r="A1574" s="7704"/>
      <c r="B1574" s="7665"/>
      <c r="C1574" s="7747"/>
      <c r="D1574" s="7564"/>
      <c r="E1574" s="7660"/>
      <c r="F1574" s="7564"/>
      <c r="G1574" s="7586"/>
      <c r="H1574" s="7847"/>
      <c r="I1574" s="7586"/>
      <c r="J1574" s="7586"/>
      <c r="K1574" s="7586"/>
      <c r="L1574" s="6682" t="s">
        <v>6609</v>
      </c>
      <c r="M1574" s="6734"/>
      <c r="N1574" s="6734"/>
      <c r="O1574" s="6734"/>
      <c r="P1574" s="386"/>
      <c r="Q1574" s="386"/>
    </row>
    <row r="1575" spans="1:17" s="1659" customFormat="1" ht="30" customHeight="1" x14ac:dyDescent="0.2">
      <c r="A1575" s="7705"/>
      <c r="B1575" s="7653"/>
      <c r="C1575" s="7724"/>
      <c r="D1575" s="6643">
        <v>3000000</v>
      </c>
      <c r="E1575" s="6649">
        <v>0.05</v>
      </c>
      <c r="F1575" s="6643">
        <f t="shared" si="133"/>
        <v>150000</v>
      </c>
      <c r="G1575" s="7564"/>
      <c r="H1575" s="7848"/>
      <c r="I1575" s="7564"/>
      <c r="J1575" s="7564"/>
      <c r="K1575" s="7564"/>
      <c r="L1575" s="6682" t="s">
        <v>7056</v>
      </c>
      <c r="M1575" s="6734"/>
      <c r="N1575" s="6734"/>
      <c r="O1575" s="6734"/>
      <c r="P1575" s="386"/>
      <c r="Q1575" s="386"/>
    </row>
    <row r="1576" spans="1:17" s="1659" customFormat="1" ht="30" customHeight="1" x14ac:dyDescent="0.2">
      <c r="A1576" s="6727"/>
      <c r="B1576" s="6665" t="s">
        <v>6617</v>
      </c>
      <c r="C1576" s="6710"/>
      <c r="D1576" s="6635">
        <v>200000000</v>
      </c>
      <c r="E1576" s="6705">
        <v>6.5000000000000002E-2</v>
      </c>
      <c r="F1576" s="6635">
        <f t="shared" si="133"/>
        <v>13000000</v>
      </c>
      <c r="G1576" s="6635">
        <v>13000000</v>
      </c>
      <c r="H1576" s="6635" t="s">
        <v>5200</v>
      </c>
      <c r="I1576" s="6635" t="s">
        <v>7192</v>
      </c>
      <c r="J1576" s="6635">
        <f>G1576</f>
        <v>13000000</v>
      </c>
      <c r="K1576" s="6635">
        <f>F1576-J1576</f>
        <v>0</v>
      </c>
      <c r="L1576" s="6682" t="s">
        <v>6619</v>
      </c>
      <c r="M1576" s="6734"/>
      <c r="N1576" s="6734"/>
      <c r="O1576" s="6734"/>
      <c r="P1576" s="386"/>
      <c r="Q1576" s="386"/>
    </row>
    <row r="1577" spans="1:17" s="1659" customFormat="1" ht="30" customHeight="1" x14ac:dyDescent="0.2">
      <c r="A1577" s="7380"/>
      <c r="B1577" s="7368" t="s">
        <v>6618</v>
      </c>
      <c r="C1577" s="7379"/>
      <c r="D1577" s="7357">
        <v>100000000</v>
      </c>
      <c r="E1577" s="7378">
        <v>6.5000000000000002E-2</v>
      </c>
      <c r="F1577" s="7357">
        <f t="shared" si="133"/>
        <v>6500000</v>
      </c>
      <c r="G1577" s="7357">
        <v>6500000</v>
      </c>
      <c r="H1577" s="7357" t="s">
        <v>5244</v>
      </c>
      <c r="I1577" s="6635" t="s">
        <v>7299</v>
      </c>
      <c r="J1577" s="6635">
        <f>G1577</f>
        <v>6500000</v>
      </c>
      <c r="K1577" s="6643">
        <f>F1577-J1577</f>
        <v>0</v>
      </c>
      <c r="L1577" s="6682" t="s">
        <v>6620</v>
      </c>
      <c r="M1577" s="6734"/>
      <c r="N1577" s="6734"/>
      <c r="O1577" s="6734"/>
      <c r="P1577" s="386"/>
      <c r="Q1577" s="386"/>
    </row>
    <row r="1578" spans="1:17" s="1659" customFormat="1" ht="30" customHeight="1" x14ac:dyDescent="0.2">
      <c r="A1578" s="6662"/>
      <c r="B1578" s="6652" t="s">
        <v>6633</v>
      </c>
      <c r="C1578" s="6684" t="s">
        <v>1306</v>
      </c>
      <c r="D1578" s="6643">
        <v>10000000</v>
      </c>
      <c r="E1578" s="6649">
        <v>7.0000000000000007E-2</v>
      </c>
      <c r="F1578" s="6643">
        <f t="shared" si="133"/>
        <v>700000.00000000012</v>
      </c>
      <c r="G1578" s="6643">
        <v>700000</v>
      </c>
      <c r="H1578" s="6643" t="s">
        <v>8247</v>
      </c>
      <c r="I1578" s="6693" t="s">
        <v>6634</v>
      </c>
      <c r="J1578" s="6643">
        <f>G1578</f>
        <v>700000</v>
      </c>
      <c r="K1578" s="6643">
        <f>F1578-J1578</f>
        <v>0</v>
      </c>
      <c r="L1578" s="6682" t="s">
        <v>7189</v>
      </c>
      <c r="M1578" s="6734"/>
      <c r="N1578" s="6734"/>
      <c r="O1578" s="6734"/>
      <c r="P1578" s="386"/>
      <c r="Q1578" s="386"/>
    </row>
    <row r="1579" spans="1:17" s="1659" customFormat="1" ht="30" customHeight="1" x14ac:dyDescent="0.2">
      <c r="A1579" s="6662"/>
      <c r="B1579" s="6652" t="s">
        <v>6650</v>
      </c>
      <c r="C1579" s="6684"/>
      <c r="D1579" s="6643"/>
      <c r="E1579" s="6649"/>
      <c r="F1579" s="6643"/>
      <c r="G1579" s="6635"/>
      <c r="H1579" s="6635"/>
      <c r="I1579" s="6635"/>
      <c r="J1579" s="6635"/>
      <c r="K1579" s="6643"/>
      <c r="L1579" s="6682" t="s">
        <v>6651</v>
      </c>
      <c r="M1579" s="6734"/>
      <c r="N1579" s="6734"/>
      <c r="O1579" s="6734"/>
      <c r="P1579" s="386"/>
      <c r="Q1579" s="386"/>
    </row>
    <row r="1580" spans="1:17" s="1659" customFormat="1" ht="30" customHeight="1" x14ac:dyDescent="0.2">
      <c r="A1580" s="7276"/>
      <c r="B1580" s="7258" t="s">
        <v>6658</v>
      </c>
      <c r="C1580" s="7273" t="s">
        <v>990</v>
      </c>
      <c r="D1580" s="7232">
        <v>65000000</v>
      </c>
      <c r="E1580" s="7272">
        <v>0.05</v>
      </c>
      <c r="F1580" s="7232">
        <f>D1580*E1580</f>
        <v>3250000</v>
      </c>
      <c r="G1580" s="6635">
        <v>3250000</v>
      </c>
      <c r="H1580" s="6635" t="s">
        <v>8339</v>
      </c>
      <c r="I1580" s="6635" t="s">
        <v>6694</v>
      </c>
      <c r="J1580" s="6635">
        <f>G1580</f>
        <v>3250000</v>
      </c>
      <c r="K1580" s="6635">
        <f>F1580-J1580</f>
        <v>0</v>
      </c>
      <c r="L1580" s="6745"/>
      <c r="M1580" s="6734"/>
      <c r="N1580" s="6734"/>
      <c r="O1580" s="6734"/>
      <c r="P1580" s="386"/>
      <c r="Q1580" s="386"/>
    </row>
    <row r="1581" spans="1:17" s="1659" customFormat="1" ht="30" customHeight="1" x14ac:dyDescent="0.2">
      <c r="A1581" s="7703"/>
      <c r="B1581" s="7652" t="s">
        <v>6678</v>
      </c>
      <c r="C1581" s="7723"/>
      <c r="D1581" s="7563">
        <v>45000000</v>
      </c>
      <c r="E1581" s="7659">
        <v>0.05</v>
      </c>
      <c r="F1581" s="7563">
        <f>D1581*E1581</f>
        <v>2250000</v>
      </c>
      <c r="G1581" s="7732" t="s">
        <v>6682</v>
      </c>
      <c r="H1581" s="7733"/>
      <c r="I1581" s="7733"/>
      <c r="J1581" s="7734"/>
      <c r="K1581" s="6635"/>
      <c r="L1581" s="6745" t="s">
        <v>6679</v>
      </c>
      <c r="M1581" s="6734"/>
      <c r="N1581" s="6734"/>
      <c r="O1581" s="6734"/>
      <c r="P1581" s="386"/>
      <c r="Q1581" s="386"/>
    </row>
    <row r="1582" spans="1:17" s="1659" customFormat="1" ht="30" customHeight="1" x14ac:dyDescent="0.2">
      <c r="A1582" s="7704"/>
      <c r="B1582" s="7665"/>
      <c r="C1582" s="7747"/>
      <c r="D1582" s="7586"/>
      <c r="E1582" s="7676"/>
      <c r="F1582" s="7586"/>
      <c r="G1582" s="6635"/>
      <c r="H1582" s="6635"/>
      <c r="I1582" s="6635" t="s">
        <v>6775</v>
      </c>
      <c r="J1582" s="6635">
        <f>G1582</f>
        <v>0</v>
      </c>
      <c r="K1582" s="6635">
        <f>14500000-J1582</f>
        <v>14500000</v>
      </c>
      <c r="L1582" s="6745" t="s">
        <v>6680</v>
      </c>
      <c r="M1582" s="6734"/>
      <c r="N1582" s="6734"/>
      <c r="O1582" s="6734"/>
      <c r="P1582" s="386"/>
      <c r="Q1582" s="386"/>
    </row>
    <row r="1583" spans="1:17" s="1659" customFormat="1" ht="30" customHeight="1" x14ac:dyDescent="0.2">
      <c r="A1583" s="7705"/>
      <c r="B1583" s="7653"/>
      <c r="C1583" s="7724"/>
      <c r="D1583" s="7564"/>
      <c r="E1583" s="7660"/>
      <c r="F1583" s="7564"/>
      <c r="G1583" s="6745"/>
      <c r="H1583" s="6745"/>
      <c r="I1583" s="6745"/>
      <c r="J1583" s="6745"/>
      <c r="K1583" s="6635"/>
      <c r="L1583" s="6745" t="s">
        <v>6681</v>
      </c>
      <c r="M1583" s="6734"/>
      <c r="N1583" s="6734"/>
      <c r="O1583" s="6734"/>
      <c r="P1583" s="386"/>
      <c r="Q1583" s="386"/>
    </row>
    <row r="1584" spans="1:17" s="1659" customFormat="1" ht="30" customHeight="1" x14ac:dyDescent="0.2">
      <c r="A1584" s="7309"/>
      <c r="B1584" s="7298" t="s">
        <v>6684</v>
      </c>
      <c r="C1584" s="7316"/>
      <c r="D1584" s="7295">
        <v>100000000</v>
      </c>
      <c r="E1584" s="7302">
        <v>7.0000000000000007E-2</v>
      </c>
      <c r="F1584" s="7295">
        <f>D1584*E1584</f>
        <v>7000000.0000000009</v>
      </c>
      <c r="G1584" s="6635">
        <v>7000000</v>
      </c>
      <c r="H1584" s="6635" t="s">
        <v>8424</v>
      </c>
      <c r="I1584" s="6635" t="s">
        <v>2409</v>
      </c>
      <c r="J1584" s="6635">
        <f>G1584</f>
        <v>7000000</v>
      </c>
      <c r="K1584" s="6635">
        <f>F1584-J1584</f>
        <v>0</v>
      </c>
      <c r="L1584" s="6682"/>
      <c r="M1584" s="6734"/>
      <c r="N1584" s="6734"/>
      <c r="O1584" s="6734"/>
      <c r="P1584" s="386"/>
      <c r="Q1584" s="386"/>
    </row>
    <row r="1585" spans="1:17" s="1659" customFormat="1" ht="30" customHeight="1" x14ac:dyDescent="0.2">
      <c r="A1585" s="7703"/>
      <c r="B1585" s="7652" t="s">
        <v>6710</v>
      </c>
      <c r="C1585" s="7723" t="s">
        <v>1138</v>
      </c>
      <c r="D1585" s="7563">
        <v>100000000</v>
      </c>
      <c r="E1585" s="7659">
        <v>0.05</v>
      </c>
      <c r="F1585" s="7563">
        <f>D1585*E1585</f>
        <v>5000000</v>
      </c>
      <c r="G1585" s="7991" t="s">
        <v>6712</v>
      </c>
      <c r="H1585" s="7992"/>
      <c r="I1585" s="7992"/>
      <c r="J1585" s="7993"/>
      <c r="K1585" s="7563"/>
      <c r="L1585" s="6681" t="s">
        <v>6711</v>
      </c>
      <c r="M1585" s="6734"/>
      <c r="N1585" s="6734"/>
      <c r="O1585" s="6734"/>
      <c r="P1585" s="386"/>
      <c r="Q1585" s="386"/>
    </row>
    <row r="1586" spans="1:17" s="1659" customFormat="1" ht="30" customHeight="1" x14ac:dyDescent="0.2">
      <c r="A1586" s="7704"/>
      <c r="B1586" s="7665"/>
      <c r="C1586" s="7747"/>
      <c r="D1586" s="7586"/>
      <c r="E1586" s="7676"/>
      <c r="F1586" s="7586"/>
      <c r="G1586" s="7997"/>
      <c r="H1586" s="7998"/>
      <c r="I1586" s="7998"/>
      <c r="J1586" s="7999"/>
      <c r="K1586" s="7564"/>
      <c r="L1586" s="6682" t="s">
        <v>6719</v>
      </c>
      <c r="M1586" s="6734"/>
      <c r="N1586" s="6734"/>
      <c r="O1586" s="6734"/>
      <c r="P1586" s="386"/>
      <c r="Q1586" s="386"/>
    </row>
    <row r="1587" spans="1:17" s="1659" customFormat="1" ht="30" customHeight="1" x14ac:dyDescent="0.2">
      <c r="A1587" s="7704"/>
      <c r="B1587" s="7665"/>
      <c r="C1587" s="7747"/>
      <c r="D1587" s="7586"/>
      <c r="E1587" s="7676"/>
      <c r="F1587" s="7586"/>
      <c r="G1587" s="7732" t="s">
        <v>7153</v>
      </c>
      <c r="H1587" s="7733"/>
      <c r="I1587" s="7733"/>
      <c r="J1587" s="7734"/>
      <c r="K1587" s="6643"/>
      <c r="L1587" s="6758"/>
      <c r="M1587" s="6734"/>
      <c r="N1587" s="6734"/>
      <c r="O1587" s="6734"/>
      <c r="P1587" s="386"/>
      <c r="Q1587" s="386"/>
    </row>
    <row r="1588" spans="1:17" s="1659" customFormat="1" ht="30" customHeight="1" x14ac:dyDescent="0.2">
      <c r="A1588" s="7704"/>
      <c r="B1588" s="7665"/>
      <c r="C1588" s="7747"/>
      <c r="D1588" s="7586"/>
      <c r="E1588" s="7676"/>
      <c r="F1588" s="7586"/>
      <c r="G1588" s="7292">
        <v>5000000</v>
      </c>
      <c r="H1588" s="7292" t="s">
        <v>8042</v>
      </c>
      <c r="I1588" s="7292" t="s">
        <v>7822</v>
      </c>
      <c r="J1588" s="7292">
        <f>G1588</f>
        <v>5000000</v>
      </c>
      <c r="K1588" s="7296">
        <f>F1585-J1588</f>
        <v>0</v>
      </c>
      <c r="L1588" s="7347"/>
      <c r="M1588" s="7338"/>
      <c r="N1588" s="7338"/>
      <c r="O1588" s="7338"/>
      <c r="P1588" s="386"/>
      <c r="Q1588" s="386"/>
    </row>
    <row r="1589" spans="1:17" s="1659" customFormat="1" ht="30" customHeight="1" x14ac:dyDescent="0.2">
      <c r="A1589" s="7705"/>
      <c r="B1589" s="7653"/>
      <c r="C1589" s="7724"/>
      <c r="D1589" s="7564"/>
      <c r="E1589" s="7660"/>
      <c r="F1589" s="7564"/>
      <c r="G1589" s="6635">
        <v>5000000</v>
      </c>
      <c r="H1589" s="6635" t="s">
        <v>8424</v>
      </c>
      <c r="I1589" s="6635" t="s">
        <v>7822</v>
      </c>
      <c r="J1589" s="6635">
        <f>G1589</f>
        <v>5000000</v>
      </c>
      <c r="K1589" s="6643">
        <f>F1585-J1589</f>
        <v>0</v>
      </c>
      <c r="L1589" s="6758"/>
      <c r="M1589" s="6734"/>
      <c r="N1589" s="6734"/>
      <c r="O1589" s="6734"/>
      <c r="P1589" s="386"/>
      <c r="Q1589" s="386"/>
    </row>
    <row r="1590" spans="1:17" s="1659" customFormat="1" ht="30" customHeight="1" x14ac:dyDescent="0.2">
      <c r="A1590" s="6727"/>
      <c r="B1590" s="6665" t="s">
        <v>6728</v>
      </c>
      <c r="C1590" s="6710"/>
      <c r="D1590" s="6635">
        <v>10000000</v>
      </c>
      <c r="E1590" s="6705">
        <v>0.05</v>
      </c>
      <c r="F1590" s="6635">
        <f>D1590*E1590</f>
        <v>500000</v>
      </c>
      <c r="G1590" s="6635">
        <v>500000</v>
      </c>
      <c r="H1590" s="6635" t="s">
        <v>8164</v>
      </c>
      <c r="I1590" s="6635" t="s">
        <v>7649</v>
      </c>
      <c r="J1590" s="6635">
        <f>G1590</f>
        <v>500000</v>
      </c>
      <c r="K1590" s="6635">
        <f>F1590-J1590</f>
        <v>0</v>
      </c>
      <c r="L1590" s="6681" t="s">
        <v>7084</v>
      </c>
      <c r="M1590" s="6734"/>
      <c r="N1590" s="6734"/>
      <c r="O1590" s="6734"/>
      <c r="P1590" s="386"/>
      <c r="Q1590" s="386"/>
    </row>
    <row r="1591" spans="1:17" s="1659" customFormat="1" ht="30" customHeight="1" x14ac:dyDescent="0.2">
      <c r="A1591" s="7703"/>
      <c r="B1591" s="7652" t="s">
        <v>6743</v>
      </c>
      <c r="C1591" s="7723" t="s">
        <v>6745</v>
      </c>
      <c r="D1591" s="7677">
        <v>35000000</v>
      </c>
      <c r="E1591" s="7659">
        <v>5.7000000000000002E-2</v>
      </c>
      <c r="F1591" s="7563">
        <v>2000000</v>
      </c>
      <c r="G1591" s="6635">
        <v>5000000</v>
      </c>
      <c r="H1591" s="6635" t="s">
        <v>7945</v>
      </c>
      <c r="I1591" s="6635" t="s">
        <v>815</v>
      </c>
      <c r="J1591" s="6635">
        <f>G1591</f>
        <v>5000000</v>
      </c>
      <c r="K1591" s="6827">
        <f>F1591-J1591</f>
        <v>-3000000</v>
      </c>
      <c r="L1591" s="6681"/>
      <c r="M1591" s="6734"/>
      <c r="N1591" s="6734"/>
      <c r="O1591" s="6734"/>
      <c r="P1591" s="386"/>
      <c r="Q1591" s="386"/>
    </row>
    <row r="1592" spans="1:17" s="1659" customFormat="1" ht="30" customHeight="1" x14ac:dyDescent="0.2">
      <c r="A1592" s="7705"/>
      <c r="B1592" s="7653"/>
      <c r="C1592" s="7724"/>
      <c r="D1592" s="7678"/>
      <c r="E1592" s="7660"/>
      <c r="F1592" s="7564"/>
      <c r="G1592" s="6824"/>
      <c r="H1592" s="6824"/>
      <c r="I1592" s="6824"/>
      <c r="J1592" s="6824"/>
      <c r="K1592" s="6635"/>
      <c r="L1592" s="6681"/>
      <c r="M1592" s="6734"/>
      <c r="N1592" s="6734"/>
      <c r="O1592" s="6734"/>
      <c r="P1592" s="386"/>
      <c r="Q1592" s="386"/>
    </row>
    <row r="1593" spans="1:17" s="1659" customFormat="1" ht="30" customHeight="1" x14ac:dyDescent="0.2">
      <c r="A1593" s="7703"/>
      <c r="B1593" s="7652" t="s">
        <v>6746</v>
      </c>
      <c r="C1593" s="7723"/>
      <c r="D1593" s="7563">
        <v>40000000</v>
      </c>
      <c r="E1593" s="7659">
        <v>5.5E-2</v>
      </c>
      <c r="F1593" s="7563">
        <f>D1593*E1593</f>
        <v>2200000</v>
      </c>
      <c r="G1593" s="6635"/>
      <c r="H1593" s="6635"/>
      <c r="I1593" s="6635" t="s">
        <v>7307</v>
      </c>
      <c r="J1593" s="6635">
        <f>G1593</f>
        <v>0</v>
      </c>
      <c r="K1593" s="6635">
        <f>F1593-J1593</f>
        <v>2200000</v>
      </c>
      <c r="L1593" s="6745"/>
      <c r="M1593" s="6734"/>
      <c r="N1593" s="6734"/>
      <c r="O1593" s="6734"/>
      <c r="P1593" s="386"/>
      <c r="Q1593" s="386"/>
    </row>
    <row r="1594" spans="1:17" s="1659" customFormat="1" ht="30" customHeight="1" x14ac:dyDescent="0.2">
      <c r="A1594" s="7705"/>
      <c r="B1594" s="7653"/>
      <c r="C1594" s="7724"/>
      <c r="D1594" s="7564"/>
      <c r="E1594" s="7660"/>
      <c r="F1594" s="7564"/>
      <c r="G1594" s="6635"/>
      <c r="H1594" s="6635"/>
      <c r="I1594" s="6635" t="s">
        <v>7307</v>
      </c>
      <c r="J1594" s="6635">
        <f>G1594</f>
        <v>0</v>
      </c>
      <c r="K1594" s="6635">
        <f>F1593-J1594</f>
        <v>2200000</v>
      </c>
      <c r="L1594" s="6745"/>
      <c r="M1594" s="6734"/>
      <c r="N1594" s="6734"/>
      <c r="O1594" s="6734"/>
      <c r="P1594" s="386"/>
      <c r="Q1594" s="386"/>
    </row>
    <row r="1595" spans="1:17" s="1659" customFormat="1" ht="30" customHeight="1" x14ac:dyDescent="0.2">
      <c r="A1595" s="7703"/>
      <c r="B1595" s="7652" t="s">
        <v>6803</v>
      </c>
      <c r="C1595" s="7723" t="s">
        <v>1718</v>
      </c>
      <c r="D1595" s="7563">
        <v>40000000</v>
      </c>
      <c r="E1595" s="7659">
        <v>0.05</v>
      </c>
      <c r="F1595" s="7563">
        <f>D1595*E1595</f>
        <v>2000000</v>
      </c>
      <c r="G1595" s="7732" t="s">
        <v>6804</v>
      </c>
      <c r="H1595" s="7733"/>
      <c r="I1595" s="7733"/>
      <c r="J1595" s="7734"/>
      <c r="K1595" s="6635"/>
      <c r="L1595" s="6681" t="s">
        <v>6806</v>
      </c>
      <c r="M1595" s="6734"/>
      <c r="N1595" s="6734"/>
      <c r="O1595" s="6734"/>
      <c r="P1595" s="386"/>
      <c r="Q1595" s="386"/>
    </row>
    <row r="1596" spans="1:17" s="1659" customFormat="1" ht="30" customHeight="1" x14ac:dyDescent="0.2">
      <c r="A1596" s="7705"/>
      <c r="B1596" s="7653"/>
      <c r="C1596" s="7724"/>
      <c r="D1596" s="7564"/>
      <c r="E1596" s="7660"/>
      <c r="F1596" s="7564"/>
      <c r="G1596" s="6635">
        <v>2000000</v>
      </c>
      <c r="H1596" s="6635" t="s">
        <v>8116</v>
      </c>
      <c r="I1596" s="6635" t="s">
        <v>8117</v>
      </c>
      <c r="J1596" s="6635">
        <f>G1596</f>
        <v>2000000</v>
      </c>
      <c r="K1596" s="6635">
        <f>F1595-J1596</f>
        <v>0</v>
      </c>
      <c r="L1596" s="6681"/>
      <c r="M1596" s="6734"/>
      <c r="N1596" s="6734"/>
      <c r="O1596" s="6734"/>
      <c r="P1596" s="386"/>
      <c r="Q1596" s="386"/>
    </row>
    <row r="1597" spans="1:17" s="1659" customFormat="1" ht="30" customHeight="1" x14ac:dyDescent="0.2">
      <c r="A1597" s="7703"/>
      <c r="B1597" s="7652" t="s">
        <v>7538</v>
      </c>
      <c r="C1597" s="7723"/>
      <c r="D1597" s="7563">
        <v>100000000</v>
      </c>
      <c r="E1597" s="7659">
        <v>0.05</v>
      </c>
      <c r="F1597" s="7563">
        <f>D1597*E1597</f>
        <v>5000000</v>
      </c>
      <c r="G1597" s="7732" t="s">
        <v>6837</v>
      </c>
      <c r="H1597" s="7733"/>
      <c r="I1597" s="7733"/>
      <c r="J1597" s="7734"/>
      <c r="K1597" s="6635"/>
      <c r="L1597" s="6681" t="s">
        <v>6827</v>
      </c>
      <c r="M1597" s="6734"/>
      <c r="N1597" s="6734"/>
      <c r="O1597" s="6734"/>
      <c r="P1597" s="386"/>
      <c r="Q1597" s="386"/>
    </row>
    <row r="1598" spans="1:17" s="1659" customFormat="1" ht="30" customHeight="1" x14ac:dyDescent="0.2">
      <c r="A1598" s="7705"/>
      <c r="B1598" s="7653"/>
      <c r="C1598" s="7724"/>
      <c r="D1598" s="7564"/>
      <c r="E1598" s="7660"/>
      <c r="F1598" s="7564"/>
      <c r="G1598" s="6635">
        <v>5000000</v>
      </c>
      <c r="H1598" s="6635" t="s">
        <v>8111</v>
      </c>
      <c r="I1598" s="6635" t="s">
        <v>8120</v>
      </c>
      <c r="J1598" s="6635">
        <f>G1598</f>
        <v>5000000</v>
      </c>
      <c r="K1598" s="6635">
        <f>F1597-J1598</f>
        <v>0</v>
      </c>
      <c r="L1598" s="6681"/>
      <c r="M1598" s="6734"/>
      <c r="N1598" s="6734"/>
      <c r="O1598" s="6734"/>
      <c r="P1598" s="386"/>
      <c r="Q1598" s="386"/>
    </row>
    <row r="1599" spans="1:17" s="1659" customFormat="1" ht="30" customHeight="1" x14ac:dyDescent="0.2">
      <c r="A1599" s="7703"/>
      <c r="B1599" s="7652" t="s">
        <v>6834</v>
      </c>
      <c r="C1599" s="7723"/>
      <c r="D1599" s="7563">
        <v>200000000</v>
      </c>
      <c r="E1599" s="7659">
        <v>0.05</v>
      </c>
      <c r="F1599" s="7563">
        <f>D1599*E1599</f>
        <v>10000000</v>
      </c>
      <c r="G1599" s="7732" t="s">
        <v>6870</v>
      </c>
      <c r="H1599" s="7733"/>
      <c r="I1599" s="7733"/>
      <c r="J1599" s="7734"/>
      <c r="K1599" s="6635"/>
      <c r="L1599" s="6681" t="s">
        <v>6835</v>
      </c>
      <c r="M1599" s="6734"/>
      <c r="N1599" s="6734"/>
      <c r="O1599" s="6734"/>
      <c r="P1599" s="386"/>
      <c r="Q1599" s="386"/>
    </row>
    <row r="1600" spans="1:17" s="1659" customFormat="1" ht="30" customHeight="1" x14ac:dyDescent="0.2">
      <c r="A1600" s="7705"/>
      <c r="B1600" s="7653"/>
      <c r="C1600" s="7724"/>
      <c r="D1600" s="7564"/>
      <c r="E1600" s="7660"/>
      <c r="F1600" s="7564"/>
      <c r="G1600" s="6635">
        <v>10000000</v>
      </c>
      <c r="H1600" s="6635" t="s">
        <v>8215</v>
      </c>
      <c r="I1600" s="6635" t="s">
        <v>8220</v>
      </c>
      <c r="J1600" s="6635">
        <f>G1600</f>
        <v>10000000</v>
      </c>
      <c r="K1600" s="6635">
        <f>F1599-J1600</f>
        <v>0</v>
      </c>
      <c r="L1600" s="6681"/>
      <c r="M1600" s="6734"/>
      <c r="N1600" s="6734"/>
      <c r="O1600" s="6734"/>
      <c r="P1600" s="386"/>
      <c r="Q1600" s="386"/>
    </row>
    <row r="1601" spans="1:17" s="1659" customFormat="1" ht="30" customHeight="1" x14ac:dyDescent="0.2">
      <c r="A1601" s="7703"/>
      <c r="B1601" s="7652" t="s">
        <v>6848</v>
      </c>
      <c r="C1601" s="7723" t="s">
        <v>889</v>
      </c>
      <c r="D1601" s="7563">
        <v>50000000</v>
      </c>
      <c r="E1601" s="7659">
        <v>0.05</v>
      </c>
      <c r="F1601" s="7563">
        <f>D1601*E1601</f>
        <v>2500000</v>
      </c>
      <c r="G1601" s="7732" t="s">
        <v>6849</v>
      </c>
      <c r="H1601" s="7733"/>
      <c r="I1601" s="7733"/>
      <c r="J1601" s="7734"/>
      <c r="K1601" s="6635"/>
      <c r="L1601" s="6681" t="s">
        <v>6880</v>
      </c>
      <c r="M1601" s="6734"/>
      <c r="N1601" s="6734"/>
      <c r="O1601" s="6734"/>
      <c r="P1601" s="386"/>
      <c r="Q1601" s="386"/>
    </row>
    <row r="1602" spans="1:17" s="1659" customFormat="1" ht="30" customHeight="1" x14ac:dyDescent="0.2">
      <c r="A1602" s="7705"/>
      <c r="B1602" s="7653"/>
      <c r="C1602" s="7724"/>
      <c r="D1602" s="7564"/>
      <c r="E1602" s="7660"/>
      <c r="F1602" s="7564"/>
      <c r="G1602" s="6635">
        <v>2500000</v>
      </c>
      <c r="H1602" s="6635" t="s">
        <v>8042</v>
      </c>
      <c r="I1602" s="6635" t="s">
        <v>7435</v>
      </c>
      <c r="J1602" s="6635">
        <f>G1602</f>
        <v>2500000</v>
      </c>
      <c r="K1602" s="6635">
        <f>F1601-J1602</f>
        <v>0</v>
      </c>
      <c r="L1602" s="6681"/>
      <c r="M1602" s="6734"/>
      <c r="N1602" s="6734"/>
      <c r="O1602" s="6734"/>
      <c r="P1602" s="386"/>
      <c r="Q1602" s="386"/>
    </row>
    <row r="1603" spans="1:17" s="1659" customFormat="1" ht="30" customHeight="1" x14ac:dyDescent="0.2">
      <c r="A1603" s="6007"/>
      <c r="B1603" s="6665" t="s">
        <v>6871</v>
      </c>
      <c r="C1603" s="6710"/>
      <c r="D1603" s="6635">
        <v>20000000</v>
      </c>
      <c r="E1603" s="6705">
        <v>0.05</v>
      </c>
      <c r="F1603" s="6635">
        <f>D1603*E1603</f>
        <v>1000000</v>
      </c>
      <c r="G1603" s="7732" t="s">
        <v>6890</v>
      </c>
      <c r="H1603" s="7733"/>
      <c r="I1603" s="7733"/>
      <c r="J1603" s="7734"/>
      <c r="K1603" s="6635"/>
      <c r="L1603" s="6681" t="s">
        <v>6877</v>
      </c>
      <c r="M1603" s="6734"/>
      <c r="N1603" s="6734"/>
      <c r="O1603" s="6734"/>
      <c r="P1603" s="386"/>
      <c r="Q1603" s="386"/>
    </row>
    <row r="1604" spans="1:17" s="1659" customFormat="1" ht="30" customHeight="1" x14ac:dyDescent="0.2">
      <c r="A1604" s="6772"/>
      <c r="B1604" s="6650" t="s">
        <v>7498</v>
      </c>
      <c r="C1604" s="6683"/>
      <c r="D1604" s="6635"/>
      <c r="E1604" s="6705"/>
      <c r="F1604" s="6635"/>
      <c r="G1604" s="6635">
        <v>1000000</v>
      </c>
      <c r="H1604" s="6635" t="s">
        <v>8073</v>
      </c>
      <c r="I1604" s="6635" t="s">
        <v>7499</v>
      </c>
      <c r="J1604" s="6635">
        <f>G1604</f>
        <v>1000000</v>
      </c>
      <c r="K1604" s="6635"/>
      <c r="L1604" s="6681"/>
      <c r="M1604" s="6734"/>
      <c r="N1604" s="6734"/>
      <c r="O1604" s="6734"/>
      <c r="P1604" s="386"/>
      <c r="Q1604" s="386"/>
    </row>
    <row r="1605" spans="1:17" s="1659" customFormat="1" ht="30" customHeight="1" x14ac:dyDescent="0.2">
      <c r="A1605" s="7703"/>
      <c r="B1605" s="7652" t="s">
        <v>6873</v>
      </c>
      <c r="C1605" s="7723"/>
      <c r="D1605" s="7563">
        <v>30000000</v>
      </c>
      <c r="E1605" s="7659">
        <v>0.05</v>
      </c>
      <c r="F1605" s="7563">
        <f>D1605*E1605</f>
        <v>1500000</v>
      </c>
      <c r="G1605" s="7732" t="s">
        <v>7038</v>
      </c>
      <c r="H1605" s="7733"/>
      <c r="I1605" s="7733"/>
      <c r="J1605" s="7734"/>
      <c r="K1605" s="6635"/>
      <c r="L1605" s="6681" t="s">
        <v>6874</v>
      </c>
      <c r="M1605" s="6734"/>
      <c r="N1605" s="6734"/>
      <c r="O1605" s="6734"/>
      <c r="P1605" s="386"/>
      <c r="Q1605" s="386"/>
    </row>
    <row r="1606" spans="1:17" s="1659" customFormat="1" ht="30" customHeight="1" x14ac:dyDescent="0.2">
      <c r="A1606" s="7705"/>
      <c r="B1606" s="7653"/>
      <c r="C1606" s="7724"/>
      <c r="D1606" s="7564"/>
      <c r="E1606" s="7660"/>
      <c r="F1606" s="7564"/>
      <c r="G1606" s="6635">
        <v>1500000</v>
      </c>
      <c r="H1606" s="6635" t="s">
        <v>8164</v>
      </c>
      <c r="I1606" s="6635" t="s">
        <v>8182</v>
      </c>
      <c r="J1606" s="6635">
        <f>G1606</f>
        <v>1500000</v>
      </c>
      <c r="K1606" s="6635">
        <f>F1605-J1606</f>
        <v>0</v>
      </c>
      <c r="L1606" s="6681"/>
      <c r="M1606" s="6734"/>
      <c r="N1606" s="6734"/>
      <c r="O1606" s="6734"/>
      <c r="P1606" s="386"/>
      <c r="Q1606" s="386"/>
    </row>
    <row r="1607" spans="1:17" s="1659" customFormat="1" ht="30" customHeight="1" x14ac:dyDescent="0.2">
      <c r="A1607" s="7703"/>
      <c r="B1607" s="7652" t="s">
        <v>8283</v>
      </c>
      <c r="C1607" s="8341"/>
      <c r="D1607" s="7677"/>
      <c r="E1607" s="7691"/>
      <c r="F1607" s="7677"/>
      <c r="G1607" s="7111">
        <v>40000000</v>
      </c>
      <c r="H1607" s="7111" t="s">
        <v>8267</v>
      </c>
      <c r="I1607" s="7111" t="s">
        <v>8284</v>
      </c>
      <c r="J1607" s="7111">
        <f>G1607</f>
        <v>40000000</v>
      </c>
      <c r="K1607" s="7111"/>
      <c r="L1607" s="7122"/>
      <c r="M1607" s="7152"/>
      <c r="N1607" s="7152"/>
      <c r="O1607" s="7152"/>
      <c r="P1607" s="386"/>
      <c r="Q1607" s="386"/>
    </row>
    <row r="1608" spans="1:17" s="1659" customFormat="1" ht="30" customHeight="1" x14ac:dyDescent="0.2">
      <c r="A1608" s="7704"/>
      <c r="B1608" s="7665"/>
      <c r="C1608" s="8342"/>
      <c r="D1608" s="7690"/>
      <c r="E1608" s="7692"/>
      <c r="F1608" s="7690"/>
      <c r="G1608" s="7203">
        <v>50000000</v>
      </c>
      <c r="H1608" s="7203" t="s">
        <v>3880</v>
      </c>
      <c r="I1608" s="7203" t="s">
        <v>8284</v>
      </c>
      <c r="J1608" s="7203">
        <f>G1608</f>
        <v>50000000</v>
      </c>
      <c r="K1608" s="7203"/>
      <c r="L1608" s="7216"/>
      <c r="M1608" s="7227"/>
      <c r="N1608" s="7227"/>
      <c r="O1608" s="7227"/>
      <c r="P1608" s="386"/>
      <c r="Q1608" s="386"/>
    </row>
    <row r="1609" spans="1:17" s="1659" customFormat="1" ht="30" customHeight="1" x14ac:dyDescent="0.2">
      <c r="A1609" s="7704"/>
      <c r="B1609" s="7665"/>
      <c r="C1609" s="8342"/>
      <c r="D1609" s="7690"/>
      <c r="E1609" s="7692"/>
      <c r="F1609" s="7690"/>
      <c r="G1609" s="7157">
        <v>38000000</v>
      </c>
      <c r="H1609" s="7157" t="s">
        <v>8339</v>
      </c>
      <c r="I1609" s="7157" t="s">
        <v>8284</v>
      </c>
      <c r="J1609" s="7157">
        <f>G1609</f>
        <v>38000000</v>
      </c>
      <c r="K1609" s="7157"/>
      <c r="L1609" s="7174"/>
      <c r="M1609" s="7193"/>
      <c r="N1609" s="7193"/>
      <c r="O1609" s="7193"/>
      <c r="P1609" s="386"/>
      <c r="Q1609" s="386"/>
    </row>
    <row r="1610" spans="1:17" s="1659" customFormat="1" ht="30" customHeight="1" x14ac:dyDescent="0.2">
      <c r="A1610" s="7705"/>
      <c r="B1610" s="7653"/>
      <c r="C1610" s="8343"/>
      <c r="D1610" s="7678"/>
      <c r="E1610" s="7693"/>
      <c r="F1610" s="7678"/>
      <c r="G1610" s="7202"/>
      <c r="H1610" s="7204"/>
      <c r="I1610" s="7204"/>
      <c r="J1610" s="7205"/>
      <c r="K1610" s="7203"/>
      <c r="L1610" s="7216"/>
      <c r="M1610" s="7227"/>
      <c r="N1610" s="7227"/>
      <c r="O1610" s="7227"/>
      <c r="P1610" s="386"/>
      <c r="Q1610" s="386"/>
    </row>
    <row r="1611" spans="1:17" s="1659" customFormat="1" ht="30" customHeight="1" x14ac:dyDescent="0.2">
      <c r="A1611" s="6727"/>
      <c r="B1611" s="6665" t="s">
        <v>6912</v>
      </c>
      <c r="C1611" s="6710"/>
      <c r="D1611" s="6635">
        <v>400000000</v>
      </c>
      <c r="E1611" s="6705"/>
      <c r="F1611" s="6635"/>
      <c r="G1611" s="6672"/>
      <c r="H1611" s="6673"/>
      <c r="I1611" s="6673"/>
      <c r="J1611" s="6674"/>
      <c r="K1611" s="6635"/>
      <c r="L1611" s="6681" t="s">
        <v>6911</v>
      </c>
      <c r="M1611" s="6734"/>
      <c r="N1611" s="6734"/>
      <c r="O1611" s="6734"/>
      <c r="P1611" s="386"/>
      <c r="Q1611" s="386"/>
    </row>
    <row r="1612" spans="1:17" s="1659" customFormat="1" ht="30" customHeight="1" x14ac:dyDescent="0.2">
      <c r="A1612" s="6727"/>
      <c r="B1612" s="6665" t="s">
        <v>6914</v>
      </c>
      <c r="C1612" s="6710"/>
      <c r="D1612" s="6644"/>
      <c r="E1612" s="2519"/>
      <c r="F1612" s="6644"/>
      <c r="G1612" s="6635">
        <v>15000000</v>
      </c>
      <c r="H1612" s="6635" t="s">
        <v>8483</v>
      </c>
      <c r="I1612" s="6635" t="s">
        <v>8523</v>
      </c>
      <c r="J1612" s="6635">
        <f>G1612</f>
        <v>15000000</v>
      </c>
      <c r="K1612" s="6635"/>
      <c r="L1612" s="6681"/>
      <c r="M1612" s="6734"/>
      <c r="N1612" s="6734"/>
      <c r="O1612" s="6734"/>
      <c r="P1612" s="386"/>
      <c r="Q1612" s="386"/>
    </row>
    <row r="1613" spans="1:17" s="1659" customFormat="1" ht="30" customHeight="1" x14ac:dyDescent="0.2">
      <c r="A1613" s="7703"/>
      <c r="B1613" s="7703" t="s">
        <v>6943</v>
      </c>
      <c r="C1613" s="7723"/>
      <c r="D1613" s="7482">
        <v>900000000</v>
      </c>
      <c r="E1613" s="7870">
        <v>7.0000000000000007E-2</v>
      </c>
      <c r="F1613" s="8580">
        <f>D1613*E1613</f>
        <v>63000000.000000007</v>
      </c>
      <c r="G1613" s="7732" t="s">
        <v>7556</v>
      </c>
      <c r="H1613" s="7733"/>
      <c r="I1613" s="7733"/>
      <c r="J1613" s="7734"/>
      <c r="K1613" s="6635"/>
      <c r="L1613" s="6681" t="s">
        <v>6978</v>
      </c>
      <c r="M1613" s="6734"/>
      <c r="N1613" s="6734"/>
      <c r="O1613" s="6734"/>
      <c r="P1613" s="386"/>
      <c r="Q1613" s="386"/>
    </row>
    <row r="1614" spans="1:17" s="1659" customFormat="1" ht="30" customHeight="1" x14ac:dyDescent="0.2">
      <c r="A1614" s="7704"/>
      <c r="B1614" s="7704"/>
      <c r="C1614" s="7747"/>
      <c r="D1614" s="7482"/>
      <c r="E1614" s="7870"/>
      <c r="F1614" s="8581"/>
      <c r="G1614" s="6635">
        <v>7000000</v>
      </c>
      <c r="H1614" s="6635" t="s">
        <v>7968</v>
      </c>
      <c r="I1614" s="6635" t="s">
        <v>7557</v>
      </c>
      <c r="J1614" s="7563">
        <f>G1614+G1615+G1616+G1617+G1618+G1619</f>
        <v>80000000</v>
      </c>
      <c r="K1614" s="7482"/>
      <c r="L1614" s="7674"/>
      <c r="M1614" s="6734"/>
      <c r="N1614" s="6734"/>
      <c r="O1614" s="6734"/>
      <c r="P1614" s="386"/>
      <c r="Q1614" s="386"/>
    </row>
    <row r="1615" spans="1:17" s="1659" customFormat="1" ht="30" customHeight="1" x14ac:dyDescent="0.2">
      <c r="A1615" s="7704"/>
      <c r="B1615" s="7704"/>
      <c r="C1615" s="7747"/>
      <c r="D1615" s="7482"/>
      <c r="E1615" s="7870"/>
      <c r="F1615" s="8581"/>
      <c r="G1615" s="6635">
        <v>13000000</v>
      </c>
      <c r="H1615" s="6635" t="s">
        <v>2109</v>
      </c>
      <c r="I1615" s="6851" t="s">
        <v>7557</v>
      </c>
      <c r="J1615" s="7586"/>
      <c r="K1615" s="7482"/>
      <c r="L1615" s="8186"/>
      <c r="M1615" s="6734"/>
      <c r="N1615" s="6734"/>
      <c r="O1615" s="6734"/>
      <c r="P1615" s="386"/>
      <c r="Q1615" s="386"/>
    </row>
    <row r="1616" spans="1:17" s="1659" customFormat="1" ht="30" customHeight="1" x14ac:dyDescent="0.2">
      <c r="A1616" s="7704"/>
      <c r="B1616" s="7704"/>
      <c r="C1616" s="7747"/>
      <c r="D1616" s="7482"/>
      <c r="E1616" s="7870"/>
      <c r="F1616" s="8581"/>
      <c r="G1616" s="6641">
        <v>20000000</v>
      </c>
      <c r="H1616" s="6641" t="s">
        <v>7987</v>
      </c>
      <c r="I1616" s="6635" t="s">
        <v>7557</v>
      </c>
      <c r="J1616" s="7586"/>
      <c r="K1616" s="7482"/>
      <c r="L1616" s="8186"/>
      <c r="M1616" s="6734"/>
      <c r="N1616" s="6734"/>
      <c r="O1616" s="6734"/>
      <c r="P1616" s="386"/>
      <c r="Q1616" s="386"/>
    </row>
    <row r="1617" spans="1:17" s="1659" customFormat="1" ht="30" customHeight="1" x14ac:dyDescent="0.2">
      <c r="A1617" s="7704"/>
      <c r="B1617" s="7704"/>
      <c r="C1617" s="7747"/>
      <c r="D1617" s="7482"/>
      <c r="E1617" s="7870"/>
      <c r="F1617" s="8581"/>
      <c r="G1617" s="6916">
        <v>20000000</v>
      </c>
      <c r="H1617" s="6916" t="s">
        <v>6460</v>
      </c>
      <c r="I1617" s="6916" t="s">
        <v>8034</v>
      </c>
      <c r="J1617" s="7586"/>
      <c r="K1617" s="7482"/>
      <c r="L1617" s="8186"/>
      <c r="M1617" s="6937"/>
      <c r="N1617" s="6937"/>
      <c r="O1617" s="6937"/>
      <c r="P1617" s="386"/>
      <c r="Q1617" s="386"/>
    </row>
    <row r="1618" spans="1:17" s="1659" customFormat="1" ht="30" customHeight="1" x14ac:dyDescent="0.2">
      <c r="A1618" s="7704"/>
      <c r="B1618" s="7704"/>
      <c r="C1618" s="7747"/>
      <c r="D1618" s="7482"/>
      <c r="E1618" s="7870"/>
      <c r="F1618" s="8581"/>
      <c r="G1618" s="6987">
        <v>10000000</v>
      </c>
      <c r="H1618" s="6987" t="s">
        <v>8142</v>
      </c>
      <c r="I1618" s="6987" t="s">
        <v>8034</v>
      </c>
      <c r="J1618" s="7586"/>
      <c r="K1618" s="7482"/>
      <c r="L1618" s="8186"/>
      <c r="M1618" s="7011"/>
      <c r="N1618" s="7011"/>
      <c r="O1618" s="7011"/>
      <c r="P1618" s="386"/>
      <c r="Q1618" s="386"/>
    </row>
    <row r="1619" spans="1:17" s="1659" customFormat="1" ht="30" customHeight="1" x14ac:dyDescent="0.2">
      <c r="A1619" s="7704"/>
      <c r="B1619" s="7704"/>
      <c r="C1619" s="7747"/>
      <c r="D1619" s="7482"/>
      <c r="E1619" s="7870"/>
      <c r="F1619" s="8582"/>
      <c r="G1619" s="7236">
        <v>10000000</v>
      </c>
      <c r="H1619" s="7236" t="s">
        <v>8366</v>
      </c>
      <c r="I1619" s="7236" t="s">
        <v>8034</v>
      </c>
      <c r="J1619" s="7564"/>
      <c r="K1619" s="7482"/>
      <c r="L1619" s="7284"/>
      <c r="M1619" s="7277"/>
      <c r="N1619" s="7277"/>
      <c r="O1619" s="7277"/>
      <c r="P1619" s="386"/>
      <c r="Q1619" s="386"/>
    </row>
    <row r="1620" spans="1:17" s="1659" customFormat="1" ht="30" customHeight="1" x14ac:dyDescent="0.2">
      <c r="A1620" s="7704"/>
      <c r="B1620" s="7704"/>
      <c r="C1620" s="7747"/>
      <c r="D1620" s="7494" t="s">
        <v>8311</v>
      </c>
      <c r="E1620" s="7495"/>
      <c r="F1620" s="7768"/>
      <c r="G1620" s="8000" t="s">
        <v>8313</v>
      </c>
      <c r="H1620" s="8000"/>
      <c r="I1620" s="8000"/>
      <c r="J1620" s="8000"/>
      <c r="K1620" s="7160"/>
      <c r="L1620" s="7160"/>
      <c r="M1620" s="7193"/>
      <c r="N1620" s="7193"/>
      <c r="O1620" s="7193"/>
      <c r="P1620" s="386"/>
      <c r="Q1620" s="386"/>
    </row>
    <row r="1621" spans="1:17" s="1659" customFormat="1" ht="30" customHeight="1" x14ac:dyDescent="0.2">
      <c r="A1621" s="7704"/>
      <c r="B1621" s="7704"/>
      <c r="C1621" s="7747"/>
      <c r="D1621" s="7877"/>
      <c r="E1621" s="7524"/>
      <c r="F1621" s="7878"/>
      <c r="G1621" s="8000" t="s">
        <v>8312</v>
      </c>
      <c r="H1621" s="8000"/>
      <c r="I1621" s="8000"/>
      <c r="J1621" s="8000"/>
      <c r="K1621" s="7160"/>
      <c r="L1621" s="7160"/>
      <c r="M1621" s="7193"/>
      <c r="N1621" s="7193"/>
      <c r="O1621" s="7193"/>
      <c r="P1621" s="386"/>
      <c r="Q1621" s="386"/>
    </row>
    <row r="1622" spans="1:17" s="1659" customFormat="1" ht="30" customHeight="1" x14ac:dyDescent="0.2">
      <c r="A1622" s="7704"/>
      <c r="B1622" s="7704"/>
      <c r="C1622" s="7747"/>
      <c r="D1622" s="7157">
        <v>100000000</v>
      </c>
      <c r="E1622" s="7182">
        <v>0.08</v>
      </c>
      <c r="F1622" s="7157">
        <f>D1622*E1622</f>
        <v>8000000</v>
      </c>
      <c r="G1622" s="8000" t="s">
        <v>8314</v>
      </c>
      <c r="H1622" s="8000"/>
      <c r="I1622" s="8000"/>
      <c r="J1622" s="8000"/>
      <c r="K1622" s="7160"/>
      <c r="L1622" s="7160"/>
      <c r="M1622" s="7193"/>
      <c r="N1622" s="7193"/>
      <c r="O1622" s="7193"/>
      <c r="P1622" s="386"/>
      <c r="Q1622" s="386"/>
    </row>
    <row r="1623" spans="1:17" s="1659" customFormat="1" ht="30" customHeight="1" x14ac:dyDescent="0.2">
      <c r="A1623" s="7705"/>
      <c r="B1623" s="7705"/>
      <c r="C1623" s="7724"/>
      <c r="D1623" s="7196">
        <v>1000000000</v>
      </c>
      <c r="E1623" s="7196"/>
      <c r="F1623" s="7196"/>
      <c r="G1623" s="7157"/>
      <c r="H1623" s="7157"/>
      <c r="I1623" s="7157"/>
      <c r="J1623" s="7157"/>
      <c r="K1623" s="7160"/>
      <c r="L1623" s="7160"/>
      <c r="M1623" s="7193"/>
      <c r="N1623" s="7193"/>
      <c r="O1623" s="7193"/>
      <c r="P1623" s="386"/>
      <c r="Q1623" s="386"/>
    </row>
    <row r="1624" spans="1:17" s="1659" customFormat="1" ht="30" customHeight="1" x14ac:dyDescent="0.2">
      <c r="A1624" s="7703"/>
      <c r="B1624" s="7652" t="s">
        <v>6944</v>
      </c>
      <c r="C1624" s="7723"/>
      <c r="D1624" s="6635">
        <v>14000000</v>
      </c>
      <c r="E1624" s="6705">
        <v>7.0000000000000007E-2</v>
      </c>
      <c r="F1624" s="6635">
        <f>D1624*E1624</f>
        <v>980000.00000000012</v>
      </c>
      <c r="G1624" s="7563">
        <v>2030000</v>
      </c>
      <c r="H1624" s="7563" t="s">
        <v>7987</v>
      </c>
      <c r="I1624" s="7563" t="s">
        <v>7988</v>
      </c>
      <c r="J1624" s="7563">
        <f>G1624</f>
        <v>2030000</v>
      </c>
      <c r="K1624" s="7563">
        <f>(F1624+F1625)-J1624</f>
        <v>0</v>
      </c>
      <c r="L1624" s="6681" t="s">
        <v>6945</v>
      </c>
      <c r="M1624" s="6734"/>
      <c r="N1624" s="6734"/>
      <c r="O1624" s="6734"/>
      <c r="P1624" s="386"/>
      <c r="Q1624" s="386"/>
    </row>
    <row r="1625" spans="1:17" s="1659" customFormat="1" ht="30" customHeight="1" x14ac:dyDescent="0.2">
      <c r="A1625" s="7705"/>
      <c r="B1625" s="7653"/>
      <c r="C1625" s="7724"/>
      <c r="D1625" s="6635">
        <v>21000000</v>
      </c>
      <c r="E1625" s="6705">
        <v>0.05</v>
      </c>
      <c r="F1625" s="6635">
        <f>D1625*E1625</f>
        <v>1050000</v>
      </c>
      <c r="G1625" s="7564"/>
      <c r="H1625" s="7564"/>
      <c r="I1625" s="7564"/>
      <c r="J1625" s="7564"/>
      <c r="K1625" s="7564"/>
      <c r="L1625" s="6682" t="s">
        <v>6946</v>
      </c>
      <c r="M1625" s="6734"/>
      <c r="N1625" s="6734"/>
      <c r="O1625" s="6734"/>
      <c r="P1625" s="386"/>
      <c r="Q1625" s="386"/>
    </row>
    <row r="1626" spans="1:17" s="1659" customFormat="1" ht="30" customHeight="1" x14ac:dyDescent="0.2">
      <c r="A1626" s="6727"/>
      <c r="B1626" s="6665" t="s">
        <v>7808</v>
      </c>
      <c r="C1626" s="6710" t="s">
        <v>1172</v>
      </c>
      <c r="D1626" s="6635">
        <v>10000000</v>
      </c>
      <c r="E1626" s="6705">
        <v>0.05</v>
      </c>
      <c r="F1626" s="6635">
        <f>D1626*E1626</f>
        <v>500000</v>
      </c>
      <c r="G1626" s="6635"/>
      <c r="H1626" s="6635"/>
      <c r="I1626" s="6635" t="s">
        <v>7809</v>
      </c>
      <c r="J1626" s="6635">
        <f>G1626</f>
        <v>0</v>
      </c>
      <c r="K1626" s="6635">
        <f>F1626-J1626</f>
        <v>500000</v>
      </c>
      <c r="L1626" s="6681" t="s">
        <v>6948</v>
      </c>
      <c r="M1626" s="6734"/>
      <c r="N1626" s="6734"/>
      <c r="O1626" s="6734"/>
      <c r="P1626" s="386"/>
      <c r="Q1626" s="386"/>
    </row>
    <row r="1627" spans="1:17" s="1659" customFormat="1" ht="30" customHeight="1" x14ac:dyDescent="0.2">
      <c r="A1627" s="6727"/>
      <c r="B1627" s="6665" t="s">
        <v>6949</v>
      </c>
      <c r="C1627" s="6710" t="s">
        <v>1172</v>
      </c>
      <c r="D1627" s="6635">
        <v>7500000</v>
      </c>
      <c r="E1627" s="6705">
        <v>0.05</v>
      </c>
      <c r="F1627" s="6635">
        <f>D1627*E1627</f>
        <v>375000</v>
      </c>
      <c r="G1627" s="6635">
        <v>375000</v>
      </c>
      <c r="H1627" s="6635" t="s">
        <v>8164</v>
      </c>
      <c r="I1627" s="6635" t="s">
        <v>7552</v>
      </c>
      <c r="J1627" s="6635">
        <f>G1627</f>
        <v>375000</v>
      </c>
      <c r="K1627" s="6635">
        <f>F1627-J1627</f>
        <v>0</v>
      </c>
      <c r="L1627" s="6681" t="s">
        <v>6950</v>
      </c>
      <c r="M1627" s="6734"/>
      <c r="N1627" s="6734"/>
      <c r="O1627" s="6734"/>
      <c r="P1627" s="386"/>
      <c r="Q1627" s="386"/>
    </row>
    <row r="1628" spans="1:17" s="1659" customFormat="1" ht="30" customHeight="1" x14ac:dyDescent="0.2">
      <c r="A1628" s="7703"/>
      <c r="B1628" s="7652" t="s">
        <v>6951</v>
      </c>
      <c r="C1628" s="7723"/>
      <c r="D1628" s="7563">
        <v>45000000</v>
      </c>
      <c r="E1628" s="7659">
        <v>0.05</v>
      </c>
      <c r="F1628" s="7563">
        <f>D1628*E1628</f>
        <v>2250000</v>
      </c>
      <c r="G1628" s="7732" t="s">
        <v>6952</v>
      </c>
      <c r="H1628" s="7733"/>
      <c r="I1628" s="7733"/>
      <c r="J1628" s="7734"/>
      <c r="K1628" s="6635"/>
      <c r="L1628" s="6681" t="s">
        <v>6961</v>
      </c>
      <c r="M1628" s="6734"/>
      <c r="N1628" s="6734"/>
      <c r="O1628" s="6734"/>
      <c r="P1628" s="386"/>
      <c r="Q1628" s="386"/>
    </row>
    <row r="1629" spans="1:17" s="1659" customFormat="1" ht="30" customHeight="1" x14ac:dyDescent="0.2">
      <c r="A1629" s="7704"/>
      <c r="B1629" s="7665"/>
      <c r="C1629" s="7747"/>
      <c r="D1629" s="7586"/>
      <c r="E1629" s="7676"/>
      <c r="F1629" s="7586"/>
      <c r="G1629" s="7732" t="s">
        <v>6963</v>
      </c>
      <c r="H1629" s="7733"/>
      <c r="I1629" s="7733"/>
      <c r="J1629" s="7734"/>
      <c r="K1629" s="6635"/>
      <c r="L1629" s="6681"/>
      <c r="M1629" s="6734"/>
      <c r="N1629" s="6734"/>
      <c r="O1629" s="6734"/>
      <c r="P1629" s="386"/>
      <c r="Q1629" s="386"/>
    </row>
    <row r="1630" spans="1:17" s="1659" customFormat="1" ht="30" customHeight="1" x14ac:dyDescent="0.2">
      <c r="A1630" s="7705"/>
      <c r="B1630" s="7653"/>
      <c r="C1630" s="7724"/>
      <c r="D1630" s="7564"/>
      <c r="E1630" s="7660"/>
      <c r="F1630" s="7564"/>
      <c r="G1630" s="6635">
        <v>2250000</v>
      </c>
      <c r="H1630" s="6635" t="s">
        <v>8111</v>
      </c>
      <c r="I1630" s="6635" t="s">
        <v>8115</v>
      </c>
      <c r="J1630" s="6635">
        <f>G1630</f>
        <v>2250000</v>
      </c>
      <c r="K1630" s="6635">
        <f>F1628-J1630</f>
        <v>0</v>
      </c>
      <c r="L1630" s="6681"/>
      <c r="M1630" s="6734"/>
      <c r="N1630" s="6734"/>
      <c r="O1630" s="6734"/>
      <c r="P1630" s="386"/>
      <c r="Q1630" s="386"/>
    </row>
    <row r="1631" spans="1:17" s="1659" customFormat="1" ht="30" customHeight="1" x14ac:dyDescent="0.2">
      <c r="A1631" s="7703"/>
      <c r="B1631" s="7652" t="s">
        <v>4489</v>
      </c>
      <c r="C1631" s="7723" t="s">
        <v>1306</v>
      </c>
      <c r="D1631" s="7563">
        <v>480000000</v>
      </c>
      <c r="E1631" s="7659">
        <f>F1631/D1631</f>
        <v>7.2916666666666671E-2</v>
      </c>
      <c r="F1631" s="7563">
        <v>35000000</v>
      </c>
      <c r="G1631" s="7732" t="s">
        <v>6962</v>
      </c>
      <c r="H1631" s="7733"/>
      <c r="I1631" s="7733"/>
      <c r="J1631" s="7734"/>
      <c r="K1631" s="6635"/>
      <c r="L1631" s="6681" t="s">
        <v>6960</v>
      </c>
      <c r="M1631" s="6734"/>
      <c r="N1631" s="6734"/>
      <c r="O1631" s="6734"/>
      <c r="P1631" s="386"/>
      <c r="Q1631" s="386"/>
    </row>
    <row r="1632" spans="1:17" s="1659" customFormat="1" ht="30" customHeight="1" x14ac:dyDescent="0.2">
      <c r="A1632" s="7704"/>
      <c r="B1632" s="7665"/>
      <c r="C1632" s="7747"/>
      <c r="D1632" s="7586"/>
      <c r="E1632" s="7676"/>
      <c r="F1632" s="7586"/>
      <c r="G1632" s="6635">
        <v>15000000</v>
      </c>
      <c r="H1632" s="6635" t="s">
        <v>8247</v>
      </c>
      <c r="I1632" s="6635" t="s">
        <v>3729</v>
      </c>
      <c r="J1632" s="6635">
        <f>G1632</f>
        <v>15000000</v>
      </c>
      <c r="K1632" s="6635">
        <f>F1631-J1632</f>
        <v>20000000</v>
      </c>
      <c r="L1632" s="6681"/>
      <c r="M1632" s="6734"/>
      <c r="N1632" s="6734"/>
      <c r="O1632" s="6734"/>
      <c r="P1632" s="386"/>
      <c r="Q1632" s="386"/>
    </row>
    <row r="1633" spans="1:17" s="1659" customFormat="1" ht="30" customHeight="1" x14ac:dyDescent="0.2">
      <c r="A1633" s="7705"/>
      <c r="B1633" s="7653"/>
      <c r="C1633" s="7724"/>
      <c r="D1633" s="7564"/>
      <c r="E1633" s="7660"/>
      <c r="F1633" s="7564"/>
      <c r="G1633" s="8636" t="s">
        <v>8354</v>
      </c>
      <c r="H1633" s="8637"/>
      <c r="I1633" s="8637"/>
      <c r="J1633" s="8638"/>
      <c r="K1633" s="7232"/>
      <c r="L1633" s="7249"/>
      <c r="M1633" s="7277"/>
      <c r="N1633" s="7277"/>
      <c r="O1633" s="7277"/>
      <c r="P1633" s="386"/>
      <c r="Q1633" s="386"/>
    </row>
    <row r="1634" spans="1:17" s="1659" customFormat="1" ht="30" customHeight="1" x14ac:dyDescent="0.2">
      <c r="A1634" s="6727"/>
      <c r="B1634" s="5364" t="s">
        <v>6977</v>
      </c>
      <c r="C1634" s="5365"/>
      <c r="D1634" s="5366">
        <v>160000000</v>
      </c>
      <c r="E1634" s="5367">
        <v>0.06</v>
      </c>
      <c r="F1634" s="5366">
        <f>D1634*E1634</f>
        <v>9600000</v>
      </c>
      <c r="G1634" s="7732" t="s">
        <v>6993</v>
      </c>
      <c r="H1634" s="7733"/>
      <c r="I1634" s="7733"/>
      <c r="J1634" s="7734"/>
      <c r="K1634" s="6635"/>
      <c r="L1634" s="6681" t="s">
        <v>6979</v>
      </c>
      <c r="M1634" s="6734"/>
      <c r="N1634" s="6734"/>
      <c r="O1634" s="6734"/>
      <c r="P1634" s="386"/>
      <c r="Q1634" s="386"/>
    </row>
    <row r="1635" spans="1:17" s="1659" customFormat="1" ht="30" customHeight="1" x14ac:dyDescent="0.2">
      <c r="A1635" s="7703"/>
      <c r="B1635" s="7669" t="s">
        <v>6980</v>
      </c>
      <c r="C1635" s="5365"/>
      <c r="D1635" s="5366">
        <v>80000000</v>
      </c>
      <c r="E1635" s="5367">
        <v>0.06</v>
      </c>
      <c r="F1635" s="5366">
        <f>D1635*E1635</f>
        <v>4800000</v>
      </c>
      <c r="G1635" s="7732" t="s">
        <v>6994</v>
      </c>
      <c r="H1635" s="7733"/>
      <c r="I1635" s="7733"/>
      <c r="J1635" s="7734"/>
      <c r="K1635" s="6635"/>
      <c r="L1635" s="6681" t="s">
        <v>6981</v>
      </c>
      <c r="M1635" s="6734"/>
      <c r="N1635" s="6734"/>
      <c r="O1635" s="6734"/>
      <c r="P1635" s="386"/>
      <c r="Q1635" s="386"/>
    </row>
    <row r="1636" spans="1:17" s="1659" customFormat="1" ht="30" customHeight="1" x14ac:dyDescent="0.2">
      <c r="A1636" s="7704"/>
      <c r="B1636" s="8472"/>
      <c r="C1636" s="8478"/>
      <c r="D1636" s="8481">
        <v>500000000</v>
      </c>
      <c r="E1636" s="8484">
        <v>0.06</v>
      </c>
      <c r="F1636" s="8481">
        <f>D1636*E1636</f>
        <v>30000000</v>
      </c>
      <c r="G1636" s="7732" t="s">
        <v>6984</v>
      </c>
      <c r="H1636" s="7733"/>
      <c r="I1636" s="7733"/>
      <c r="J1636" s="7734"/>
      <c r="K1636" s="6635"/>
      <c r="L1636" s="7674" t="s">
        <v>6983</v>
      </c>
      <c r="M1636" s="6734"/>
      <c r="N1636" s="6734"/>
      <c r="O1636" s="6734"/>
      <c r="P1636" s="386"/>
      <c r="Q1636" s="386"/>
    </row>
    <row r="1637" spans="1:17" s="1659" customFormat="1" ht="30" customHeight="1" x14ac:dyDescent="0.2">
      <c r="A1637" s="7704"/>
      <c r="B1637" s="8472"/>
      <c r="C1637" s="8479"/>
      <c r="D1637" s="8482"/>
      <c r="E1637" s="8485"/>
      <c r="F1637" s="8482"/>
      <c r="G1637" s="7732" t="s">
        <v>6985</v>
      </c>
      <c r="H1637" s="7733"/>
      <c r="I1637" s="7733"/>
      <c r="J1637" s="7734"/>
      <c r="K1637" s="6635"/>
      <c r="L1637" s="8186"/>
      <c r="M1637" s="6734"/>
      <c r="N1637" s="6734"/>
      <c r="O1637" s="6734"/>
      <c r="P1637" s="386"/>
      <c r="Q1637" s="386"/>
    </row>
    <row r="1638" spans="1:17" s="1659" customFormat="1" ht="30" customHeight="1" x14ac:dyDescent="0.2">
      <c r="A1638" s="7705"/>
      <c r="B1638" s="7670"/>
      <c r="C1638" s="8480"/>
      <c r="D1638" s="8483"/>
      <c r="E1638" s="8486"/>
      <c r="F1638" s="8483"/>
      <c r="G1638" s="7732" t="s">
        <v>6986</v>
      </c>
      <c r="H1638" s="7733"/>
      <c r="I1638" s="7733"/>
      <c r="J1638" s="7734"/>
      <c r="K1638" s="6635"/>
      <c r="L1638" s="7675"/>
      <c r="M1638" s="6734"/>
      <c r="N1638" s="6734"/>
      <c r="O1638" s="6734"/>
      <c r="P1638" s="386"/>
      <c r="Q1638" s="386"/>
    </row>
    <row r="1639" spans="1:17" s="1659" customFormat="1" ht="30" customHeight="1" x14ac:dyDescent="0.2">
      <c r="A1639" s="7703"/>
      <c r="B1639" s="7669" t="s">
        <v>6971</v>
      </c>
      <c r="C1639" s="8478"/>
      <c r="D1639" s="8481">
        <v>800000000</v>
      </c>
      <c r="E1639" s="8484">
        <v>0.06</v>
      </c>
      <c r="F1639" s="8481">
        <f>D1639*E1639</f>
        <v>48000000</v>
      </c>
      <c r="G1639" s="7732" t="s">
        <v>6986</v>
      </c>
      <c r="H1639" s="7733"/>
      <c r="I1639" s="7733"/>
      <c r="J1639" s="7734"/>
      <c r="K1639" s="6635"/>
      <c r="L1639" s="7674" t="s">
        <v>6982</v>
      </c>
      <c r="M1639" s="6734"/>
      <c r="N1639" s="6734"/>
      <c r="O1639" s="6734"/>
      <c r="P1639" s="386"/>
      <c r="Q1639" s="386"/>
    </row>
    <row r="1640" spans="1:17" s="1659" customFormat="1" ht="30" customHeight="1" x14ac:dyDescent="0.2">
      <c r="A1640" s="7704"/>
      <c r="B1640" s="8472"/>
      <c r="C1640" s="8479"/>
      <c r="D1640" s="8482"/>
      <c r="E1640" s="8485"/>
      <c r="F1640" s="8482"/>
      <c r="G1640" s="7732" t="s">
        <v>6987</v>
      </c>
      <c r="H1640" s="7733"/>
      <c r="I1640" s="7733"/>
      <c r="J1640" s="7734"/>
      <c r="K1640" s="6635"/>
      <c r="L1640" s="8186"/>
      <c r="M1640" s="6734"/>
      <c r="N1640" s="6734"/>
      <c r="O1640" s="6734"/>
      <c r="P1640" s="386"/>
      <c r="Q1640" s="386"/>
    </row>
    <row r="1641" spans="1:17" s="1659" customFormat="1" ht="30" customHeight="1" x14ac:dyDescent="0.2">
      <c r="A1641" s="7704"/>
      <c r="B1641" s="8472"/>
      <c r="C1641" s="8479"/>
      <c r="D1641" s="8483"/>
      <c r="E1641" s="8486"/>
      <c r="F1641" s="8483"/>
      <c r="G1641" s="7732" t="s">
        <v>6988</v>
      </c>
      <c r="H1641" s="7733"/>
      <c r="I1641" s="7733"/>
      <c r="J1641" s="7734"/>
      <c r="K1641" s="6635"/>
      <c r="L1641" s="7675"/>
      <c r="M1641" s="6734"/>
      <c r="N1641" s="6734"/>
      <c r="O1641" s="6734"/>
      <c r="P1641" s="386"/>
      <c r="Q1641" s="386"/>
    </row>
    <row r="1642" spans="1:17" s="1659" customFormat="1" ht="30" customHeight="1" x14ac:dyDescent="0.2">
      <c r="A1642" s="7705"/>
      <c r="B1642" s="7670"/>
      <c r="C1642" s="8480"/>
      <c r="D1642" s="6797">
        <v>200000000</v>
      </c>
      <c r="E1642" s="6798">
        <v>0.06</v>
      </c>
      <c r="F1642" s="6797">
        <f>D1642*E1642</f>
        <v>12000000</v>
      </c>
      <c r="G1642" s="7732" t="s">
        <v>6992</v>
      </c>
      <c r="H1642" s="7733"/>
      <c r="I1642" s="7733"/>
      <c r="J1642" s="7734"/>
      <c r="K1642" s="6635"/>
      <c r="L1642" s="6758" t="s">
        <v>6998</v>
      </c>
      <c r="M1642" s="6734"/>
      <c r="N1642" s="6734"/>
      <c r="O1642" s="6734"/>
      <c r="P1642" s="386"/>
      <c r="Q1642" s="386"/>
    </row>
    <row r="1643" spans="1:17" s="1659" customFormat="1" ht="30" customHeight="1" x14ac:dyDescent="0.2">
      <c r="A1643" s="6727"/>
      <c r="B1643" s="5364" t="s">
        <v>6989</v>
      </c>
      <c r="C1643" s="5365"/>
      <c r="D1643" s="5366">
        <v>300000000</v>
      </c>
      <c r="E1643" s="5367">
        <v>0.06</v>
      </c>
      <c r="F1643" s="5366">
        <f>D1643*E1643</f>
        <v>18000000</v>
      </c>
      <c r="G1643" s="7732" t="s">
        <v>6991</v>
      </c>
      <c r="H1643" s="7733"/>
      <c r="I1643" s="7733"/>
      <c r="J1643" s="7734"/>
      <c r="K1643" s="6635"/>
      <c r="L1643" s="6681" t="s">
        <v>6990</v>
      </c>
      <c r="M1643" s="6734"/>
      <c r="N1643" s="6734"/>
      <c r="O1643" s="6734"/>
      <c r="P1643" s="386"/>
      <c r="Q1643" s="386"/>
    </row>
    <row r="1644" spans="1:17" s="1659" customFormat="1" ht="30" customHeight="1" x14ac:dyDescent="0.2">
      <c r="A1644" s="6727"/>
      <c r="B1644" s="6665" t="s">
        <v>139</v>
      </c>
      <c r="C1644" s="6710"/>
      <c r="D1644" s="6635">
        <v>100000000</v>
      </c>
      <c r="E1644" s="6705">
        <v>7.0000000000000007E-2</v>
      </c>
      <c r="F1644" s="6635">
        <f>D1644*E1644</f>
        <v>7000000.0000000009</v>
      </c>
      <c r="G1644" s="6635">
        <v>7000000</v>
      </c>
      <c r="H1644" s="6635" t="s">
        <v>8073</v>
      </c>
      <c r="I1644" s="6635" t="s">
        <v>2026</v>
      </c>
      <c r="J1644" s="6635">
        <f>G1644</f>
        <v>7000000</v>
      </c>
      <c r="K1644" s="6635">
        <f>F1644-J1644</f>
        <v>0</v>
      </c>
      <c r="L1644" s="6681" t="s">
        <v>7001</v>
      </c>
      <c r="M1644" s="6734"/>
      <c r="N1644" s="6734"/>
      <c r="O1644" s="6734"/>
      <c r="P1644" s="386"/>
      <c r="Q1644" s="386"/>
    </row>
    <row r="1645" spans="1:17" s="1659" customFormat="1" ht="30" customHeight="1" x14ac:dyDescent="0.2">
      <c r="A1645" s="7703"/>
      <c r="B1645" s="7652" t="s">
        <v>7731</v>
      </c>
      <c r="C1645" s="7723"/>
      <c r="D1645" s="7563">
        <v>70000000</v>
      </c>
      <c r="E1645" s="7659"/>
      <c r="F1645" s="7563"/>
      <c r="G1645" s="7732" t="s">
        <v>7129</v>
      </c>
      <c r="H1645" s="7733"/>
      <c r="I1645" s="7733"/>
      <c r="J1645" s="7734"/>
      <c r="K1645" s="6635"/>
      <c r="L1645" s="6681" t="s">
        <v>7026</v>
      </c>
      <c r="M1645" s="6734"/>
      <c r="N1645" s="6734"/>
      <c r="O1645" s="6734"/>
      <c r="P1645" s="386"/>
      <c r="Q1645" s="386"/>
    </row>
    <row r="1646" spans="1:17" s="1659" customFormat="1" ht="30" customHeight="1" x14ac:dyDescent="0.2">
      <c r="A1646" s="7704"/>
      <c r="B1646" s="7665"/>
      <c r="C1646" s="7747"/>
      <c r="D1646" s="7586"/>
      <c r="E1646" s="7676"/>
      <c r="F1646" s="7586"/>
      <c r="G1646" s="7732" t="s">
        <v>7130</v>
      </c>
      <c r="H1646" s="7733"/>
      <c r="I1646" s="7733"/>
      <c r="J1646" s="7734"/>
      <c r="K1646" s="6635"/>
      <c r="L1646" s="6681"/>
      <c r="M1646" s="6734"/>
      <c r="N1646" s="6734"/>
      <c r="O1646" s="6734"/>
      <c r="P1646" s="386"/>
      <c r="Q1646" s="386"/>
    </row>
    <row r="1647" spans="1:17" s="1659" customFormat="1" ht="30" customHeight="1" x14ac:dyDescent="0.2">
      <c r="A1647" s="7705"/>
      <c r="B1647" s="7653"/>
      <c r="C1647" s="7724"/>
      <c r="D1647" s="7564"/>
      <c r="E1647" s="7660"/>
      <c r="F1647" s="7564"/>
      <c r="G1647" s="7732" t="s">
        <v>7131</v>
      </c>
      <c r="H1647" s="7733"/>
      <c r="I1647" s="7733"/>
      <c r="J1647" s="7734"/>
      <c r="K1647" s="6635"/>
      <c r="L1647" s="6681"/>
      <c r="M1647" s="6734"/>
      <c r="N1647" s="6734"/>
      <c r="O1647" s="6734"/>
      <c r="P1647" s="386"/>
      <c r="Q1647" s="386"/>
    </row>
    <row r="1648" spans="1:17" s="1659" customFormat="1" ht="30" customHeight="1" x14ac:dyDescent="0.2">
      <c r="A1648" s="7703"/>
      <c r="B1648" s="7652" t="s">
        <v>7030</v>
      </c>
      <c r="C1648" s="7723"/>
      <c r="D1648" s="7482">
        <v>15000000</v>
      </c>
      <c r="E1648" s="7870">
        <v>0.05</v>
      </c>
      <c r="F1648" s="7482">
        <f>D1648*E1648</f>
        <v>750000</v>
      </c>
      <c r="G1648" s="7732" t="s">
        <v>7032</v>
      </c>
      <c r="H1648" s="7733"/>
      <c r="I1648" s="7733"/>
      <c r="J1648" s="7734"/>
      <c r="K1648" s="6635"/>
      <c r="L1648" s="7674" t="s">
        <v>7031</v>
      </c>
      <c r="M1648" s="6734"/>
      <c r="N1648" s="6734"/>
      <c r="O1648" s="6734"/>
      <c r="P1648" s="386"/>
      <c r="Q1648" s="386"/>
    </row>
    <row r="1649" spans="1:17" s="1659" customFormat="1" ht="30" customHeight="1" x14ac:dyDescent="0.2">
      <c r="A1649" s="7704"/>
      <c r="B1649" s="7665"/>
      <c r="C1649" s="7747"/>
      <c r="D1649" s="7482"/>
      <c r="E1649" s="7870"/>
      <c r="F1649" s="7482"/>
      <c r="G1649" s="7732" t="s">
        <v>7033</v>
      </c>
      <c r="H1649" s="7733"/>
      <c r="I1649" s="7733"/>
      <c r="J1649" s="7734"/>
      <c r="K1649" s="6635"/>
      <c r="L1649" s="7675"/>
      <c r="M1649" s="6734"/>
      <c r="N1649" s="6734"/>
      <c r="O1649" s="6734"/>
      <c r="P1649" s="386"/>
      <c r="Q1649" s="386"/>
    </row>
    <row r="1650" spans="1:17" s="1659" customFormat="1" ht="30" customHeight="1" x14ac:dyDescent="0.2">
      <c r="A1650" s="7704"/>
      <c r="B1650" s="7665"/>
      <c r="C1650" s="7747"/>
      <c r="D1650" s="7482"/>
      <c r="E1650" s="7870"/>
      <c r="F1650" s="7482"/>
      <c r="G1650" s="7111">
        <v>750000</v>
      </c>
      <c r="H1650" s="7111" t="s">
        <v>8215</v>
      </c>
      <c r="I1650" s="7111" t="s">
        <v>7629</v>
      </c>
      <c r="J1650" s="7111">
        <f>G1650</f>
        <v>750000</v>
      </c>
      <c r="K1650" s="7111">
        <f>F1648-J1650</f>
        <v>0</v>
      </c>
      <c r="L1650" s="7123"/>
      <c r="M1650" s="7152"/>
      <c r="N1650" s="7152"/>
      <c r="O1650" s="7152"/>
      <c r="P1650" s="386"/>
      <c r="Q1650" s="386"/>
    </row>
    <row r="1651" spans="1:17" s="1659" customFormat="1" ht="30" customHeight="1" x14ac:dyDescent="0.2">
      <c r="A1651" s="7705"/>
      <c r="B1651" s="7653"/>
      <c r="C1651" s="7724"/>
      <c r="D1651" s="7482"/>
      <c r="E1651" s="7870"/>
      <c r="F1651" s="7482"/>
      <c r="G1651" s="6635">
        <v>750000</v>
      </c>
      <c r="H1651" s="6635" t="s">
        <v>8267</v>
      </c>
      <c r="I1651" s="6635" t="s">
        <v>7629</v>
      </c>
      <c r="J1651" s="6635">
        <f>G1651</f>
        <v>750000</v>
      </c>
      <c r="K1651" s="6635">
        <f>F1648-J1651</f>
        <v>0</v>
      </c>
      <c r="L1651" s="6682"/>
      <c r="M1651" s="6734"/>
      <c r="N1651" s="6734"/>
      <c r="O1651" s="6734"/>
      <c r="P1651" s="386"/>
      <c r="Q1651" s="386"/>
    </row>
    <row r="1652" spans="1:17" s="1659" customFormat="1" ht="30" customHeight="1" x14ac:dyDescent="0.2">
      <c r="A1652" s="7703"/>
      <c r="B1652" s="7652" t="s">
        <v>3073</v>
      </c>
      <c r="C1652" s="7723"/>
      <c r="D1652" s="7494" t="s">
        <v>7103</v>
      </c>
      <c r="E1652" s="7495"/>
      <c r="F1652" s="7768"/>
      <c r="G1652" s="6644"/>
      <c r="H1652" s="6644"/>
      <c r="I1652" s="6644" t="s">
        <v>7062</v>
      </c>
      <c r="J1652" s="6644">
        <f>G1652</f>
        <v>0</v>
      </c>
      <c r="K1652" s="6635"/>
      <c r="L1652" s="6682" t="s">
        <v>7063</v>
      </c>
      <c r="M1652" s="6734"/>
      <c r="N1652" s="6734"/>
      <c r="O1652" s="6734"/>
      <c r="P1652" s="386"/>
      <c r="Q1652" s="386"/>
    </row>
    <row r="1653" spans="1:17" s="1659" customFormat="1" ht="30" customHeight="1" x14ac:dyDescent="0.2">
      <c r="A1653" s="7705"/>
      <c r="B1653" s="7653"/>
      <c r="C1653" s="7724"/>
      <c r="D1653" s="7769"/>
      <c r="E1653" s="7805"/>
      <c r="F1653" s="7770"/>
      <c r="G1653" s="6635"/>
      <c r="H1653" s="6635"/>
      <c r="I1653" s="6635" t="s">
        <v>7062</v>
      </c>
      <c r="J1653" s="6635">
        <f>G1653</f>
        <v>0</v>
      </c>
      <c r="K1653" s="6635"/>
      <c r="L1653" s="6682"/>
      <c r="M1653" s="6734"/>
      <c r="N1653" s="6734"/>
      <c r="O1653" s="6734"/>
      <c r="P1653" s="386"/>
      <c r="Q1653" s="386"/>
    </row>
    <row r="1654" spans="1:17" s="1659" customFormat="1" ht="30" customHeight="1" x14ac:dyDescent="0.2">
      <c r="A1654" s="6662"/>
      <c r="B1654" s="6652" t="s">
        <v>7110</v>
      </c>
      <c r="C1654" s="6684"/>
      <c r="D1654" s="7470" t="s">
        <v>7109</v>
      </c>
      <c r="E1654" s="7493"/>
      <c r="F1654" s="7510"/>
      <c r="G1654" s="6635"/>
      <c r="H1654" s="6635"/>
      <c r="I1654" s="6635"/>
      <c r="J1654" s="6635"/>
      <c r="K1654" s="6635"/>
      <c r="L1654" s="6682"/>
      <c r="M1654" s="6734"/>
      <c r="N1654" s="6734"/>
      <c r="O1654" s="6734"/>
      <c r="P1654" s="386"/>
      <c r="Q1654" s="386"/>
    </row>
    <row r="1655" spans="1:17" s="1659" customFormat="1" ht="30" customHeight="1" x14ac:dyDescent="0.2">
      <c r="A1655" s="7703"/>
      <c r="B1655" s="7652" t="s">
        <v>7148</v>
      </c>
      <c r="C1655" s="7723"/>
      <c r="D1655" s="7563">
        <v>280000000</v>
      </c>
      <c r="E1655" s="7659">
        <v>0.06</v>
      </c>
      <c r="F1655" s="7563">
        <f>D1655*E1655</f>
        <v>16800000</v>
      </c>
      <c r="G1655" s="7991" t="s">
        <v>7154</v>
      </c>
      <c r="H1655" s="7992"/>
      <c r="I1655" s="7992"/>
      <c r="J1655" s="7993"/>
      <c r="K1655" s="6635"/>
      <c r="L1655" s="6745" t="s">
        <v>7163</v>
      </c>
      <c r="M1655" s="6734"/>
      <c r="N1655" s="6734"/>
      <c r="O1655" s="6734"/>
      <c r="P1655" s="386"/>
      <c r="Q1655" s="386"/>
    </row>
    <row r="1656" spans="1:17" s="1659" customFormat="1" ht="30" customHeight="1" x14ac:dyDescent="0.2">
      <c r="A1656" s="7704"/>
      <c r="B1656" s="7665"/>
      <c r="C1656" s="7747"/>
      <c r="D1656" s="7586"/>
      <c r="E1656" s="7676"/>
      <c r="F1656" s="7586"/>
      <c r="G1656" s="7997"/>
      <c r="H1656" s="7998"/>
      <c r="I1656" s="7998"/>
      <c r="J1656" s="7999"/>
      <c r="K1656" s="6635"/>
      <c r="L1656" s="6682" t="s">
        <v>7164</v>
      </c>
      <c r="M1656" s="6734"/>
      <c r="N1656" s="6734"/>
      <c r="O1656" s="6734"/>
      <c r="P1656" s="386"/>
      <c r="Q1656" s="386"/>
    </row>
    <row r="1657" spans="1:17" s="1659" customFormat="1" ht="30" customHeight="1" x14ac:dyDescent="0.2">
      <c r="A1657" s="7705"/>
      <c r="B1657" s="7653"/>
      <c r="C1657" s="7724"/>
      <c r="D1657" s="7564"/>
      <c r="E1657" s="7660"/>
      <c r="F1657" s="7564"/>
      <c r="G1657" s="7292">
        <v>16000000</v>
      </c>
      <c r="H1657" s="7292" t="s">
        <v>8398</v>
      </c>
      <c r="I1657" s="7292" t="s">
        <v>8406</v>
      </c>
      <c r="J1657" s="7292">
        <f>G1657</f>
        <v>16000000</v>
      </c>
      <c r="K1657" s="7292"/>
      <c r="L1657" s="7314"/>
      <c r="M1657" s="7338"/>
      <c r="N1657" s="7338"/>
      <c r="O1657" s="7338"/>
      <c r="P1657" s="386"/>
      <c r="Q1657" s="386"/>
    </row>
    <row r="1658" spans="1:17" s="1659" customFormat="1" ht="30" customHeight="1" x14ac:dyDescent="0.2">
      <c r="A1658" s="7703"/>
      <c r="B1658" s="7652" t="s">
        <v>7159</v>
      </c>
      <c r="C1658" s="7723"/>
      <c r="D1658" s="7563">
        <v>140000000</v>
      </c>
      <c r="E1658" s="7659">
        <v>0.05</v>
      </c>
      <c r="F1658" s="7563">
        <f>D1658*E1658</f>
        <v>7000000</v>
      </c>
      <c r="G1658" s="7732" t="s">
        <v>8112</v>
      </c>
      <c r="H1658" s="7733"/>
      <c r="I1658" s="7733"/>
      <c r="J1658" s="7734"/>
      <c r="K1658" s="6961"/>
      <c r="L1658" s="6967"/>
      <c r="M1658" s="6978"/>
      <c r="N1658" s="6978"/>
      <c r="O1658" s="6978"/>
      <c r="P1658" s="386"/>
      <c r="Q1658" s="386"/>
    </row>
    <row r="1659" spans="1:17" s="1659" customFormat="1" ht="30" customHeight="1" x14ac:dyDescent="0.2">
      <c r="A1659" s="7705"/>
      <c r="B1659" s="7653"/>
      <c r="C1659" s="7724"/>
      <c r="D1659" s="7564"/>
      <c r="E1659" s="7660"/>
      <c r="F1659" s="7564"/>
      <c r="G1659" s="6635">
        <v>7000000</v>
      </c>
      <c r="H1659" s="6635" t="s">
        <v>3808</v>
      </c>
      <c r="I1659" s="6635" t="s">
        <v>7920</v>
      </c>
      <c r="J1659" s="6635">
        <f>G1659</f>
        <v>7000000</v>
      </c>
      <c r="K1659" s="6635">
        <f>F1658-J1659</f>
        <v>0</v>
      </c>
      <c r="L1659" s="6745" t="s">
        <v>7161</v>
      </c>
      <c r="M1659" s="6734"/>
      <c r="N1659" s="6734"/>
      <c r="O1659" s="6734"/>
      <c r="P1659" s="386"/>
      <c r="Q1659" s="386"/>
    </row>
    <row r="1660" spans="1:17" s="1659" customFormat="1" ht="30" customHeight="1" x14ac:dyDescent="0.2">
      <c r="A1660" s="7652"/>
      <c r="B1660" s="7652" t="s">
        <v>7182</v>
      </c>
      <c r="C1660" s="7723" t="s">
        <v>942</v>
      </c>
      <c r="D1660" s="7563">
        <v>150000000</v>
      </c>
      <c r="E1660" s="7659">
        <v>0.06</v>
      </c>
      <c r="F1660" s="7563">
        <f>D1660*E1660</f>
        <v>9000000</v>
      </c>
      <c r="G1660" s="7732" t="s">
        <v>7368</v>
      </c>
      <c r="H1660" s="7733"/>
      <c r="I1660" s="7733"/>
      <c r="J1660" s="7734"/>
      <c r="K1660" s="6635"/>
      <c r="L1660" s="6072" t="s">
        <v>7183</v>
      </c>
      <c r="M1660" s="6734"/>
      <c r="N1660" s="6734"/>
      <c r="O1660" s="6734"/>
      <c r="P1660" s="386"/>
      <c r="Q1660" s="386"/>
    </row>
    <row r="1661" spans="1:17" s="1659" customFormat="1" ht="30" customHeight="1" x14ac:dyDescent="0.2">
      <c r="A1661" s="7665"/>
      <c r="B1661" s="7665"/>
      <c r="C1661" s="7747"/>
      <c r="D1661" s="7586"/>
      <c r="E1661" s="7676"/>
      <c r="F1661" s="7586"/>
      <c r="G1661" s="6635">
        <v>10000000</v>
      </c>
      <c r="H1661" s="6635" t="s">
        <v>3808</v>
      </c>
      <c r="I1661" s="6635" t="s">
        <v>7919</v>
      </c>
      <c r="J1661" s="7563">
        <f>G1661+G1662</f>
        <v>10700000</v>
      </c>
      <c r="K1661" s="7563">
        <f>F1660-J1661</f>
        <v>-1700000</v>
      </c>
      <c r="L1661" s="6745"/>
      <c r="M1661" s="6734"/>
      <c r="N1661" s="6734"/>
      <c r="O1661" s="6734"/>
      <c r="P1661" s="386"/>
      <c r="Q1661" s="386"/>
    </row>
    <row r="1662" spans="1:17" s="1659" customFormat="1" ht="30" customHeight="1" x14ac:dyDescent="0.2">
      <c r="A1662" s="7665"/>
      <c r="B1662" s="7665"/>
      <c r="C1662" s="7747"/>
      <c r="D1662" s="7564"/>
      <c r="E1662" s="7660"/>
      <c r="F1662" s="7564"/>
      <c r="G1662" s="7086">
        <v>700000</v>
      </c>
      <c r="H1662" s="7086" t="s">
        <v>8247</v>
      </c>
      <c r="I1662" s="7086" t="s">
        <v>7919</v>
      </c>
      <c r="J1662" s="7564"/>
      <c r="K1662" s="7564"/>
      <c r="L1662" s="7098"/>
      <c r="M1662" s="7095"/>
      <c r="N1662" s="7095"/>
      <c r="O1662" s="7095"/>
      <c r="P1662" s="386"/>
      <c r="Q1662" s="386"/>
    </row>
    <row r="1663" spans="1:17" s="1659" customFormat="1" ht="30" customHeight="1" x14ac:dyDescent="0.2">
      <c r="A1663" s="7653"/>
      <c r="B1663" s="7653"/>
      <c r="C1663" s="7724"/>
      <c r="D1663" s="7383">
        <v>200000000</v>
      </c>
      <c r="E1663" s="7384">
        <v>7.0000000000000007E-2</v>
      </c>
      <c r="F1663" s="7383">
        <f>D1663*E1663</f>
        <v>14000000.000000002</v>
      </c>
      <c r="G1663" s="7357"/>
      <c r="H1663" s="7357"/>
      <c r="I1663" s="7357"/>
      <c r="J1663" s="7359"/>
      <c r="K1663" s="7359"/>
      <c r="L1663" s="7382" t="s">
        <v>8482</v>
      </c>
      <c r="M1663" s="7381"/>
      <c r="N1663" s="7381"/>
      <c r="O1663" s="7381"/>
      <c r="P1663" s="386"/>
      <c r="Q1663" s="386"/>
    </row>
    <row r="1664" spans="1:17" s="1659" customFormat="1" ht="30" customHeight="1" x14ac:dyDescent="0.2">
      <c r="A1664" s="6662"/>
      <c r="B1664" s="6652" t="s">
        <v>7193</v>
      </c>
      <c r="C1664" s="6684"/>
      <c r="D1664" s="6644"/>
      <c r="E1664" s="2519"/>
      <c r="F1664" s="6644"/>
      <c r="G1664" s="6635"/>
      <c r="H1664" s="6635"/>
      <c r="I1664" s="6635" t="s">
        <v>7194</v>
      </c>
      <c r="J1664" s="6635">
        <f>G1664</f>
        <v>0</v>
      </c>
      <c r="K1664" s="6644"/>
      <c r="L1664" s="6745"/>
      <c r="M1664" s="6734"/>
      <c r="N1664" s="6734"/>
      <c r="O1664" s="6734"/>
      <c r="P1664" s="386"/>
      <c r="Q1664" s="386"/>
    </row>
    <row r="1665" spans="1:17" s="1659" customFormat="1" ht="30" customHeight="1" x14ac:dyDescent="0.2">
      <c r="A1665" s="6662"/>
      <c r="B1665" s="6652" t="s">
        <v>7236</v>
      </c>
      <c r="C1665" s="6684"/>
      <c r="D1665" s="6635">
        <v>22000000</v>
      </c>
      <c r="E1665" s="6705">
        <v>0.05</v>
      </c>
      <c r="F1665" s="6635">
        <f>D1665*E1665</f>
        <v>1100000</v>
      </c>
      <c r="G1665" s="6635">
        <v>1100000</v>
      </c>
      <c r="H1665" s="6635" t="s">
        <v>8045</v>
      </c>
      <c r="I1665" s="6635" t="s">
        <v>8046</v>
      </c>
      <c r="J1665" s="6635">
        <f>G1665</f>
        <v>1100000</v>
      </c>
      <c r="K1665" s="6635">
        <f>F1665-J1665</f>
        <v>0</v>
      </c>
      <c r="L1665" s="6745" t="s">
        <v>7264</v>
      </c>
      <c r="M1665" s="6734"/>
      <c r="N1665" s="6734"/>
      <c r="O1665" s="6734"/>
      <c r="P1665" s="386"/>
      <c r="Q1665" s="386"/>
    </row>
    <row r="1666" spans="1:17" s="1659" customFormat="1" ht="30" customHeight="1" x14ac:dyDescent="0.2">
      <c r="A1666" s="7703"/>
      <c r="B1666" s="7652" t="s">
        <v>7341</v>
      </c>
      <c r="C1666" s="7723"/>
      <c r="D1666" s="7563">
        <v>750000000</v>
      </c>
      <c r="E1666" s="7659"/>
      <c r="F1666" s="7563"/>
      <c r="G1666" s="6635">
        <v>20000000</v>
      </c>
      <c r="H1666" s="6635" t="s">
        <v>2109</v>
      </c>
      <c r="I1666" s="6635" t="s">
        <v>7977</v>
      </c>
      <c r="J1666" s="7563">
        <f>G1666+G1667+G1668</f>
        <v>60000000</v>
      </c>
      <c r="K1666" s="7563"/>
      <c r="L1666" s="6745" t="s">
        <v>7342</v>
      </c>
      <c r="M1666" s="6734"/>
      <c r="N1666" s="6734"/>
      <c r="O1666" s="6734"/>
      <c r="P1666" s="386"/>
      <c r="Q1666" s="386"/>
    </row>
    <row r="1667" spans="1:17" s="1659" customFormat="1" ht="30" customHeight="1" x14ac:dyDescent="0.2">
      <c r="A1667" s="7704"/>
      <c r="B1667" s="7665"/>
      <c r="C1667" s="7747"/>
      <c r="D1667" s="7586"/>
      <c r="E1667" s="7676"/>
      <c r="F1667" s="7586"/>
      <c r="G1667" s="6851">
        <v>20000000</v>
      </c>
      <c r="H1667" s="6851" t="s">
        <v>7979</v>
      </c>
      <c r="I1667" s="6851" t="s">
        <v>7980</v>
      </c>
      <c r="J1667" s="7586"/>
      <c r="K1667" s="7586"/>
      <c r="L1667" s="6871"/>
      <c r="M1667" s="6870"/>
      <c r="N1667" s="6870"/>
      <c r="O1667" s="6870"/>
      <c r="P1667" s="386"/>
      <c r="Q1667" s="386"/>
    </row>
    <row r="1668" spans="1:17" s="1659" customFormat="1" ht="30" customHeight="1" x14ac:dyDescent="0.2">
      <c r="A1668" s="7705"/>
      <c r="B1668" s="7653"/>
      <c r="C1668" s="7724"/>
      <c r="D1668" s="7564"/>
      <c r="E1668" s="7660"/>
      <c r="F1668" s="7564"/>
      <c r="G1668" s="6851">
        <v>20000000</v>
      </c>
      <c r="H1668" s="6851" t="s">
        <v>7987</v>
      </c>
      <c r="I1668" s="6874" t="s">
        <v>7980</v>
      </c>
      <c r="J1668" s="7564"/>
      <c r="K1668" s="7564"/>
      <c r="L1668" s="6871"/>
      <c r="M1668" s="6870"/>
      <c r="N1668" s="6870"/>
      <c r="O1668" s="6870"/>
      <c r="P1668" s="386"/>
      <c r="Q1668" s="386"/>
    </row>
    <row r="1669" spans="1:17" s="1659" customFormat="1" ht="30" customHeight="1" x14ac:dyDescent="0.2">
      <c r="A1669" s="7703"/>
      <c r="B1669" s="7652" t="s">
        <v>7344</v>
      </c>
      <c r="C1669" s="7723"/>
      <c r="D1669" s="6073">
        <v>50000000</v>
      </c>
      <c r="E1669" s="6074">
        <v>5.5E-2</v>
      </c>
      <c r="F1669" s="6073">
        <f>D1669*E1669</f>
        <v>2750000</v>
      </c>
      <c r="G1669" s="7991" t="s">
        <v>7541</v>
      </c>
      <c r="H1669" s="7992"/>
      <c r="I1669" s="7992"/>
      <c r="J1669" s="7993"/>
      <c r="K1669" s="6635"/>
      <c r="L1669" s="6072" t="s">
        <v>7345</v>
      </c>
      <c r="M1669" s="6734"/>
      <c r="N1669" s="6734"/>
      <c r="O1669" s="6734"/>
      <c r="P1669" s="386"/>
      <c r="Q1669" s="386"/>
    </row>
    <row r="1670" spans="1:17" s="1659" customFormat="1" ht="30" customHeight="1" x14ac:dyDescent="0.2">
      <c r="A1670" s="7705"/>
      <c r="B1670" s="7653"/>
      <c r="C1670" s="7724"/>
      <c r="D1670" s="6635">
        <v>80000000</v>
      </c>
      <c r="E1670" s="6705">
        <v>5.5E-2</v>
      </c>
      <c r="F1670" s="6635">
        <f>D1670*E1670</f>
        <v>4400000</v>
      </c>
      <c r="G1670" s="7997"/>
      <c r="H1670" s="7998"/>
      <c r="I1670" s="7998"/>
      <c r="J1670" s="7999"/>
      <c r="K1670" s="6635"/>
      <c r="L1670" s="6075" t="s">
        <v>7542</v>
      </c>
      <c r="M1670" s="6734"/>
      <c r="N1670" s="6734"/>
      <c r="O1670" s="6734"/>
      <c r="P1670" s="386"/>
      <c r="Q1670" s="386"/>
    </row>
    <row r="1671" spans="1:17" s="1659" customFormat="1" ht="30" customHeight="1" x14ac:dyDescent="0.2">
      <c r="A1671" s="6662"/>
      <c r="B1671" s="6652" t="s">
        <v>7357</v>
      </c>
      <c r="C1671" s="6684"/>
      <c r="D1671" s="6635">
        <v>20000000</v>
      </c>
      <c r="E1671" s="6705"/>
      <c r="F1671" s="6635"/>
      <c r="G1671" s="6635"/>
      <c r="H1671" s="6635"/>
      <c r="I1671" s="6635"/>
      <c r="J1671" s="6635"/>
      <c r="K1671" s="6635"/>
      <c r="L1671" s="6745" t="s">
        <v>7358</v>
      </c>
      <c r="M1671" s="6734"/>
      <c r="N1671" s="6734"/>
      <c r="O1671" s="6734"/>
      <c r="P1671" s="386"/>
      <c r="Q1671" s="386"/>
    </row>
    <row r="1672" spans="1:17" s="1659" customFormat="1" ht="30" customHeight="1" x14ac:dyDescent="0.2">
      <c r="A1672" s="7703"/>
      <c r="B1672" s="7652" t="s">
        <v>7362</v>
      </c>
      <c r="C1672" s="7723"/>
      <c r="D1672" s="7563">
        <v>200000000</v>
      </c>
      <c r="E1672" s="7659">
        <v>7.0000000000000007E-2</v>
      </c>
      <c r="F1672" s="7563">
        <f>D1672*E1672</f>
        <v>14000000.000000002</v>
      </c>
      <c r="G1672" s="7732" t="s">
        <v>7363</v>
      </c>
      <c r="H1672" s="7733"/>
      <c r="I1672" s="7733"/>
      <c r="J1672" s="7734"/>
      <c r="K1672" s="6635"/>
      <c r="L1672" s="7674" t="s">
        <v>7365</v>
      </c>
      <c r="M1672" s="6734"/>
      <c r="N1672" s="6734"/>
      <c r="O1672" s="6734"/>
      <c r="P1672" s="386"/>
      <c r="Q1672" s="386"/>
    </row>
    <row r="1673" spans="1:17" s="1659" customFormat="1" ht="30" customHeight="1" x14ac:dyDescent="0.2">
      <c r="A1673" s="7705"/>
      <c r="B1673" s="7653"/>
      <c r="C1673" s="7724"/>
      <c r="D1673" s="7564"/>
      <c r="E1673" s="7660"/>
      <c r="F1673" s="7564"/>
      <c r="G1673" s="7732" t="s">
        <v>7364</v>
      </c>
      <c r="H1673" s="7733"/>
      <c r="I1673" s="7733"/>
      <c r="J1673" s="7734"/>
      <c r="K1673" s="6635"/>
      <c r="L1673" s="7675"/>
      <c r="M1673" s="6734"/>
      <c r="N1673" s="6734"/>
      <c r="O1673" s="6734"/>
      <c r="P1673" s="386"/>
      <c r="Q1673" s="386"/>
    </row>
    <row r="1674" spans="1:17" s="1659" customFormat="1" ht="30" customHeight="1" x14ac:dyDescent="0.2">
      <c r="A1674" s="6662"/>
      <c r="B1674" s="6652" t="s">
        <v>7371</v>
      </c>
      <c r="C1674" s="6684"/>
      <c r="D1674" s="6635">
        <v>12000000</v>
      </c>
      <c r="E1674" s="6705">
        <v>0.05</v>
      </c>
      <c r="F1674" s="6635">
        <f>D1674*E1674</f>
        <v>600000</v>
      </c>
      <c r="G1674" s="7732"/>
      <c r="H1674" s="7733"/>
      <c r="I1674" s="7733"/>
      <c r="J1674" s="7734"/>
      <c r="K1674" s="6635"/>
      <c r="L1674" s="6745" t="s">
        <v>7372</v>
      </c>
      <c r="M1674" s="6734"/>
      <c r="N1674" s="6734"/>
      <c r="O1674" s="6734"/>
      <c r="P1674" s="386"/>
      <c r="Q1674" s="386"/>
    </row>
    <row r="1675" spans="1:17" s="1659" customFormat="1" ht="30" customHeight="1" x14ac:dyDescent="0.2">
      <c r="A1675" s="6662"/>
      <c r="B1675" s="6652" t="s">
        <v>7400</v>
      </c>
      <c r="C1675" s="6684"/>
      <c r="D1675" s="6635">
        <v>10000000</v>
      </c>
      <c r="E1675" s="6705">
        <v>0.05</v>
      </c>
      <c r="F1675" s="6635"/>
      <c r="G1675" s="6635"/>
      <c r="H1675" s="6635"/>
      <c r="I1675" s="6635"/>
      <c r="J1675" s="6635"/>
      <c r="K1675" s="6635"/>
      <c r="L1675" s="6745" t="s">
        <v>7401</v>
      </c>
      <c r="M1675" s="6734"/>
      <c r="N1675" s="6734"/>
      <c r="O1675" s="6734"/>
      <c r="P1675" s="386"/>
      <c r="Q1675" s="386"/>
    </row>
    <row r="1676" spans="1:17" s="1659" customFormat="1" ht="30" customHeight="1" x14ac:dyDescent="0.2">
      <c r="A1676" s="7703"/>
      <c r="B1676" s="7652" t="s">
        <v>7439</v>
      </c>
      <c r="C1676" s="7723"/>
      <c r="D1676" s="7563">
        <v>1500000000</v>
      </c>
      <c r="E1676" s="7659">
        <v>7.0000000000000007E-2</v>
      </c>
      <c r="F1676" s="7563">
        <f>D1676*E1676</f>
        <v>105000000.00000001</v>
      </c>
      <c r="G1676" s="7732" t="s">
        <v>7441</v>
      </c>
      <c r="H1676" s="7733"/>
      <c r="I1676" s="7733"/>
      <c r="J1676" s="7734"/>
      <c r="K1676" s="6635"/>
      <c r="L1676" s="6745" t="s">
        <v>7440</v>
      </c>
      <c r="M1676" s="6734"/>
      <c r="N1676" s="6734"/>
      <c r="O1676" s="6734"/>
      <c r="P1676" s="386"/>
      <c r="Q1676" s="386"/>
    </row>
    <row r="1677" spans="1:17" s="1659" customFormat="1" ht="30" customHeight="1" x14ac:dyDescent="0.2">
      <c r="A1677" s="7704"/>
      <c r="B1677" s="7665"/>
      <c r="C1677" s="7747"/>
      <c r="D1677" s="7586"/>
      <c r="E1677" s="7676"/>
      <c r="F1677" s="7586"/>
      <c r="G1677" s="7056">
        <v>50000000</v>
      </c>
      <c r="H1677" s="7056" t="s">
        <v>8215</v>
      </c>
      <c r="I1677" s="7056" t="s">
        <v>8224</v>
      </c>
      <c r="J1677" s="7563">
        <f>G1677+G1678</f>
        <v>105000000</v>
      </c>
      <c r="K1677" s="7563">
        <f>F1676-J1677</f>
        <v>0</v>
      </c>
      <c r="L1677" s="7083"/>
      <c r="M1677" s="7082"/>
      <c r="N1677" s="7082"/>
      <c r="O1677" s="7082"/>
      <c r="P1677" s="386"/>
      <c r="Q1677" s="386"/>
    </row>
    <row r="1678" spans="1:17" s="1659" customFormat="1" ht="30" customHeight="1" x14ac:dyDescent="0.2">
      <c r="A1678" s="7705"/>
      <c r="B1678" s="7653"/>
      <c r="C1678" s="7724"/>
      <c r="D1678" s="7564"/>
      <c r="E1678" s="7660"/>
      <c r="F1678" s="7564"/>
      <c r="G1678" s="7056">
        <v>55000000</v>
      </c>
      <c r="H1678" s="7056" t="s">
        <v>8267</v>
      </c>
      <c r="I1678" s="7056" t="s">
        <v>8224</v>
      </c>
      <c r="J1678" s="7564"/>
      <c r="K1678" s="7564"/>
      <c r="L1678" s="7083"/>
      <c r="M1678" s="7082"/>
      <c r="N1678" s="7082"/>
      <c r="O1678" s="7082"/>
      <c r="P1678" s="386"/>
      <c r="Q1678" s="386"/>
    </row>
    <row r="1679" spans="1:17" s="1659" customFormat="1" ht="30" customHeight="1" x14ac:dyDescent="0.2">
      <c r="A1679" s="7703"/>
      <c r="B1679" s="7652" t="s">
        <v>181</v>
      </c>
      <c r="C1679" s="7723" t="s">
        <v>1172</v>
      </c>
      <c r="D1679" s="7563"/>
      <c r="E1679" s="7659"/>
      <c r="F1679" s="7563"/>
      <c r="G1679" s="6635">
        <v>10000000</v>
      </c>
      <c r="H1679" s="6635" t="s">
        <v>7987</v>
      </c>
      <c r="I1679" s="6635" t="s">
        <v>7443</v>
      </c>
      <c r="J1679" s="7563">
        <f>G1679+G1680+G1681+G1682+G1683+G1684+G1685+G1686+G1687</f>
        <v>66000000</v>
      </c>
      <c r="K1679" s="7563"/>
      <c r="L1679" s="6745"/>
      <c r="M1679" s="6734"/>
      <c r="N1679" s="6734"/>
      <c r="O1679" s="6734"/>
      <c r="P1679" s="386"/>
      <c r="Q1679" s="386"/>
    </row>
    <row r="1680" spans="1:17" s="1659" customFormat="1" ht="30" customHeight="1" x14ac:dyDescent="0.2">
      <c r="A1680" s="7704"/>
      <c r="B1680" s="7665"/>
      <c r="C1680" s="7747"/>
      <c r="D1680" s="7586"/>
      <c r="E1680" s="7676"/>
      <c r="F1680" s="7586"/>
      <c r="G1680" s="6635">
        <v>10000000</v>
      </c>
      <c r="H1680" s="6635" t="s">
        <v>8073</v>
      </c>
      <c r="I1680" s="6635" t="s">
        <v>7443</v>
      </c>
      <c r="J1680" s="7586"/>
      <c r="K1680" s="7586"/>
      <c r="L1680" s="6745" t="s">
        <v>8075</v>
      </c>
      <c r="M1680" s="6734"/>
      <c r="N1680" s="6734"/>
      <c r="O1680" s="6734"/>
      <c r="P1680" s="386"/>
      <c r="Q1680" s="386"/>
    </row>
    <row r="1681" spans="1:17" s="1659" customFormat="1" ht="30" customHeight="1" x14ac:dyDescent="0.2">
      <c r="A1681" s="7704"/>
      <c r="B1681" s="7665"/>
      <c r="C1681" s="7747"/>
      <c r="D1681" s="7586"/>
      <c r="E1681" s="7676"/>
      <c r="F1681" s="7586"/>
      <c r="G1681" s="7020">
        <v>10000000</v>
      </c>
      <c r="H1681" s="7020" t="s">
        <v>8164</v>
      </c>
      <c r="I1681" s="7020" t="s">
        <v>8168</v>
      </c>
      <c r="J1681" s="7586"/>
      <c r="K1681" s="7586"/>
      <c r="L1681" s="7049"/>
      <c r="M1681" s="7048"/>
      <c r="N1681" s="7048"/>
      <c r="O1681" s="7048"/>
      <c r="P1681" s="386"/>
      <c r="Q1681" s="386"/>
    </row>
    <row r="1682" spans="1:17" s="1659" customFormat="1" ht="30" customHeight="1" x14ac:dyDescent="0.2">
      <c r="A1682" s="7704"/>
      <c r="B1682" s="7665"/>
      <c r="C1682" s="7747"/>
      <c r="D1682" s="7586"/>
      <c r="E1682" s="7676"/>
      <c r="F1682" s="7586"/>
      <c r="G1682" s="7020">
        <v>10000000</v>
      </c>
      <c r="H1682" s="7020" t="s">
        <v>8186</v>
      </c>
      <c r="I1682" s="7020" t="s">
        <v>8168</v>
      </c>
      <c r="J1682" s="7586"/>
      <c r="K1682" s="7586"/>
      <c r="L1682" s="7049"/>
      <c r="M1682" s="7048"/>
      <c r="N1682" s="7048"/>
      <c r="O1682" s="7048"/>
      <c r="P1682" s="386"/>
      <c r="Q1682" s="386"/>
    </row>
    <row r="1683" spans="1:17" s="1659" customFormat="1" ht="30" customHeight="1" x14ac:dyDescent="0.2">
      <c r="A1683" s="7704"/>
      <c r="B1683" s="7665"/>
      <c r="C1683" s="7747"/>
      <c r="D1683" s="7586"/>
      <c r="E1683" s="7676"/>
      <c r="F1683" s="7586"/>
      <c r="G1683" s="7056">
        <v>4000000</v>
      </c>
      <c r="H1683" s="7056" t="s">
        <v>8245</v>
      </c>
      <c r="I1683" s="7056" t="s">
        <v>8246</v>
      </c>
      <c r="J1683" s="7586"/>
      <c r="K1683" s="7586"/>
      <c r="L1683" s="7083"/>
      <c r="M1683" s="7082"/>
      <c r="N1683" s="7082"/>
      <c r="O1683" s="7082"/>
      <c r="P1683" s="386"/>
      <c r="Q1683" s="386"/>
    </row>
    <row r="1684" spans="1:17" s="1659" customFormat="1" ht="30" customHeight="1" x14ac:dyDescent="0.2">
      <c r="A1684" s="7704"/>
      <c r="B1684" s="7665"/>
      <c r="C1684" s="7747"/>
      <c r="D1684" s="7586"/>
      <c r="E1684" s="7676"/>
      <c r="F1684" s="7586"/>
      <c r="G1684" s="7020">
        <v>4000000</v>
      </c>
      <c r="H1684" s="7020" t="s">
        <v>8245</v>
      </c>
      <c r="I1684" s="7056" t="s">
        <v>8246</v>
      </c>
      <c r="J1684" s="7586"/>
      <c r="K1684" s="7586"/>
      <c r="L1684" s="7049"/>
      <c r="M1684" s="7048"/>
      <c r="N1684" s="7048"/>
      <c r="O1684" s="7048"/>
      <c r="P1684" s="386"/>
      <c r="Q1684" s="386"/>
    </row>
    <row r="1685" spans="1:17" s="1659" customFormat="1" ht="30" customHeight="1" x14ac:dyDescent="0.2">
      <c r="A1685" s="7704"/>
      <c r="B1685" s="7665"/>
      <c r="C1685" s="7747"/>
      <c r="D1685" s="7586"/>
      <c r="E1685" s="7676"/>
      <c r="F1685" s="7586"/>
      <c r="G1685" s="7292">
        <v>4000000</v>
      </c>
      <c r="H1685" s="7292" t="s">
        <v>8245</v>
      </c>
      <c r="I1685" s="7292" t="s">
        <v>8246</v>
      </c>
      <c r="J1685" s="7586"/>
      <c r="K1685" s="7586"/>
      <c r="L1685" s="7339"/>
      <c r="M1685" s="7338"/>
      <c r="N1685" s="7338"/>
      <c r="O1685" s="7338"/>
      <c r="P1685" s="386"/>
      <c r="Q1685" s="386"/>
    </row>
    <row r="1686" spans="1:17" s="1659" customFormat="1" ht="30" customHeight="1" x14ac:dyDescent="0.2">
      <c r="A1686" s="7704"/>
      <c r="B1686" s="7665"/>
      <c r="C1686" s="7747"/>
      <c r="D1686" s="7586"/>
      <c r="E1686" s="7676"/>
      <c r="F1686" s="7586"/>
      <c r="G1686" s="7292">
        <v>4000000</v>
      </c>
      <c r="H1686" s="7292" t="s">
        <v>8245</v>
      </c>
      <c r="I1686" s="7292" t="s">
        <v>8246</v>
      </c>
      <c r="J1686" s="7586"/>
      <c r="K1686" s="7586"/>
      <c r="L1686" s="7339"/>
      <c r="M1686" s="7338"/>
      <c r="N1686" s="7338"/>
      <c r="O1686" s="7338"/>
      <c r="P1686" s="386"/>
      <c r="Q1686" s="386"/>
    </row>
    <row r="1687" spans="1:17" s="1659" customFormat="1" ht="30" customHeight="1" x14ac:dyDescent="0.2">
      <c r="A1687" s="7704"/>
      <c r="B1687" s="7665"/>
      <c r="C1687" s="7724"/>
      <c r="D1687" s="7564"/>
      <c r="E1687" s="7660"/>
      <c r="F1687" s="7564"/>
      <c r="G1687" s="7292">
        <v>10000000</v>
      </c>
      <c r="H1687" s="7292" t="s">
        <v>8398</v>
      </c>
      <c r="I1687" s="7292" t="s">
        <v>8404</v>
      </c>
      <c r="J1687" s="7564"/>
      <c r="K1687" s="7564"/>
      <c r="L1687" s="7339"/>
      <c r="M1687" s="7338"/>
      <c r="N1687" s="7338"/>
      <c r="O1687" s="7338"/>
      <c r="P1687" s="386"/>
      <c r="Q1687" s="386"/>
    </row>
    <row r="1688" spans="1:17" s="1659" customFormat="1" ht="30" customHeight="1" x14ac:dyDescent="0.2">
      <c r="A1688" s="7705"/>
      <c r="B1688" s="7653"/>
      <c r="C1688" s="6684" t="s">
        <v>1287</v>
      </c>
      <c r="D1688" s="6635"/>
      <c r="E1688" s="6705"/>
      <c r="F1688" s="6635"/>
      <c r="G1688" s="6635"/>
      <c r="H1688" s="6635"/>
      <c r="I1688" s="6635"/>
      <c r="J1688" s="6635"/>
      <c r="K1688" s="6635"/>
      <c r="L1688" s="6745"/>
      <c r="M1688" s="6734"/>
      <c r="N1688" s="6734"/>
      <c r="O1688" s="6734"/>
      <c r="P1688" s="386"/>
      <c r="Q1688" s="386"/>
    </row>
    <row r="1689" spans="1:17" s="1659" customFormat="1" ht="30" customHeight="1" x14ac:dyDescent="0.2">
      <c r="A1689" s="6662"/>
      <c r="B1689" s="6652" t="s">
        <v>7823</v>
      </c>
      <c r="C1689" s="6684" t="s">
        <v>4223</v>
      </c>
      <c r="D1689" s="6635">
        <v>100000000</v>
      </c>
      <c r="E1689" s="6705">
        <v>7.0000000000000007E-2</v>
      </c>
      <c r="F1689" s="6635">
        <f>D1689*E1689</f>
        <v>7000000.0000000009</v>
      </c>
      <c r="G1689" s="6635">
        <v>20000000</v>
      </c>
      <c r="H1689" s="6635" t="s">
        <v>8073</v>
      </c>
      <c r="I1689" s="6635" t="s">
        <v>8085</v>
      </c>
      <c r="J1689" s="6635">
        <f>G1689</f>
        <v>20000000</v>
      </c>
      <c r="K1689" s="6635">
        <f>F1689-J1689</f>
        <v>-13000000</v>
      </c>
      <c r="L1689" s="6745" t="s">
        <v>7543</v>
      </c>
      <c r="M1689" s="6734"/>
      <c r="N1689" s="6734"/>
      <c r="O1689" s="6734"/>
      <c r="P1689" s="386"/>
      <c r="Q1689" s="386"/>
    </row>
    <row r="1690" spans="1:17" s="1659" customFormat="1" ht="30" customHeight="1" x14ac:dyDescent="0.2">
      <c r="A1690" s="7703"/>
      <c r="B1690" s="7652" t="s">
        <v>7547</v>
      </c>
      <c r="C1690" s="7723"/>
      <c r="D1690" s="7563">
        <v>500000000</v>
      </c>
      <c r="E1690" s="7659">
        <v>7.0000000000000007E-2</v>
      </c>
      <c r="F1690" s="7563">
        <f>D1690*E1690</f>
        <v>35000000</v>
      </c>
      <c r="G1690" s="7732" t="s">
        <v>7545</v>
      </c>
      <c r="H1690" s="7733"/>
      <c r="I1690" s="7733"/>
      <c r="J1690" s="7734"/>
      <c r="K1690" s="7563"/>
      <c r="L1690" s="7674" t="s">
        <v>7544</v>
      </c>
      <c r="M1690" s="6734"/>
      <c r="N1690" s="6734"/>
      <c r="O1690" s="6734"/>
      <c r="P1690" s="386"/>
      <c r="Q1690" s="386"/>
    </row>
    <row r="1691" spans="1:17" s="1659" customFormat="1" ht="30" customHeight="1" x14ac:dyDescent="0.2">
      <c r="A1691" s="7704"/>
      <c r="B1691" s="7665"/>
      <c r="C1691" s="7747"/>
      <c r="D1691" s="7586"/>
      <c r="E1691" s="7676"/>
      <c r="F1691" s="7586"/>
      <c r="G1691" s="7732" t="s">
        <v>7546</v>
      </c>
      <c r="H1691" s="7733"/>
      <c r="I1691" s="7733"/>
      <c r="J1691" s="7734"/>
      <c r="K1691" s="7586"/>
      <c r="L1691" s="8186"/>
      <c r="M1691" s="6734"/>
      <c r="N1691" s="6734"/>
      <c r="O1691" s="6734"/>
      <c r="P1691" s="386"/>
      <c r="Q1691" s="386"/>
    </row>
    <row r="1692" spans="1:17" s="1659" customFormat="1" ht="30" customHeight="1" x14ac:dyDescent="0.2">
      <c r="A1692" s="7704"/>
      <c r="B1692" s="7665"/>
      <c r="C1692" s="7747"/>
      <c r="D1692" s="7586"/>
      <c r="E1692" s="7676"/>
      <c r="F1692" s="7586"/>
      <c r="G1692" s="7470" t="s">
        <v>7548</v>
      </c>
      <c r="H1692" s="7493"/>
      <c r="I1692" s="7493"/>
      <c r="J1692" s="7510"/>
      <c r="K1692" s="7586"/>
      <c r="L1692" s="8186"/>
      <c r="M1692" s="6734"/>
      <c r="N1692" s="6734"/>
      <c r="O1692" s="6734"/>
      <c r="P1692" s="386"/>
      <c r="Q1692" s="386"/>
    </row>
    <row r="1693" spans="1:17" s="1659" customFormat="1" ht="30" customHeight="1" x14ac:dyDescent="0.2">
      <c r="A1693" s="7704"/>
      <c r="B1693" s="7665"/>
      <c r="C1693" s="7747"/>
      <c r="D1693" s="7586"/>
      <c r="E1693" s="7676"/>
      <c r="F1693" s="7586"/>
      <c r="G1693" s="7732" t="s">
        <v>7549</v>
      </c>
      <c r="H1693" s="7733"/>
      <c r="I1693" s="7733"/>
      <c r="J1693" s="7734"/>
      <c r="K1693" s="7564"/>
      <c r="L1693" s="7675"/>
      <c r="M1693" s="6734"/>
      <c r="N1693" s="6734"/>
      <c r="O1693" s="6734"/>
      <c r="P1693" s="386"/>
      <c r="Q1693" s="386"/>
    </row>
    <row r="1694" spans="1:17" s="1659" customFormat="1" ht="30" customHeight="1" x14ac:dyDescent="0.2">
      <c r="A1694" s="7704"/>
      <c r="B1694" s="7665"/>
      <c r="C1694" s="7747"/>
      <c r="D1694" s="7586"/>
      <c r="E1694" s="7676"/>
      <c r="F1694" s="7586"/>
      <c r="G1694" s="7056">
        <v>20000000</v>
      </c>
      <c r="H1694" s="7056" t="s">
        <v>8215</v>
      </c>
      <c r="I1694" s="7056" t="s">
        <v>8229</v>
      </c>
      <c r="J1694" s="7563">
        <f>G1694+G1695</f>
        <v>35000000</v>
      </c>
      <c r="K1694" s="7563">
        <f>F1690-J1694</f>
        <v>0</v>
      </c>
      <c r="L1694" s="7061"/>
      <c r="M1694" s="7082"/>
      <c r="N1694" s="7082"/>
      <c r="O1694" s="7082"/>
      <c r="P1694" s="386"/>
      <c r="Q1694" s="386"/>
    </row>
    <row r="1695" spans="1:17" s="1659" customFormat="1" ht="30" customHeight="1" x14ac:dyDescent="0.2">
      <c r="A1695" s="7705"/>
      <c r="B1695" s="7653"/>
      <c r="C1695" s="7724"/>
      <c r="D1695" s="7564"/>
      <c r="E1695" s="7660"/>
      <c r="F1695" s="7564"/>
      <c r="G1695" s="7056">
        <v>15000000</v>
      </c>
      <c r="H1695" s="7056" t="s">
        <v>3880</v>
      </c>
      <c r="I1695" s="7056" t="s">
        <v>8229</v>
      </c>
      <c r="J1695" s="7564"/>
      <c r="K1695" s="7564"/>
      <c r="L1695" s="7061"/>
      <c r="M1695" s="7082"/>
      <c r="N1695" s="7082"/>
      <c r="O1695" s="7082"/>
      <c r="P1695" s="386"/>
      <c r="Q1695" s="386"/>
    </row>
    <row r="1696" spans="1:17" s="1659" customFormat="1" ht="30" customHeight="1" x14ac:dyDescent="0.2">
      <c r="A1696" s="6662"/>
      <c r="B1696" s="6652" t="s">
        <v>7562</v>
      </c>
      <c r="C1696" s="6684"/>
      <c r="D1696" s="6643">
        <v>500000000</v>
      </c>
      <c r="E1696" s="6649"/>
      <c r="F1696" s="6643"/>
      <c r="G1696" s="7292">
        <v>20000000</v>
      </c>
      <c r="H1696" s="7292" t="s">
        <v>8424</v>
      </c>
      <c r="I1696" s="7292" t="s">
        <v>8427</v>
      </c>
      <c r="J1696" s="7292">
        <f>G1696</f>
        <v>20000000</v>
      </c>
      <c r="K1696" s="7296"/>
      <c r="L1696" s="6682" t="s">
        <v>7563</v>
      </c>
      <c r="M1696" s="6734"/>
      <c r="N1696" s="6734"/>
      <c r="O1696" s="6734"/>
      <c r="P1696" s="386"/>
      <c r="Q1696" s="386"/>
    </row>
    <row r="1697" spans="1:17" s="1659" customFormat="1" ht="30" customHeight="1" x14ac:dyDescent="0.2">
      <c r="A1697" s="6662"/>
      <c r="B1697" s="6652" t="s">
        <v>7583</v>
      </c>
      <c r="C1697" s="6684"/>
      <c r="D1697" s="6643">
        <v>100000000</v>
      </c>
      <c r="E1697" s="6649"/>
      <c r="F1697" s="6643"/>
      <c r="G1697" s="6672"/>
      <c r="H1697" s="6673"/>
      <c r="I1697" s="6673"/>
      <c r="J1697" s="6674"/>
      <c r="K1697" s="6643"/>
      <c r="L1697" s="6745" t="s">
        <v>7584</v>
      </c>
      <c r="M1697" s="6734"/>
      <c r="N1697" s="6734"/>
      <c r="O1697" s="6734"/>
      <c r="P1697" s="386"/>
      <c r="Q1697" s="386"/>
    </row>
    <row r="1698" spans="1:17" s="1659" customFormat="1" ht="30" customHeight="1" x14ac:dyDescent="0.2">
      <c r="A1698" s="7703"/>
      <c r="B1698" s="7652" t="s">
        <v>3460</v>
      </c>
      <c r="C1698" s="7723"/>
      <c r="D1698" s="7563">
        <v>90000000</v>
      </c>
      <c r="E1698" s="7659">
        <v>7.0000000000000007E-2</v>
      </c>
      <c r="F1698" s="7563">
        <f>D1698*E1698</f>
        <v>6300000.0000000009</v>
      </c>
      <c r="G1698" s="7732" t="s">
        <v>7589</v>
      </c>
      <c r="H1698" s="7733"/>
      <c r="I1698" s="7733"/>
      <c r="J1698" s="7734"/>
      <c r="K1698" s="6643"/>
      <c r="L1698" s="7674" t="s">
        <v>7588</v>
      </c>
      <c r="M1698" s="6734"/>
      <c r="N1698" s="6734"/>
      <c r="O1698" s="6734"/>
      <c r="P1698" s="386"/>
      <c r="Q1698" s="386"/>
    </row>
    <row r="1699" spans="1:17" s="1659" customFormat="1" ht="30" customHeight="1" x14ac:dyDescent="0.2">
      <c r="A1699" s="7704"/>
      <c r="B1699" s="7665"/>
      <c r="C1699" s="7747"/>
      <c r="D1699" s="7586"/>
      <c r="E1699" s="7676"/>
      <c r="F1699" s="7586"/>
      <c r="G1699" s="7732" t="s">
        <v>7590</v>
      </c>
      <c r="H1699" s="7733"/>
      <c r="I1699" s="7733"/>
      <c r="J1699" s="7734"/>
      <c r="K1699" s="6643"/>
      <c r="L1699" s="7675"/>
      <c r="M1699" s="6734"/>
      <c r="N1699" s="6734"/>
      <c r="O1699" s="6734"/>
      <c r="P1699" s="386"/>
      <c r="Q1699" s="386"/>
    </row>
    <row r="1700" spans="1:17" s="1659" customFormat="1" ht="30" customHeight="1" x14ac:dyDescent="0.2">
      <c r="A1700" s="7705"/>
      <c r="B1700" s="7653"/>
      <c r="C1700" s="7724"/>
      <c r="D1700" s="7564"/>
      <c r="E1700" s="7660"/>
      <c r="F1700" s="7564"/>
      <c r="G1700" s="7292">
        <v>6300000</v>
      </c>
      <c r="H1700" s="7292" t="s">
        <v>8424</v>
      </c>
      <c r="I1700" s="7292" t="s">
        <v>8435</v>
      </c>
      <c r="J1700" s="7292">
        <f>G1700</f>
        <v>6300000</v>
      </c>
      <c r="K1700" s="7296">
        <f>F1698-J1700</f>
        <v>0</v>
      </c>
      <c r="L1700" s="7347"/>
      <c r="M1700" s="7338"/>
      <c r="N1700" s="7338"/>
      <c r="O1700" s="7338"/>
      <c r="P1700" s="386"/>
      <c r="Q1700" s="386"/>
    </row>
    <row r="1701" spans="1:17" s="1659" customFormat="1" ht="30" customHeight="1" x14ac:dyDescent="0.2">
      <c r="A1701" s="7703"/>
      <c r="B1701" s="7652" t="s">
        <v>7607</v>
      </c>
      <c r="C1701" s="7723"/>
      <c r="D1701" s="7563">
        <v>100000000</v>
      </c>
      <c r="E1701" s="7659"/>
      <c r="F1701" s="7563"/>
      <c r="G1701" s="7732" t="s">
        <v>7610</v>
      </c>
      <c r="H1701" s="7733"/>
      <c r="I1701" s="7733"/>
      <c r="J1701" s="7734"/>
      <c r="K1701" s="6643"/>
      <c r="L1701" s="6681" t="s">
        <v>7609</v>
      </c>
      <c r="M1701" s="6734"/>
      <c r="N1701" s="6734"/>
      <c r="O1701" s="6734"/>
      <c r="P1701" s="386"/>
      <c r="Q1701" s="386"/>
    </row>
    <row r="1702" spans="1:17" s="1659" customFormat="1" ht="30" customHeight="1" x14ac:dyDescent="0.2">
      <c r="A1702" s="7704"/>
      <c r="B1702" s="7665"/>
      <c r="C1702" s="7747"/>
      <c r="D1702" s="7586"/>
      <c r="E1702" s="7676"/>
      <c r="F1702" s="7586"/>
      <c r="G1702" s="7732" t="s">
        <v>7608</v>
      </c>
      <c r="H1702" s="7733"/>
      <c r="I1702" s="7733"/>
      <c r="J1702" s="7734"/>
      <c r="K1702" s="6643"/>
      <c r="L1702" s="6758"/>
      <c r="M1702" s="6734"/>
      <c r="N1702" s="6734"/>
      <c r="O1702" s="6734"/>
      <c r="P1702" s="386"/>
      <c r="Q1702" s="386"/>
    </row>
    <row r="1703" spans="1:17" s="1659" customFormat="1" ht="30" customHeight="1" x14ac:dyDescent="0.2">
      <c r="A1703" s="7704"/>
      <c r="B1703" s="7665"/>
      <c r="C1703" s="7747"/>
      <c r="D1703" s="7586"/>
      <c r="E1703" s="7676"/>
      <c r="F1703" s="7586"/>
      <c r="G1703" s="7732" t="s">
        <v>7704</v>
      </c>
      <c r="H1703" s="7733"/>
      <c r="I1703" s="7733"/>
      <c r="J1703" s="7734"/>
      <c r="K1703" s="6643"/>
      <c r="L1703" s="6758"/>
      <c r="M1703" s="6734"/>
      <c r="N1703" s="6734"/>
      <c r="O1703" s="6734"/>
      <c r="P1703" s="386"/>
      <c r="Q1703" s="386"/>
    </row>
    <row r="1704" spans="1:17" s="1659" customFormat="1" ht="30" customHeight="1" x14ac:dyDescent="0.2">
      <c r="A1704" s="7705"/>
      <c r="B1704" s="7653"/>
      <c r="C1704" s="7724"/>
      <c r="D1704" s="7564"/>
      <c r="E1704" s="7660"/>
      <c r="F1704" s="7564"/>
      <c r="G1704" s="6635">
        <v>10000000</v>
      </c>
      <c r="H1704" s="6635" t="s">
        <v>8245</v>
      </c>
      <c r="I1704" s="6635" t="s">
        <v>7705</v>
      </c>
      <c r="J1704" s="6635">
        <f>G1704</f>
        <v>10000000</v>
      </c>
      <c r="K1704" s="6643"/>
      <c r="L1704" s="6682" t="s">
        <v>7706</v>
      </c>
      <c r="M1704" s="6734"/>
      <c r="N1704" s="6734"/>
      <c r="O1704" s="6734"/>
      <c r="P1704" s="386"/>
      <c r="Q1704" s="386"/>
    </row>
    <row r="1705" spans="1:17" s="1659" customFormat="1" ht="30" customHeight="1" x14ac:dyDescent="0.2">
      <c r="A1705" s="7703"/>
      <c r="B1705" s="7652" t="s">
        <v>7611</v>
      </c>
      <c r="C1705" s="7723"/>
      <c r="D1705" s="7494" t="s">
        <v>7643</v>
      </c>
      <c r="E1705" s="7495"/>
      <c r="F1705" s="7768"/>
      <c r="G1705" s="6635"/>
      <c r="H1705" s="6635"/>
      <c r="I1705" s="6635" t="s">
        <v>7612</v>
      </c>
      <c r="J1705" s="7563">
        <f>G1705+G1706+G1707+G1708</f>
        <v>0</v>
      </c>
      <c r="K1705" s="7563"/>
      <c r="L1705" s="7563"/>
      <c r="M1705" s="6734"/>
      <c r="N1705" s="6734"/>
      <c r="O1705" s="6734"/>
      <c r="P1705" s="386"/>
      <c r="Q1705" s="386"/>
    </row>
    <row r="1706" spans="1:17" s="1659" customFormat="1" ht="30" customHeight="1" x14ac:dyDescent="0.2">
      <c r="A1706" s="7704"/>
      <c r="B1706" s="7665"/>
      <c r="C1706" s="7747"/>
      <c r="D1706" s="7877"/>
      <c r="E1706" s="7524"/>
      <c r="F1706" s="7878"/>
      <c r="G1706" s="6635"/>
      <c r="H1706" s="6635"/>
      <c r="I1706" s="6635" t="s">
        <v>7619</v>
      </c>
      <c r="J1706" s="7586"/>
      <c r="K1706" s="7586"/>
      <c r="L1706" s="7586"/>
      <c r="M1706" s="6734"/>
      <c r="N1706" s="6734"/>
      <c r="O1706" s="6734"/>
      <c r="P1706" s="386"/>
      <c r="Q1706" s="386"/>
    </row>
    <row r="1707" spans="1:17" s="1659" customFormat="1" ht="30" customHeight="1" x14ac:dyDescent="0.2">
      <c r="A1707" s="7704"/>
      <c r="B1707" s="7665"/>
      <c r="C1707" s="7747"/>
      <c r="D1707" s="7877"/>
      <c r="E1707" s="7524"/>
      <c r="F1707" s="7878"/>
      <c r="G1707" s="6635"/>
      <c r="H1707" s="6635"/>
      <c r="I1707" s="6635" t="s">
        <v>7619</v>
      </c>
      <c r="J1707" s="7586"/>
      <c r="K1707" s="7586"/>
      <c r="L1707" s="7586"/>
      <c r="M1707" s="6734"/>
      <c r="N1707" s="6734"/>
      <c r="O1707" s="6734"/>
      <c r="P1707" s="386"/>
      <c r="Q1707" s="386"/>
    </row>
    <row r="1708" spans="1:17" s="1659" customFormat="1" ht="30" customHeight="1" x14ac:dyDescent="0.2">
      <c r="A1708" s="7705"/>
      <c r="B1708" s="7653"/>
      <c r="C1708" s="7724"/>
      <c r="D1708" s="7769"/>
      <c r="E1708" s="7805"/>
      <c r="F1708" s="7770"/>
      <c r="G1708" s="6635"/>
      <c r="H1708" s="6635"/>
      <c r="I1708" s="6635" t="s">
        <v>7619</v>
      </c>
      <c r="J1708" s="7564"/>
      <c r="K1708" s="7564"/>
      <c r="L1708" s="7564"/>
      <c r="M1708" s="6734"/>
      <c r="N1708" s="6734"/>
      <c r="O1708" s="6734"/>
      <c r="P1708" s="386"/>
      <c r="Q1708" s="386"/>
    </row>
    <row r="1709" spans="1:17" s="1659" customFormat="1" ht="30" customHeight="1" x14ac:dyDescent="0.2">
      <c r="A1709" s="6662"/>
      <c r="B1709" s="6652" t="s">
        <v>4116</v>
      </c>
      <c r="C1709" s="6684"/>
      <c r="D1709" s="6643">
        <v>110000000</v>
      </c>
      <c r="E1709" s="6649">
        <v>7.0000000000000007E-2</v>
      </c>
      <c r="F1709" s="6643">
        <f>D1709*E1709</f>
        <v>7700000.0000000009</v>
      </c>
      <c r="G1709" s="7732" t="s">
        <v>7617</v>
      </c>
      <c r="H1709" s="7733"/>
      <c r="I1709" s="7733"/>
      <c r="J1709" s="7734"/>
      <c r="K1709" s="6643"/>
      <c r="L1709" s="6682" t="s">
        <v>7618</v>
      </c>
      <c r="M1709" s="6734"/>
      <c r="N1709" s="6734"/>
      <c r="O1709" s="6734"/>
      <c r="P1709" s="386"/>
      <c r="Q1709" s="386"/>
    </row>
    <row r="1710" spans="1:17" s="1659" customFormat="1" ht="30" customHeight="1" x14ac:dyDescent="0.2">
      <c r="A1710" s="6662"/>
      <c r="B1710" s="6652" t="s">
        <v>7681</v>
      </c>
      <c r="C1710" s="6684" t="s">
        <v>3216</v>
      </c>
      <c r="D1710" s="6643">
        <v>300000000</v>
      </c>
      <c r="E1710" s="6649">
        <v>7.0000000000000007E-2</v>
      </c>
      <c r="F1710" s="6643">
        <f>D1710*E1710</f>
        <v>21000000.000000004</v>
      </c>
      <c r="G1710" s="6635">
        <v>10000000</v>
      </c>
      <c r="H1710" s="6635" t="s">
        <v>3808</v>
      </c>
      <c r="I1710" s="6635" t="s">
        <v>7923</v>
      </c>
      <c r="J1710" s="6635">
        <f>G1710</f>
        <v>10000000</v>
      </c>
      <c r="K1710" s="6643"/>
      <c r="L1710" s="6682" t="s">
        <v>7922</v>
      </c>
      <c r="M1710" s="6734"/>
      <c r="N1710" s="6734"/>
      <c r="O1710" s="6734"/>
      <c r="P1710" s="386"/>
      <c r="Q1710" s="386"/>
    </row>
    <row r="1711" spans="1:17" s="1659" customFormat="1" ht="30" customHeight="1" x14ac:dyDescent="0.2">
      <c r="A1711" s="7703"/>
      <c r="B1711" s="7652" t="s">
        <v>7686</v>
      </c>
      <c r="C1711" s="7723"/>
      <c r="D1711" s="7563">
        <v>135000000</v>
      </c>
      <c r="E1711" s="7659">
        <v>0.05</v>
      </c>
      <c r="F1711" s="7563">
        <f>D1711*E1711</f>
        <v>6750000</v>
      </c>
      <c r="G1711" s="7732" t="s">
        <v>7689</v>
      </c>
      <c r="H1711" s="7733"/>
      <c r="I1711" s="7733"/>
      <c r="J1711" s="7734"/>
      <c r="K1711" s="6643"/>
      <c r="L1711" s="6682" t="s">
        <v>7687</v>
      </c>
      <c r="M1711" s="6734"/>
      <c r="N1711" s="6734"/>
      <c r="O1711" s="6734"/>
      <c r="P1711" s="386"/>
      <c r="Q1711" s="386"/>
    </row>
    <row r="1712" spans="1:17" s="1659" customFormat="1" ht="30" customHeight="1" x14ac:dyDescent="0.2">
      <c r="A1712" s="7705"/>
      <c r="B1712" s="7653"/>
      <c r="C1712" s="7724"/>
      <c r="D1712" s="7564"/>
      <c r="E1712" s="7660"/>
      <c r="F1712" s="7564"/>
      <c r="G1712" s="6914">
        <v>6750000</v>
      </c>
      <c r="H1712" s="6914" t="s">
        <v>6460</v>
      </c>
      <c r="I1712" s="6914" t="s">
        <v>8039</v>
      </c>
      <c r="J1712" s="6914">
        <f>G1712</f>
        <v>6750000</v>
      </c>
      <c r="K1712" s="6917">
        <f>F1711-J1712</f>
        <v>0</v>
      </c>
      <c r="L1712" s="6938"/>
      <c r="M1712" s="6937"/>
      <c r="N1712" s="6937"/>
      <c r="O1712" s="6937"/>
      <c r="P1712" s="386"/>
      <c r="Q1712" s="386"/>
    </row>
    <row r="1713" spans="1:17" s="1659" customFormat="1" ht="30" customHeight="1" x14ac:dyDescent="0.2">
      <c r="A1713" s="7703"/>
      <c r="B1713" s="7652" t="s">
        <v>7690</v>
      </c>
      <c r="C1713" s="7723"/>
      <c r="D1713" s="7563"/>
      <c r="E1713" s="7659"/>
      <c r="F1713" s="7563"/>
      <c r="G1713" s="6635"/>
      <c r="H1713" s="6635"/>
      <c r="I1713" s="6635" t="s">
        <v>7720</v>
      </c>
      <c r="J1713" s="7768"/>
      <c r="K1713" s="7563"/>
      <c r="L1713" s="7563"/>
      <c r="M1713" s="6734"/>
      <c r="N1713" s="6734"/>
      <c r="O1713" s="6734"/>
      <c r="P1713" s="386"/>
      <c r="Q1713" s="386"/>
    </row>
    <row r="1714" spans="1:17" s="1659" customFormat="1" ht="30" customHeight="1" x14ac:dyDescent="0.2">
      <c r="A1714" s="7704"/>
      <c r="B1714" s="7665"/>
      <c r="C1714" s="7747"/>
      <c r="D1714" s="7586"/>
      <c r="E1714" s="7676"/>
      <c r="F1714" s="7586"/>
      <c r="G1714" s="6635"/>
      <c r="H1714" s="6635"/>
      <c r="I1714" s="6635" t="s">
        <v>7720</v>
      </c>
      <c r="J1714" s="7878"/>
      <c r="K1714" s="7586"/>
      <c r="L1714" s="7586"/>
      <c r="M1714" s="6734"/>
      <c r="N1714" s="6734"/>
      <c r="O1714" s="6734"/>
      <c r="P1714" s="386"/>
      <c r="Q1714" s="386"/>
    </row>
    <row r="1715" spans="1:17" s="1659" customFormat="1" ht="30" customHeight="1" x14ac:dyDescent="0.2">
      <c r="A1715" s="7704"/>
      <c r="B1715" s="7665"/>
      <c r="C1715" s="7747"/>
      <c r="D1715" s="7586"/>
      <c r="E1715" s="7676"/>
      <c r="F1715" s="7586"/>
      <c r="G1715" s="6635"/>
      <c r="H1715" s="6635"/>
      <c r="I1715" s="6745"/>
      <c r="J1715" s="7878"/>
      <c r="K1715" s="7586"/>
      <c r="L1715" s="7586"/>
      <c r="M1715" s="6734"/>
      <c r="N1715" s="6734"/>
      <c r="O1715" s="6734"/>
      <c r="P1715" s="386"/>
      <c r="Q1715" s="386"/>
    </row>
    <row r="1716" spans="1:17" s="1659" customFormat="1" ht="30" customHeight="1" x14ac:dyDescent="0.2">
      <c r="A1716" s="7705"/>
      <c r="B1716" s="7653"/>
      <c r="C1716" s="7724"/>
      <c r="D1716" s="7564"/>
      <c r="E1716" s="7660"/>
      <c r="F1716" s="7564"/>
      <c r="G1716" s="6635"/>
      <c r="H1716" s="6635"/>
      <c r="I1716" s="6745"/>
      <c r="J1716" s="7770"/>
      <c r="K1716" s="7564"/>
      <c r="L1716" s="7564"/>
      <c r="M1716" s="6734"/>
      <c r="N1716" s="6734"/>
      <c r="O1716" s="6734"/>
      <c r="P1716" s="386"/>
      <c r="Q1716" s="386"/>
    </row>
    <row r="1717" spans="1:17" s="1659" customFormat="1" ht="30" customHeight="1" x14ac:dyDescent="0.2">
      <c r="A1717" s="6662"/>
      <c r="B1717" s="6652" t="s">
        <v>7707</v>
      </c>
      <c r="C1717" s="6684" t="s">
        <v>990</v>
      </c>
      <c r="D1717" s="6643">
        <v>100000000</v>
      </c>
      <c r="E1717" s="6649">
        <v>7.0000000000000007E-2</v>
      </c>
      <c r="F1717" s="6643">
        <f>D1717*E1717</f>
        <v>7000000.0000000009</v>
      </c>
      <c r="G1717" s="6635">
        <v>7000000</v>
      </c>
      <c r="H1717" s="6635" t="s">
        <v>5200</v>
      </c>
      <c r="I1717" s="6745" t="s">
        <v>8353</v>
      </c>
      <c r="J1717" s="6694">
        <f>G1717</f>
        <v>7000000</v>
      </c>
      <c r="K1717" s="6643">
        <f>F1717-J1717</f>
        <v>0</v>
      </c>
      <c r="L1717" s="6682" t="s">
        <v>7708</v>
      </c>
      <c r="M1717" s="6734"/>
      <c r="N1717" s="6734"/>
      <c r="O1717" s="6734"/>
      <c r="P1717" s="386"/>
      <c r="Q1717" s="386"/>
    </row>
    <row r="1718" spans="1:17" s="1659" customFormat="1" ht="30" customHeight="1" x14ac:dyDescent="0.2">
      <c r="A1718" s="6662"/>
      <c r="B1718" s="6652" t="s">
        <v>7738</v>
      </c>
      <c r="C1718" s="6684"/>
      <c r="D1718" s="7252"/>
      <c r="E1718" s="7254"/>
      <c r="F1718" s="7252"/>
      <c r="G1718" s="6635">
        <v>10000000</v>
      </c>
      <c r="H1718" s="6635" t="s">
        <v>8339</v>
      </c>
      <c r="I1718" s="6635" t="s">
        <v>7739</v>
      </c>
      <c r="J1718" s="6694">
        <f>G1718</f>
        <v>10000000</v>
      </c>
      <c r="K1718" s="6643"/>
      <c r="L1718" s="6643"/>
      <c r="M1718" s="6734"/>
      <c r="N1718" s="6734"/>
      <c r="O1718" s="6734"/>
      <c r="P1718" s="386"/>
      <c r="Q1718" s="386"/>
    </row>
    <row r="1719" spans="1:17" s="1659" customFormat="1" ht="30" customHeight="1" x14ac:dyDescent="0.2">
      <c r="A1719" s="7703"/>
      <c r="B1719" s="7652" t="s">
        <v>7740</v>
      </c>
      <c r="C1719" s="7723" t="s">
        <v>1138</v>
      </c>
      <c r="D1719" s="7563">
        <v>200000000</v>
      </c>
      <c r="E1719" s="8555">
        <v>7.0000000000000007E-2</v>
      </c>
      <c r="F1719" s="7563">
        <f>D1719*E1719</f>
        <v>14000000.000000002</v>
      </c>
      <c r="G1719" s="7732" t="s">
        <v>7742</v>
      </c>
      <c r="H1719" s="7733"/>
      <c r="I1719" s="7733"/>
      <c r="J1719" s="7734"/>
      <c r="K1719" s="6643"/>
      <c r="L1719" s="7674" t="s">
        <v>7741</v>
      </c>
      <c r="M1719" s="6734"/>
      <c r="N1719" s="6734"/>
      <c r="O1719" s="6734"/>
      <c r="P1719" s="386"/>
      <c r="Q1719" s="386"/>
    </row>
    <row r="1720" spans="1:17" s="1659" customFormat="1" ht="30" customHeight="1" x14ac:dyDescent="0.2">
      <c r="A1720" s="7705"/>
      <c r="B1720" s="7653"/>
      <c r="C1720" s="7724"/>
      <c r="D1720" s="7564"/>
      <c r="E1720" s="8556"/>
      <c r="F1720" s="7564"/>
      <c r="G1720" s="7732" t="s">
        <v>7743</v>
      </c>
      <c r="H1720" s="7733"/>
      <c r="I1720" s="7733"/>
      <c r="J1720" s="7734"/>
      <c r="K1720" s="6643"/>
      <c r="L1720" s="7675"/>
      <c r="M1720" s="6734"/>
      <c r="N1720" s="6734"/>
      <c r="O1720" s="6734"/>
      <c r="P1720" s="386"/>
      <c r="Q1720" s="386"/>
    </row>
    <row r="1721" spans="1:17" s="1659" customFormat="1" ht="30" customHeight="1" x14ac:dyDescent="0.2">
      <c r="A1721" s="7703"/>
      <c r="B1721" s="7652" t="s">
        <v>8437</v>
      </c>
      <c r="C1721" s="7723"/>
      <c r="D1721" s="7563">
        <v>100000000</v>
      </c>
      <c r="E1721" s="8555">
        <v>7.0000000000000007E-2</v>
      </c>
      <c r="F1721" s="7563">
        <f>D1721*E1721</f>
        <v>7000000.0000000009</v>
      </c>
      <c r="G1721" s="6851">
        <v>7000000</v>
      </c>
      <c r="H1721" s="6851" t="s">
        <v>7968</v>
      </c>
      <c r="I1721" s="6851" t="s">
        <v>3408</v>
      </c>
      <c r="J1721" s="6851">
        <f>G1721</f>
        <v>7000000</v>
      </c>
      <c r="K1721" s="6643">
        <f>F1721-J1721</f>
        <v>0</v>
      </c>
      <c r="L1721" s="6682" t="s">
        <v>7749</v>
      </c>
      <c r="M1721" s="6734"/>
      <c r="N1721" s="6734"/>
      <c r="O1721" s="6734"/>
      <c r="P1721" s="386"/>
      <c r="Q1721" s="386"/>
    </row>
    <row r="1722" spans="1:17" s="1659" customFormat="1" ht="30" customHeight="1" x14ac:dyDescent="0.2">
      <c r="A1722" s="7705"/>
      <c r="B1722" s="7653"/>
      <c r="C1722" s="7724"/>
      <c r="D1722" s="7564"/>
      <c r="E1722" s="8556"/>
      <c r="F1722" s="7564"/>
      <c r="G1722" s="7292">
        <v>7000000</v>
      </c>
      <c r="H1722" s="7292" t="s">
        <v>8424</v>
      </c>
      <c r="I1722" s="7292" t="s">
        <v>3408</v>
      </c>
      <c r="J1722" s="7292">
        <f>G1722</f>
        <v>7000000</v>
      </c>
      <c r="K1722" s="7296">
        <f>F1721-J1722</f>
        <v>0</v>
      </c>
      <c r="L1722" s="7314"/>
      <c r="M1722" s="7338"/>
      <c r="N1722" s="7338"/>
      <c r="O1722" s="7338"/>
      <c r="P1722" s="386"/>
      <c r="Q1722" s="386"/>
    </row>
    <row r="1723" spans="1:17" s="1659" customFormat="1" ht="30" customHeight="1" x14ac:dyDescent="0.2">
      <c r="A1723" s="6662"/>
      <c r="B1723" s="6652" t="s">
        <v>7762</v>
      </c>
      <c r="C1723" s="6684"/>
      <c r="D1723" s="6643">
        <v>50000000</v>
      </c>
      <c r="E1723" s="6805"/>
      <c r="F1723" s="6643"/>
      <c r="G1723" s="7732" t="s">
        <v>7763</v>
      </c>
      <c r="H1723" s="7733"/>
      <c r="I1723" s="7733"/>
      <c r="J1723" s="7734"/>
      <c r="K1723" s="6643"/>
      <c r="L1723" s="6643"/>
      <c r="M1723" s="6734"/>
      <c r="N1723" s="6734"/>
      <c r="O1723" s="6734"/>
      <c r="P1723" s="386"/>
      <c r="Q1723" s="386"/>
    </row>
    <row r="1724" spans="1:17" s="1659" customFormat="1" ht="30" customHeight="1" x14ac:dyDescent="0.2">
      <c r="A1724" s="7703"/>
      <c r="B1724" s="7652" t="s">
        <v>7764</v>
      </c>
      <c r="C1724" s="7723"/>
      <c r="D1724" s="7563"/>
      <c r="E1724" s="8555"/>
      <c r="F1724" s="7563"/>
      <c r="G1724" s="6635"/>
      <c r="H1724" s="6635"/>
      <c r="I1724" s="6635" t="s">
        <v>7765</v>
      </c>
      <c r="J1724" s="7563">
        <f>G1724+G1725</f>
        <v>0</v>
      </c>
      <c r="K1724" s="7563"/>
      <c r="L1724" s="6643"/>
      <c r="M1724" s="6734"/>
      <c r="N1724" s="6734"/>
      <c r="O1724" s="6734"/>
      <c r="P1724" s="386"/>
      <c r="Q1724" s="386"/>
    </row>
    <row r="1725" spans="1:17" s="1659" customFormat="1" ht="30" customHeight="1" x14ac:dyDescent="0.2">
      <c r="A1725" s="7705"/>
      <c r="B1725" s="7653"/>
      <c r="C1725" s="7724"/>
      <c r="D1725" s="7564"/>
      <c r="E1725" s="8556"/>
      <c r="F1725" s="7564"/>
      <c r="G1725" s="6635"/>
      <c r="H1725" s="6635"/>
      <c r="I1725" s="6635" t="s">
        <v>2451</v>
      </c>
      <c r="J1725" s="7564"/>
      <c r="K1725" s="7564"/>
      <c r="L1725" s="6643"/>
      <c r="M1725" s="6734"/>
      <c r="N1725" s="6734"/>
      <c r="O1725" s="6734"/>
      <c r="P1725" s="386"/>
      <c r="Q1725" s="386"/>
    </row>
    <row r="1726" spans="1:17" s="1659" customFormat="1" ht="30" customHeight="1" x14ac:dyDescent="0.2">
      <c r="A1726" s="7703"/>
      <c r="B1726" s="7652" t="s">
        <v>7770</v>
      </c>
      <c r="C1726" s="7723"/>
      <c r="D1726" s="6643">
        <v>50000000</v>
      </c>
      <c r="E1726" s="6805">
        <v>0.05</v>
      </c>
      <c r="F1726" s="6643">
        <f>D1726*E1726</f>
        <v>2500000</v>
      </c>
      <c r="G1726" s="7732" t="s">
        <v>7773</v>
      </c>
      <c r="H1726" s="7733"/>
      <c r="I1726" s="7733"/>
      <c r="J1726" s="7734"/>
      <c r="K1726" s="6643"/>
      <c r="L1726" s="6682" t="s">
        <v>7771</v>
      </c>
      <c r="M1726" s="6734"/>
      <c r="N1726" s="6734"/>
      <c r="O1726" s="6734"/>
      <c r="P1726" s="386"/>
      <c r="Q1726" s="386"/>
    </row>
    <row r="1727" spans="1:17" s="1659" customFormat="1" ht="30" customHeight="1" x14ac:dyDescent="0.2">
      <c r="A1727" s="7705"/>
      <c r="B1727" s="7653"/>
      <c r="C1727" s="7724"/>
      <c r="D1727" s="6643">
        <v>50000000</v>
      </c>
      <c r="E1727" s="6805">
        <v>7.0000000000000007E-2</v>
      </c>
      <c r="F1727" s="6643">
        <f>D1727*E1727</f>
        <v>3500000.0000000005</v>
      </c>
      <c r="G1727" s="7732" t="s">
        <v>7773</v>
      </c>
      <c r="H1727" s="7733"/>
      <c r="I1727" s="7733"/>
      <c r="J1727" s="7734"/>
      <c r="K1727" s="6643"/>
      <c r="L1727" s="6682" t="s">
        <v>7772</v>
      </c>
      <c r="M1727" s="6734"/>
      <c r="N1727" s="6734"/>
      <c r="O1727" s="6734"/>
      <c r="P1727" s="386"/>
      <c r="Q1727" s="386"/>
    </row>
    <row r="1728" spans="1:17" s="1659" customFormat="1" ht="30" customHeight="1" x14ac:dyDescent="0.2">
      <c r="A1728" s="6662"/>
      <c r="B1728" s="6652" t="s">
        <v>7777</v>
      </c>
      <c r="C1728" s="6684" t="s">
        <v>942</v>
      </c>
      <c r="D1728" s="6643">
        <v>100000000</v>
      </c>
      <c r="E1728" s="6805">
        <v>7.0000000000000007E-2</v>
      </c>
      <c r="F1728" s="6643">
        <f>D1728*E1728</f>
        <v>7000000.0000000009</v>
      </c>
      <c r="G1728" s="6635"/>
      <c r="H1728" s="6635"/>
      <c r="I1728" s="6635"/>
      <c r="J1728" s="6635"/>
      <c r="K1728" s="6643"/>
      <c r="L1728" s="6682" t="s">
        <v>7778</v>
      </c>
      <c r="M1728" s="6734"/>
      <c r="N1728" s="6734"/>
      <c r="O1728" s="6734"/>
      <c r="P1728" s="386"/>
      <c r="Q1728" s="386"/>
    </row>
    <row r="1729" spans="1:17" s="1659" customFormat="1" ht="30" customHeight="1" x14ac:dyDescent="0.2">
      <c r="A1729" s="6662"/>
      <c r="B1729" s="6652" t="s">
        <v>7782</v>
      </c>
      <c r="C1729" s="6684"/>
      <c r="D1729" s="6643">
        <v>200000000</v>
      </c>
      <c r="E1729" s="6805"/>
      <c r="F1729" s="6643"/>
      <c r="G1729" s="6635"/>
      <c r="H1729" s="6635"/>
      <c r="I1729" s="6635"/>
      <c r="J1729" s="6635"/>
      <c r="K1729" s="6643"/>
      <c r="L1729" s="6682" t="s">
        <v>7783</v>
      </c>
      <c r="M1729" s="6734"/>
      <c r="N1729" s="6734"/>
      <c r="O1729" s="6734"/>
      <c r="P1729" s="386"/>
      <c r="Q1729" s="386"/>
    </row>
    <row r="1730" spans="1:17" s="1659" customFormat="1" ht="30" customHeight="1" x14ac:dyDescent="0.2">
      <c r="A1730" s="6662"/>
      <c r="B1730" s="6652" t="s">
        <v>7787</v>
      </c>
      <c r="C1730" s="6684"/>
      <c r="D1730" s="6664"/>
      <c r="E1730" s="6699"/>
      <c r="F1730" s="6664"/>
      <c r="G1730" s="6635"/>
      <c r="H1730" s="6635"/>
      <c r="I1730" s="6635" t="s">
        <v>6572</v>
      </c>
      <c r="J1730" s="6635">
        <f>G1730</f>
        <v>0</v>
      </c>
      <c r="K1730" s="6643"/>
      <c r="L1730" s="6682"/>
      <c r="M1730" s="6734"/>
      <c r="N1730" s="6734"/>
      <c r="O1730" s="6734"/>
      <c r="P1730" s="386"/>
      <c r="Q1730" s="386"/>
    </row>
    <row r="1731" spans="1:17" s="1659" customFormat="1" ht="30" customHeight="1" x14ac:dyDescent="0.2">
      <c r="A1731" s="6662"/>
      <c r="B1731" s="6652" t="s">
        <v>7839</v>
      </c>
      <c r="C1731" s="6684"/>
      <c r="D1731" s="6643">
        <v>100000000</v>
      </c>
      <c r="E1731" s="6805">
        <v>0.06</v>
      </c>
      <c r="F1731" s="6643">
        <f>D1731*E1731</f>
        <v>6000000</v>
      </c>
      <c r="G1731" s="6635"/>
      <c r="H1731" s="6635"/>
      <c r="I1731" s="6635"/>
      <c r="J1731" s="6635"/>
      <c r="K1731" s="6643"/>
      <c r="L1731" s="6682" t="s">
        <v>7840</v>
      </c>
      <c r="M1731" s="6734"/>
      <c r="N1731" s="6734"/>
      <c r="O1731" s="6734"/>
      <c r="P1731" s="386"/>
      <c r="Q1731" s="386"/>
    </row>
    <row r="1732" spans="1:17" s="1659" customFormat="1" ht="30" customHeight="1" x14ac:dyDescent="0.2">
      <c r="A1732" s="6662"/>
      <c r="B1732" s="6652" t="s">
        <v>7855</v>
      </c>
      <c r="C1732" s="6684"/>
      <c r="D1732" s="6664"/>
      <c r="E1732" s="6699"/>
      <c r="F1732" s="6664"/>
      <c r="G1732" s="6635"/>
      <c r="H1732" s="6635"/>
      <c r="I1732" s="6635" t="s">
        <v>7856</v>
      </c>
      <c r="J1732" s="6635">
        <f>G1732</f>
        <v>0</v>
      </c>
      <c r="K1732" s="6643"/>
      <c r="L1732" s="6682"/>
      <c r="M1732" s="6734"/>
      <c r="N1732" s="6734"/>
      <c r="O1732" s="6734"/>
      <c r="P1732" s="386"/>
      <c r="Q1732" s="386"/>
    </row>
    <row r="1733" spans="1:17" s="1659" customFormat="1" ht="30" customHeight="1" x14ac:dyDescent="0.2">
      <c r="A1733" s="6662"/>
      <c r="B1733" s="6652" t="s">
        <v>7863</v>
      </c>
      <c r="C1733" s="6684"/>
      <c r="D1733" s="6664"/>
      <c r="E1733" s="6699"/>
      <c r="F1733" s="6664"/>
      <c r="G1733" s="6635">
        <v>2000000</v>
      </c>
      <c r="H1733" s="6635" t="s">
        <v>7968</v>
      </c>
      <c r="I1733" s="6635" t="s">
        <v>6797</v>
      </c>
      <c r="J1733" s="6635">
        <f>G1733</f>
        <v>2000000</v>
      </c>
      <c r="K1733" s="6643"/>
      <c r="L1733" s="6682"/>
      <c r="M1733" s="6734"/>
      <c r="N1733" s="6734"/>
      <c r="O1733" s="6734"/>
      <c r="P1733" s="386"/>
      <c r="Q1733" s="386"/>
    </row>
    <row r="1734" spans="1:17" s="1659" customFormat="1" ht="30" customHeight="1" x14ac:dyDescent="0.2">
      <c r="A1734" s="7703"/>
      <c r="B1734" s="7652" t="s">
        <v>7877</v>
      </c>
      <c r="C1734" s="7723" t="s">
        <v>1172</v>
      </c>
      <c r="D1734" s="7563">
        <v>200000000</v>
      </c>
      <c r="E1734" s="8555">
        <v>7.0000000000000007E-2</v>
      </c>
      <c r="F1734" s="7563">
        <f>D1734*E1734</f>
        <v>14000000.000000002</v>
      </c>
      <c r="G1734" s="7732" t="s">
        <v>7878</v>
      </c>
      <c r="H1734" s="7733"/>
      <c r="I1734" s="7733"/>
      <c r="J1734" s="7734"/>
      <c r="K1734" s="7563"/>
      <c r="L1734" s="7674" t="s">
        <v>7879</v>
      </c>
      <c r="M1734" s="6734"/>
      <c r="N1734" s="6734"/>
      <c r="O1734" s="6734"/>
      <c r="P1734" s="386"/>
      <c r="Q1734" s="386"/>
    </row>
    <row r="1735" spans="1:17" s="1659" customFormat="1" ht="30" customHeight="1" x14ac:dyDescent="0.2">
      <c r="A1735" s="7704"/>
      <c r="B1735" s="7665"/>
      <c r="C1735" s="7747"/>
      <c r="D1735" s="7586"/>
      <c r="E1735" s="8577"/>
      <c r="F1735" s="7586"/>
      <c r="G1735" s="7991" t="s">
        <v>7880</v>
      </c>
      <c r="H1735" s="7992"/>
      <c r="I1735" s="7992"/>
      <c r="J1735" s="7993"/>
      <c r="K1735" s="7586"/>
      <c r="L1735" s="8186"/>
      <c r="M1735" s="6734"/>
      <c r="N1735" s="6734"/>
      <c r="O1735" s="6734"/>
      <c r="P1735" s="386"/>
      <c r="Q1735" s="386"/>
    </row>
    <row r="1736" spans="1:17" s="1659" customFormat="1" ht="30" customHeight="1" x14ac:dyDescent="0.2">
      <c r="A1736" s="7705"/>
      <c r="B1736" s="7653"/>
      <c r="C1736" s="7724"/>
      <c r="D1736" s="7564"/>
      <c r="E1736" s="8556"/>
      <c r="F1736" s="7564"/>
      <c r="G1736" s="7997"/>
      <c r="H1736" s="7998"/>
      <c r="I1736" s="7998"/>
      <c r="J1736" s="7999"/>
      <c r="K1736" s="7564"/>
      <c r="L1736" s="6682" t="s">
        <v>7882</v>
      </c>
      <c r="M1736" s="6734"/>
      <c r="N1736" s="6734"/>
      <c r="O1736" s="6734"/>
      <c r="P1736" s="386"/>
      <c r="Q1736" s="386"/>
    </row>
    <row r="1737" spans="1:17" s="1659" customFormat="1" ht="30" customHeight="1" x14ac:dyDescent="0.2">
      <c r="A1737" s="7703"/>
      <c r="B1737" s="7652" t="s">
        <v>7889</v>
      </c>
      <c r="C1737" s="7723"/>
      <c r="D1737" s="6643">
        <v>100000000</v>
      </c>
      <c r="E1737" s="6805">
        <v>7.0000000000000007E-2</v>
      </c>
      <c r="F1737" s="6643">
        <f>D1737*E1737</f>
        <v>7000000.0000000009</v>
      </c>
      <c r="G1737" s="7732" t="s">
        <v>7890</v>
      </c>
      <c r="H1737" s="7733"/>
      <c r="I1737" s="7733"/>
      <c r="J1737" s="7734"/>
      <c r="K1737" s="7563">
        <f>(F1737+F1738)-J1738</f>
        <v>0</v>
      </c>
      <c r="L1737" s="6682" t="s">
        <v>7891</v>
      </c>
      <c r="M1737" s="6734"/>
      <c r="N1737" s="6734"/>
      <c r="O1737" s="6734"/>
      <c r="P1737" s="386"/>
      <c r="Q1737" s="386"/>
    </row>
    <row r="1738" spans="1:17" s="1659" customFormat="1" ht="30" customHeight="1" x14ac:dyDescent="0.2">
      <c r="A1738" s="7705"/>
      <c r="B1738" s="7653"/>
      <c r="C1738" s="7724"/>
      <c r="D1738" s="6643">
        <v>35000000</v>
      </c>
      <c r="E1738" s="6805">
        <v>7.0000000000000007E-2</v>
      </c>
      <c r="F1738" s="6643">
        <v>3000000</v>
      </c>
      <c r="G1738" s="6635">
        <v>10000000</v>
      </c>
      <c r="H1738" s="6635" t="s">
        <v>8245</v>
      </c>
      <c r="I1738" s="6635" t="s">
        <v>3503</v>
      </c>
      <c r="J1738" s="6635">
        <f>G1738</f>
        <v>10000000</v>
      </c>
      <c r="K1738" s="7564"/>
      <c r="L1738" s="6682" t="s">
        <v>7892</v>
      </c>
      <c r="M1738" s="6734"/>
      <c r="N1738" s="6734"/>
      <c r="O1738" s="6734"/>
      <c r="P1738" s="386"/>
      <c r="Q1738" s="386"/>
    </row>
    <row r="1739" spans="1:17" s="1659" customFormat="1" ht="30" customHeight="1" x14ac:dyDescent="0.2">
      <c r="A1739" s="6662"/>
      <c r="B1739" s="6652" t="s">
        <v>7900</v>
      </c>
      <c r="C1739" s="6684" t="s">
        <v>1172</v>
      </c>
      <c r="D1739" s="6643">
        <v>150000000</v>
      </c>
      <c r="E1739" s="6805">
        <v>7.0000000000000007E-2</v>
      </c>
      <c r="F1739" s="6643">
        <f>D1739*E1739</f>
        <v>10500000.000000002</v>
      </c>
      <c r="G1739" s="7470" t="s">
        <v>7901</v>
      </c>
      <c r="H1739" s="7493"/>
      <c r="I1739" s="7493"/>
      <c r="J1739" s="7510"/>
      <c r="K1739" s="6643"/>
      <c r="L1739" s="6682" t="s">
        <v>7902</v>
      </c>
      <c r="M1739" s="6734"/>
      <c r="N1739" s="6734"/>
      <c r="O1739" s="6734"/>
      <c r="P1739" s="386"/>
      <c r="Q1739" s="386"/>
    </row>
    <row r="1740" spans="1:17" s="1659" customFormat="1" ht="30" customHeight="1" x14ac:dyDescent="0.2">
      <c r="A1740" s="7703"/>
      <c r="B1740" s="7652" t="s">
        <v>7903</v>
      </c>
      <c r="C1740" s="7723"/>
      <c r="D1740" s="7563">
        <v>100000000</v>
      </c>
      <c r="E1740" s="8555">
        <v>7.0000000000000007E-2</v>
      </c>
      <c r="F1740" s="7563">
        <f>D1740*E1740</f>
        <v>7000000.0000000009</v>
      </c>
      <c r="G1740" s="7732" t="s">
        <v>7905</v>
      </c>
      <c r="H1740" s="7733"/>
      <c r="I1740" s="7733"/>
      <c r="J1740" s="7734"/>
      <c r="K1740" s="6643"/>
      <c r="L1740" s="6682" t="s">
        <v>7904</v>
      </c>
      <c r="M1740" s="6734"/>
      <c r="N1740" s="6734"/>
      <c r="O1740" s="6734"/>
      <c r="P1740" s="386"/>
      <c r="Q1740" s="386"/>
    </row>
    <row r="1741" spans="1:17" s="1659" customFormat="1" ht="30" customHeight="1" x14ac:dyDescent="0.2">
      <c r="A1741" s="7704"/>
      <c r="B1741" s="7665"/>
      <c r="C1741" s="7747"/>
      <c r="D1741" s="7586"/>
      <c r="E1741" s="8577"/>
      <c r="F1741" s="7586"/>
      <c r="G1741" s="7732" t="s">
        <v>7906</v>
      </c>
      <c r="H1741" s="7733"/>
      <c r="I1741" s="7733"/>
      <c r="J1741" s="7734"/>
      <c r="K1741" s="6643"/>
      <c r="L1741" s="6682"/>
      <c r="M1741" s="6734"/>
      <c r="N1741" s="6734"/>
      <c r="O1741" s="6734"/>
      <c r="P1741" s="386"/>
      <c r="Q1741" s="386"/>
    </row>
    <row r="1742" spans="1:17" s="1659" customFormat="1" ht="30" customHeight="1" x14ac:dyDescent="0.2">
      <c r="A1742" s="7704"/>
      <c r="B1742" s="7665"/>
      <c r="C1742" s="7747"/>
      <c r="D1742" s="7586"/>
      <c r="E1742" s="8577"/>
      <c r="F1742" s="7586"/>
      <c r="G1742" s="7732" t="s">
        <v>7907</v>
      </c>
      <c r="H1742" s="7733"/>
      <c r="I1742" s="7733"/>
      <c r="J1742" s="7734"/>
      <c r="K1742" s="6643"/>
      <c r="L1742" s="6682"/>
      <c r="M1742" s="6734"/>
      <c r="N1742" s="6734"/>
      <c r="O1742" s="6734"/>
      <c r="P1742" s="386"/>
      <c r="Q1742" s="386"/>
    </row>
    <row r="1743" spans="1:17" s="1659" customFormat="1" ht="30" customHeight="1" x14ac:dyDescent="0.2">
      <c r="A1743" s="7705"/>
      <c r="B1743" s="7653"/>
      <c r="C1743" s="7724"/>
      <c r="D1743" s="7564"/>
      <c r="E1743" s="8556"/>
      <c r="F1743" s="7564"/>
      <c r="G1743" s="6914">
        <v>7000000</v>
      </c>
      <c r="H1743" s="6914" t="s">
        <v>8042</v>
      </c>
      <c r="I1743" s="6914" t="s">
        <v>8044</v>
      </c>
      <c r="J1743" s="6914">
        <f>G1743</f>
        <v>7000000</v>
      </c>
      <c r="K1743" s="6918">
        <f>F1740-J1743</f>
        <v>0</v>
      </c>
      <c r="L1743" s="6923"/>
      <c r="M1743" s="6937"/>
      <c r="N1743" s="6937"/>
      <c r="O1743" s="6937"/>
      <c r="P1743" s="386"/>
      <c r="Q1743" s="386"/>
    </row>
    <row r="1744" spans="1:17" s="1659" customFormat="1" ht="30" customHeight="1" x14ac:dyDescent="0.2">
      <c r="A1744" s="6662"/>
      <c r="B1744" s="6652" t="s">
        <v>7912</v>
      </c>
      <c r="C1744" s="6684"/>
      <c r="D1744" s="6664"/>
      <c r="E1744" s="6699"/>
      <c r="F1744" s="6664"/>
      <c r="G1744" s="6635"/>
      <c r="H1744" s="6635"/>
      <c r="I1744" s="6635" t="s">
        <v>7913</v>
      </c>
      <c r="J1744" s="6635"/>
      <c r="K1744" s="6643"/>
      <c r="L1744" s="6682"/>
      <c r="M1744" s="6734"/>
      <c r="N1744" s="6734"/>
      <c r="O1744" s="6734"/>
      <c r="P1744" s="386"/>
      <c r="Q1744" s="386"/>
    </row>
    <row r="1745" spans="1:17" s="1659" customFormat="1" ht="30" customHeight="1" x14ac:dyDescent="0.2">
      <c r="A1745" s="6816"/>
      <c r="B1745" s="6813" t="s">
        <v>7925</v>
      </c>
      <c r="C1745" s="6817"/>
      <c r="D1745" s="6811">
        <v>100000000</v>
      </c>
      <c r="E1745" s="6823">
        <v>7.0000000000000007E-2</v>
      </c>
      <c r="F1745" s="6811">
        <f>D1745*E1745</f>
        <v>7000000.0000000009</v>
      </c>
      <c r="G1745" s="7732" t="s">
        <v>7944</v>
      </c>
      <c r="H1745" s="7733"/>
      <c r="I1745" s="7733"/>
      <c r="J1745" s="7734"/>
      <c r="K1745" s="6811"/>
      <c r="L1745" s="6812" t="s">
        <v>7926</v>
      </c>
      <c r="M1745" s="6820"/>
      <c r="N1745" s="6820"/>
      <c r="O1745" s="6820"/>
      <c r="P1745" s="386"/>
      <c r="Q1745" s="386"/>
    </row>
    <row r="1746" spans="1:17" s="1659" customFormat="1" ht="30" customHeight="1" x14ac:dyDescent="0.2">
      <c r="A1746" s="7703"/>
      <c r="B1746" s="7652" t="s">
        <v>7930</v>
      </c>
      <c r="C1746" s="7723"/>
      <c r="D1746" s="6881">
        <v>500000000</v>
      </c>
      <c r="E1746" s="6891">
        <v>7.0000000000000007E-2</v>
      </c>
      <c r="F1746" s="6881">
        <f>D1746*E1746</f>
        <v>35000000</v>
      </c>
      <c r="G1746" s="6810"/>
      <c r="H1746" s="6810"/>
      <c r="I1746" s="6810"/>
      <c r="J1746" s="6810"/>
      <c r="K1746" s="6811"/>
      <c r="L1746" s="6812" t="s">
        <v>7931</v>
      </c>
      <c r="M1746" s="6820"/>
      <c r="N1746" s="6820"/>
      <c r="O1746" s="6820"/>
      <c r="P1746" s="386"/>
      <c r="Q1746" s="386"/>
    </row>
    <row r="1747" spans="1:17" s="1659" customFormat="1" ht="30" customHeight="1" x14ac:dyDescent="0.2">
      <c r="A1747" s="7705"/>
      <c r="B1747" s="7653"/>
      <c r="C1747" s="7724"/>
      <c r="D1747" s="6876">
        <v>250000000</v>
      </c>
      <c r="E1747" s="6897"/>
      <c r="F1747" s="6876"/>
      <c r="G1747" s="7732" t="s">
        <v>8002</v>
      </c>
      <c r="H1747" s="7733"/>
      <c r="I1747" s="7733"/>
      <c r="J1747" s="7734"/>
      <c r="K1747" s="6876"/>
      <c r="L1747" s="6888" t="s">
        <v>8000</v>
      </c>
      <c r="M1747" s="6895"/>
      <c r="N1747" s="6895"/>
      <c r="O1747" s="6895"/>
      <c r="P1747" s="386"/>
      <c r="Q1747" s="386"/>
    </row>
    <row r="1748" spans="1:17" s="1659" customFormat="1" ht="30" customHeight="1" x14ac:dyDescent="0.2">
      <c r="A1748" s="6816"/>
      <c r="B1748" s="6813" t="s">
        <v>3107</v>
      </c>
      <c r="C1748" s="6817"/>
      <c r="D1748" s="6811">
        <v>40000000</v>
      </c>
      <c r="E1748" s="6823">
        <v>7.0000000000000007E-2</v>
      </c>
      <c r="F1748" s="6811">
        <f>D1748*E1748</f>
        <v>2800000.0000000005</v>
      </c>
      <c r="G1748" s="7732" t="s">
        <v>7932</v>
      </c>
      <c r="H1748" s="7733"/>
      <c r="I1748" s="7733"/>
      <c r="J1748" s="7734"/>
      <c r="K1748" s="6811"/>
      <c r="L1748" s="6812" t="s">
        <v>7933</v>
      </c>
      <c r="M1748" s="6820"/>
      <c r="N1748" s="6820"/>
      <c r="O1748" s="6820"/>
      <c r="P1748" s="386"/>
      <c r="Q1748" s="386"/>
    </row>
    <row r="1749" spans="1:17" s="1659" customFormat="1" ht="30" customHeight="1" x14ac:dyDescent="0.2">
      <c r="A1749" s="7703"/>
      <c r="B1749" s="7652" t="s">
        <v>7941</v>
      </c>
      <c r="C1749" s="7723"/>
      <c r="D1749" s="7563">
        <v>150000000</v>
      </c>
      <c r="E1749" s="8555">
        <v>7.0000000000000007E-2</v>
      </c>
      <c r="F1749" s="7563">
        <f>D1749*E1749</f>
        <v>10500000.000000002</v>
      </c>
      <c r="G1749" s="7991" t="s">
        <v>7943</v>
      </c>
      <c r="H1749" s="7992"/>
      <c r="I1749" s="7992"/>
      <c r="J1749" s="7993"/>
      <c r="K1749" s="7563"/>
      <c r="L1749" s="7674" t="s">
        <v>7942</v>
      </c>
      <c r="M1749" s="6820"/>
      <c r="N1749" s="6820"/>
      <c r="O1749" s="6820"/>
      <c r="P1749" s="386"/>
      <c r="Q1749" s="386"/>
    </row>
    <row r="1750" spans="1:17" s="1659" customFormat="1" ht="30" customHeight="1" x14ac:dyDescent="0.2">
      <c r="A1750" s="7705"/>
      <c r="B1750" s="7653"/>
      <c r="C1750" s="7724"/>
      <c r="D1750" s="7564"/>
      <c r="E1750" s="8556"/>
      <c r="F1750" s="7564"/>
      <c r="G1750" s="7997"/>
      <c r="H1750" s="7998"/>
      <c r="I1750" s="7998"/>
      <c r="J1750" s="7999"/>
      <c r="K1750" s="7564"/>
      <c r="L1750" s="7675"/>
      <c r="M1750" s="6734"/>
      <c r="N1750" s="6734"/>
      <c r="O1750" s="6734"/>
      <c r="P1750" s="386"/>
      <c r="Q1750" s="386"/>
    </row>
    <row r="1751" spans="1:17" s="1659" customFormat="1" ht="30" customHeight="1" x14ac:dyDescent="0.2">
      <c r="A1751" s="6833"/>
      <c r="B1751" s="6831" t="s">
        <v>7955</v>
      </c>
      <c r="C1751" s="6837"/>
      <c r="D1751" s="6826"/>
      <c r="E1751" s="6850"/>
      <c r="F1751" s="6826"/>
      <c r="G1751" s="6824">
        <v>15000000</v>
      </c>
      <c r="H1751" s="6824" t="s">
        <v>7945</v>
      </c>
      <c r="I1751" s="6824" t="s">
        <v>7956</v>
      </c>
      <c r="J1751" s="6824">
        <f>G1751</f>
        <v>15000000</v>
      </c>
      <c r="K1751" s="6826"/>
      <c r="L1751" s="6836"/>
      <c r="M1751" s="6734"/>
      <c r="N1751" s="6734"/>
      <c r="O1751" s="6734"/>
      <c r="P1751" s="386"/>
      <c r="Q1751" s="386"/>
    </row>
    <row r="1752" spans="1:17" s="1659" customFormat="1" ht="30" customHeight="1" x14ac:dyDescent="0.2">
      <c r="A1752" s="6833"/>
      <c r="B1752" s="6831" t="s">
        <v>7969</v>
      </c>
      <c r="C1752" s="6837"/>
      <c r="D1752" s="6856"/>
      <c r="E1752" s="6860"/>
      <c r="F1752" s="6856"/>
      <c r="G1752" s="6851">
        <v>14000000</v>
      </c>
      <c r="H1752" s="6851" t="s">
        <v>7968</v>
      </c>
      <c r="I1752" s="6851" t="s">
        <v>7970</v>
      </c>
      <c r="J1752" s="6851">
        <f>G1752</f>
        <v>14000000</v>
      </c>
      <c r="K1752" s="6826"/>
      <c r="L1752" s="6900"/>
      <c r="M1752" s="6843"/>
      <c r="N1752" s="6843"/>
      <c r="O1752" s="6843"/>
      <c r="P1752" s="386"/>
      <c r="Q1752" s="386"/>
    </row>
    <row r="1753" spans="1:17" s="1659" customFormat="1" ht="30" customHeight="1" x14ac:dyDescent="0.2">
      <c r="A1753" s="6833"/>
      <c r="B1753" s="6831" t="s">
        <v>7986</v>
      </c>
      <c r="C1753" s="6837"/>
      <c r="D1753" s="6853"/>
      <c r="E1753" s="6853"/>
      <c r="F1753" s="6853"/>
      <c r="G1753" s="7732" t="s">
        <v>8032</v>
      </c>
      <c r="H1753" s="7733"/>
      <c r="I1753" s="7733"/>
      <c r="J1753" s="7734"/>
      <c r="K1753" s="6826"/>
      <c r="L1753" s="6836" t="s">
        <v>8033</v>
      </c>
      <c r="M1753" s="6843"/>
      <c r="N1753" s="6843"/>
      <c r="O1753" s="6843"/>
      <c r="P1753" s="386"/>
      <c r="Q1753" s="386"/>
    </row>
    <row r="1754" spans="1:17" s="1659" customFormat="1" ht="30" customHeight="1" x14ac:dyDescent="0.2">
      <c r="A1754" s="6880"/>
      <c r="B1754" s="6879" t="s">
        <v>7992</v>
      </c>
      <c r="C1754" s="6889"/>
      <c r="D1754" s="6881"/>
      <c r="E1754" s="6881"/>
      <c r="F1754" s="6881"/>
      <c r="G1754" s="6874">
        <v>14000000</v>
      </c>
      <c r="H1754" s="6874" t="s">
        <v>7987</v>
      </c>
      <c r="I1754" s="6874" t="s">
        <v>7993</v>
      </c>
      <c r="J1754" s="6874">
        <f>G1754</f>
        <v>14000000</v>
      </c>
      <c r="K1754" s="6876"/>
      <c r="L1754" s="6888"/>
      <c r="M1754" s="6895"/>
      <c r="N1754" s="6895"/>
      <c r="O1754" s="6895"/>
      <c r="P1754" s="386"/>
      <c r="Q1754" s="386"/>
    </row>
    <row r="1755" spans="1:17" s="1659" customFormat="1" ht="30" customHeight="1" x14ac:dyDescent="0.2">
      <c r="A1755" s="6880"/>
      <c r="B1755" s="6879" t="s">
        <v>7995</v>
      </c>
      <c r="C1755" s="6889"/>
      <c r="D1755" s="6876">
        <v>300000000</v>
      </c>
      <c r="E1755" s="6897">
        <v>0.06</v>
      </c>
      <c r="F1755" s="6876">
        <f>D1755*E1755</f>
        <v>18000000</v>
      </c>
      <c r="G1755" s="6874"/>
      <c r="H1755" s="6874"/>
      <c r="I1755" s="6874"/>
      <c r="J1755" s="6874"/>
      <c r="K1755" s="6876"/>
      <c r="L1755" s="6888" t="s">
        <v>7996</v>
      </c>
      <c r="M1755" s="6895"/>
      <c r="N1755" s="6895"/>
      <c r="O1755" s="6895"/>
      <c r="P1755" s="386"/>
      <c r="Q1755" s="386"/>
    </row>
    <row r="1756" spans="1:17" s="1659" customFormat="1" ht="30" customHeight="1" x14ac:dyDescent="0.2">
      <c r="A1756" s="7703"/>
      <c r="B1756" s="7652" t="s">
        <v>8021</v>
      </c>
      <c r="C1756" s="7723"/>
      <c r="D1756" s="6899">
        <v>50000000</v>
      </c>
      <c r="E1756" s="6912">
        <v>7.0000000000000007E-2</v>
      </c>
      <c r="F1756" s="6899">
        <f>D1756*E1756</f>
        <v>3500000.0000000005</v>
      </c>
      <c r="G1756" s="6874"/>
      <c r="H1756" s="6874"/>
      <c r="I1756" s="6874"/>
      <c r="J1756" s="6874"/>
      <c r="K1756" s="6876"/>
      <c r="L1756" s="4242" t="s">
        <v>8022</v>
      </c>
      <c r="M1756" s="6895"/>
      <c r="N1756" s="6895"/>
      <c r="O1756" s="6895"/>
      <c r="P1756" s="386"/>
      <c r="Q1756" s="386"/>
    </row>
    <row r="1757" spans="1:17" s="1659" customFormat="1" ht="30" customHeight="1" x14ac:dyDescent="0.2">
      <c r="A1757" s="7705"/>
      <c r="B1757" s="7653"/>
      <c r="C1757" s="7724"/>
      <c r="D1757" s="6899">
        <v>80000000</v>
      </c>
      <c r="E1757" s="6912">
        <v>0.08</v>
      </c>
      <c r="F1757" s="6899">
        <f>D1757*E1757</f>
        <v>6400000</v>
      </c>
      <c r="G1757" s="6874"/>
      <c r="H1757" s="6874"/>
      <c r="I1757" s="6874"/>
      <c r="J1757" s="6874"/>
      <c r="K1757" s="6876"/>
      <c r="L1757" s="6942" t="s">
        <v>8023</v>
      </c>
      <c r="M1757" s="6895"/>
      <c r="N1757" s="6895"/>
      <c r="O1757" s="6895"/>
      <c r="P1757" s="386"/>
      <c r="Q1757" s="386"/>
    </row>
    <row r="1758" spans="1:17" s="1659" customFormat="1" ht="30" customHeight="1" x14ac:dyDescent="0.2">
      <c r="A1758" s="6880"/>
      <c r="B1758" s="6879" t="s">
        <v>8037</v>
      </c>
      <c r="C1758" s="6889"/>
      <c r="D1758" s="6919"/>
      <c r="E1758" s="6919"/>
      <c r="F1758" s="6919"/>
      <c r="G1758" s="6874">
        <v>25000000</v>
      </c>
      <c r="H1758" s="6874" t="s">
        <v>6460</v>
      </c>
      <c r="I1758" s="6874" t="s">
        <v>8038</v>
      </c>
      <c r="J1758" s="6874">
        <f>G1758</f>
        <v>25000000</v>
      </c>
      <c r="K1758" s="6876"/>
      <c r="L1758" s="6888"/>
      <c r="M1758" s="6895"/>
      <c r="N1758" s="6895"/>
      <c r="O1758" s="6895"/>
      <c r="P1758" s="386"/>
      <c r="Q1758" s="386"/>
    </row>
    <row r="1759" spans="1:17" s="1659" customFormat="1" ht="30" customHeight="1" x14ac:dyDescent="0.2">
      <c r="A1759" s="7703"/>
      <c r="B1759" s="7652" t="s">
        <v>8048</v>
      </c>
      <c r="C1759" s="7723"/>
      <c r="D1759" s="6874">
        <v>1500000000</v>
      </c>
      <c r="E1759" s="6874"/>
      <c r="F1759" s="6874"/>
      <c r="G1759" s="6874"/>
      <c r="H1759" s="6874"/>
      <c r="I1759" s="6874"/>
      <c r="J1759" s="6874"/>
      <c r="K1759" s="6876"/>
      <c r="L1759" s="6888" t="s">
        <v>8049</v>
      </c>
      <c r="M1759" s="6895"/>
      <c r="N1759" s="6895"/>
      <c r="O1759" s="6895"/>
      <c r="P1759" s="386"/>
      <c r="Q1759" s="386"/>
    </row>
    <row r="1760" spans="1:17" s="1659" customFormat="1" ht="30" customHeight="1" x14ac:dyDescent="0.2">
      <c r="A1760" s="7705"/>
      <c r="B1760" s="7653"/>
      <c r="C1760" s="7724"/>
      <c r="D1760" s="6918">
        <v>1200000000</v>
      </c>
      <c r="E1760" s="6918"/>
      <c r="F1760" s="6918"/>
      <c r="G1760" s="6914"/>
      <c r="H1760" s="6914"/>
      <c r="I1760" s="6914"/>
      <c r="J1760" s="6914"/>
      <c r="K1760" s="6918"/>
      <c r="L1760" s="6923" t="s">
        <v>8050</v>
      </c>
      <c r="M1760" s="6937"/>
      <c r="N1760" s="6937"/>
      <c r="O1760" s="6937"/>
      <c r="P1760" s="386"/>
      <c r="Q1760" s="386"/>
    </row>
    <row r="1761" spans="1:17" s="1659" customFormat="1" ht="30" customHeight="1" x14ac:dyDescent="0.2">
      <c r="A1761" s="6921"/>
      <c r="B1761" s="6920" t="s">
        <v>8054</v>
      </c>
      <c r="C1761" s="6924"/>
      <c r="D1761" s="6918">
        <v>100000000</v>
      </c>
      <c r="E1761" s="6941">
        <v>0.05</v>
      </c>
      <c r="F1761" s="6918">
        <f>D1761*E1761</f>
        <v>5000000</v>
      </c>
      <c r="G1761" s="6914"/>
      <c r="H1761" s="6914"/>
      <c r="I1761" s="6914"/>
      <c r="J1761" s="6914"/>
      <c r="K1761" s="6918"/>
      <c r="L1761" s="6923" t="s">
        <v>8055</v>
      </c>
      <c r="M1761" s="6937"/>
      <c r="N1761" s="6937"/>
      <c r="O1761" s="6937"/>
      <c r="P1761" s="386"/>
      <c r="Q1761" s="386"/>
    </row>
    <row r="1762" spans="1:17" s="1659" customFormat="1" ht="30" customHeight="1" x14ac:dyDescent="0.2">
      <c r="A1762" s="6921"/>
      <c r="B1762" s="6920" t="s">
        <v>8053</v>
      </c>
      <c r="C1762" s="6924"/>
      <c r="D1762" s="6918">
        <v>30000000</v>
      </c>
      <c r="E1762" s="6941">
        <v>0.05</v>
      </c>
      <c r="F1762" s="6918">
        <f>D1762*E1762</f>
        <v>1500000</v>
      </c>
      <c r="G1762" s="6914"/>
      <c r="H1762" s="6914"/>
      <c r="I1762" s="6914"/>
      <c r="J1762" s="6914"/>
      <c r="K1762" s="6918"/>
      <c r="L1762" s="6923" t="s">
        <v>8056</v>
      </c>
      <c r="M1762" s="6937"/>
      <c r="N1762" s="6937"/>
      <c r="O1762" s="6937"/>
      <c r="P1762" s="386"/>
      <c r="Q1762" s="386"/>
    </row>
    <row r="1763" spans="1:17" s="1659" customFormat="1" ht="30" customHeight="1" x14ac:dyDescent="0.2">
      <c r="A1763" s="7703"/>
      <c r="B1763" s="7652" t="s">
        <v>8087</v>
      </c>
      <c r="C1763" s="7723" t="s">
        <v>371</v>
      </c>
      <c r="D1763" s="7563">
        <v>170000000</v>
      </c>
      <c r="E1763" s="8555">
        <v>5.2999999999999999E-2</v>
      </c>
      <c r="F1763" s="7563">
        <v>9000000</v>
      </c>
      <c r="G1763" s="7732" t="s">
        <v>8088</v>
      </c>
      <c r="H1763" s="7733"/>
      <c r="I1763" s="7733"/>
      <c r="J1763" s="7734"/>
      <c r="K1763" s="6918"/>
      <c r="L1763" s="7674" t="s">
        <v>8086</v>
      </c>
      <c r="M1763" s="6937"/>
      <c r="N1763" s="6937"/>
      <c r="O1763" s="6937"/>
      <c r="P1763" s="386"/>
      <c r="Q1763" s="386"/>
    </row>
    <row r="1764" spans="1:17" s="1659" customFormat="1" ht="30" customHeight="1" x14ac:dyDescent="0.2">
      <c r="A1764" s="7705"/>
      <c r="B1764" s="7653"/>
      <c r="C1764" s="7724"/>
      <c r="D1764" s="7564"/>
      <c r="E1764" s="8556"/>
      <c r="F1764" s="7564"/>
      <c r="G1764" s="7732" t="s">
        <v>8089</v>
      </c>
      <c r="H1764" s="7733"/>
      <c r="I1764" s="7733"/>
      <c r="J1764" s="7734"/>
      <c r="K1764" s="6918"/>
      <c r="L1764" s="7675"/>
      <c r="M1764" s="6937"/>
      <c r="N1764" s="6937"/>
      <c r="O1764" s="6937"/>
      <c r="P1764" s="386"/>
      <c r="Q1764" s="386"/>
    </row>
    <row r="1765" spans="1:17" s="1659" customFormat="1" ht="30" customHeight="1" x14ac:dyDescent="0.2">
      <c r="A1765" s="6966"/>
      <c r="B1765" s="6964" t="s">
        <v>8106</v>
      </c>
      <c r="C1765" s="6968"/>
      <c r="D1765" s="6963"/>
      <c r="E1765" s="6984"/>
      <c r="F1765" s="6963"/>
      <c r="G1765" s="6969"/>
      <c r="H1765" s="6970"/>
      <c r="I1765" s="6970"/>
      <c r="J1765" s="6971"/>
      <c r="K1765" s="6963"/>
      <c r="L1765" s="6967" t="s">
        <v>8107</v>
      </c>
      <c r="M1765" s="6978"/>
      <c r="N1765" s="6978"/>
      <c r="O1765" s="6978"/>
      <c r="P1765" s="386"/>
      <c r="Q1765" s="386"/>
    </row>
    <row r="1766" spans="1:17" s="1659" customFormat="1" ht="30" customHeight="1" x14ac:dyDescent="0.2">
      <c r="A1766" s="6966"/>
      <c r="B1766" s="6964" t="s">
        <v>8113</v>
      </c>
      <c r="C1766" s="6968"/>
      <c r="D1766" s="6965"/>
      <c r="E1766" s="6973"/>
      <c r="F1766" s="6965"/>
      <c r="G1766" s="6961">
        <v>4500000</v>
      </c>
      <c r="H1766" s="6961" t="s">
        <v>8111</v>
      </c>
      <c r="I1766" s="6961" t="s">
        <v>8114</v>
      </c>
      <c r="J1766" s="6961">
        <f>G1766</f>
        <v>4500000</v>
      </c>
      <c r="K1766" s="6963"/>
      <c r="L1766" s="6967"/>
      <c r="M1766" s="6978"/>
      <c r="N1766" s="6978"/>
      <c r="O1766" s="6978"/>
      <c r="P1766" s="386"/>
      <c r="Q1766" s="386"/>
    </row>
    <row r="1767" spans="1:17" s="1659" customFormat="1" ht="30" customHeight="1" x14ac:dyDescent="0.2">
      <c r="A1767" s="6966"/>
      <c r="B1767" s="6964" t="s">
        <v>8130</v>
      </c>
      <c r="C1767" s="6968" t="s">
        <v>1300</v>
      </c>
      <c r="D1767" s="6963">
        <v>100000000</v>
      </c>
      <c r="E1767" s="6984">
        <v>7.0000000000000007E-2</v>
      </c>
      <c r="F1767" s="6989">
        <f>D1767*E1767</f>
        <v>7000000.0000000009</v>
      </c>
      <c r="G1767" s="7732" t="s">
        <v>8132</v>
      </c>
      <c r="H1767" s="7733"/>
      <c r="I1767" s="7733"/>
      <c r="J1767" s="7734"/>
      <c r="K1767" s="6963"/>
      <c r="L1767" s="6996" t="s">
        <v>8131</v>
      </c>
      <c r="M1767" s="6978"/>
      <c r="N1767" s="6978"/>
      <c r="O1767" s="6978"/>
      <c r="P1767" s="386"/>
      <c r="Q1767" s="386"/>
    </row>
    <row r="1768" spans="1:17" s="1659" customFormat="1" ht="30" customHeight="1" x14ac:dyDescent="0.2">
      <c r="A1768" s="7703"/>
      <c r="B1768" s="7864" t="s">
        <v>8138</v>
      </c>
      <c r="C1768" s="7723" t="s">
        <v>1300</v>
      </c>
      <c r="D1768" s="7563">
        <v>100000000</v>
      </c>
      <c r="E1768" s="8555">
        <v>7.0000000000000007E-2</v>
      </c>
      <c r="F1768" s="7563">
        <f>D1768*E1768</f>
        <v>7000000.0000000009</v>
      </c>
      <c r="G1768" s="7732" t="s">
        <v>8140</v>
      </c>
      <c r="H1768" s="7733"/>
      <c r="I1768" s="7733"/>
      <c r="J1768" s="7734"/>
      <c r="K1768" s="6989"/>
      <c r="L1768" s="7674" t="s">
        <v>8139</v>
      </c>
      <c r="M1768" s="7011"/>
      <c r="N1768" s="7011"/>
      <c r="O1768" s="7011"/>
      <c r="P1768" s="386"/>
      <c r="Q1768" s="386"/>
    </row>
    <row r="1769" spans="1:17" s="1659" customFormat="1" ht="30" customHeight="1" x14ac:dyDescent="0.2">
      <c r="A1769" s="7705"/>
      <c r="B1769" s="7866"/>
      <c r="C1769" s="7724"/>
      <c r="D1769" s="7564"/>
      <c r="E1769" s="8556"/>
      <c r="F1769" s="7564"/>
      <c r="G1769" s="7732" t="s">
        <v>8141</v>
      </c>
      <c r="H1769" s="7733"/>
      <c r="I1769" s="7733"/>
      <c r="J1769" s="7734"/>
      <c r="K1769" s="6989"/>
      <c r="L1769" s="7675"/>
      <c r="M1769" s="7011"/>
      <c r="N1769" s="7011"/>
      <c r="O1769" s="7011"/>
      <c r="P1769" s="386"/>
      <c r="Q1769" s="386"/>
    </row>
    <row r="1770" spans="1:17" s="1659" customFormat="1" ht="30" customHeight="1" x14ac:dyDescent="0.2">
      <c r="A1770" s="6998"/>
      <c r="B1770" s="6992" t="s">
        <v>8152</v>
      </c>
      <c r="C1770" s="7000" t="s">
        <v>1287</v>
      </c>
      <c r="D1770" s="6989">
        <v>700000000</v>
      </c>
      <c r="E1770" s="7019">
        <v>0.08</v>
      </c>
      <c r="F1770" s="6989">
        <f>D1770*E1770</f>
        <v>56000000</v>
      </c>
      <c r="G1770" s="7732" t="s">
        <v>8153</v>
      </c>
      <c r="H1770" s="7733"/>
      <c r="I1770" s="7733"/>
      <c r="J1770" s="7734"/>
      <c r="K1770" s="6989"/>
      <c r="L1770" s="6996" t="s">
        <v>8154</v>
      </c>
      <c r="M1770" s="7011"/>
      <c r="N1770" s="7011"/>
      <c r="O1770" s="7011"/>
      <c r="P1770" s="386"/>
      <c r="Q1770" s="386"/>
    </row>
    <row r="1771" spans="1:17" s="1659" customFormat="1" ht="30" customHeight="1" x14ac:dyDescent="0.2">
      <c r="A1771" s="7703"/>
      <c r="B1771" s="7652" t="s">
        <v>8171</v>
      </c>
      <c r="C1771" s="7723"/>
      <c r="D1771" s="7494" t="s">
        <v>8478</v>
      </c>
      <c r="E1771" s="7495"/>
      <c r="F1771" s="7768"/>
      <c r="G1771" s="7020">
        <v>9000000</v>
      </c>
      <c r="H1771" s="7020" t="s">
        <v>8164</v>
      </c>
      <c r="I1771" s="7020" t="s">
        <v>8172</v>
      </c>
      <c r="J1771" s="7563">
        <f>G1771+G1772</f>
        <v>21000000</v>
      </c>
      <c r="K1771" s="7563"/>
      <c r="L1771" s="7563"/>
      <c r="M1771" s="7048"/>
      <c r="N1771" s="7048"/>
      <c r="O1771" s="7048"/>
      <c r="P1771" s="386"/>
      <c r="Q1771" s="386"/>
    </row>
    <row r="1772" spans="1:17" s="1659" customFormat="1" ht="30" customHeight="1" x14ac:dyDescent="0.2">
      <c r="A1772" s="7705"/>
      <c r="B1772" s="7653"/>
      <c r="C1772" s="7724"/>
      <c r="D1772" s="7769"/>
      <c r="E1772" s="7805"/>
      <c r="F1772" s="7770"/>
      <c r="G1772" s="7357">
        <v>12000000</v>
      </c>
      <c r="H1772" s="7357" t="s">
        <v>5244</v>
      </c>
      <c r="I1772" s="7357" t="s">
        <v>8476</v>
      </c>
      <c r="J1772" s="7564"/>
      <c r="K1772" s="7564"/>
      <c r="L1772" s="7564"/>
      <c r="M1772" s="7381"/>
      <c r="N1772" s="7381"/>
      <c r="O1772" s="7381"/>
      <c r="P1772" s="386"/>
      <c r="Q1772" s="386"/>
    </row>
    <row r="1773" spans="1:17" s="1659" customFormat="1" ht="30" customHeight="1" x14ac:dyDescent="0.2">
      <c r="A1773" s="7030"/>
      <c r="B1773" s="7024" t="s">
        <v>8185</v>
      </c>
      <c r="C1773" s="7032"/>
      <c r="D1773" s="7027"/>
      <c r="E1773" s="7035"/>
      <c r="F1773" s="7027"/>
      <c r="G1773" s="7020">
        <v>1200000</v>
      </c>
      <c r="H1773" s="7020" t="s">
        <v>8186</v>
      </c>
      <c r="I1773" s="7020" t="s">
        <v>8187</v>
      </c>
      <c r="J1773" s="7020">
        <f t="shared" ref="J1773:J1780" si="134">G1773</f>
        <v>1200000</v>
      </c>
      <c r="K1773" s="7022"/>
      <c r="L1773" s="7031"/>
      <c r="M1773" s="7048"/>
      <c r="N1773" s="7048"/>
      <c r="O1773" s="7048"/>
      <c r="P1773" s="386"/>
      <c r="Q1773" s="386"/>
    </row>
    <row r="1774" spans="1:17" s="1659" customFormat="1" ht="30" customHeight="1" x14ac:dyDescent="0.2">
      <c r="A1774" s="7703"/>
      <c r="B1774" s="7652" t="s">
        <v>607</v>
      </c>
      <c r="C1774" s="7723"/>
      <c r="D1774" s="7494" t="s">
        <v>8188</v>
      </c>
      <c r="E1774" s="7495"/>
      <c r="F1774" s="7768"/>
      <c r="G1774" s="7020">
        <v>2500000</v>
      </c>
      <c r="H1774" s="7020" t="s">
        <v>8186</v>
      </c>
      <c r="I1774" s="7020" t="s">
        <v>8189</v>
      </c>
      <c r="J1774" s="7020">
        <f t="shared" si="134"/>
        <v>2500000</v>
      </c>
      <c r="K1774" s="7022"/>
      <c r="L1774" s="7031"/>
      <c r="M1774" s="7048"/>
      <c r="N1774" s="7048"/>
      <c r="O1774" s="7048"/>
      <c r="P1774" s="386"/>
      <c r="Q1774" s="386"/>
    </row>
    <row r="1775" spans="1:17" s="1659" customFormat="1" ht="30" customHeight="1" x14ac:dyDescent="0.2">
      <c r="A1775" s="7705"/>
      <c r="B1775" s="7653"/>
      <c r="C1775" s="7724"/>
      <c r="D1775" s="7769"/>
      <c r="E1775" s="7805"/>
      <c r="F1775" s="7770"/>
      <c r="G1775" s="7203">
        <v>3000000</v>
      </c>
      <c r="H1775" s="7203" t="s">
        <v>8339</v>
      </c>
      <c r="I1775" s="7203" t="s">
        <v>8340</v>
      </c>
      <c r="J1775" s="7203">
        <f>G1775</f>
        <v>3000000</v>
      </c>
      <c r="K1775" s="7207"/>
      <c r="L1775" s="7217"/>
      <c r="M1775" s="7227"/>
      <c r="N1775" s="7227"/>
      <c r="O1775" s="7227"/>
      <c r="P1775" s="386"/>
      <c r="Q1775" s="386"/>
    </row>
    <row r="1776" spans="1:17" s="1659" customFormat="1" ht="30" customHeight="1" x14ac:dyDescent="0.2">
      <c r="A1776" s="7030"/>
      <c r="B1776" s="7024" t="s">
        <v>8191</v>
      </c>
      <c r="C1776" s="7032"/>
      <c r="D1776" s="7027"/>
      <c r="E1776" s="7035"/>
      <c r="F1776" s="7027"/>
      <c r="G1776" s="7020">
        <v>2000000</v>
      </c>
      <c r="H1776" s="7020" t="s">
        <v>8186</v>
      </c>
      <c r="I1776" s="7020" t="s">
        <v>8192</v>
      </c>
      <c r="J1776" s="7020">
        <f t="shared" si="134"/>
        <v>2000000</v>
      </c>
      <c r="K1776" s="7022"/>
      <c r="L1776" s="7031"/>
      <c r="M1776" s="7048"/>
      <c r="N1776" s="7048"/>
      <c r="O1776" s="7048"/>
      <c r="P1776" s="386"/>
      <c r="Q1776" s="386"/>
    </row>
    <row r="1777" spans="1:17" s="1659" customFormat="1" ht="30" customHeight="1" x14ac:dyDescent="0.2">
      <c r="A1777" s="7030"/>
      <c r="B1777" s="7024" t="s">
        <v>8197</v>
      </c>
      <c r="C1777" s="7032"/>
      <c r="D1777" s="7027"/>
      <c r="E1777" s="7035"/>
      <c r="F1777" s="7027"/>
      <c r="G1777" s="7020">
        <v>7000000</v>
      </c>
      <c r="H1777" s="7020" t="s">
        <v>8186</v>
      </c>
      <c r="I1777" s="7020" t="s">
        <v>8198</v>
      </c>
      <c r="J1777" s="7020">
        <f t="shared" si="134"/>
        <v>7000000</v>
      </c>
      <c r="K1777" s="7022"/>
      <c r="L1777" s="7031"/>
      <c r="M1777" s="7048"/>
      <c r="N1777" s="7048"/>
      <c r="O1777" s="7048"/>
      <c r="P1777" s="386"/>
      <c r="Q1777" s="386"/>
    </row>
    <row r="1778" spans="1:17" s="1659" customFormat="1" ht="30" customHeight="1" x14ac:dyDescent="0.2">
      <c r="A1778" s="7030"/>
      <c r="B1778" s="7024" t="s">
        <v>8200</v>
      </c>
      <c r="C1778" s="7032"/>
      <c r="D1778" s="7027"/>
      <c r="E1778" s="7035"/>
      <c r="F1778" s="7027"/>
      <c r="G1778" s="7020">
        <v>20000000</v>
      </c>
      <c r="H1778" s="7020" t="s">
        <v>8186</v>
      </c>
      <c r="I1778" s="7020" t="s">
        <v>8201</v>
      </c>
      <c r="J1778" s="7020">
        <f t="shared" si="134"/>
        <v>20000000</v>
      </c>
      <c r="K1778" s="7022"/>
      <c r="L1778" s="7031"/>
      <c r="M1778" s="7048"/>
      <c r="N1778" s="7048"/>
      <c r="O1778" s="7048"/>
      <c r="P1778" s="386"/>
      <c r="Q1778" s="386"/>
    </row>
    <row r="1779" spans="1:17" s="1659" customFormat="1" ht="30" customHeight="1" x14ac:dyDescent="0.2">
      <c r="A1779" s="7064"/>
      <c r="B1779" s="7060" t="s">
        <v>8222</v>
      </c>
      <c r="C1779" s="7067"/>
      <c r="D1779" s="7063"/>
      <c r="E1779" s="7068"/>
      <c r="F1779" s="7063"/>
      <c r="G1779" s="7056">
        <v>14000000</v>
      </c>
      <c r="H1779" s="7056" t="s">
        <v>8215</v>
      </c>
      <c r="I1779" s="7056" t="s">
        <v>8223</v>
      </c>
      <c r="J1779" s="7056">
        <f t="shared" si="134"/>
        <v>14000000</v>
      </c>
      <c r="K1779" s="7059"/>
      <c r="L1779" s="7061"/>
      <c r="M1779" s="7082"/>
      <c r="N1779" s="7082"/>
      <c r="O1779" s="7082"/>
      <c r="P1779" s="386"/>
      <c r="Q1779" s="386"/>
    </row>
    <row r="1780" spans="1:17" s="1659" customFormat="1" ht="30" customHeight="1" x14ac:dyDescent="0.2">
      <c r="A1780" s="7064"/>
      <c r="B1780" s="7060" t="s">
        <v>8232</v>
      </c>
      <c r="C1780" s="7067"/>
      <c r="D1780" s="7063"/>
      <c r="E1780" s="7068"/>
      <c r="F1780" s="7063"/>
      <c r="G1780" s="7056">
        <v>1000000</v>
      </c>
      <c r="H1780" s="7056" t="s">
        <v>8215</v>
      </c>
      <c r="I1780" s="7056" t="s">
        <v>8233</v>
      </c>
      <c r="J1780" s="7056">
        <f t="shared" si="134"/>
        <v>1000000</v>
      </c>
      <c r="K1780" s="7059"/>
      <c r="L1780" s="7061"/>
      <c r="M1780" s="7082"/>
      <c r="N1780" s="7082"/>
      <c r="O1780" s="7082"/>
      <c r="P1780" s="386"/>
      <c r="Q1780" s="386"/>
    </row>
    <row r="1781" spans="1:17" s="1659" customFormat="1" ht="30" customHeight="1" x14ac:dyDescent="0.2">
      <c r="A1781" s="7064"/>
      <c r="B1781" s="7060" t="s">
        <v>8234</v>
      </c>
      <c r="C1781" s="7067"/>
      <c r="D1781" s="7059">
        <v>175000000</v>
      </c>
      <c r="E1781" s="7085">
        <v>7.0000000000000007E-2</v>
      </c>
      <c r="F1781" s="7059">
        <f>D1781*E1781</f>
        <v>12250000.000000002</v>
      </c>
      <c r="G1781" s="7056"/>
      <c r="H1781" s="7056"/>
      <c r="I1781" s="7056"/>
      <c r="J1781" s="7056"/>
      <c r="K1781" s="7059"/>
      <c r="L1781" s="7061" t="s">
        <v>8238</v>
      </c>
      <c r="M1781" s="7082"/>
      <c r="N1781" s="7082"/>
      <c r="O1781" s="7082"/>
      <c r="P1781" s="386"/>
      <c r="Q1781" s="386"/>
    </row>
    <row r="1782" spans="1:17" s="1659" customFormat="1" ht="30" customHeight="1" x14ac:dyDescent="0.2">
      <c r="A1782" s="7064"/>
      <c r="B1782" s="7060" t="s">
        <v>7893</v>
      </c>
      <c r="C1782" s="7067"/>
      <c r="D1782" s="7059">
        <v>40000000</v>
      </c>
      <c r="E1782" s="7085">
        <v>7.0000000000000007E-2</v>
      </c>
      <c r="F1782" s="7059">
        <f>D1782*E1782</f>
        <v>2800000.0000000005</v>
      </c>
      <c r="G1782" s="7056">
        <v>2800000</v>
      </c>
      <c r="H1782" s="7056" t="s">
        <v>8240</v>
      </c>
      <c r="I1782" s="7056" t="s">
        <v>8241</v>
      </c>
      <c r="J1782" s="7056">
        <f t="shared" ref="J1782:J1793" si="135">G1782</f>
        <v>2800000</v>
      </c>
      <c r="K1782" s="7059"/>
      <c r="L1782" s="7061"/>
      <c r="M1782" s="7082"/>
      <c r="N1782" s="7082"/>
      <c r="O1782" s="7082"/>
      <c r="P1782" s="386"/>
      <c r="Q1782" s="386"/>
    </row>
    <row r="1783" spans="1:17" s="1659" customFormat="1" ht="30" customHeight="1" x14ac:dyDescent="0.2">
      <c r="A1783" s="7064"/>
      <c r="B1783" s="7060" t="s">
        <v>8243</v>
      </c>
      <c r="C1783" s="7067"/>
      <c r="D1783" s="7059">
        <v>50000000</v>
      </c>
      <c r="E1783" s="7085">
        <v>7.0000000000000007E-2</v>
      </c>
      <c r="F1783" s="7059">
        <f>D1783*E1783</f>
        <v>3500000.0000000005</v>
      </c>
      <c r="G1783" s="7056">
        <v>3500000</v>
      </c>
      <c r="H1783" s="7056" t="s">
        <v>8240</v>
      </c>
      <c r="I1783" s="7056" t="s">
        <v>8244</v>
      </c>
      <c r="J1783" s="7056">
        <f t="shared" si="135"/>
        <v>3500000</v>
      </c>
      <c r="K1783" s="7059"/>
      <c r="L1783" s="7061"/>
      <c r="M1783" s="7082"/>
      <c r="N1783" s="7082"/>
      <c r="O1783" s="7082"/>
      <c r="P1783" s="386"/>
      <c r="Q1783" s="386"/>
    </row>
    <row r="1784" spans="1:17" s="1659" customFormat="1" ht="30" customHeight="1" x14ac:dyDescent="0.2">
      <c r="A1784" s="7703"/>
      <c r="B1784" s="7652" t="s">
        <v>8250</v>
      </c>
      <c r="C1784" s="7723"/>
      <c r="D1784" s="7677"/>
      <c r="E1784" s="7750"/>
      <c r="F1784" s="7677"/>
      <c r="G1784" s="7086">
        <v>3000000</v>
      </c>
      <c r="H1784" s="7086" t="s">
        <v>8247</v>
      </c>
      <c r="I1784" s="7086" t="s">
        <v>8251</v>
      </c>
      <c r="J1784" s="7086">
        <f t="shared" si="135"/>
        <v>3000000</v>
      </c>
      <c r="K1784" s="7059"/>
      <c r="L1784" s="7061"/>
      <c r="M1784" s="7082"/>
      <c r="N1784" s="7082"/>
      <c r="O1784" s="7082"/>
      <c r="P1784" s="386"/>
      <c r="Q1784" s="386"/>
    </row>
    <row r="1785" spans="1:17" s="1659" customFormat="1" ht="30" customHeight="1" x14ac:dyDescent="0.2">
      <c r="A1785" s="7705"/>
      <c r="B1785" s="7653"/>
      <c r="C1785" s="7724"/>
      <c r="D1785" s="7678"/>
      <c r="E1785" s="7751"/>
      <c r="F1785" s="7678"/>
      <c r="G1785" s="7292">
        <v>4000000</v>
      </c>
      <c r="H1785" s="7292" t="s">
        <v>8424</v>
      </c>
      <c r="I1785" s="7292" t="s">
        <v>8251</v>
      </c>
      <c r="J1785" s="7292">
        <f t="shared" si="135"/>
        <v>4000000</v>
      </c>
      <c r="K1785" s="7296"/>
      <c r="L1785" s="7314"/>
      <c r="M1785" s="7338"/>
      <c r="N1785" s="7338"/>
      <c r="O1785" s="7338"/>
      <c r="P1785" s="386"/>
      <c r="Q1785" s="386"/>
    </row>
    <row r="1786" spans="1:17" s="1659" customFormat="1" ht="30" customHeight="1" x14ac:dyDescent="0.2">
      <c r="A1786" s="7064"/>
      <c r="B1786" s="7060" t="s">
        <v>8257</v>
      </c>
      <c r="C1786" s="7067" t="s">
        <v>371</v>
      </c>
      <c r="D1786" s="7059">
        <v>150000000</v>
      </c>
      <c r="E1786" s="7085">
        <v>7.0000000000000007E-2</v>
      </c>
      <c r="F1786" s="7059">
        <f>D1786*E1786</f>
        <v>10500000.000000002</v>
      </c>
      <c r="G1786" s="7056">
        <v>10500000</v>
      </c>
      <c r="H1786" s="7056" t="s">
        <v>8247</v>
      </c>
      <c r="I1786" s="7056" t="s">
        <v>8258</v>
      </c>
      <c r="J1786" s="7056">
        <f t="shared" si="135"/>
        <v>10500000</v>
      </c>
      <c r="K1786" s="7059">
        <f>F1786-J1786</f>
        <v>0</v>
      </c>
      <c r="L1786" s="7061" t="s">
        <v>8259</v>
      </c>
      <c r="M1786" s="7082"/>
      <c r="N1786" s="7082"/>
      <c r="O1786" s="7082"/>
      <c r="P1786" s="386"/>
      <c r="Q1786" s="386"/>
    </row>
    <row r="1787" spans="1:17" s="1659" customFormat="1" ht="30" customHeight="1" x14ac:dyDescent="0.2">
      <c r="A1787" s="7129"/>
      <c r="B1787" s="7117" t="s">
        <v>8279</v>
      </c>
      <c r="C1787" s="7132"/>
      <c r="D1787" s="7126"/>
      <c r="E1787" s="7134"/>
      <c r="F1787" s="7126"/>
      <c r="G1787" s="7111">
        <v>14000000</v>
      </c>
      <c r="H1787" s="7111" t="s">
        <v>8267</v>
      </c>
      <c r="I1787" s="7111" t="s">
        <v>8280</v>
      </c>
      <c r="J1787" s="7111">
        <f t="shared" si="135"/>
        <v>14000000</v>
      </c>
      <c r="K1787" s="7114"/>
      <c r="L1787" s="7123"/>
      <c r="M1787" s="7152"/>
      <c r="N1787" s="7152"/>
      <c r="O1787" s="7152"/>
      <c r="P1787" s="386"/>
      <c r="Q1787" s="386"/>
    </row>
    <row r="1788" spans="1:17" s="1659" customFormat="1" ht="30" customHeight="1" x14ac:dyDescent="0.2">
      <c r="A1788" s="7129"/>
      <c r="B1788" s="7117" t="s">
        <v>8281</v>
      </c>
      <c r="C1788" s="7132"/>
      <c r="D1788" s="7126"/>
      <c r="E1788" s="7134"/>
      <c r="F1788" s="7126"/>
      <c r="G1788" s="7111">
        <v>500000</v>
      </c>
      <c r="H1788" s="7111" t="s">
        <v>8267</v>
      </c>
      <c r="I1788" s="7111" t="s">
        <v>8282</v>
      </c>
      <c r="J1788" s="7111">
        <f t="shared" si="135"/>
        <v>500000</v>
      </c>
      <c r="K1788" s="7114"/>
      <c r="L1788" s="7123"/>
      <c r="M1788" s="7152"/>
      <c r="N1788" s="7152"/>
      <c r="O1788" s="7152"/>
      <c r="P1788" s="386"/>
      <c r="Q1788" s="386"/>
    </row>
    <row r="1789" spans="1:17" s="1659" customFormat="1" ht="30" customHeight="1" x14ac:dyDescent="0.2">
      <c r="A1789" s="7129"/>
      <c r="B1789" s="7117" t="s">
        <v>8304</v>
      </c>
      <c r="C1789" s="7132"/>
      <c r="D1789" s="7169"/>
      <c r="E1789" s="7180"/>
      <c r="F1789" s="7169"/>
      <c r="G1789" s="7111">
        <v>50000000</v>
      </c>
      <c r="H1789" s="7111" t="s">
        <v>3880</v>
      </c>
      <c r="I1789" s="7111" t="s">
        <v>1776</v>
      </c>
      <c r="J1789" s="7111">
        <f t="shared" si="135"/>
        <v>50000000</v>
      </c>
      <c r="K1789" s="7114"/>
      <c r="L1789" s="7123"/>
      <c r="M1789" s="7152"/>
      <c r="N1789" s="7152"/>
      <c r="O1789" s="7152"/>
      <c r="P1789" s="386"/>
      <c r="Q1789" s="386"/>
    </row>
    <row r="1790" spans="1:17" s="1659" customFormat="1" ht="30" customHeight="1" x14ac:dyDescent="0.2">
      <c r="A1790" s="7129"/>
      <c r="B1790" s="7117" t="s">
        <v>8351</v>
      </c>
      <c r="C1790" s="7132"/>
      <c r="D1790" s="7252"/>
      <c r="E1790" s="7261"/>
      <c r="F1790" s="7252"/>
      <c r="G1790" s="7232">
        <v>2590000</v>
      </c>
      <c r="H1790" s="7232" t="s">
        <v>5200</v>
      </c>
      <c r="I1790" s="7232" t="s">
        <v>8352</v>
      </c>
      <c r="J1790" s="7232">
        <f t="shared" si="135"/>
        <v>2590000</v>
      </c>
      <c r="K1790" s="7114"/>
      <c r="L1790" s="7123"/>
      <c r="M1790" s="7152"/>
      <c r="N1790" s="7152"/>
      <c r="O1790" s="7152"/>
      <c r="P1790" s="386"/>
      <c r="Q1790" s="386"/>
    </row>
    <row r="1791" spans="1:17" s="1659" customFormat="1" ht="30" customHeight="1" x14ac:dyDescent="0.2">
      <c r="A1791" s="7129"/>
      <c r="B1791" s="7117" t="s">
        <v>8355</v>
      </c>
      <c r="C1791" s="7132"/>
      <c r="D1791" s="7252"/>
      <c r="E1791" s="7261"/>
      <c r="F1791" s="7252"/>
      <c r="G1791" s="7111">
        <v>10000000</v>
      </c>
      <c r="H1791" s="7111" t="s">
        <v>5200</v>
      </c>
      <c r="I1791" s="7111" t="s">
        <v>8356</v>
      </c>
      <c r="J1791" s="7111">
        <f t="shared" si="135"/>
        <v>10000000</v>
      </c>
      <c r="K1791" s="7114"/>
      <c r="L1791" s="7123"/>
      <c r="M1791" s="7152"/>
      <c r="N1791" s="7152"/>
      <c r="O1791" s="7152"/>
      <c r="P1791" s="386"/>
      <c r="Q1791" s="386"/>
    </row>
    <row r="1792" spans="1:17" s="1659" customFormat="1" ht="30" customHeight="1" x14ac:dyDescent="0.2">
      <c r="A1792" s="7310"/>
      <c r="B1792" s="7299" t="s">
        <v>8417</v>
      </c>
      <c r="C1792" s="7317"/>
      <c r="D1792" s="7307"/>
      <c r="E1792" s="7322"/>
      <c r="F1792" s="7307"/>
      <c r="G1792" s="7292">
        <v>1000000</v>
      </c>
      <c r="H1792" s="7292" t="s">
        <v>8398</v>
      </c>
      <c r="I1792" s="7292" t="s">
        <v>8418</v>
      </c>
      <c r="J1792" s="7292">
        <f t="shared" si="135"/>
        <v>1000000</v>
      </c>
      <c r="K1792" s="7296"/>
      <c r="L1792" s="7314"/>
      <c r="M1792" s="7338"/>
      <c r="N1792" s="7338"/>
      <c r="O1792" s="7338"/>
      <c r="P1792" s="386"/>
      <c r="Q1792" s="386"/>
    </row>
    <row r="1793" spans="1:17" s="1659" customFormat="1" ht="30" customHeight="1" x14ac:dyDescent="0.2">
      <c r="A1793" s="7129"/>
      <c r="B1793" s="7241" t="s">
        <v>8368</v>
      </c>
      <c r="C1793" s="7260"/>
      <c r="D1793" s="7252"/>
      <c r="E1793" s="7261"/>
      <c r="F1793" s="7252"/>
      <c r="G1793" s="7232">
        <v>7000000</v>
      </c>
      <c r="H1793" s="7232" t="s">
        <v>8366</v>
      </c>
      <c r="I1793" s="7232" t="s">
        <v>7978</v>
      </c>
      <c r="J1793" s="7232">
        <f t="shared" si="135"/>
        <v>7000000</v>
      </c>
      <c r="K1793" s="7114"/>
      <c r="L1793" s="7123"/>
      <c r="M1793" s="7152"/>
      <c r="N1793" s="7152"/>
      <c r="O1793" s="7152"/>
      <c r="P1793" s="386"/>
      <c r="Q1793" s="386"/>
    </row>
    <row r="1794" spans="1:17" s="1659" customFormat="1" ht="30" customHeight="1" x14ac:dyDescent="0.2">
      <c r="A1794" s="7129"/>
      <c r="B1794" s="7117" t="s">
        <v>8381</v>
      </c>
      <c r="C1794" s="7132" t="s">
        <v>942</v>
      </c>
      <c r="D1794" s="7114">
        <v>100000000</v>
      </c>
      <c r="E1794" s="7156">
        <v>7.0000000000000007E-2</v>
      </c>
      <c r="F1794" s="7114">
        <f>D1794*E1794</f>
        <v>7000000.0000000009</v>
      </c>
      <c r="G1794" s="7732" t="s">
        <v>8421</v>
      </c>
      <c r="H1794" s="7733"/>
      <c r="I1794" s="7733"/>
      <c r="J1794" s="7734"/>
      <c r="K1794" s="7114"/>
      <c r="L1794" s="7314" t="s">
        <v>8382</v>
      </c>
      <c r="M1794" s="7152"/>
      <c r="N1794" s="7152"/>
      <c r="O1794" s="7152"/>
      <c r="P1794" s="386"/>
      <c r="Q1794" s="386"/>
    </row>
    <row r="1795" spans="1:17" s="1659" customFormat="1" ht="30" customHeight="1" x14ac:dyDescent="0.2">
      <c r="A1795" s="7310"/>
      <c r="B1795" s="7299" t="s">
        <v>8383</v>
      </c>
      <c r="C1795" s="7317" t="s">
        <v>942</v>
      </c>
      <c r="D1795" s="7296">
        <v>60000000</v>
      </c>
      <c r="E1795" s="7352">
        <v>7.0000000000000007E-2</v>
      </c>
      <c r="F1795" s="7296">
        <f>D1795*E1795</f>
        <v>4200000</v>
      </c>
      <c r="G1795" s="7732" t="s">
        <v>8385</v>
      </c>
      <c r="H1795" s="7733"/>
      <c r="I1795" s="7733"/>
      <c r="J1795" s="7734"/>
      <c r="K1795" s="7296"/>
      <c r="L1795" s="7314" t="s">
        <v>8384</v>
      </c>
      <c r="M1795" s="7338"/>
      <c r="N1795" s="7338"/>
      <c r="O1795" s="7338"/>
      <c r="P1795" s="386"/>
      <c r="Q1795" s="386"/>
    </row>
    <row r="1796" spans="1:17" s="1659" customFormat="1" ht="30" customHeight="1" x14ac:dyDescent="0.2">
      <c r="A1796" s="7703"/>
      <c r="B1796" s="7652" t="s">
        <v>8387</v>
      </c>
      <c r="C1796" s="7723"/>
      <c r="D1796" s="7563">
        <v>450000000</v>
      </c>
      <c r="E1796" s="8555"/>
      <c r="F1796" s="7563"/>
      <c r="G1796" s="7357"/>
      <c r="H1796" s="7357"/>
      <c r="I1796" s="7357"/>
      <c r="J1796" s="7357"/>
      <c r="K1796" s="7296"/>
      <c r="L1796" s="7314" t="s">
        <v>8388</v>
      </c>
      <c r="M1796" s="7338"/>
      <c r="N1796" s="7338"/>
      <c r="O1796" s="7338"/>
      <c r="P1796" s="386"/>
      <c r="Q1796" s="386"/>
    </row>
    <row r="1797" spans="1:17" s="1659" customFormat="1" ht="30" customHeight="1" x14ac:dyDescent="0.2">
      <c r="A1797" s="7704"/>
      <c r="B1797" s="7665"/>
      <c r="C1797" s="7747"/>
      <c r="D1797" s="7586"/>
      <c r="E1797" s="8577"/>
      <c r="F1797" s="7586"/>
      <c r="G1797" s="7357"/>
      <c r="H1797" s="7357"/>
      <c r="I1797" s="7357"/>
      <c r="J1797" s="7357"/>
      <c r="K1797" s="7359"/>
      <c r="L1797" s="7365" t="s">
        <v>8474</v>
      </c>
      <c r="M1797" s="7381"/>
      <c r="N1797" s="7381"/>
      <c r="O1797" s="7381"/>
      <c r="P1797" s="386"/>
      <c r="Q1797" s="386"/>
    </row>
    <row r="1798" spans="1:17" s="1659" customFormat="1" ht="30" customHeight="1" x14ac:dyDescent="0.2">
      <c r="A1798" s="7705"/>
      <c r="B1798" s="7653"/>
      <c r="C1798" s="7724"/>
      <c r="D1798" s="7564"/>
      <c r="E1798" s="8556"/>
      <c r="F1798" s="7564"/>
      <c r="G1798" s="7357"/>
      <c r="H1798" s="7357"/>
      <c r="I1798" s="7357"/>
      <c r="J1798" s="7357"/>
      <c r="K1798" s="7359"/>
      <c r="L1798" s="7365" t="s">
        <v>8475</v>
      </c>
      <c r="M1798" s="7381"/>
      <c r="N1798" s="7381"/>
      <c r="O1798" s="7381"/>
      <c r="P1798" s="386"/>
      <c r="Q1798" s="386"/>
    </row>
    <row r="1799" spans="1:17" s="1659" customFormat="1" ht="30" customHeight="1" x14ac:dyDescent="0.2">
      <c r="A1799" s="7703"/>
      <c r="B1799" s="7652" t="s">
        <v>8444</v>
      </c>
      <c r="C1799" s="7723"/>
      <c r="D1799" s="7563">
        <v>150000000</v>
      </c>
      <c r="E1799" s="8555"/>
      <c r="F1799" s="7563"/>
      <c r="G1799" s="7991" t="s">
        <v>8397</v>
      </c>
      <c r="H1799" s="7992"/>
      <c r="I1799" s="7992"/>
      <c r="J1799" s="7993"/>
      <c r="K1799" s="7296"/>
      <c r="L1799" s="7314" t="s">
        <v>8396</v>
      </c>
      <c r="M1799" s="7338"/>
      <c r="N1799" s="7338"/>
      <c r="O1799" s="7338"/>
      <c r="P1799" s="386"/>
      <c r="Q1799" s="386"/>
    </row>
    <row r="1800" spans="1:17" s="1659" customFormat="1" ht="30" customHeight="1" x14ac:dyDescent="0.2">
      <c r="A1800" s="7705"/>
      <c r="B1800" s="7653"/>
      <c r="C1800" s="7724"/>
      <c r="D1800" s="7564"/>
      <c r="E1800" s="8556"/>
      <c r="F1800" s="7564"/>
      <c r="G1800" s="7997"/>
      <c r="H1800" s="7998"/>
      <c r="I1800" s="7998"/>
      <c r="J1800" s="7999"/>
      <c r="K1800" s="7296"/>
      <c r="L1800" s="7314" t="s">
        <v>8443</v>
      </c>
      <c r="M1800" s="7338"/>
      <c r="N1800" s="7338"/>
      <c r="O1800" s="7338"/>
      <c r="P1800" s="386"/>
      <c r="Q1800" s="386"/>
    </row>
    <row r="1801" spans="1:17" s="1659" customFormat="1" ht="30" customHeight="1" x14ac:dyDescent="0.2">
      <c r="A1801" s="7310"/>
      <c r="B1801" s="7299" t="s">
        <v>8399</v>
      </c>
      <c r="C1801" s="7317"/>
      <c r="D1801" s="7307"/>
      <c r="E1801" s="7322"/>
      <c r="F1801" s="7307"/>
      <c r="G1801" s="7292">
        <v>7350000</v>
      </c>
      <c r="H1801" s="7292" t="s">
        <v>8398</v>
      </c>
      <c r="I1801" s="7292" t="s">
        <v>8400</v>
      </c>
      <c r="J1801" s="7292">
        <f t="shared" ref="J1801:J1806" si="136">G1801</f>
        <v>7350000</v>
      </c>
      <c r="K1801" s="7296"/>
      <c r="L1801" s="7314"/>
      <c r="M1801" s="7338"/>
      <c r="N1801" s="7338"/>
      <c r="O1801" s="7338"/>
      <c r="P1801" s="386"/>
      <c r="Q1801" s="386"/>
    </row>
    <row r="1802" spans="1:17" s="1659" customFormat="1" ht="30" customHeight="1" x14ac:dyDescent="0.2">
      <c r="A1802" s="7310"/>
      <c r="B1802" s="7299" t="s">
        <v>8408</v>
      </c>
      <c r="C1802" s="7317"/>
      <c r="D1802" s="7307"/>
      <c r="E1802" s="7322"/>
      <c r="F1802" s="7307"/>
      <c r="G1802" s="7292">
        <v>7000000</v>
      </c>
      <c r="H1802" s="7292" t="s">
        <v>8398</v>
      </c>
      <c r="I1802" s="7292" t="s">
        <v>8409</v>
      </c>
      <c r="J1802" s="7292">
        <f t="shared" si="136"/>
        <v>7000000</v>
      </c>
      <c r="K1802" s="7296"/>
      <c r="L1802" s="7314"/>
      <c r="M1802" s="7338"/>
      <c r="N1802" s="7338"/>
      <c r="O1802" s="7338"/>
      <c r="P1802" s="386"/>
      <c r="Q1802" s="386"/>
    </row>
    <row r="1803" spans="1:17" s="1659" customFormat="1" ht="30" customHeight="1" x14ac:dyDescent="0.2">
      <c r="A1803" s="7310"/>
      <c r="B1803" s="7299" t="s">
        <v>8411</v>
      </c>
      <c r="C1803" s="7317"/>
      <c r="D1803" s="7307"/>
      <c r="E1803" s="7322"/>
      <c r="F1803" s="7307"/>
      <c r="G1803" s="7292">
        <v>2000000</v>
      </c>
      <c r="H1803" s="7292" t="s">
        <v>8398</v>
      </c>
      <c r="I1803" s="7292" t="s">
        <v>8412</v>
      </c>
      <c r="J1803" s="7292">
        <f t="shared" si="136"/>
        <v>2000000</v>
      </c>
      <c r="K1803" s="7296"/>
      <c r="L1803" s="7314"/>
      <c r="M1803" s="7338"/>
      <c r="N1803" s="7338"/>
      <c r="O1803" s="7338"/>
      <c r="P1803" s="386"/>
      <c r="Q1803" s="386"/>
    </row>
    <row r="1804" spans="1:17" s="1659" customFormat="1" ht="30" customHeight="1" x14ac:dyDescent="0.2">
      <c r="A1804" s="7310"/>
      <c r="B1804" s="7299" t="s">
        <v>370</v>
      </c>
      <c r="C1804" s="7317"/>
      <c r="D1804" s="7307"/>
      <c r="E1804" s="7322"/>
      <c r="F1804" s="7307"/>
      <c r="G1804" s="7291">
        <v>2800000</v>
      </c>
      <c r="H1804" s="7292" t="s">
        <v>8398</v>
      </c>
      <c r="I1804" s="7292" t="s">
        <v>8422</v>
      </c>
      <c r="J1804" s="7292">
        <f t="shared" si="136"/>
        <v>2800000</v>
      </c>
      <c r="K1804" s="7296"/>
      <c r="L1804" s="7314"/>
      <c r="M1804" s="7338"/>
      <c r="N1804" s="7338"/>
      <c r="O1804" s="7338"/>
      <c r="P1804" s="386"/>
      <c r="Q1804" s="386"/>
    </row>
    <row r="1805" spans="1:17" s="1659" customFormat="1" ht="30" customHeight="1" x14ac:dyDescent="0.2">
      <c r="A1805" s="7310"/>
      <c r="B1805" s="7299" t="s">
        <v>8423</v>
      </c>
      <c r="C1805" s="7317"/>
      <c r="D1805" s="7470" t="s">
        <v>8426</v>
      </c>
      <c r="E1805" s="7493"/>
      <c r="F1805" s="7510"/>
      <c r="G1805" s="7292">
        <v>20000000</v>
      </c>
      <c r="H1805" s="7292" t="s">
        <v>8424</v>
      </c>
      <c r="I1805" s="7292" t="s">
        <v>8425</v>
      </c>
      <c r="J1805" s="7292">
        <f t="shared" si="136"/>
        <v>20000000</v>
      </c>
      <c r="K1805" s="7296"/>
      <c r="L1805" s="7314"/>
      <c r="M1805" s="7338"/>
      <c r="N1805" s="7338"/>
      <c r="O1805" s="7338"/>
      <c r="P1805" s="386"/>
      <c r="Q1805" s="386"/>
    </row>
    <row r="1806" spans="1:17" s="1659" customFormat="1" ht="30" customHeight="1" x14ac:dyDescent="0.2">
      <c r="A1806" s="7310"/>
      <c r="B1806" s="7299" t="s">
        <v>8433</v>
      </c>
      <c r="C1806" s="7317"/>
      <c r="D1806" s="7307"/>
      <c r="E1806" s="7322"/>
      <c r="F1806" s="7307"/>
      <c r="G1806" s="7291">
        <v>13300000</v>
      </c>
      <c r="H1806" s="7292" t="s">
        <v>8424</v>
      </c>
      <c r="I1806" s="7292" t="s">
        <v>8434</v>
      </c>
      <c r="J1806" s="7292">
        <f t="shared" si="136"/>
        <v>13300000</v>
      </c>
      <c r="K1806" s="7296"/>
      <c r="L1806" s="7314"/>
      <c r="M1806" s="7338"/>
      <c r="N1806" s="7338"/>
      <c r="O1806" s="7338"/>
      <c r="P1806" s="386"/>
      <c r="Q1806" s="386"/>
    </row>
    <row r="1807" spans="1:17" s="1659" customFormat="1" ht="30" customHeight="1" x14ac:dyDescent="0.2">
      <c r="A1807" s="7310"/>
      <c r="B1807" s="7299"/>
      <c r="C1807" s="7317"/>
      <c r="D1807" s="7307"/>
      <c r="E1807" s="7322"/>
      <c r="F1807" s="7307"/>
      <c r="G1807" s="7291"/>
      <c r="H1807" s="7292"/>
      <c r="I1807" s="7292"/>
      <c r="J1807" s="7292"/>
      <c r="K1807" s="7296"/>
      <c r="L1807" s="7314"/>
      <c r="M1807" s="7338"/>
      <c r="N1807" s="7338"/>
      <c r="O1807" s="7338"/>
      <c r="P1807" s="386"/>
      <c r="Q1807" s="386"/>
    </row>
    <row r="1808" spans="1:17" s="1659" customFormat="1" ht="30" customHeight="1" x14ac:dyDescent="0.2">
      <c r="A1808" s="7310"/>
      <c r="B1808" s="7299" t="s">
        <v>8440</v>
      </c>
      <c r="C1808" s="7317"/>
      <c r="D1808" s="7296">
        <v>20000000</v>
      </c>
      <c r="E1808" s="7352">
        <v>7.0000000000000007E-2</v>
      </c>
      <c r="F1808" s="7296"/>
      <c r="G1808" s="7732" t="s">
        <v>8442</v>
      </c>
      <c r="H1808" s="7733"/>
      <c r="I1808" s="7733"/>
      <c r="J1808" s="7734"/>
      <c r="K1808" s="7296"/>
      <c r="L1808" s="7314" t="s">
        <v>8441</v>
      </c>
      <c r="M1808" s="7338"/>
      <c r="N1808" s="7338"/>
      <c r="O1808" s="7338"/>
      <c r="P1808" s="386"/>
      <c r="Q1808" s="386"/>
    </row>
    <row r="1809" spans="1:17" s="1659" customFormat="1" ht="30" customHeight="1" x14ac:dyDescent="0.2">
      <c r="A1809" s="7703"/>
      <c r="B1809" s="7652" t="s">
        <v>8450</v>
      </c>
      <c r="C1809" s="7723"/>
      <c r="D1809" s="7563">
        <v>200000000</v>
      </c>
      <c r="E1809" s="8555">
        <v>7.0000000000000007E-2</v>
      </c>
      <c r="F1809" s="7563">
        <f>D1809*E1809</f>
        <v>14000000.000000002</v>
      </c>
      <c r="G1809" s="7732" t="s">
        <v>8451</v>
      </c>
      <c r="H1809" s="7733"/>
      <c r="I1809" s="7733"/>
      <c r="J1809" s="7734"/>
      <c r="K1809" s="7296"/>
      <c r="L1809" s="7674"/>
      <c r="M1809" s="7338"/>
      <c r="N1809" s="7338"/>
      <c r="O1809" s="7338"/>
      <c r="P1809" s="386"/>
      <c r="Q1809" s="386"/>
    </row>
    <row r="1810" spans="1:17" s="1659" customFormat="1" ht="30" customHeight="1" x14ac:dyDescent="0.2">
      <c r="A1810" s="7704"/>
      <c r="B1810" s="7665"/>
      <c r="C1810" s="7747"/>
      <c r="D1810" s="7586"/>
      <c r="E1810" s="8577"/>
      <c r="F1810" s="7586"/>
      <c r="G1810" s="7732" t="s">
        <v>8452</v>
      </c>
      <c r="H1810" s="7733"/>
      <c r="I1810" s="7733"/>
      <c r="J1810" s="7734"/>
      <c r="K1810" s="7296"/>
      <c r="L1810" s="8186"/>
      <c r="M1810" s="7338"/>
      <c r="N1810" s="7338"/>
      <c r="O1810" s="7338"/>
      <c r="P1810" s="386"/>
      <c r="Q1810" s="386"/>
    </row>
    <row r="1811" spans="1:17" s="1659" customFormat="1" ht="30" customHeight="1" x14ac:dyDescent="0.2">
      <c r="A1811" s="7704"/>
      <c r="B1811" s="7665"/>
      <c r="C1811" s="7747"/>
      <c r="D1811" s="7586"/>
      <c r="E1811" s="8577"/>
      <c r="F1811" s="7586"/>
      <c r="G1811" s="7732" t="s">
        <v>8453</v>
      </c>
      <c r="H1811" s="7733"/>
      <c r="I1811" s="7733"/>
      <c r="J1811" s="7734"/>
      <c r="K1811" s="7296"/>
      <c r="L1811" s="8186"/>
      <c r="M1811" s="7338"/>
      <c r="N1811" s="7338"/>
      <c r="O1811" s="7338"/>
      <c r="P1811" s="386"/>
      <c r="Q1811" s="386"/>
    </row>
    <row r="1812" spans="1:17" s="1659" customFormat="1" ht="30" customHeight="1" x14ac:dyDescent="0.2">
      <c r="A1812" s="7705"/>
      <c r="B1812" s="7653"/>
      <c r="C1812" s="7724"/>
      <c r="D1812" s="7564"/>
      <c r="E1812" s="8556"/>
      <c r="F1812" s="7564"/>
      <c r="G1812" s="7732" t="s">
        <v>8454</v>
      </c>
      <c r="H1812" s="7733"/>
      <c r="I1812" s="7733"/>
      <c r="J1812" s="7734"/>
      <c r="K1812" s="7296"/>
      <c r="L1812" s="7675"/>
      <c r="M1812" s="7338"/>
      <c r="N1812" s="7338"/>
      <c r="O1812" s="7338"/>
      <c r="P1812" s="386"/>
      <c r="Q1812" s="386"/>
    </row>
    <row r="1813" spans="1:17" s="1659" customFormat="1" ht="30" customHeight="1" x14ac:dyDescent="0.2">
      <c r="A1813" s="7310"/>
      <c r="B1813" s="7299" t="s">
        <v>8469</v>
      </c>
      <c r="C1813" s="7317"/>
      <c r="D1813" s="7366"/>
      <c r="E1813" s="7373"/>
      <c r="F1813" s="7366"/>
      <c r="G1813" s="7356">
        <v>3000000</v>
      </c>
      <c r="H1813" s="7357" t="s">
        <v>5244</v>
      </c>
      <c r="I1813" s="7357" t="s">
        <v>8470</v>
      </c>
      <c r="J1813" s="7357">
        <f>G1813</f>
        <v>3000000</v>
      </c>
      <c r="K1813" s="7296"/>
      <c r="L1813" s="7365"/>
      <c r="M1813" s="7338"/>
      <c r="N1813" s="7338"/>
      <c r="O1813" s="7338"/>
      <c r="P1813" s="386"/>
      <c r="Q1813" s="386"/>
    </row>
    <row r="1814" spans="1:17" s="1659" customFormat="1" ht="30" customHeight="1" x14ac:dyDescent="0.2">
      <c r="A1814" s="7310"/>
      <c r="B1814" s="7299" t="s">
        <v>8471</v>
      </c>
      <c r="C1814" s="7317"/>
      <c r="D1814" s="7366"/>
      <c r="E1814" s="7373"/>
      <c r="F1814" s="7366"/>
      <c r="G1814" s="7356">
        <v>500000</v>
      </c>
      <c r="H1814" s="7357" t="s">
        <v>5244</v>
      </c>
      <c r="I1814" s="7357" t="s">
        <v>8472</v>
      </c>
      <c r="J1814" s="7357">
        <f>G1814</f>
        <v>500000</v>
      </c>
      <c r="K1814" s="7359"/>
      <c r="L1814" s="7314"/>
      <c r="M1814" s="7338"/>
      <c r="N1814" s="7338"/>
      <c r="O1814" s="7338"/>
      <c r="P1814" s="386"/>
      <c r="Q1814" s="386"/>
    </row>
    <row r="1815" spans="1:17" s="1659" customFormat="1" ht="30" customHeight="1" x14ac:dyDescent="0.2">
      <c r="A1815" s="7406"/>
      <c r="B1815" s="7405" t="s">
        <v>8489</v>
      </c>
      <c r="C1815" s="7413"/>
      <c r="D1815" s="7394">
        <v>100000000</v>
      </c>
      <c r="E1815" s="1027">
        <v>0.05</v>
      </c>
      <c r="F1815" s="7394">
        <f>D1815*E1815</f>
        <v>5000000</v>
      </c>
      <c r="G1815" s="7394"/>
      <c r="H1815" s="7394"/>
      <c r="I1815" s="7394"/>
      <c r="J1815" s="7394"/>
      <c r="K1815" s="7397"/>
      <c r="L1815" s="7407" t="s">
        <v>8500</v>
      </c>
      <c r="M1815" s="7415"/>
      <c r="N1815" s="7415"/>
      <c r="O1815" s="7415"/>
      <c r="P1815" s="386"/>
      <c r="Q1815" s="386"/>
    </row>
    <row r="1816" spans="1:17" s="1659" customFormat="1" ht="30" customHeight="1" x14ac:dyDescent="0.2">
      <c r="A1816" s="7406"/>
      <c r="B1816" s="7420"/>
      <c r="C1816" s="7413"/>
      <c r="D1816" s="7394">
        <v>50000000</v>
      </c>
      <c r="E1816" s="1027">
        <v>0.04</v>
      </c>
      <c r="F1816" s="7394">
        <f>D1816*E1816</f>
        <v>2000000</v>
      </c>
      <c r="G1816" s="7732" t="s">
        <v>8509</v>
      </c>
      <c r="H1816" s="7733"/>
      <c r="I1816" s="7733"/>
      <c r="J1816" s="7734"/>
      <c r="K1816" s="7397"/>
      <c r="L1816" s="7407" t="s">
        <v>8508</v>
      </c>
      <c r="M1816" s="7415"/>
      <c r="N1816" s="7415"/>
      <c r="O1816" s="7415"/>
      <c r="P1816" s="386"/>
      <c r="Q1816" s="386"/>
    </row>
    <row r="1817" spans="1:17" s="1659" customFormat="1" ht="30" customHeight="1" x14ac:dyDescent="0.2">
      <c r="A1817" s="7703"/>
      <c r="B1817" s="7652" t="s">
        <v>8518</v>
      </c>
      <c r="C1817" s="7723" t="s">
        <v>3219</v>
      </c>
      <c r="D1817" s="7563">
        <v>250000000</v>
      </c>
      <c r="E1817" s="8555">
        <v>7.0000000000000007E-2</v>
      </c>
      <c r="F1817" s="7563">
        <f>D1817*E1817</f>
        <v>17500000</v>
      </c>
      <c r="G1817" s="7732" t="s">
        <v>8520</v>
      </c>
      <c r="H1817" s="7733"/>
      <c r="I1817" s="7733"/>
      <c r="J1817" s="7734"/>
      <c r="K1817" s="7397"/>
      <c r="L1817" s="7674" t="s">
        <v>8519</v>
      </c>
      <c r="M1817" s="7415"/>
      <c r="N1817" s="7415"/>
      <c r="O1817" s="7415"/>
      <c r="P1817" s="386"/>
      <c r="Q1817" s="386"/>
    </row>
    <row r="1818" spans="1:17" s="1659" customFormat="1" ht="30" customHeight="1" x14ac:dyDescent="0.2">
      <c r="A1818" s="7705"/>
      <c r="B1818" s="7653"/>
      <c r="C1818" s="7724"/>
      <c r="D1818" s="7564"/>
      <c r="E1818" s="8556"/>
      <c r="F1818" s="7564"/>
      <c r="G1818" s="7732" t="s">
        <v>8522</v>
      </c>
      <c r="H1818" s="7733"/>
      <c r="I1818" s="7733"/>
      <c r="J1818" s="7734"/>
      <c r="K1818" s="7397"/>
      <c r="L1818" s="7675"/>
      <c r="M1818" s="7415"/>
      <c r="N1818" s="7415"/>
      <c r="O1818" s="7415"/>
      <c r="P1818" s="386"/>
      <c r="Q1818" s="386"/>
    </row>
    <row r="1819" spans="1:17" s="1659" customFormat="1" ht="30" customHeight="1" x14ac:dyDescent="0.2">
      <c r="A1819" s="7406"/>
      <c r="B1819" s="7405" t="s">
        <v>8524</v>
      </c>
      <c r="C1819" s="7413"/>
      <c r="D1819" s="7394">
        <v>120000000</v>
      </c>
      <c r="E1819" s="1027"/>
      <c r="F1819" s="7394"/>
      <c r="G1819" s="7394"/>
      <c r="H1819" s="7394"/>
      <c r="I1819" s="7394"/>
      <c r="J1819" s="7394"/>
      <c r="K1819" s="7397"/>
      <c r="L1819" s="7407" t="s">
        <v>8525</v>
      </c>
      <c r="M1819" s="7415"/>
      <c r="N1819" s="7415"/>
      <c r="O1819" s="7415"/>
      <c r="P1819" s="386"/>
      <c r="Q1819" s="386"/>
    </row>
    <row r="1820" spans="1:17" s="1659" customFormat="1" ht="30" customHeight="1" x14ac:dyDescent="0.2">
      <c r="A1820" s="7406"/>
      <c r="B1820" s="7399" t="s">
        <v>8526</v>
      </c>
      <c r="C1820" s="7408"/>
      <c r="D1820" s="7403"/>
      <c r="E1820" s="7409"/>
      <c r="F1820" s="7403"/>
      <c r="G1820" s="7393">
        <v>20000000</v>
      </c>
      <c r="H1820" s="7394" t="s">
        <v>8483</v>
      </c>
      <c r="I1820" s="7394" t="s">
        <v>8527</v>
      </c>
      <c r="J1820" s="7394">
        <f>G1820</f>
        <v>20000000</v>
      </c>
      <c r="K1820" s="7397"/>
      <c r="L1820" s="7407"/>
      <c r="M1820" s="7415"/>
      <c r="N1820" s="7415"/>
      <c r="O1820" s="7415"/>
      <c r="P1820" s="386"/>
      <c r="Q1820" s="386"/>
    </row>
    <row r="1821" spans="1:17" s="1659" customFormat="1" ht="30" customHeight="1" x14ac:dyDescent="0.2">
      <c r="A1821" s="7406"/>
      <c r="B1821" s="7399" t="s">
        <v>8529</v>
      </c>
      <c r="C1821" s="7408"/>
      <c r="D1821" s="7403"/>
      <c r="E1821" s="7409"/>
      <c r="F1821" s="7403"/>
      <c r="G1821" s="7394">
        <v>10000000</v>
      </c>
      <c r="H1821" s="7394" t="s">
        <v>8483</v>
      </c>
      <c r="I1821" s="7394" t="s">
        <v>8530</v>
      </c>
      <c r="J1821" s="7394">
        <f>G1821</f>
        <v>10000000</v>
      </c>
      <c r="K1821" s="7397"/>
      <c r="L1821" s="7407"/>
      <c r="M1821" s="7415"/>
      <c r="N1821" s="7415"/>
      <c r="O1821" s="7415"/>
      <c r="P1821" s="386"/>
      <c r="Q1821" s="386"/>
    </row>
    <row r="1822" spans="1:17" s="1659" customFormat="1" ht="30" customHeight="1" x14ac:dyDescent="0.2">
      <c r="A1822" s="6833"/>
      <c r="B1822" s="6831"/>
      <c r="C1822" s="6837"/>
      <c r="D1822" s="6826"/>
      <c r="E1822" s="6850"/>
      <c r="F1822" s="6826"/>
      <c r="G1822" s="7470"/>
      <c r="H1822" s="7493"/>
      <c r="I1822" s="7493"/>
      <c r="J1822" s="7510"/>
      <c r="K1822" s="6826"/>
      <c r="L1822" s="6836"/>
      <c r="M1822" s="6843"/>
      <c r="N1822" s="6843"/>
      <c r="O1822" s="6843"/>
      <c r="P1822" s="386"/>
      <c r="Q1822" s="386"/>
    </row>
    <row r="1823" spans="1:17" ht="30" customHeight="1" x14ac:dyDescent="0.2">
      <c r="A1823" s="8013"/>
      <c r="B1823" s="8014"/>
      <c r="C1823" s="1031"/>
      <c r="D1823" s="6767"/>
      <c r="E1823" s="6649"/>
      <c r="F1823" s="6643"/>
      <c r="G1823" s="6643"/>
      <c r="H1823" s="6643"/>
      <c r="I1823" s="6771"/>
      <c r="J1823" s="6643"/>
      <c r="K1823" s="6643"/>
      <c r="L1823" s="6652"/>
    </row>
  </sheetData>
  <mergeCells count="2976">
    <mergeCell ref="G1816:J1816"/>
    <mergeCell ref="G1128:J1129"/>
    <mergeCell ref="G1817:J1817"/>
    <mergeCell ref="C966:C967"/>
    <mergeCell ref="B966:B967"/>
    <mergeCell ref="A966:A967"/>
    <mergeCell ref="L966:L967"/>
    <mergeCell ref="G1818:J1818"/>
    <mergeCell ref="F1817:F1818"/>
    <mergeCell ref="E1817:E1818"/>
    <mergeCell ref="D1817:D1818"/>
    <mergeCell ref="C1817:C1818"/>
    <mergeCell ref="B1817:B1818"/>
    <mergeCell ref="L1817:L1818"/>
    <mergeCell ref="A1817:A1818"/>
    <mergeCell ref="A1413:A1418"/>
    <mergeCell ref="B1413:B1418"/>
    <mergeCell ref="C1413:C1418"/>
    <mergeCell ref="D1417:D1418"/>
    <mergeCell ref="F1417:F1418"/>
    <mergeCell ref="A1246:A1247"/>
    <mergeCell ref="B1246:B1247"/>
    <mergeCell ref="G1810:J1810"/>
    <mergeCell ref="G1811:J1811"/>
    <mergeCell ref="G1812:J1812"/>
    <mergeCell ref="D1809:D1812"/>
    <mergeCell ref="E1809:E1812"/>
    <mergeCell ref="F1809:F1812"/>
    <mergeCell ref="C1809:C1812"/>
    <mergeCell ref="B1809:B1812"/>
    <mergeCell ref="A1809:A1812"/>
    <mergeCell ref="L1809:L1812"/>
    <mergeCell ref="A1784:A1785"/>
    <mergeCell ref="B1784:B1785"/>
    <mergeCell ref="C1784:C1785"/>
    <mergeCell ref="D1784:D1785"/>
    <mergeCell ref="E1784:E1785"/>
    <mergeCell ref="F1784:F1785"/>
    <mergeCell ref="A1721:A1722"/>
    <mergeCell ref="B1721:B1722"/>
    <mergeCell ref="C1721:C1722"/>
    <mergeCell ref="D1721:D1722"/>
    <mergeCell ref="E1721:E1722"/>
    <mergeCell ref="F1721:F1722"/>
    <mergeCell ref="A622:A623"/>
    <mergeCell ref="B622:B623"/>
    <mergeCell ref="L892:L894"/>
    <mergeCell ref="B1063:B1067"/>
    <mergeCell ref="C1063:C1067"/>
    <mergeCell ref="A1063:A1067"/>
    <mergeCell ref="D1066:D1067"/>
    <mergeCell ref="E1066:E1067"/>
    <mergeCell ref="F1066:F1067"/>
    <mergeCell ref="C645:C661"/>
    <mergeCell ref="B1469:B1471"/>
    <mergeCell ref="C1469:C1471"/>
    <mergeCell ref="G1809:J1809"/>
    <mergeCell ref="K1411:K1412"/>
    <mergeCell ref="G551:K551"/>
    <mergeCell ref="G552:K552"/>
    <mergeCell ref="C1679:C1687"/>
    <mergeCell ref="D1679:D1687"/>
    <mergeCell ref="L75:L78"/>
    <mergeCell ref="C1421:C1423"/>
    <mergeCell ref="B1421:B1423"/>
    <mergeCell ref="A1421:A1423"/>
    <mergeCell ref="G1423:J1423"/>
    <mergeCell ref="J1679:J1687"/>
    <mergeCell ref="K1679:K1687"/>
    <mergeCell ref="A1655:A1657"/>
    <mergeCell ref="B1655:B1657"/>
    <mergeCell ref="C1655:C1657"/>
    <mergeCell ref="D1655:D1657"/>
    <mergeCell ref="E1655:E1657"/>
    <mergeCell ref="F1655:F1657"/>
    <mergeCell ref="A974:A975"/>
    <mergeCell ref="B974:B975"/>
    <mergeCell ref="C974:C975"/>
    <mergeCell ref="D974:D975"/>
    <mergeCell ref="E974:E975"/>
    <mergeCell ref="F974:F975"/>
    <mergeCell ref="L974:L975"/>
    <mergeCell ref="G423:G424"/>
    <mergeCell ref="H423:H424"/>
    <mergeCell ref="I423:I424"/>
    <mergeCell ref="J423:J424"/>
    <mergeCell ref="K423:K424"/>
    <mergeCell ref="L525:L526"/>
    <mergeCell ref="G1822:J1822"/>
    <mergeCell ref="G1799:J1800"/>
    <mergeCell ref="F1799:F1800"/>
    <mergeCell ref="E1799:E1800"/>
    <mergeCell ref="D1799:D1800"/>
    <mergeCell ref="C1799:C1800"/>
    <mergeCell ref="B1799:B1800"/>
    <mergeCell ref="A1799:A1800"/>
    <mergeCell ref="J895:J906"/>
    <mergeCell ref="K895:K906"/>
    <mergeCell ref="A75:A78"/>
    <mergeCell ref="B75:B78"/>
    <mergeCell ref="C75:C78"/>
    <mergeCell ref="D75:D78"/>
    <mergeCell ref="E75:E78"/>
    <mergeCell ref="F75:F78"/>
    <mergeCell ref="J75:J78"/>
    <mergeCell ref="K75:K78"/>
    <mergeCell ref="D1805:F1805"/>
    <mergeCell ref="G1190:G1191"/>
    <mergeCell ref="H1190:H1191"/>
    <mergeCell ref="C1161:C1162"/>
    <mergeCell ref="D1161:D1162"/>
    <mergeCell ref="E1161:E1162"/>
    <mergeCell ref="F1161:F1162"/>
    <mergeCell ref="J525:J526"/>
    <mergeCell ref="C622:C623"/>
    <mergeCell ref="G623:J623"/>
    <mergeCell ref="G661:J661"/>
    <mergeCell ref="B645:B661"/>
    <mergeCell ref="A645:A661"/>
    <mergeCell ref="G1808:J1808"/>
    <mergeCell ref="G1794:J1794"/>
    <mergeCell ref="G1795:J1795"/>
    <mergeCell ref="G917:J917"/>
    <mergeCell ref="B915:B918"/>
    <mergeCell ref="A915:A918"/>
    <mergeCell ref="C915:C918"/>
    <mergeCell ref="G918:J918"/>
    <mergeCell ref="G1209:J1209"/>
    <mergeCell ref="G676:J676"/>
    <mergeCell ref="B672:B677"/>
    <mergeCell ref="A672:A677"/>
    <mergeCell ref="C672:C677"/>
    <mergeCell ref="A886:A888"/>
    <mergeCell ref="B886:B888"/>
    <mergeCell ref="C886:C888"/>
    <mergeCell ref="D887:D888"/>
    <mergeCell ref="E887:E888"/>
    <mergeCell ref="F887:F888"/>
    <mergeCell ref="J886:J888"/>
    <mergeCell ref="B1018:B1019"/>
    <mergeCell ref="C1018:C1019"/>
    <mergeCell ref="A1136:A1137"/>
    <mergeCell ref="B1136:B1137"/>
    <mergeCell ref="C1136:C1137"/>
    <mergeCell ref="D1136:D1137"/>
    <mergeCell ref="B1759:B1760"/>
    <mergeCell ref="A1759:A1760"/>
    <mergeCell ref="B1658:B1659"/>
    <mergeCell ref="C1658:C1659"/>
    <mergeCell ref="D1658:D1659"/>
    <mergeCell ref="A1563:A1564"/>
    <mergeCell ref="A1469:A1471"/>
    <mergeCell ref="G1538:J1538"/>
    <mergeCell ref="F1527:F1538"/>
    <mergeCell ref="G1527:J1527"/>
    <mergeCell ref="A794:A795"/>
    <mergeCell ref="B794:B795"/>
    <mergeCell ref="C794:C795"/>
    <mergeCell ref="G682:G683"/>
    <mergeCell ref="H682:H683"/>
    <mergeCell ref="I682:I683"/>
    <mergeCell ref="J682:J683"/>
    <mergeCell ref="A1018:A1019"/>
    <mergeCell ref="E1034:E1035"/>
    <mergeCell ref="F1034:F1035"/>
    <mergeCell ref="J1034:J1035"/>
    <mergeCell ref="C1225:C1228"/>
    <mergeCell ref="D1225:D1228"/>
    <mergeCell ref="E1225:E1228"/>
    <mergeCell ref="F1225:F1228"/>
    <mergeCell ref="A1220:A1228"/>
    <mergeCell ref="F1136:F1137"/>
    <mergeCell ref="C1255:C1258"/>
    <mergeCell ref="D1257:D1258"/>
    <mergeCell ref="E1257:E1258"/>
    <mergeCell ref="F1257:F1258"/>
    <mergeCell ref="J1257:J1258"/>
    <mergeCell ref="G1534:J1534"/>
    <mergeCell ref="G916:J916"/>
    <mergeCell ref="A1196:A1205"/>
    <mergeCell ref="B1196:B1205"/>
    <mergeCell ref="B493:B505"/>
    <mergeCell ref="E1136:E1137"/>
    <mergeCell ref="G1187:J1187"/>
    <mergeCell ref="G659:J660"/>
    <mergeCell ref="A626:A629"/>
    <mergeCell ref="B626:B629"/>
    <mergeCell ref="C895:C906"/>
    <mergeCell ref="D895:D906"/>
    <mergeCell ref="E895:E906"/>
    <mergeCell ref="F895:F906"/>
    <mergeCell ref="A1192:A1193"/>
    <mergeCell ref="B1192:B1193"/>
    <mergeCell ref="C1192:C1193"/>
    <mergeCell ref="D1192:D1193"/>
    <mergeCell ref="E1192:E1193"/>
    <mergeCell ref="F1192:F1193"/>
    <mergeCell ref="C1196:C1205"/>
    <mergeCell ref="D1196:F1201"/>
    <mergeCell ref="D1202:F1205"/>
    <mergeCell ref="B1172:B1175"/>
    <mergeCell ref="C1172:C1175"/>
    <mergeCell ref="G1172:G1175"/>
    <mergeCell ref="K857:K859"/>
    <mergeCell ref="D1008:D1012"/>
    <mergeCell ref="E1008:E1012"/>
    <mergeCell ref="F1008:F1012"/>
    <mergeCell ref="J1008:J1012"/>
    <mergeCell ref="K1008:K1012"/>
    <mergeCell ref="J997:J999"/>
    <mergeCell ref="K997:K999"/>
    <mergeCell ref="G965:J965"/>
    <mergeCell ref="C936:C938"/>
    <mergeCell ref="D936:D938"/>
    <mergeCell ref="H1224:H1225"/>
    <mergeCell ref="I1224:I1225"/>
    <mergeCell ref="J1225:J1228"/>
    <mergeCell ref="F857:F859"/>
    <mergeCell ref="J857:J859"/>
    <mergeCell ref="C1022:C1023"/>
    <mergeCell ref="D1022:D1023"/>
    <mergeCell ref="E1022:E1023"/>
    <mergeCell ref="F1022:F1023"/>
    <mergeCell ref="K1225:K1228"/>
    <mergeCell ref="K943:K944"/>
    <mergeCell ref="K1139:K1140"/>
    <mergeCell ref="G1443:G1445"/>
    <mergeCell ref="H1443:H1445"/>
    <mergeCell ref="I1443:I1445"/>
    <mergeCell ref="J1443:J1445"/>
    <mergeCell ref="K1443:K1445"/>
    <mergeCell ref="G1196:J1197"/>
    <mergeCell ref="K1196:K1197"/>
    <mergeCell ref="G1198:J1199"/>
    <mergeCell ref="G1200:J1200"/>
    <mergeCell ref="G1201:J1201"/>
    <mergeCell ref="G1181:J1182"/>
    <mergeCell ref="K1181:K1182"/>
    <mergeCell ref="J1143:J1144"/>
    <mergeCell ref="K1143:K1144"/>
    <mergeCell ref="D1331:F1336"/>
    <mergeCell ref="J1220:J1224"/>
    <mergeCell ref="K1220:K1224"/>
    <mergeCell ref="D1263:F1264"/>
    <mergeCell ref="G1414:J1414"/>
    <mergeCell ref="G1415:J1415"/>
    <mergeCell ref="G1329:G1330"/>
    <mergeCell ref="B118:B131"/>
    <mergeCell ref="C118:C131"/>
    <mergeCell ref="G637:J637"/>
    <mergeCell ref="G238:J240"/>
    <mergeCell ref="D607:F608"/>
    <mergeCell ref="D609:F610"/>
    <mergeCell ref="B604:B610"/>
    <mergeCell ref="A604:A610"/>
    <mergeCell ref="C604:C610"/>
    <mergeCell ref="G607:J608"/>
    <mergeCell ref="G609:J610"/>
    <mergeCell ref="J529:J530"/>
    <mergeCell ref="A614:A615"/>
    <mergeCell ref="B614:B615"/>
    <mergeCell ref="C614:C615"/>
    <mergeCell ref="H611:H613"/>
    <mergeCell ref="C943:C944"/>
    <mergeCell ref="G795:J795"/>
    <mergeCell ref="D227:D228"/>
    <mergeCell ref="E227:E228"/>
    <mergeCell ref="F227:F228"/>
    <mergeCell ref="G228:J228"/>
    <mergeCell ref="D327:D330"/>
    <mergeCell ref="E936:E938"/>
    <mergeCell ref="F936:F938"/>
    <mergeCell ref="B943:B944"/>
    <mergeCell ref="G944:J944"/>
    <mergeCell ref="D844:E853"/>
    <mergeCell ref="F844:F853"/>
    <mergeCell ref="J844:J853"/>
    <mergeCell ref="A855:A856"/>
    <mergeCell ref="B855:B856"/>
    <mergeCell ref="L420:L422"/>
    <mergeCell ref="A132:A134"/>
    <mergeCell ref="B132:B134"/>
    <mergeCell ref="C132:C134"/>
    <mergeCell ref="D133:D134"/>
    <mergeCell ref="E133:E134"/>
    <mergeCell ref="F133:F134"/>
    <mergeCell ref="A1244:A1245"/>
    <mergeCell ref="B1244:B1245"/>
    <mergeCell ref="C1244:C1245"/>
    <mergeCell ref="D1244:D1245"/>
    <mergeCell ref="E1244:E1245"/>
    <mergeCell ref="F1244:F1245"/>
    <mergeCell ref="A857:A859"/>
    <mergeCell ref="B857:B859"/>
    <mergeCell ref="C857:C859"/>
    <mergeCell ref="D857:D859"/>
    <mergeCell ref="E857:E859"/>
    <mergeCell ref="L857:L859"/>
    <mergeCell ref="E141:E142"/>
    <mergeCell ref="F141:F142"/>
    <mergeCell ref="L921:L922"/>
    <mergeCell ref="C919:C922"/>
    <mergeCell ref="G922:J922"/>
    <mergeCell ref="G951:J951"/>
    <mergeCell ref="A206:A217"/>
    <mergeCell ref="C206:C217"/>
    <mergeCell ref="D215:F216"/>
    <mergeCell ref="D1030:D1033"/>
    <mergeCell ref="E1030:E1033"/>
    <mergeCell ref="H1033:H1034"/>
    <mergeCell ref="I1033:I1034"/>
    <mergeCell ref="A1711:A1712"/>
    <mergeCell ref="B1711:B1712"/>
    <mergeCell ref="A1601:A1602"/>
    <mergeCell ref="B1601:B1602"/>
    <mergeCell ref="C1601:C1602"/>
    <mergeCell ref="G1628:J1628"/>
    <mergeCell ref="G1629:J1629"/>
    <mergeCell ref="G1613:J1613"/>
    <mergeCell ref="A1624:A1625"/>
    <mergeCell ref="B1624:B1625"/>
    <mergeCell ref="A1740:A1743"/>
    <mergeCell ref="B1740:B1743"/>
    <mergeCell ref="C1740:C1743"/>
    <mergeCell ref="D1740:D1743"/>
    <mergeCell ref="E1740:E1743"/>
    <mergeCell ref="F1740:F1743"/>
    <mergeCell ref="F1601:F1602"/>
    <mergeCell ref="E1658:E1659"/>
    <mergeCell ref="F1658:F1659"/>
    <mergeCell ref="A1658:A1659"/>
    <mergeCell ref="G1658:J1658"/>
    <mergeCell ref="F1711:F1712"/>
    <mergeCell ref="D1660:D1662"/>
    <mergeCell ref="E1660:E1662"/>
    <mergeCell ref="F1660:F1662"/>
    <mergeCell ref="J1661:J1662"/>
    <mergeCell ref="B1631:B1633"/>
    <mergeCell ref="C1631:C1633"/>
    <mergeCell ref="D1631:D1633"/>
    <mergeCell ref="E1631:E1633"/>
    <mergeCell ref="D1601:D1602"/>
    <mergeCell ref="E1601:E1602"/>
    <mergeCell ref="A1255:A1258"/>
    <mergeCell ref="B1255:B1258"/>
    <mergeCell ref="B1613:B1623"/>
    <mergeCell ref="C1613:C1623"/>
    <mergeCell ref="G1620:J1620"/>
    <mergeCell ref="G1621:J1621"/>
    <mergeCell ref="G1622:J1622"/>
    <mergeCell ref="C1759:C1760"/>
    <mergeCell ref="D1628:D1630"/>
    <mergeCell ref="B1746:B1747"/>
    <mergeCell ref="A1746:A1747"/>
    <mergeCell ref="C1746:C1747"/>
    <mergeCell ref="G1747:J1747"/>
    <mergeCell ref="D1724:D1725"/>
    <mergeCell ref="E1724:E1725"/>
    <mergeCell ref="F1724:F1725"/>
    <mergeCell ref="F1713:F1716"/>
    <mergeCell ref="J1713:J1716"/>
    <mergeCell ref="E1628:E1630"/>
    <mergeCell ref="F1628:F1630"/>
    <mergeCell ref="E1679:E1687"/>
    <mergeCell ref="F1679:F1687"/>
    <mergeCell ref="A1705:A1708"/>
    <mergeCell ref="B1705:B1708"/>
    <mergeCell ref="C1705:C1708"/>
    <mergeCell ref="D1705:F1708"/>
    <mergeCell ref="J1705:J1708"/>
    <mergeCell ref="C1711:C1712"/>
    <mergeCell ref="D1711:D1712"/>
    <mergeCell ref="E1711:E1712"/>
    <mergeCell ref="G1648:J1648"/>
    <mergeCell ref="J1624:J1625"/>
    <mergeCell ref="L1734:L1735"/>
    <mergeCell ref="E1734:E1736"/>
    <mergeCell ref="F1734:F1736"/>
    <mergeCell ref="J1724:J1725"/>
    <mergeCell ref="K1724:K1725"/>
    <mergeCell ref="A1726:A1727"/>
    <mergeCell ref="B1726:B1727"/>
    <mergeCell ref="C1726:C1727"/>
    <mergeCell ref="G1726:J1726"/>
    <mergeCell ref="G1727:J1727"/>
    <mergeCell ref="L1719:L1720"/>
    <mergeCell ref="K1624:K1625"/>
    <mergeCell ref="A1628:A1630"/>
    <mergeCell ref="B1628:B1630"/>
    <mergeCell ref="C1628:C1630"/>
    <mergeCell ref="L1713:L1716"/>
    <mergeCell ref="A1719:A1720"/>
    <mergeCell ref="B1719:B1720"/>
    <mergeCell ref="C1719:C1720"/>
    <mergeCell ref="D1719:D1720"/>
    <mergeCell ref="E1719:E1720"/>
    <mergeCell ref="F1719:F1720"/>
    <mergeCell ref="L1705:L1708"/>
    <mergeCell ref="G1709:J1709"/>
    <mergeCell ref="G1711:J1711"/>
    <mergeCell ref="A1713:A1716"/>
    <mergeCell ref="B1713:B1716"/>
    <mergeCell ref="C1713:C1716"/>
    <mergeCell ref="D1713:D1716"/>
    <mergeCell ref="E1713:E1716"/>
    <mergeCell ref="K1661:K1662"/>
    <mergeCell ref="K1713:K1716"/>
    <mergeCell ref="G1720:J1720"/>
    <mergeCell ref="G1723:J1723"/>
    <mergeCell ref="A5:A6"/>
    <mergeCell ref="B5:B6"/>
    <mergeCell ref="C5:C6"/>
    <mergeCell ref="G103:J104"/>
    <mergeCell ref="D103:D104"/>
    <mergeCell ref="E103:E104"/>
    <mergeCell ref="F103:F104"/>
    <mergeCell ref="C102:C104"/>
    <mergeCell ref="G1753:J1753"/>
    <mergeCell ref="A267:A270"/>
    <mergeCell ref="B267:B270"/>
    <mergeCell ref="D269:D270"/>
    <mergeCell ref="E269:E270"/>
    <mergeCell ref="F269:F270"/>
    <mergeCell ref="J269:J270"/>
    <mergeCell ref="G1585:J1586"/>
    <mergeCell ref="G1573:G1575"/>
    <mergeCell ref="H1573:H1575"/>
    <mergeCell ref="I1573:I1575"/>
    <mergeCell ref="J1573:J1575"/>
    <mergeCell ref="B1565:B1569"/>
    <mergeCell ref="C1565:C1569"/>
    <mergeCell ref="D1567:F1569"/>
    <mergeCell ref="J1567:J1569"/>
    <mergeCell ref="G1528:J1528"/>
    <mergeCell ref="G1529:J1529"/>
    <mergeCell ref="G1530:J1530"/>
    <mergeCell ref="G1531:J1531"/>
    <mergeCell ref="G1532:J1532"/>
    <mergeCell ref="G1533:J1533"/>
    <mergeCell ref="K269:K270"/>
    <mergeCell ref="A113:A117"/>
    <mergeCell ref="B113:B117"/>
    <mergeCell ref="C113:C117"/>
    <mergeCell ref="G117:J117"/>
    <mergeCell ref="B932:B935"/>
    <mergeCell ref="A932:A935"/>
    <mergeCell ref="C932:C935"/>
    <mergeCell ref="D1654:F1654"/>
    <mergeCell ref="D1734:D1736"/>
    <mergeCell ref="A1724:A1725"/>
    <mergeCell ref="B1724:B1725"/>
    <mergeCell ref="C1724:C1725"/>
    <mergeCell ref="I259:I261"/>
    <mergeCell ref="G1587:J1587"/>
    <mergeCell ref="A1591:A1592"/>
    <mergeCell ref="B1591:B1592"/>
    <mergeCell ref="E1595:E1596"/>
    <mergeCell ref="F1595:F1596"/>
    <mergeCell ref="A1607:A1610"/>
    <mergeCell ref="B1607:B1610"/>
    <mergeCell ref="C1607:C1610"/>
    <mergeCell ref="G1624:G1625"/>
    <mergeCell ref="H1624:H1625"/>
    <mergeCell ref="I1624:I1625"/>
    <mergeCell ref="G1603:J1603"/>
    <mergeCell ref="A1605:A1606"/>
    <mergeCell ref="A1613:A1623"/>
    <mergeCell ref="F1581:F1583"/>
    <mergeCell ref="D1607:D1610"/>
    <mergeCell ref="E1607:E1610"/>
    <mergeCell ref="F1607:F1610"/>
    <mergeCell ref="A1823:B1823"/>
    <mergeCell ref="K473:K474"/>
    <mergeCell ref="J473:J474"/>
    <mergeCell ref="G1739:J1739"/>
    <mergeCell ref="G1740:J1740"/>
    <mergeCell ref="G1741:J1741"/>
    <mergeCell ref="G1742:J1742"/>
    <mergeCell ref="G1734:J1734"/>
    <mergeCell ref="K1734:K1736"/>
    <mergeCell ref="G1719:J1719"/>
    <mergeCell ref="K1705:K1708"/>
    <mergeCell ref="K1690:K1693"/>
    <mergeCell ref="G1672:J1672"/>
    <mergeCell ref="G1655:J1656"/>
    <mergeCell ref="G1660:J1660"/>
    <mergeCell ref="G1735:J1736"/>
    <mergeCell ref="A1737:A1738"/>
    <mergeCell ref="B1737:B1738"/>
    <mergeCell ref="C1737:C1738"/>
    <mergeCell ref="G1737:J1737"/>
    <mergeCell ref="K1737:K1738"/>
    <mergeCell ref="A1734:A1736"/>
    <mergeCell ref="B1734:B1736"/>
    <mergeCell ref="C1734:C1736"/>
    <mergeCell ref="C1605:C1606"/>
    <mergeCell ref="D1605:D1606"/>
    <mergeCell ref="E1605:E1606"/>
    <mergeCell ref="F1605:F1606"/>
    <mergeCell ref="G1605:J1605"/>
    <mergeCell ref="G1599:J1599"/>
    <mergeCell ref="K1585:K1586"/>
    <mergeCell ref="C1624:C1625"/>
    <mergeCell ref="L1698:L1699"/>
    <mergeCell ref="G1699:J1699"/>
    <mergeCell ref="A1701:A1704"/>
    <mergeCell ref="B1701:B1704"/>
    <mergeCell ref="C1701:C1704"/>
    <mergeCell ref="D1701:D1704"/>
    <mergeCell ref="E1701:E1704"/>
    <mergeCell ref="F1701:F1704"/>
    <mergeCell ref="L1690:L1693"/>
    <mergeCell ref="G1691:J1691"/>
    <mergeCell ref="G1692:J1692"/>
    <mergeCell ref="G1693:J1693"/>
    <mergeCell ref="G1690:J1690"/>
    <mergeCell ref="A1690:A1695"/>
    <mergeCell ref="B1690:B1695"/>
    <mergeCell ref="C1690:C1695"/>
    <mergeCell ref="D1690:D1695"/>
    <mergeCell ref="E1690:E1695"/>
    <mergeCell ref="F1690:F1695"/>
    <mergeCell ref="J1694:J1695"/>
    <mergeCell ref="K1694:K1695"/>
    <mergeCell ref="G1701:J1701"/>
    <mergeCell ref="G1702:J1702"/>
    <mergeCell ref="G1703:J1703"/>
    <mergeCell ref="G1698:J1698"/>
    <mergeCell ref="A1698:A1700"/>
    <mergeCell ref="B1698:B1700"/>
    <mergeCell ref="C1698:C1700"/>
    <mergeCell ref="D1698:D1700"/>
    <mergeCell ref="E1698:E1700"/>
    <mergeCell ref="F1698:F1700"/>
    <mergeCell ref="L1672:L1673"/>
    <mergeCell ref="G1673:J1673"/>
    <mergeCell ref="G1674:J1674"/>
    <mergeCell ref="G1676:J1676"/>
    <mergeCell ref="A1679:A1688"/>
    <mergeCell ref="B1679:B1688"/>
    <mergeCell ref="A1669:A1670"/>
    <mergeCell ref="B1669:B1670"/>
    <mergeCell ref="C1669:C1670"/>
    <mergeCell ref="G1669:J1670"/>
    <mergeCell ref="A1672:A1673"/>
    <mergeCell ref="B1672:B1673"/>
    <mergeCell ref="C1672:C1673"/>
    <mergeCell ref="D1672:D1673"/>
    <mergeCell ref="E1672:E1673"/>
    <mergeCell ref="F1672:F1673"/>
    <mergeCell ref="A1676:A1678"/>
    <mergeCell ref="B1676:B1678"/>
    <mergeCell ref="C1676:C1678"/>
    <mergeCell ref="D1676:D1678"/>
    <mergeCell ref="E1676:E1678"/>
    <mergeCell ref="F1676:F1678"/>
    <mergeCell ref="K1677:K1678"/>
    <mergeCell ref="J1677:J1678"/>
    <mergeCell ref="L1648:L1649"/>
    <mergeCell ref="G1649:J1649"/>
    <mergeCell ref="A1652:A1653"/>
    <mergeCell ref="B1652:B1653"/>
    <mergeCell ref="C1652:C1653"/>
    <mergeCell ref="D1652:F1653"/>
    <mergeCell ref="F1645:F1647"/>
    <mergeCell ref="G1645:J1645"/>
    <mergeCell ref="G1646:J1646"/>
    <mergeCell ref="G1647:J1647"/>
    <mergeCell ref="A1648:A1651"/>
    <mergeCell ref="B1648:B1651"/>
    <mergeCell ref="C1648:C1651"/>
    <mergeCell ref="D1648:D1651"/>
    <mergeCell ref="E1648:E1651"/>
    <mergeCell ref="F1648:F1651"/>
    <mergeCell ref="L1639:L1641"/>
    <mergeCell ref="G1640:J1640"/>
    <mergeCell ref="G1641:J1641"/>
    <mergeCell ref="G1642:J1642"/>
    <mergeCell ref="G1643:J1643"/>
    <mergeCell ref="A1645:A1647"/>
    <mergeCell ref="B1645:B1647"/>
    <mergeCell ref="C1645:C1647"/>
    <mergeCell ref="D1645:D1647"/>
    <mergeCell ref="E1645:E1647"/>
    <mergeCell ref="L1636:L1638"/>
    <mergeCell ref="G1637:J1637"/>
    <mergeCell ref="G1638:J1638"/>
    <mergeCell ref="A1639:A1642"/>
    <mergeCell ref="B1639:B1642"/>
    <mergeCell ref="C1639:C1642"/>
    <mergeCell ref="D1639:D1641"/>
    <mergeCell ref="E1639:E1641"/>
    <mergeCell ref="F1639:F1641"/>
    <mergeCell ref="G1639:J1639"/>
    <mergeCell ref="G1631:J1631"/>
    <mergeCell ref="G1634:J1634"/>
    <mergeCell ref="A1635:A1638"/>
    <mergeCell ref="B1635:B1638"/>
    <mergeCell ref="G1635:J1635"/>
    <mergeCell ref="C1636:C1638"/>
    <mergeCell ref="D1636:D1638"/>
    <mergeCell ref="E1636:E1638"/>
    <mergeCell ref="F1636:F1638"/>
    <mergeCell ref="G1636:J1636"/>
    <mergeCell ref="A1631:A1633"/>
    <mergeCell ref="F1631:F1633"/>
    <mergeCell ref="G1633:J1633"/>
    <mergeCell ref="L1614:L1618"/>
    <mergeCell ref="D1620:F1621"/>
    <mergeCell ref="G1601:J1601"/>
    <mergeCell ref="A1599:A1600"/>
    <mergeCell ref="B1599:B1600"/>
    <mergeCell ref="C1599:C1600"/>
    <mergeCell ref="D1599:D1600"/>
    <mergeCell ref="E1599:E1600"/>
    <mergeCell ref="F1599:F1600"/>
    <mergeCell ref="B1605:B1606"/>
    <mergeCell ref="G1595:J1595"/>
    <mergeCell ref="A1597:A1598"/>
    <mergeCell ref="B1597:B1598"/>
    <mergeCell ref="C1597:C1598"/>
    <mergeCell ref="D1597:D1598"/>
    <mergeCell ref="E1597:E1598"/>
    <mergeCell ref="A1593:A1594"/>
    <mergeCell ref="B1593:B1594"/>
    <mergeCell ref="C1593:C1594"/>
    <mergeCell ref="D1593:D1594"/>
    <mergeCell ref="E1593:E1594"/>
    <mergeCell ref="F1593:F1594"/>
    <mergeCell ref="F1597:F1598"/>
    <mergeCell ref="G1597:J1597"/>
    <mergeCell ref="A1595:A1596"/>
    <mergeCell ref="B1595:B1596"/>
    <mergeCell ref="C1595:C1596"/>
    <mergeCell ref="D1595:D1596"/>
    <mergeCell ref="K1573:K1575"/>
    <mergeCell ref="C1591:C1592"/>
    <mergeCell ref="D1591:D1592"/>
    <mergeCell ref="E1591:E1592"/>
    <mergeCell ref="F1591:F1592"/>
    <mergeCell ref="A1585:A1589"/>
    <mergeCell ref="B1585:B1589"/>
    <mergeCell ref="C1585:C1589"/>
    <mergeCell ref="D1585:D1589"/>
    <mergeCell ref="E1585:E1589"/>
    <mergeCell ref="F1585:F1589"/>
    <mergeCell ref="A1570:A1572"/>
    <mergeCell ref="B1570:B1572"/>
    <mergeCell ref="C1570:C1572"/>
    <mergeCell ref="G1570:J1571"/>
    <mergeCell ref="A1573:A1575"/>
    <mergeCell ref="B1573:B1575"/>
    <mergeCell ref="C1573:C1575"/>
    <mergeCell ref="D1573:D1574"/>
    <mergeCell ref="E1573:E1574"/>
    <mergeCell ref="F1573:F1574"/>
    <mergeCell ref="G1581:J1581"/>
    <mergeCell ref="A1581:A1583"/>
    <mergeCell ref="B1581:B1583"/>
    <mergeCell ref="C1581:C1583"/>
    <mergeCell ref="D1581:D1583"/>
    <mergeCell ref="E1581:E1583"/>
    <mergeCell ref="K1567:K1569"/>
    <mergeCell ref="A1556:A1557"/>
    <mergeCell ref="B1556:B1557"/>
    <mergeCell ref="C1556:C1557"/>
    <mergeCell ref="D1556:D1557"/>
    <mergeCell ref="E1556:E1557"/>
    <mergeCell ref="F1556:F1557"/>
    <mergeCell ref="D1565:D1566"/>
    <mergeCell ref="E1565:E1566"/>
    <mergeCell ref="F1565:F1566"/>
    <mergeCell ref="J1565:J1566"/>
    <mergeCell ref="K1565:K1566"/>
    <mergeCell ref="K1540:K1542"/>
    <mergeCell ref="G1543:J1543"/>
    <mergeCell ref="A1553:A1554"/>
    <mergeCell ref="B1553:B1554"/>
    <mergeCell ref="C1553:C1554"/>
    <mergeCell ref="D1553:D1554"/>
    <mergeCell ref="E1553:E1554"/>
    <mergeCell ref="F1553:F1554"/>
    <mergeCell ref="A1539:A1542"/>
    <mergeCell ref="B1539:B1542"/>
    <mergeCell ref="C1539:C1542"/>
    <mergeCell ref="G1539:J1539"/>
    <mergeCell ref="D1540:D1542"/>
    <mergeCell ref="E1540:E1542"/>
    <mergeCell ref="F1540:F1542"/>
    <mergeCell ref="F1563:F1564"/>
    <mergeCell ref="B1563:B1564"/>
    <mergeCell ref="C1563:C1564"/>
    <mergeCell ref="D1563:D1564"/>
    <mergeCell ref="E1563:E1564"/>
    <mergeCell ref="G1535:J1535"/>
    <mergeCell ref="G1501:J1501"/>
    <mergeCell ref="G1502:J1502"/>
    <mergeCell ref="G1503:J1503"/>
    <mergeCell ref="K1520:K1521"/>
    <mergeCell ref="A1525:A1538"/>
    <mergeCell ref="B1525:B1537"/>
    <mergeCell ref="C1525:C1538"/>
    <mergeCell ref="D1525:D1526"/>
    <mergeCell ref="E1525:E1526"/>
    <mergeCell ref="F1525:F1526"/>
    <mergeCell ref="G1525:J1525"/>
    <mergeCell ref="D1527:D1538"/>
    <mergeCell ref="E1527:E1538"/>
    <mergeCell ref="J1512:J1516"/>
    <mergeCell ref="K1512:K1516"/>
    <mergeCell ref="G1517:J1517"/>
    <mergeCell ref="A1520:A1521"/>
    <mergeCell ref="B1520:B1521"/>
    <mergeCell ref="C1520:C1521"/>
    <mergeCell ref="G1520:G1521"/>
    <mergeCell ref="H1520:H1521"/>
    <mergeCell ref="I1520:I1521"/>
    <mergeCell ref="J1520:J1521"/>
    <mergeCell ref="A1512:A1516"/>
    <mergeCell ref="B1512:B1516"/>
    <mergeCell ref="C1512:C1516"/>
    <mergeCell ref="D1512:D1516"/>
    <mergeCell ref="E1512:E1516"/>
    <mergeCell ref="F1512:F1516"/>
    <mergeCell ref="G1536:J1536"/>
    <mergeCell ref="G1537:J1537"/>
    <mergeCell ref="D1469:D1471"/>
    <mergeCell ref="E1469:E1471"/>
    <mergeCell ref="F1469:F1471"/>
    <mergeCell ref="G1469:K1469"/>
    <mergeCell ref="G1472:K1472"/>
    <mergeCell ref="K1473:K1474"/>
    <mergeCell ref="A1510:A1511"/>
    <mergeCell ref="B1510:B1511"/>
    <mergeCell ref="C1510:C1511"/>
    <mergeCell ref="D1510:D1511"/>
    <mergeCell ref="E1510:E1511"/>
    <mergeCell ref="F1510:F1511"/>
    <mergeCell ref="K1505:K1507"/>
    <mergeCell ref="A1492:A1493"/>
    <mergeCell ref="B1492:B1493"/>
    <mergeCell ref="C1492:C1493"/>
    <mergeCell ref="D1492:D1493"/>
    <mergeCell ref="E1492:E1493"/>
    <mergeCell ref="F1492:F1493"/>
    <mergeCell ref="E1480:E1481"/>
    <mergeCell ref="F1480:F1481"/>
    <mergeCell ref="G1481:J1481"/>
    <mergeCell ref="A1483:A1485"/>
    <mergeCell ref="B1483:B1485"/>
    <mergeCell ref="C1483:C1485"/>
    <mergeCell ref="G1484:J1484"/>
    <mergeCell ref="A1478:A1479"/>
    <mergeCell ref="B1478:B1479"/>
    <mergeCell ref="A1480:A1482"/>
    <mergeCell ref="B1480:B1482"/>
    <mergeCell ref="C1480:C1482"/>
    <mergeCell ref="D1480:D1481"/>
    <mergeCell ref="L1505:L1507"/>
    <mergeCell ref="D1508:D1509"/>
    <mergeCell ref="E1508:E1509"/>
    <mergeCell ref="F1508:F1509"/>
    <mergeCell ref="J1508:J1509"/>
    <mergeCell ref="K1508:K1509"/>
    <mergeCell ref="L1508:L1509"/>
    <mergeCell ref="D1504:D1507"/>
    <mergeCell ref="E1504:E1507"/>
    <mergeCell ref="F1504:F1507"/>
    <mergeCell ref="G1504:J1504"/>
    <mergeCell ref="J1505:J1507"/>
    <mergeCell ref="A1497:A1509"/>
    <mergeCell ref="B1497:B1509"/>
    <mergeCell ref="C1497:C1509"/>
    <mergeCell ref="G1497:K1497"/>
    <mergeCell ref="G1498:J1498"/>
    <mergeCell ref="G1499:J1499"/>
    <mergeCell ref="G1500:J1500"/>
    <mergeCell ref="F1453:F1454"/>
    <mergeCell ref="G1453:G1454"/>
    <mergeCell ref="H1453:H1454"/>
    <mergeCell ref="I1453:I1454"/>
    <mergeCell ref="A1451:A1452"/>
    <mergeCell ref="B1451:B1452"/>
    <mergeCell ref="C1451:C1452"/>
    <mergeCell ref="D1451:D1452"/>
    <mergeCell ref="E1451:E1452"/>
    <mergeCell ref="F1451:F1452"/>
    <mergeCell ref="L1462:L1463"/>
    <mergeCell ref="G1463:J1463"/>
    <mergeCell ref="A1465:A1468"/>
    <mergeCell ref="B1465:B1468"/>
    <mergeCell ref="C1465:C1468"/>
    <mergeCell ref="G1466:K1466"/>
    <mergeCell ref="G1467:K1467"/>
    <mergeCell ref="A1473:A1475"/>
    <mergeCell ref="B1473:B1475"/>
    <mergeCell ref="C1473:C1475"/>
    <mergeCell ref="G1475:K1475"/>
    <mergeCell ref="A1459:A1461"/>
    <mergeCell ref="B1459:B1461"/>
    <mergeCell ref="C1459:C1461"/>
    <mergeCell ref="G1462:J1462"/>
    <mergeCell ref="F1437:F1438"/>
    <mergeCell ref="D1439:F1440"/>
    <mergeCell ref="L1439:L1441"/>
    <mergeCell ref="A1443:A1445"/>
    <mergeCell ref="B1443:B1445"/>
    <mergeCell ref="C1443:C1445"/>
    <mergeCell ref="J1429:J1430"/>
    <mergeCell ref="K1429:K1430"/>
    <mergeCell ref="L1429:L1430"/>
    <mergeCell ref="G1434:J1434"/>
    <mergeCell ref="G1436:J1436"/>
    <mergeCell ref="A1437:A1441"/>
    <mergeCell ref="B1437:B1441"/>
    <mergeCell ref="C1437:C1441"/>
    <mergeCell ref="D1437:D1438"/>
    <mergeCell ref="E1437:E1438"/>
    <mergeCell ref="J1453:J1454"/>
    <mergeCell ref="K1453:K1454"/>
    <mergeCell ref="G1451:J1451"/>
    <mergeCell ref="A1453:A1454"/>
    <mergeCell ref="B1453:B1454"/>
    <mergeCell ref="C1453:C1454"/>
    <mergeCell ref="D1453:D1454"/>
    <mergeCell ref="E1453:E1454"/>
    <mergeCell ref="G1416:J1416"/>
    <mergeCell ref="G1417:J1417"/>
    <mergeCell ref="A1429:A1430"/>
    <mergeCell ref="B1429:B1430"/>
    <mergeCell ref="C1429:C1430"/>
    <mergeCell ref="D1429:D1430"/>
    <mergeCell ref="E1429:E1430"/>
    <mergeCell ref="F1429:F1430"/>
    <mergeCell ref="A1411:A1412"/>
    <mergeCell ref="B1411:B1412"/>
    <mergeCell ref="C1411:C1412"/>
    <mergeCell ref="G1411:G1412"/>
    <mergeCell ref="H1411:H1412"/>
    <mergeCell ref="I1411:I1412"/>
    <mergeCell ref="J1411:J1412"/>
    <mergeCell ref="C1408:C1410"/>
    <mergeCell ref="D1408:D1410"/>
    <mergeCell ref="E1408:E1410"/>
    <mergeCell ref="F1408:F1410"/>
    <mergeCell ref="J1408:J1410"/>
    <mergeCell ref="K1408:K1410"/>
    <mergeCell ref="L1408:L1410"/>
    <mergeCell ref="A1402:A1410"/>
    <mergeCell ref="B1402:B1410"/>
    <mergeCell ref="C1402:C1407"/>
    <mergeCell ref="D1402:D1407"/>
    <mergeCell ref="E1402:E1407"/>
    <mergeCell ref="F1402:F1407"/>
    <mergeCell ref="J1394:J1395"/>
    <mergeCell ref="K1394:K1395"/>
    <mergeCell ref="A1394:A1395"/>
    <mergeCell ref="B1394:B1395"/>
    <mergeCell ref="C1394:C1395"/>
    <mergeCell ref="D1394:D1395"/>
    <mergeCell ref="E1394:E1395"/>
    <mergeCell ref="F1394:F1395"/>
    <mergeCell ref="A1383:A1384"/>
    <mergeCell ref="B1383:B1384"/>
    <mergeCell ref="C1383:C1384"/>
    <mergeCell ref="D1383:D1384"/>
    <mergeCell ref="E1383:E1384"/>
    <mergeCell ref="F1383:F1384"/>
    <mergeCell ref="A1376:A1377"/>
    <mergeCell ref="B1376:B1377"/>
    <mergeCell ref="C1376:C1377"/>
    <mergeCell ref="D1377:F1377"/>
    <mergeCell ref="A1379:A1380"/>
    <mergeCell ref="B1379:B1380"/>
    <mergeCell ref="C1379:C1380"/>
    <mergeCell ref="D1379:D1380"/>
    <mergeCell ref="E1379:E1380"/>
    <mergeCell ref="F1379:F1380"/>
    <mergeCell ref="A1371:A1372"/>
    <mergeCell ref="B1371:B1372"/>
    <mergeCell ref="C1371:C1372"/>
    <mergeCell ref="D1371:D1372"/>
    <mergeCell ref="E1371:E1372"/>
    <mergeCell ref="F1371:F1372"/>
    <mergeCell ref="F1361:F1362"/>
    <mergeCell ref="J1361:J1362"/>
    <mergeCell ref="K1361:K1362"/>
    <mergeCell ref="J1355:J1357"/>
    <mergeCell ref="K1355:K1357"/>
    <mergeCell ref="A1358:A1360"/>
    <mergeCell ref="B1358:B1360"/>
    <mergeCell ref="G1360:J1360"/>
    <mergeCell ref="A1361:A1362"/>
    <mergeCell ref="B1361:B1362"/>
    <mergeCell ref="C1361:C1362"/>
    <mergeCell ref="D1361:D1362"/>
    <mergeCell ref="E1361:E1362"/>
    <mergeCell ref="A1355:A1357"/>
    <mergeCell ref="B1355:B1357"/>
    <mergeCell ref="C1355:C1357"/>
    <mergeCell ref="A1367:A1368"/>
    <mergeCell ref="B1367:B1368"/>
    <mergeCell ref="C1367:C1368"/>
    <mergeCell ref="D1367:D1368"/>
    <mergeCell ref="E1367:E1368"/>
    <mergeCell ref="F1367:F1368"/>
    <mergeCell ref="J1363:J1364"/>
    <mergeCell ref="K1363:K1364"/>
    <mergeCell ref="A1363:A1364"/>
    <mergeCell ref="B1363:B1364"/>
    <mergeCell ref="C1363:C1364"/>
    <mergeCell ref="G1363:G1364"/>
    <mergeCell ref="H1363:H1364"/>
    <mergeCell ref="I1363:I1364"/>
    <mergeCell ref="J1349:J1350"/>
    <mergeCell ref="K1349:K1350"/>
    <mergeCell ref="J1351:J1353"/>
    <mergeCell ref="K1351:K1353"/>
    <mergeCell ref="A1349:A1350"/>
    <mergeCell ref="B1349:B1350"/>
    <mergeCell ref="C1349:C1350"/>
    <mergeCell ref="G1349:G1350"/>
    <mergeCell ref="H1349:H1350"/>
    <mergeCell ref="I1349:I1350"/>
    <mergeCell ref="G1351:G1353"/>
    <mergeCell ref="H1351:H1353"/>
    <mergeCell ref="I1351:I1353"/>
    <mergeCell ref="G1354:J1354"/>
    <mergeCell ref="C1351:C1354"/>
    <mergeCell ref="B1351:B1354"/>
    <mergeCell ref="A1342:A1345"/>
    <mergeCell ref="B1342:B1345"/>
    <mergeCell ref="C1342:C1345"/>
    <mergeCell ref="G1342:J1342"/>
    <mergeCell ref="G1343:J1343"/>
    <mergeCell ref="G1344:J1344"/>
    <mergeCell ref="A1351:A1354"/>
    <mergeCell ref="J1324:J1325"/>
    <mergeCell ref="K1324:K1325"/>
    <mergeCell ref="L1324:L1325"/>
    <mergeCell ref="A1323:A1325"/>
    <mergeCell ref="B1323:B1325"/>
    <mergeCell ref="C1323:C1325"/>
    <mergeCell ref="D1323:D1325"/>
    <mergeCell ref="E1323:E1325"/>
    <mergeCell ref="F1323:F1325"/>
    <mergeCell ref="K1329:K1330"/>
    <mergeCell ref="A1319:A1320"/>
    <mergeCell ref="B1319:B1320"/>
    <mergeCell ref="C1319:C1320"/>
    <mergeCell ref="D1319:D1320"/>
    <mergeCell ref="E1319:E1320"/>
    <mergeCell ref="F1319:F1320"/>
    <mergeCell ref="L1311:O1311"/>
    <mergeCell ref="A1312:A1313"/>
    <mergeCell ref="B1312:B1313"/>
    <mergeCell ref="C1312:C1313"/>
    <mergeCell ref="D1312:D1313"/>
    <mergeCell ref="E1312:E1313"/>
    <mergeCell ref="F1312:F1313"/>
    <mergeCell ref="L1312:O1312"/>
    <mergeCell ref="H1329:H1330"/>
    <mergeCell ref="I1329:I1330"/>
    <mergeCell ref="J1329:J1330"/>
    <mergeCell ref="A1329:A1336"/>
    <mergeCell ref="B1329:B1336"/>
    <mergeCell ref="C1329:C1336"/>
    <mergeCell ref="J1296:J1298"/>
    <mergeCell ref="K1296:K1298"/>
    <mergeCell ref="G1299:J1299"/>
    <mergeCell ref="G1300:J1300"/>
    <mergeCell ref="A1304:A1305"/>
    <mergeCell ref="B1304:B1305"/>
    <mergeCell ref="C1304:C1305"/>
    <mergeCell ref="A1294:A1295"/>
    <mergeCell ref="B1294:B1295"/>
    <mergeCell ref="C1294:C1295"/>
    <mergeCell ref="A1296:A1301"/>
    <mergeCell ref="B1296:B1301"/>
    <mergeCell ref="C1296:C1301"/>
    <mergeCell ref="G1296:G1298"/>
    <mergeCell ref="H1296:H1298"/>
    <mergeCell ref="I1296:I1298"/>
    <mergeCell ref="K1285:K1286"/>
    <mergeCell ref="A1287:A1288"/>
    <mergeCell ref="B1287:B1288"/>
    <mergeCell ref="A1285:A1286"/>
    <mergeCell ref="B1285:B1286"/>
    <mergeCell ref="C1285:C1286"/>
    <mergeCell ref="G1285:G1286"/>
    <mergeCell ref="H1285:H1286"/>
    <mergeCell ref="I1285:I1286"/>
    <mergeCell ref="J1285:J1286"/>
    <mergeCell ref="A1290:A1291"/>
    <mergeCell ref="B1290:B1291"/>
    <mergeCell ref="C1290:C1291"/>
    <mergeCell ref="D1290:D1291"/>
    <mergeCell ref="E1290:E1291"/>
    <mergeCell ref="F1290:F1291"/>
    <mergeCell ref="A1280:A1284"/>
    <mergeCell ref="B1280:B1284"/>
    <mergeCell ref="C1280:C1284"/>
    <mergeCell ref="D1280:D1284"/>
    <mergeCell ref="E1280:E1284"/>
    <mergeCell ref="F1280:F1284"/>
    <mergeCell ref="A1278:A1279"/>
    <mergeCell ref="B1278:B1279"/>
    <mergeCell ref="C1278:C1279"/>
    <mergeCell ref="D1278:D1279"/>
    <mergeCell ref="E1278:E1279"/>
    <mergeCell ref="F1278:F1279"/>
    <mergeCell ref="L1280:L1281"/>
    <mergeCell ref="G1276:G1277"/>
    <mergeCell ref="H1276:H1277"/>
    <mergeCell ref="I1276:I1277"/>
    <mergeCell ref="J1276:J1277"/>
    <mergeCell ref="K1276:K1277"/>
    <mergeCell ref="L1276:L1277"/>
    <mergeCell ref="J1280:J1284"/>
    <mergeCell ref="K1280:K1284"/>
    <mergeCell ref="G1274:G1275"/>
    <mergeCell ref="H1274:H1275"/>
    <mergeCell ref="I1274:I1275"/>
    <mergeCell ref="J1274:J1275"/>
    <mergeCell ref="K1274:K1275"/>
    <mergeCell ref="L1274:L1275"/>
    <mergeCell ref="A1267:A1269"/>
    <mergeCell ref="B1267:B1269"/>
    <mergeCell ref="C1267:C1269"/>
    <mergeCell ref="A1274:A1277"/>
    <mergeCell ref="B1274:B1277"/>
    <mergeCell ref="C1274:C1277"/>
    <mergeCell ref="F1260:F1261"/>
    <mergeCell ref="J1260:J1261"/>
    <mergeCell ref="K1260:K1261"/>
    <mergeCell ref="A1265:A1266"/>
    <mergeCell ref="B1265:B1266"/>
    <mergeCell ref="C1265:C1266"/>
    <mergeCell ref="D1265:D1266"/>
    <mergeCell ref="E1265:E1266"/>
    <mergeCell ref="F1265:F1266"/>
    <mergeCell ref="A1260:A1264"/>
    <mergeCell ref="B1260:B1264"/>
    <mergeCell ref="C1260:C1264"/>
    <mergeCell ref="G1255:J1255"/>
    <mergeCell ref="G1256:J1256"/>
    <mergeCell ref="D1260:D1261"/>
    <mergeCell ref="E1260:E1261"/>
    <mergeCell ref="F1249:F1250"/>
    <mergeCell ref="G1249:G1251"/>
    <mergeCell ref="H1249:H1251"/>
    <mergeCell ref="I1249:I1251"/>
    <mergeCell ref="J1249:J1253"/>
    <mergeCell ref="K1249:K1253"/>
    <mergeCell ref="G1252:G1253"/>
    <mergeCell ref="H1252:H1253"/>
    <mergeCell ref="I1252:I1253"/>
    <mergeCell ref="G1234:J1234"/>
    <mergeCell ref="G1235:J1235"/>
    <mergeCell ref="G1236:J1236"/>
    <mergeCell ref="G1237:J1237"/>
    <mergeCell ref="G1238:J1238"/>
    <mergeCell ref="K1257:K1258"/>
    <mergeCell ref="A1249:A1253"/>
    <mergeCell ref="B1249:B1253"/>
    <mergeCell ref="C1249:C1253"/>
    <mergeCell ref="D1249:D1250"/>
    <mergeCell ref="E1249:E1250"/>
    <mergeCell ref="J1229:J1230"/>
    <mergeCell ref="K1229:K1230"/>
    <mergeCell ref="A1232:A1240"/>
    <mergeCell ref="B1232:B1240"/>
    <mergeCell ref="C1232:C1240"/>
    <mergeCell ref="D1232:D1234"/>
    <mergeCell ref="E1232:E1234"/>
    <mergeCell ref="F1232:F1234"/>
    <mergeCell ref="G1232:J1232"/>
    <mergeCell ref="G1233:J1233"/>
    <mergeCell ref="A1229:A1230"/>
    <mergeCell ref="B1229:B1230"/>
    <mergeCell ref="C1229:C1230"/>
    <mergeCell ref="G1229:G1230"/>
    <mergeCell ref="H1229:H1230"/>
    <mergeCell ref="I1229:I1230"/>
    <mergeCell ref="B1220:B1228"/>
    <mergeCell ref="A1213:A1214"/>
    <mergeCell ref="B1213:B1214"/>
    <mergeCell ref="C1213:C1214"/>
    <mergeCell ref="D1213:D1214"/>
    <mergeCell ref="E1213:E1214"/>
    <mergeCell ref="F1213:F1214"/>
    <mergeCell ref="F1215:F1216"/>
    <mergeCell ref="A1208:A1209"/>
    <mergeCell ref="B1208:B1209"/>
    <mergeCell ref="C1208:C1209"/>
    <mergeCell ref="D1208:D1209"/>
    <mergeCell ref="E1208:E1209"/>
    <mergeCell ref="F1208:F1209"/>
    <mergeCell ref="A1206:A1207"/>
    <mergeCell ref="B1206:B1207"/>
    <mergeCell ref="C1206:C1207"/>
    <mergeCell ref="D1206:D1207"/>
    <mergeCell ref="E1206:E1207"/>
    <mergeCell ref="F1206:F1207"/>
    <mergeCell ref="C1220:C1224"/>
    <mergeCell ref="D1220:D1224"/>
    <mergeCell ref="E1220:E1224"/>
    <mergeCell ref="F1220:F1224"/>
    <mergeCell ref="J1188:J1189"/>
    <mergeCell ref="K1188:K1189"/>
    <mergeCell ref="L1188:L1189"/>
    <mergeCell ref="J1190:J1191"/>
    <mergeCell ref="K1190:K1191"/>
    <mergeCell ref="L1190:L1191"/>
    <mergeCell ref="A1188:A1191"/>
    <mergeCell ref="B1188:B1191"/>
    <mergeCell ref="C1188:C1191"/>
    <mergeCell ref="G1188:G1189"/>
    <mergeCell ref="H1188:H1189"/>
    <mergeCell ref="I1188:I1189"/>
    <mergeCell ref="A1186:A1187"/>
    <mergeCell ref="B1186:B1187"/>
    <mergeCell ref="C1186:C1187"/>
    <mergeCell ref="A1181:A1184"/>
    <mergeCell ref="B1181:B1184"/>
    <mergeCell ref="C1181:C1184"/>
    <mergeCell ref="D1181:D1182"/>
    <mergeCell ref="E1181:E1182"/>
    <mergeCell ref="F1181:F1182"/>
    <mergeCell ref="A1179:A1180"/>
    <mergeCell ref="B1179:B1180"/>
    <mergeCell ref="C1179:C1180"/>
    <mergeCell ref="D1179:D1180"/>
    <mergeCell ref="E1179:E1180"/>
    <mergeCell ref="F1179:F1180"/>
    <mergeCell ref="D1176:D1177"/>
    <mergeCell ref="E1176:E1177"/>
    <mergeCell ref="F1176:F1177"/>
    <mergeCell ref="A1172:A1175"/>
    <mergeCell ref="H1172:H1175"/>
    <mergeCell ref="I1172:I1175"/>
    <mergeCell ref="J1172:J1175"/>
    <mergeCell ref="K1172:K1175"/>
    <mergeCell ref="L1172:L1175"/>
    <mergeCell ref="E1163:E1164"/>
    <mergeCell ref="F1163:F1164"/>
    <mergeCell ref="A1160:A1162"/>
    <mergeCell ref="B1160:B1162"/>
    <mergeCell ref="A1163:A1164"/>
    <mergeCell ref="B1163:B1164"/>
    <mergeCell ref="C1163:C1164"/>
    <mergeCell ref="D1163:D1164"/>
    <mergeCell ref="L1151:L1152"/>
    <mergeCell ref="A1157:A1158"/>
    <mergeCell ref="B1157:B1158"/>
    <mergeCell ref="C1157:C1158"/>
    <mergeCell ref="D1157:D1158"/>
    <mergeCell ref="E1157:E1158"/>
    <mergeCell ref="F1157:F1158"/>
    <mergeCell ref="A1151:A1154"/>
    <mergeCell ref="B1151:B1154"/>
    <mergeCell ref="C1151:C1154"/>
    <mergeCell ref="J1151:J1153"/>
    <mergeCell ref="K1151:K1153"/>
    <mergeCell ref="A1143:A1144"/>
    <mergeCell ref="B1143:B1144"/>
    <mergeCell ref="C1143:C1144"/>
    <mergeCell ref="D1143:D1144"/>
    <mergeCell ref="E1143:E1144"/>
    <mergeCell ref="F1143:F1144"/>
    <mergeCell ref="A1149:A1150"/>
    <mergeCell ref="B1149:B1150"/>
    <mergeCell ref="C1149:C1150"/>
    <mergeCell ref="G1150:J1150"/>
    <mergeCell ref="G1149:J1149"/>
    <mergeCell ref="A1134:A1135"/>
    <mergeCell ref="B1134:B1135"/>
    <mergeCell ref="C1134:C1135"/>
    <mergeCell ref="D1134:D1135"/>
    <mergeCell ref="E1134:E1135"/>
    <mergeCell ref="F1134:F1135"/>
    <mergeCell ref="A1139:A1140"/>
    <mergeCell ref="B1139:B1140"/>
    <mergeCell ref="C1139:C1140"/>
    <mergeCell ref="D1139:D1140"/>
    <mergeCell ref="E1139:E1140"/>
    <mergeCell ref="F1139:F1140"/>
    <mergeCell ref="J1139:J1140"/>
    <mergeCell ref="L1135:L1136"/>
    <mergeCell ref="K1091:K1094"/>
    <mergeCell ref="G1092:J1092"/>
    <mergeCell ref="J1093:J1094"/>
    <mergeCell ref="D1095:F1095"/>
    <mergeCell ref="D1096:E1096"/>
    <mergeCell ref="G1096:J1097"/>
    <mergeCell ref="K1096:K1097"/>
    <mergeCell ref="D1097:E1097"/>
    <mergeCell ref="A1069:A1132"/>
    <mergeCell ref="B1069:B1132"/>
    <mergeCell ref="C1069:C1132"/>
    <mergeCell ref="G1069:J1071"/>
    <mergeCell ref="K1069:K1071"/>
    <mergeCell ref="G1072:J1074"/>
    <mergeCell ref="K1072:K1074"/>
    <mergeCell ref="D1075:E1075"/>
    <mergeCell ref="G1088:J1088"/>
    <mergeCell ref="G1089:J1089"/>
    <mergeCell ref="D1090:E1090"/>
    <mergeCell ref="G1090:J1090"/>
    <mergeCell ref="D1091:F1094"/>
    <mergeCell ref="G1091:J1091"/>
    <mergeCell ref="L1082:L1083"/>
    <mergeCell ref="D1084:E1084"/>
    <mergeCell ref="G1084:J1084"/>
    <mergeCell ref="G1085:J1085"/>
    <mergeCell ref="K1085:K1088"/>
    <mergeCell ref="D1086:E1088"/>
    <mergeCell ref="F1086:F1088"/>
    <mergeCell ref="G1086:J1086"/>
    <mergeCell ref="D1076:E1076"/>
    <mergeCell ref="D1077:E1077"/>
    <mergeCell ref="D1078:E1078"/>
    <mergeCell ref="D1079:E1079"/>
    <mergeCell ref="D1080:E1080"/>
    <mergeCell ref="G1081:J1081"/>
    <mergeCell ref="G1075:J1080"/>
    <mergeCell ref="K1075:K1080"/>
    <mergeCell ref="L1120:O1120"/>
    <mergeCell ref="K1062:K1065"/>
    <mergeCell ref="D1063:D1064"/>
    <mergeCell ref="E1063:E1064"/>
    <mergeCell ref="F1063:F1064"/>
    <mergeCell ref="G1063:G1065"/>
    <mergeCell ref="A1060:A1061"/>
    <mergeCell ref="B1060:B1061"/>
    <mergeCell ref="C1060:C1061"/>
    <mergeCell ref="H1062:H1065"/>
    <mergeCell ref="I1062:I1065"/>
    <mergeCell ref="J1062:J1065"/>
    <mergeCell ref="D1082:E1082"/>
    <mergeCell ref="K1082:K1083"/>
    <mergeCell ref="L1098:O1098"/>
    <mergeCell ref="G1104:J1105"/>
    <mergeCell ref="K1104:K1105"/>
    <mergeCell ref="D1106:F1106"/>
    <mergeCell ref="D1107:F1108"/>
    <mergeCell ref="G1107:G1108"/>
    <mergeCell ref="H1107:H1108"/>
    <mergeCell ref="I1107:I1108"/>
    <mergeCell ref="J1107:J1108"/>
    <mergeCell ref="K1107:K1108"/>
    <mergeCell ref="G1109:J1109"/>
    <mergeCell ref="G1057:J1057"/>
    <mergeCell ref="K1058:K1059"/>
    <mergeCell ref="D1054:D1055"/>
    <mergeCell ref="E1054:E1055"/>
    <mergeCell ref="F1054:F1055"/>
    <mergeCell ref="G1054:J1054"/>
    <mergeCell ref="G1055:J1055"/>
    <mergeCell ref="G1056:J1056"/>
    <mergeCell ref="A1047:A1057"/>
    <mergeCell ref="B1047:B1057"/>
    <mergeCell ref="C1047:C1057"/>
    <mergeCell ref="G1048:J1048"/>
    <mergeCell ref="G1050:J1050"/>
    <mergeCell ref="G1051:J1051"/>
    <mergeCell ref="G1052:J1052"/>
    <mergeCell ref="G1053:J1053"/>
    <mergeCell ref="A1045:A1046"/>
    <mergeCell ref="B1045:B1046"/>
    <mergeCell ref="C1045:C1046"/>
    <mergeCell ref="K1040:K1041"/>
    <mergeCell ref="A1043:A1044"/>
    <mergeCell ref="B1043:B1044"/>
    <mergeCell ref="C1043:C1044"/>
    <mergeCell ref="G1043:G1044"/>
    <mergeCell ref="H1043:H1044"/>
    <mergeCell ref="I1043:I1044"/>
    <mergeCell ref="J1043:J1044"/>
    <mergeCell ref="K1043:K1044"/>
    <mergeCell ref="J1036:J1037"/>
    <mergeCell ref="K1036:K1037"/>
    <mergeCell ref="A1038:A1039"/>
    <mergeCell ref="B1038:B1039"/>
    <mergeCell ref="C1038:C1039"/>
    <mergeCell ref="K1038:K1039"/>
    <mergeCell ref="A1036:A1037"/>
    <mergeCell ref="B1036:B1037"/>
    <mergeCell ref="C1036:C1037"/>
    <mergeCell ref="G1036:G1037"/>
    <mergeCell ref="H1036:H1037"/>
    <mergeCell ref="I1036:I1037"/>
    <mergeCell ref="A1040:A1042"/>
    <mergeCell ref="B1040:B1042"/>
    <mergeCell ref="C1040:C1042"/>
    <mergeCell ref="G1038:J1039"/>
    <mergeCell ref="G1040:J1042"/>
    <mergeCell ref="L1026:O1026"/>
    <mergeCell ref="A1029:A1035"/>
    <mergeCell ref="B1029:B1035"/>
    <mergeCell ref="I1016:I1017"/>
    <mergeCell ref="J1016:J1017"/>
    <mergeCell ref="K1016:K1017"/>
    <mergeCell ref="L1016:L1017"/>
    <mergeCell ref="A1026:A1028"/>
    <mergeCell ref="B1026:B1028"/>
    <mergeCell ref="C1026:C1028"/>
    <mergeCell ref="D1026:D1028"/>
    <mergeCell ref="E1026:E1028"/>
    <mergeCell ref="F1026:F1028"/>
    <mergeCell ref="F1013:F1014"/>
    <mergeCell ref="A1016:A1017"/>
    <mergeCell ref="B1016:B1017"/>
    <mergeCell ref="C1016:C1017"/>
    <mergeCell ref="G1016:G1017"/>
    <mergeCell ref="H1016:H1017"/>
    <mergeCell ref="F1030:F1033"/>
    <mergeCell ref="A1013:A1014"/>
    <mergeCell ref="B1013:B1014"/>
    <mergeCell ref="C1013:C1014"/>
    <mergeCell ref="D1013:D1014"/>
    <mergeCell ref="E1013:E1014"/>
    <mergeCell ref="J1030:J1033"/>
    <mergeCell ref="K1030:K1033"/>
    <mergeCell ref="K1034:K1035"/>
    <mergeCell ref="A1022:A1023"/>
    <mergeCell ref="B1022:B1023"/>
    <mergeCell ref="C1030:C1035"/>
    <mergeCell ref="D1034:D1035"/>
    <mergeCell ref="A1002:A1012"/>
    <mergeCell ref="C1002:C1006"/>
    <mergeCell ref="G1002:G1007"/>
    <mergeCell ref="H1002:H1007"/>
    <mergeCell ref="I1002:I1007"/>
    <mergeCell ref="J1002:J1007"/>
    <mergeCell ref="B1008:B1012"/>
    <mergeCell ref="C1008:C1012"/>
    <mergeCell ref="A997:A999"/>
    <mergeCell ref="B997:B999"/>
    <mergeCell ref="C997:C999"/>
    <mergeCell ref="D997:D999"/>
    <mergeCell ref="E997:E999"/>
    <mergeCell ref="F997:F999"/>
    <mergeCell ref="A993:A996"/>
    <mergeCell ref="B993:B996"/>
    <mergeCell ref="C993:C996"/>
    <mergeCell ref="G994:J994"/>
    <mergeCell ref="L994:L996"/>
    <mergeCell ref="G995:J995"/>
    <mergeCell ref="G996:J996"/>
    <mergeCell ref="J985:J986"/>
    <mergeCell ref="G987:J987"/>
    <mergeCell ref="A988:A990"/>
    <mergeCell ref="B988:B990"/>
    <mergeCell ref="C988:C990"/>
    <mergeCell ref="D989:F989"/>
    <mergeCell ref="D990:F990"/>
    <mergeCell ref="K979:K981"/>
    <mergeCell ref="G982:J982"/>
    <mergeCell ref="G983:J983"/>
    <mergeCell ref="G984:J984"/>
    <mergeCell ref="D985:D986"/>
    <mergeCell ref="E985:E986"/>
    <mergeCell ref="F985:F986"/>
    <mergeCell ref="G985:G986"/>
    <mergeCell ref="H985:H986"/>
    <mergeCell ref="I985:I986"/>
    <mergeCell ref="A979:A987"/>
    <mergeCell ref="B979:B987"/>
    <mergeCell ref="C979:C987"/>
    <mergeCell ref="G979:G981"/>
    <mergeCell ref="H979:H981"/>
    <mergeCell ref="I979:I981"/>
    <mergeCell ref="J979:J981"/>
    <mergeCell ref="L957:L959"/>
    <mergeCell ref="G958:J958"/>
    <mergeCell ref="G959:J959"/>
    <mergeCell ref="A961:A965"/>
    <mergeCell ref="B961:B965"/>
    <mergeCell ref="C961:C965"/>
    <mergeCell ref="D961:D965"/>
    <mergeCell ref="E961:E965"/>
    <mergeCell ref="F961:F965"/>
    <mergeCell ref="J961:J964"/>
    <mergeCell ref="J955:J956"/>
    <mergeCell ref="K955:K956"/>
    <mergeCell ref="D957:D959"/>
    <mergeCell ref="E957:E959"/>
    <mergeCell ref="F957:F959"/>
    <mergeCell ref="G957:J957"/>
    <mergeCell ref="A955:A959"/>
    <mergeCell ref="B955:B959"/>
    <mergeCell ref="G947:J947"/>
    <mergeCell ref="G948:J948"/>
    <mergeCell ref="G949:J949"/>
    <mergeCell ref="G950:J950"/>
    <mergeCell ref="I936:I938"/>
    <mergeCell ref="J936:J938"/>
    <mergeCell ref="K936:K938"/>
    <mergeCell ref="A939:A942"/>
    <mergeCell ref="B939:B942"/>
    <mergeCell ref="C939:C942"/>
    <mergeCell ref="K961:K964"/>
    <mergeCell ref="L961:L963"/>
    <mergeCell ref="J919:J920"/>
    <mergeCell ref="K919:K920"/>
    <mergeCell ref="C907:C913"/>
    <mergeCell ref="D907:D913"/>
    <mergeCell ref="E907:E913"/>
    <mergeCell ref="F907:F913"/>
    <mergeCell ref="G907:G908"/>
    <mergeCell ref="H907:I908"/>
    <mergeCell ref="J907:J913"/>
    <mergeCell ref="A895:A913"/>
    <mergeCell ref="B895:B913"/>
    <mergeCell ref="G895:G896"/>
    <mergeCell ref="H895:I896"/>
    <mergeCell ref="G921:J921"/>
    <mergeCell ref="C955:C959"/>
    <mergeCell ref="G955:G956"/>
    <mergeCell ref="H955:H956"/>
    <mergeCell ref="I955:I956"/>
    <mergeCell ref="G936:G938"/>
    <mergeCell ref="J939:J942"/>
    <mergeCell ref="K939:K942"/>
    <mergeCell ref="H936:H938"/>
    <mergeCell ref="J929:J930"/>
    <mergeCell ref="K929:K930"/>
    <mergeCell ref="A929:A930"/>
    <mergeCell ref="B929:B930"/>
    <mergeCell ref="C929:C930"/>
    <mergeCell ref="A943:A944"/>
    <mergeCell ref="G953:K953"/>
    <mergeCell ref="B946:B953"/>
    <mergeCell ref="A892:A894"/>
    <mergeCell ref="B892:B894"/>
    <mergeCell ref="C892:C894"/>
    <mergeCell ref="E875:E876"/>
    <mergeCell ref="F875:F876"/>
    <mergeCell ref="K875:K876"/>
    <mergeCell ref="G877:J877"/>
    <mergeCell ref="A884:A885"/>
    <mergeCell ref="B884:B885"/>
    <mergeCell ref="D877:D879"/>
    <mergeCell ref="E877:E879"/>
    <mergeCell ref="F877:F879"/>
    <mergeCell ref="G878:J879"/>
    <mergeCell ref="K878:K879"/>
    <mergeCell ref="G892:J894"/>
    <mergeCell ref="G880:J880"/>
    <mergeCell ref="G881:J881"/>
    <mergeCell ref="G882:J882"/>
    <mergeCell ref="D880:F882"/>
    <mergeCell ref="C877:C882"/>
    <mergeCell ref="B877:B882"/>
    <mergeCell ref="A877:A882"/>
    <mergeCell ref="K886:K888"/>
    <mergeCell ref="E872:F872"/>
    <mergeCell ref="A873:A874"/>
    <mergeCell ref="B873:B874"/>
    <mergeCell ref="C873:C874"/>
    <mergeCell ref="G873:J873"/>
    <mergeCell ref="G874:J876"/>
    <mergeCell ref="A875:A876"/>
    <mergeCell ref="B875:B876"/>
    <mergeCell ref="C875:C876"/>
    <mergeCell ref="D875:D876"/>
    <mergeCell ref="A867:A868"/>
    <mergeCell ref="B867:B868"/>
    <mergeCell ref="C867:C868"/>
    <mergeCell ref="D867:D868"/>
    <mergeCell ref="E867:E868"/>
    <mergeCell ref="F867:F868"/>
    <mergeCell ref="C855:C856"/>
    <mergeCell ref="D855:D856"/>
    <mergeCell ref="E855:E856"/>
    <mergeCell ref="F855:F856"/>
    <mergeCell ref="A809:A853"/>
    <mergeCell ref="B809:B853"/>
    <mergeCell ref="C809:C853"/>
    <mergeCell ref="J831:J832"/>
    <mergeCell ref="G821:K821"/>
    <mergeCell ref="G822:K822"/>
    <mergeCell ref="D823:E823"/>
    <mergeCell ref="D820:E820"/>
    <mergeCell ref="G820:K820"/>
    <mergeCell ref="K800:K806"/>
    <mergeCell ref="G807:J807"/>
    <mergeCell ref="G810:K810"/>
    <mergeCell ref="G811:K811"/>
    <mergeCell ref="G812:K812"/>
    <mergeCell ref="G813:K813"/>
    <mergeCell ref="G814:K814"/>
    <mergeCell ref="G826:K826"/>
    <mergeCell ref="G827:K827"/>
    <mergeCell ref="G828:K828"/>
    <mergeCell ref="G829:K829"/>
    <mergeCell ref="D830:E832"/>
    <mergeCell ref="F830:F832"/>
    <mergeCell ref="G830:K830"/>
    <mergeCell ref="H831:H832"/>
    <mergeCell ref="I831:I832"/>
    <mergeCell ref="G823:K823"/>
    <mergeCell ref="G824:K824"/>
    <mergeCell ref="D825:E825"/>
    <mergeCell ref="G825:K825"/>
    <mergeCell ref="K844:K853"/>
    <mergeCell ref="J796:J797"/>
    <mergeCell ref="K796:K797"/>
    <mergeCell ref="L796:L797"/>
    <mergeCell ref="A800:A807"/>
    <mergeCell ref="B800:B807"/>
    <mergeCell ref="C800:C807"/>
    <mergeCell ref="A796:A797"/>
    <mergeCell ref="B796:B797"/>
    <mergeCell ref="C796:C797"/>
    <mergeCell ref="L784:L785"/>
    <mergeCell ref="G788:J788"/>
    <mergeCell ref="L788:L790"/>
    <mergeCell ref="G789:J789"/>
    <mergeCell ref="G790:J790"/>
    <mergeCell ref="D815:E815"/>
    <mergeCell ref="G816:K816"/>
    <mergeCell ref="G817:K817"/>
    <mergeCell ref="G838:K838"/>
    <mergeCell ref="G839:K839"/>
    <mergeCell ref="G840:K840"/>
    <mergeCell ref="D841:E841"/>
    <mergeCell ref="G842:J842"/>
    <mergeCell ref="G843:K843"/>
    <mergeCell ref="K831:K832"/>
    <mergeCell ref="G833:K833"/>
    <mergeCell ref="G834:K834"/>
    <mergeCell ref="G835:K835"/>
    <mergeCell ref="G836:K836"/>
    <mergeCell ref="G837:K837"/>
    <mergeCell ref="G818:K818"/>
    <mergeCell ref="G819:K819"/>
    <mergeCell ref="K778:K782"/>
    <mergeCell ref="A784:A785"/>
    <mergeCell ref="B784:B785"/>
    <mergeCell ref="C784:C785"/>
    <mergeCell ref="D784:D785"/>
    <mergeCell ref="E784:E785"/>
    <mergeCell ref="F784:F785"/>
    <mergeCell ref="J784:J785"/>
    <mergeCell ref="K784:K785"/>
    <mergeCell ref="I773:I775"/>
    <mergeCell ref="J773:J775"/>
    <mergeCell ref="K773:K775"/>
    <mergeCell ref="A778:A782"/>
    <mergeCell ref="B778:B782"/>
    <mergeCell ref="C778:C782"/>
    <mergeCell ref="D778:D782"/>
    <mergeCell ref="E778:E782"/>
    <mergeCell ref="F778:F782"/>
    <mergeCell ref="J778:J782"/>
    <mergeCell ref="G769:J769"/>
    <mergeCell ref="G770:J770"/>
    <mergeCell ref="A773:A775"/>
    <mergeCell ref="B773:B775"/>
    <mergeCell ref="C773:C775"/>
    <mergeCell ref="G773:G775"/>
    <mergeCell ref="H773:H775"/>
    <mergeCell ref="J762:J763"/>
    <mergeCell ref="K762:K763"/>
    <mergeCell ref="G764:J764"/>
    <mergeCell ref="K764:K766"/>
    <mergeCell ref="G765:J765"/>
    <mergeCell ref="A767:A771"/>
    <mergeCell ref="B767:B771"/>
    <mergeCell ref="C767:C771"/>
    <mergeCell ref="A762:A766"/>
    <mergeCell ref="B762:B766"/>
    <mergeCell ref="C762:C766"/>
    <mergeCell ref="G762:G763"/>
    <mergeCell ref="H762:H763"/>
    <mergeCell ref="I762:I763"/>
    <mergeCell ref="A759:A761"/>
    <mergeCell ref="B759:B761"/>
    <mergeCell ref="C759:C761"/>
    <mergeCell ref="J759:J761"/>
    <mergeCell ref="K759:K761"/>
    <mergeCell ref="D761:E761"/>
    <mergeCell ref="J745:J746"/>
    <mergeCell ref="K745:K746"/>
    <mergeCell ref="A749:A750"/>
    <mergeCell ref="B749:B750"/>
    <mergeCell ref="C749:C750"/>
    <mergeCell ref="G749:G750"/>
    <mergeCell ref="H749:H750"/>
    <mergeCell ref="I749:I750"/>
    <mergeCell ref="J749:J750"/>
    <mergeCell ref="K749:K750"/>
    <mergeCell ref="A745:A746"/>
    <mergeCell ref="B745:B746"/>
    <mergeCell ref="C745:C746"/>
    <mergeCell ref="D745:D746"/>
    <mergeCell ref="E745:E746"/>
    <mergeCell ref="F745:F746"/>
    <mergeCell ref="L696:L697"/>
    <mergeCell ref="A695:A697"/>
    <mergeCell ref="B695:B697"/>
    <mergeCell ref="C695:C697"/>
    <mergeCell ref="D695:D697"/>
    <mergeCell ref="E695:E697"/>
    <mergeCell ref="F695:F697"/>
    <mergeCell ref="L737:L740"/>
    <mergeCell ref="G727:J727"/>
    <mergeCell ref="G728:J728"/>
    <mergeCell ref="A736:A742"/>
    <mergeCell ref="B736:B742"/>
    <mergeCell ref="C736:C742"/>
    <mergeCell ref="G736:K736"/>
    <mergeCell ref="B701:B735"/>
    <mergeCell ref="C701:C735"/>
    <mergeCell ref="A701:A735"/>
    <mergeCell ref="G735:J735"/>
    <mergeCell ref="G717:J717"/>
    <mergeCell ref="G718:J718"/>
    <mergeCell ref="G719:J719"/>
    <mergeCell ref="D720:F724"/>
    <mergeCell ref="G720:J720"/>
    <mergeCell ref="G725:J725"/>
    <mergeCell ref="G712:J712"/>
    <mergeCell ref="G713:J713"/>
    <mergeCell ref="D714:F714"/>
    <mergeCell ref="G715:J715"/>
    <mergeCell ref="G716:J716"/>
    <mergeCell ref="G706:J706"/>
    <mergeCell ref="G707:J707"/>
    <mergeCell ref="G708:J708"/>
    <mergeCell ref="F690:F691"/>
    <mergeCell ref="G714:J714"/>
    <mergeCell ref="A682:A683"/>
    <mergeCell ref="B682:B683"/>
    <mergeCell ref="C682:C683"/>
    <mergeCell ref="A690:A691"/>
    <mergeCell ref="B690:B691"/>
    <mergeCell ref="C690:C691"/>
    <mergeCell ref="D690:D691"/>
    <mergeCell ref="E690:E691"/>
    <mergeCell ref="A679:A680"/>
    <mergeCell ref="B679:B680"/>
    <mergeCell ref="C679:C680"/>
    <mergeCell ref="A686:A687"/>
    <mergeCell ref="B686:B687"/>
    <mergeCell ref="G703:J703"/>
    <mergeCell ref="G704:J704"/>
    <mergeCell ref="G705:J705"/>
    <mergeCell ref="A699:A700"/>
    <mergeCell ref="B699:B700"/>
    <mergeCell ref="C699:C700"/>
    <mergeCell ref="D699:D700"/>
    <mergeCell ref="E699:E700"/>
    <mergeCell ref="F699:F700"/>
    <mergeCell ref="G709:J709"/>
    <mergeCell ref="G710:J710"/>
    <mergeCell ref="G711:J711"/>
    <mergeCell ref="G702:J702"/>
    <mergeCell ref="D703:D707"/>
    <mergeCell ref="E703:E707"/>
    <mergeCell ref="F703:F707"/>
    <mergeCell ref="A663:A664"/>
    <mergeCell ref="B663:B664"/>
    <mergeCell ref="C663:C664"/>
    <mergeCell ref="G664:J664"/>
    <mergeCell ref="G674:J674"/>
    <mergeCell ref="G648:J650"/>
    <mergeCell ref="G657:J658"/>
    <mergeCell ref="J655:J656"/>
    <mergeCell ref="A688:A689"/>
    <mergeCell ref="B688:B689"/>
    <mergeCell ref="C688:C689"/>
    <mergeCell ref="D688:D689"/>
    <mergeCell ref="E688:E689"/>
    <mergeCell ref="F688:F689"/>
    <mergeCell ref="G665:J665"/>
    <mergeCell ref="K651:K654"/>
    <mergeCell ref="L642:L644"/>
    <mergeCell ref="D643:E643"/>
    <mergeCell ref="D644:E644"/>
    <mergeCell ref="G645:J647"/>
    <mergeCell ref="K645:K647"/>
    <mergeCell ref="L645:L647"/>
    <mergeCell ref="D647:E647"/>
    <mergeCell ref="K655:K656"/>
    <mergeCell ref="K657:K658"/>
    <mergeCell ref="K682:K683"/>
    <mergeCell ref="L617:L618"/>
    <mergeCell ref="K614:K615"/>
    <mergeCell ref="G617:G618"/>
    <mergeCell ref="H617:H618"/>
    <mergeCell ref="I617:I618"/>
    <mergeCell ref="J617:J618"/>
    <mergeCell ref="K617:K618"/>
    <mergeCell ref="K626:K629"/>
    <mergeCell ref="L626:L629"/>
    <mergeCell ref="J614:J615"/>
    <mergeCell ref="J631:J632"/>
    <mergeCell ref="K631:K632"/>
    <mergeCell ref="D654:D660"/>
    <mergeCell ref="E654:E660"/>
    <mergeCell ref="F654:F660"/>
    <mergeCell ref="G638:J641"/>
    <mergeCell ref="K638:K641"/>
    <mergeCell ref="D641:E641"/>
    <mergeCell ref="G642:J644"/>
    <mergeCell ref="I631:I632"/>
    <mergeCell ref="K642:K644"/>
    <mergeCell ref="G651:J652"/>
    <mergeCell ref="D651:D652"/>
    <mergeCell ref="E651:E652"/>
    <mergeCell ref="F651:F652"/>
    <mergeCell ref="D626:D629"/>
    <mergeCell ref="E626:E629"/>
    <mergeCell ref="F626:F629"/>
    <mergeCell ref="J626:J629"/>
    <mergeCell ref="A631:A632"/>
    <mergeCell ref="B631:B632"/>
    <mergeCell ref="C631:C632"/>
    <mergeCell ref="D631:D632"/>
    <mergeCell ref="E631:E632"/>
    <mergeCell ref="F631:F632"/>
    <mergeCell ref="G631:G632"/>
    <mergeCell ref="H631:H632"/>
    <mergeCell ref="A624:A625"/>
    <mergeCell ref="B624:B625"/>
    <mergeCell ref="C624:C625"/>
    <mergeCell ref="D624:D625"/>
    <mergeCell ref="E624:E625"/>
    <mergeCell ref="K648:K650"/>
    <mergeCell ref="L648:L650"/>
    <mergeCell ref="D649:F649"/>
    <mergeCell ref="A638:A644"/>
    <mergeCell ref="B638:B644"/>
    <mergeCell ref="C638:C644"/>
    <mergeCell ref="C626:C629"/>
    <mergeCell ref="J634:J635"/>
    <mergeCell ref="G599:G600"/>
    <mergeCell ref="H599:H600"/>
    <mergeCell ref="I599:I600"/>
    <mergeCell ref="J599:J600"/>
    <mergeCell ref="K599:K600"/>
    <mergeCell ref="I611:I613"/>
    <mergeCell ref="J611:J613"/>
    <mergeCell ref="K611:K613"/>
    <mergeCell ref="L599:L600"/>
    <mergeCell ref="I596:I598"/>
    <mergeCell ref="J596:J598"/>
    <mergeCell ref="K596:K598"/>
    <mergeCell ref="L596:L598"/>
    <mergeCell ref="A599:A600"/>
    <mergeCell ref="B599:B600"/>
    <mergeCell ref="C599:C600"/>
    <mergeCell ref="D599:D600"/>
    <mergeCell ref="E599:E600"/>
    <mergeCell ref="F599:F600"/>
    <mergeCell ref="K607:K608"/>
    <mergeCell ref="K609:K610"/>
    <mergeCell ref="D605:D606"/>
    <mergeCell ref="E605:E606"/>
    <mergeCell ref="F605:F606"/>
    <mergeCell ref="A611:A613"/>
    <mergeCell ref="B611:B613"/>
    <mergeCell ref="C611:C613"/>
    <mergeCell ref="G611:G613"/>
    <mergeCell ref="L607:L608"/>
    <mergeCell ref="L609:L610"/>
    <mergeCell ref="D593:F594"/>
    <mergeCell ref="A596:A598"/>
    <mergeCell ref="B596:B598"/>
    <mergeCell ref="C596:C598"/>
    <mergeCell ref="G596:G598"/>
    <mergeCell ref="H596:H598"/>
    <mergeCell ref="J584:J586"/>
    <mergeCell ref="K584:K586"/>
    <mergeCell ref="A588:A595"/>
    <mergeCell ref="B588:B595"/>
    <mergeCell ref="C588:C595"/>
    <mergeCell ref="G588:G595"/>
    <mergeCell ref="H588:H595"/>
    <mergeCell ref="I588:I595"/>
    <mergeCell ref="J588:J595"/>
    <mergeCell ref="K588:K595"/>
    <mergeCell ref="I582:I583"/>
    <mergeCell ref="J582:J583"/>
    <mergeCell ref="K582:K583"/>
    <mergeCell ref="L582:L583"/>
    <mergeCell ref="A584:A587"/>
    <mergeCell ref="B584:B587"/>
    <mergeCell ref="C584:C587"/>
    <mergeCell ref="G584:G586"/>
    <mergeCell ref="H584:H586"/>
    <mergeCell ref="I584:I586"/>
    <mergeCell ref="A582:A583"/>
    <mergeCell ref="B582:B583"/>
    <mergeCell ref="C582:C583"/>
    <mergeCell ref="G582:G583"/>
    <mergeCell ref="H582:H583"/>
    <mergeCell ref="A574:A575"/>
    <mergeCell ref="B574:B575"/>
    <mergeCell ref="C574:C575"/>
    <mergeCell ref="J568:J569"/>
    <mergeCell ref="K568:K569"/>
    <mergeCell ref="L568:L569"/>
    <mergeCell ref="A571:A572"/>
    <mergeCell ref="B571:B572"/>
    <mergeCell ref="C571:C572"/>
    <mergeCell ref="G571:J571"/>
    <mergeCell ref="J557:J558"/>
    <mergeCell ref="K557:K558"/>
    <mergeCell ref="G559:J559"/>
    <mergeCell ref="L559:L560"/>
    <mergeCell ref="G560:J560"/>
    <mergeCell ref="A568:A569"/>
    <mergeCell ref="C568:C569"/>
    <mergeCell ref="G568:G569"/>
    <mergeCell ref="H568:H569"/>
    <mergeCell ref="I568:I569"/>
    <mergeCell ref="A557:A561"/>
    <mergeCell ref="B557:B561"/>
    <mergeCell ref="C557:C561"/>
    <mergeCell ref="G557:G558"/>
    <mergeCell ref="H557:H558"/>
    <mergeCell ref="I557:I558"/>
    <mergeCell ref="A554:A555"/>
    <mergeCell ref="B554:B555"/>
    <mergeCell ref="C554:C555"/>
    <mergeCell ref="D554:D555"/>
    <mergeCell ref="E554:E555"/>
    <mergeCell ref="F554:F555"/>
    <mergeCell ref="J554:J555"/>
    <mergeCell ref="K554:K555"/>
    <mergeCell ref="A551:A552"/>
    <mergeCell ref="B551:B552"/>
    <mergeCell ref="C551:C552"/>
    <mergeCell ref="D551:D552"/>
    <mergeCell ref="E551:E552"/>
    <mergeCell ref="F551:F552"/>
    <mergeCell ref="K539:K540"/>
    <mergeCell ref="A541:A544"/>
    <mergeCell ref="B541:B544"/>
    <mergeCell ref="C541:C544"/>
    <mergeCell ref="D543:D544"/>
    <mergeCell ref="I537:I538"/>
    <mergeCell ref="J537:J538"/>
    <mergeCell ref="K537:K538"/>
    <mergeCell ref="A539:A540"/>
    <mergeCell ref="B539:B540"/>
    <mergeCell ref="C539:C540"/>
    <mergeCell ref="G539:G540"/>
    <mergeCell ref="H539:H540"/>
    <mergeCell ref="I539:I540"/>
    <mergeCell ref="J539:J540"/>
    <mergeCell ref="D535:D536"/>
    <mergeCell ref="E535:E536"/>
    <mergeCell ref="F535:F536"/>
    <mergeCell ref="C537:C538"/>
    <mergeCell ref="G537:G538"/>
    <mergeCell ref="H537:H538"/>
    <mergeCell ref="A535:A536"/>
    <mergeCell ref="B535:B536"/>
    <mergeCell ref="C535:C536"/>
    <mergeCell ref="A531:A533"/>
    <mergeCell ref="B531:B533"/>
    <mergeCell ref="C531:C533"/>
    <mergeCell ref="D531:D533"/>
    <mergeCell ref="E531:E533"/>
    <mergeCell ref="F531:F533"/>
    <mergeCell ref="E543:E544"/>
    <mergeCell ref="F543:F544"/>
    <mergeCell ref="G543:J543"/>
    <mergeCell ref="G544:J544"/>
    <mergeCell ref="J518:J519"/>
    <mergeCell ref="K518:K519"/>
    <mergeCell ref="L518:L519"/>
    <mergeCell ref="G520:G521"/>
    <mergeCell ref="H520:H521"/>
    <mergeCell ref="I520:I521"/>
    <mergeCell ref="J520:J521"/>
    <mergeCell ref="K520:K521"/>
    <mergeCell ref="L520:L521"/>
    <mergeCell ref="A518:A521"/>
    <mergeCell ref="B518:B521"/>
    <mergeCell ref="C518:C521"/>
    <mergeCell ref="G518:G519"/>
    <mergeCell ref="H518:H519"/>
    <mergeCell ref="I518:I519"/>
    <mergeCell ref="A529:A530"/>
    <mergeCell ref="B529:B530"/>
    <mergeCell ref="C529:C530"/>
    <mergeCell ref="D529:D530"/>
    <mergeCell ref="E529:E530"/>
    <mergeCell ref="F529:F530"/>
    <mergeCell ref="A525:A526"/>
    <mergeCell ref="B525:B526"/>
    <mergeCell ref="C525:C526"/>
    <mergeCell ref="D525:D526"/>
    <mergeCell ref="E525:E526"/>
    <mergeCell ref="F525:F526"/>
    <mergeCell ref="K529:K530"/>
    <mergeCell ref="K525:K526"/>
    <mergeCell ref="A516:A517"/>
    <mergeCell ref="B516:B517"/>
    <mergeCell ref="C516:C517"/>
    <mergeCell ref="D516:D517"/>
    <mergeCell ref="E516:E517"/>
    <mergeCell ref="F516:F517"/>
    <mergeCell ref="D506:F506"/>
    <mergeCell ref="B507:B508"/>
    <mergeCell ref="D507:F507"/>
    <mergeCell ref="D508:F508"/>
    <mergeCell ref="A512:A513"/>
    <mergeCell ref="B512:B513"/>
    <mergeCell ref="C512:C513"/>
    <mergeCell ref="A522:A523"/>
    <mergeCell ref="B522:B523"/>
    <mergeCell ref="A479:A480"/>
    <mergeCell ref="B479:B480"/>
    <mergeCell ref="C479:C480"/>
    <mergeCell ref="D479:D480"/>
    <mergeCell ref="E479:E480"/>
    <mergeCell ref="F479:F480"/>
    <mergeCell ref="D502:F503"/>
    <mergeCell ref="D504:F505"/>
    <mergeCell ref="L488:L489"/>
    <mergeCell ref="A493:A511"/>
    <mergeCell ref="K485:K486"/>
    <mergeCell ref="L485:L486"/>
    <mergeCell ref="A488:A492"/>
    <mergeCell ref="B488:B492"/>
    <mergeCell ref="C488:C492"/>
    <mergeCell ref="J488:J492"/>
    <mergeCell ref="K488:K492"/>
    <mergeCell ref="A485:A487"/>
    <mergeCell ref="B485:B487"/>
    <mergeCell ref="J485:J486"/>
    <mergeCell ref="C493:C505"/>
    <mergeCell ref="L469:L472"/>
    <mergeCell ref="J470:J472"/>
    <mergeCell ref="K470:K472"/>
    <mergeCell ref="C473:C475"/>
    <mergeCell ref="D473:F474"/>
    <mergeCell ref="G475:J475"/>
    <mergeCell ref="G498:J498"/>
    <mergeCell ref="G479:J479"/>
    <mergeCell ref="J466:J467"/>
    <mergeCell ref="K466:K467"/>
    <mergeCell ref="A469:A475"/>
    <mergeCell ref="B469:B475"/>
    <mergeCell ref="C469:C472"/>
    <mergeCell ref="D469:D472"/>
    <mergeCell ref="E469:E472"/>
    <mergeCell ref="F469:F472"/>
    <mergeCell ref="G469:J469"/>
    <mergeCell ref="A466:A467"/>
    <mergeCell ref="B466:B467"/>
    <mergeCell ref="C466:C467"/>
    <mergeCell ref="G466:G467"/>
    <mergeCell ref="H466:H467"/>
    <mergeCell ref="I466:I467"/>
    <mergeCell ref="A464:A465"/>
    <mergeCell ref="B464:B465"/>
    <mergeCell ref="C464:C465"/>
    <mergeCell ref="D464:D465"/>
    <mergeCell ref="E464:E465"/>
    <mergeCell ref="F464:F465"/>
    <mergeCell ref="G448:J448"/>
    <mergeCell ref="G449:J449"/>
    <mergeCell ref="D450:F450"/>
    <mergeCell ref="A446:A447"/>
    <mergeCell ref="B446:B447"/>
    <mergeCell ref="C446:C447"/>
    <mergeCell ref="A448:A460"/>
    <mergeCell ref="A434:A438"/>
    <mergeCell ref="B434:B438"/>
    <mergeCell ref="C434:C438"/>
    <mergeCell ref="D438:F438"/>
    <mergeCell ref="A439:A441"/>
    <mergeCell ref="B439:B441"/>
    <mergeCell ref="C439:C441"/>
    <mergeCell ref="A432:A433"/>
    <mergeCell ref="B432:B433"/>
    <mergeCell ref="C432:C433"/>
    <mergeCell ref="D432:D433"/>
    <mergeCell ref="E432:E433"/>
    <mergeCell ref="F432:F433"/>
    <mergeCell ref="D451:F452"/>
    <mergeCell ref="G450:J452"/>
    <mergeCell ref="D453:F454"/>
    <mergeCell ref="G454:J454"/>
    <mergeCell ref="G455:J456"/>
    <mergeCell ref="D455:F456"/>
    <mergeCell ref="D457:F458"/>
    <mergeCell ref="G457:J458"/>
    <mergeCell ref="D459:F462"/>
    <mergeCell ref="A428:A430"/>
    <mergeCell ref="B428:B430"/>
    <mergeCell ref="C428:C430"/>
    <mergeCell ref="L442:P442"/>
    <mergeCell ref="G440:K440"/>
    <mergeCell ref="J420:J422"/>
    <mergeCell ref="K420:K422"/>
    <mergeCell ref="A423:A424"/>
    <mergeCell ref="B423:B424"/>
    <mergeCell ref="C423:C424"/>
    <mergeCell ref="A420:A422"/>
    <mergeCell ref="B420:B422"/>
    <mergeCell ref="C420:C422"/>
    <mergeCell ref="G420:G422"/>
    <mergeCell ref="H420:H422"/>
    <mergeCell ref="I420:I422"/>
    <mergeCell ref="J413:J414"/>
    <mergeCell ref="K413:K414"/>
    <mergeCell ref="A416:A417"/>
    <mergeCell ref="B416:B417"/>
    <mergeCell ref="C416:C417"/>
    <mergeCell ref="D416:D417"/>
    <mergeCell ref="E416:E417"/>
    <mergeCell ref="F416:F417"/>
    <mergeCell ref="A413:A414"/>
    <mergeCell ref="B413:B414"/>
    <mergeCell ref="C413:C414"/>
    <mergeCell ref="D413:D414"/>
    <mergeCell ref="E413:E414"/>
    <mergeCell ref="F413:F414"/>
    <mergeCell ref="G429:G430"/>
    <mergeCell ref="H429:H430"/>
    <mergeCell ref="L380:L381"/>
    <mergeCell ref="A382:A385"/>
    <mergeCell ref="B382:B385"/>
    <mergeCell ref="C382:C385"/>
    <mergeCell ref="D382:D385"/>
    <mergeCell ref="E382:E385"/>
    <mergeCell ref="G407:G408"/>
    <mergeCell ref="H407:H408"/>
    <mergeCell ref="I407:I408"/>
    <mergeCell ref="J407:J408"/>
    <mergeCell ref="K407:K408"/>
    <mergeCell ref="A410:A411"/>
    <mergeCell ref="B410:B411"/>
    <mergeCell ref="C410:C411"/>
    <mergeCell ref="G411:J411"/>
    <mergeCell ref="A401:A402"/>
    <mergeCell ref="B401:B402"/>
    <mergeCell ref="C401:C402"/>
    <mergeCell ref="D401:F402"/>
    <mergeCell ref="A407:A408"/>
    <mergeCell ref="B407:B408"/>
    <mergeCell ref="C407:C408"/>
    <mergeCell ref="K390:K391"/>
    <mergeCell ref="J392:J396"/>
    <mergeCell ref="K392:K396"/>
    <mergeCell ref="A397:A398"/>
    <mergeCell ref="B397:B398"/>
    <mergeCell ref="C397:C398"/>
    <mergeCell ref="A399:A400"/>
    <mergeCell ref="B399:B400"/>
    <mergeCell ref="C399:C400"/>
    <mergeCell ref="C368:C369"/>
    <mergeCell ref="D368:D369"/>
    <mergeCell ref="E368:E369"/>
    <mergeCell ref="F368:F369"/>
    <mergeCell ref="F382:F385"/>
    <mergeCell ref="J382:J385"/>
    <mergeCell ref="K382:K385"/>
    <mergeCell ref="A390:A396"/>
    <mergeCell ref="B390:B396"/>
    <mergeCell ref="C390:C396"/>
    <mergeCell ref="D390:D396"/>
    <mergeCell ref="E390:E396"/>
    <mergeCell ref="F390:F396"/>
    <mergeCell ref="J390:J391"/>
    <mergeCell ref="H380:H381"/>
    <mergeCell ref="I380:I381"/>
    <mergeCell ref="J380:J381"/>
    <mergeCell ref="K380:K381"/>
    <mergeCell ref="G378:J378"/>
    <mergeCell ref="A378:A379"/>
    <mergeCell ref="B378:B379"/>
    <mergeCell ref="C378:C379"/>
    <mergeCell ref="D378:D379"/>
    <mergeCell ref="E378:E379"/>
    <mergeCell ref="F378:F379"/>
    <mergeCell ref="G379:J379"/>
    <mergeCell ref="A366:A367"/>
    <mergeCell ref="B366:B367"/>
    <mergeCell ref="C366:C367"/>
    <mergeCell ref="D366:D367"/>
    <mergeCell ref="E366:E367"/>
    <mergeCell ref="F366:F367"/>
    <mergeCell ref="J362:J363"/>
    <mergeCell ref="K362:K363"/>
    <mergeCell ref="A362:A363"/>
    <mergeCell ref="B362:B363"/>
    <mergeCell ref="C362:C363"/>
    <mergeCell ref="D362:D363"/>
    <mergeCell ref="E362:E363"/>
    <mergeCell ref="F362:F363"/>
    <mergeCell ref="A374:A375"/>
    <mergeCell ref="B374:B375"/>
    <mergeCell ref="A380:A381"/>
    <mergeCell ref="B380:B381"/>
    <mergeCell ref="C380:C381"/>
    <mergeCell ref="G380:G381"/>
    <mergeCell ref="J368:J369"/>
    <mergeCell ref="K368:K369"/>
    <mergeCell ref="A370:A371"/>
    <mergeCell ref="B370:B371"/>
    <mergeCell ref="C370:C371"/>
    <mergeCell ref="D370:D371"/>
    <mergeCell ref="E370:E371"/>
    <mergeCell ref="F370:F371"/>
    <mergeCell ref="J370:J371"/>
    <mergeCell ref="K370:K371"/>
    <mergeCell ref="A368:A369"/>
    <mergeCell ref="B368:B369"/>
    <mergeCell ref="K355:K358"/>
    <mergeCell ref="J347:J349"/>
    <mergeCell ref="K347:K349"/>
    <mergeCell ref="G350:J350"/>
    <mergeCell ref="A353:A359"/>
    <mergeCell ref="B353:B359"/>
    <mergeCell ref="C355:C359"/>
    <mergeCell ref="D355:D359"/>
    <mergeCell ref="E355:E359"/>
    <mergeCell ref="F355:F359"/>
    <mergeCell ref="J355:J358"/>
    <mergeCell ref="A347:A350"/>
    <mergeCell ref="B347:B350"/>
    <mergeCell ref="C347:C350"/>
    <mergeCell ref="G347:G349"/>
    <mergeCell ref="H347:H349"/>
    <mergeCell ref="I347:I349"/>
    <mergeCell ref="G343:G344"/>
    <mergeCell ref="H343:H344"/>
    <mergeCell ref="I343:I344"/>
    <mergeCell ref="J343:J344"/>
    <mergeCell ref="K343:K344"/>
    <mergeCell ref="A345:A346"/>
    <mergeCell ref="B345:B346"/>
    <mergeCell ref="C345:C346"/>
    <mergeCell ref="A343:A344"/>
    <mergeCell ref="B343:B344"/>
    <mergeCell ref="C343:C344"/>
    <mergeCell ref="D343:D344"/>
    <mergeCell ref="E343:E344"/>
    <mergeCell ref="F343:F344"/>
    <mergeCell ref="A336:A339"/>
    <mergeCell ref="B336:B339"/>
    <mergeCell ref="G338:J338"/>
    <mergeCell ref="G339:J339"/>
    <mergeCell ref="A341:A342"/>
    <mergeCell ref="B341:B342"/>
    <mergeCell ref="C341:C342"/>
    <mergeCell ref="K345:K346"/>
    <mergeCell ref="K324:K325"/>
    <mergeCell ref="C335:C339"/>
    <mergeCell ref="G335:G337"/>
    <mergeCell ref="H335:H337"/>
    <mergeCell ref="I335:I337"/>
    <mergeCell ref="J335:J337"/>
    <mergeCell ref="K335:K337"/>
    <mergeCell ref="I316:I317"/>
    <mergeCell ref="J316:J317"/>
    <mergeCell ref="K316:K317"/>
    <mergeCell ref="A324:A326"/>
    <mergeCell ref="B324:B326"/>
    <mergeCell ref="C324:C326"/>
    <mergeCell ref="D324:D326"/>
    <mergeCell ref="E324:E326"/>
    <mergeCell ref="F324:F326"/>
    <mergeCell ref="J324:J325"/>
    <mergeCell ref="E327:E330"/>
    <mergeCell ref="F327:F330"/>
    <mergeCell ref="J327:J330"/>
    <mergeCell ref="K327:K330"/>
    <mergeCell ref="A331:A332"/>
    <mergeCell ref="B331:B332"/>
    <mergeCell ref="C331:C332"/>
    <mergeCell ref="D331:D332"/>
    <mergeCell ref="E331:E332"/>
    <mergeCell ref="F331:F332"/>
    <mergeCell ref="J331:J332"/>
    <mergeCell ref="K331:K332"/>
    <mergeCell ref="A327:A330"/>
    <mergeCell ref="B327:B330"/>
    <mergeCell ref="C327:C330"/>
    <mergeCell ref="G314:G315"/>
    <mergeCell ref="H314:H315"/>
    <mergeCell ref="I314:I315"/>
    <mergeCell ref="C306:C308"/>
    <mergeCell ref="G306:G307"/>
    <mergeCell ref="H306:H307"/>
    <mergeCell ref="I306:I307"/>
    <mergeCell ref="J306:J308"/>
    <mergeCell ref="K306:K308"/>
    <mergeCell ref="A291:A308"/>
    <mergeCell ref="B291:B308"/>
    <mergeCell ref="C291:C305"/>
    <mergeCell ref="D295:F304"/>
    <mergeCell ref="J295:J304"/>
    <mergeCell ref="K295:K304"/>
    <mergeCell ref="J314:J315"/>
    <mergeCell ref="K314:K315"/>
    <mergeCell ref="L264:L265"/>
    <mergeCell ref="G265:J265"/>
    <mergeCell ref="G266:J266"/>
    <mergeCell ref="C267:C268"/>
    <mergeCell ref="D267:D268"/>
    <mergeCell ref="E267:E268"/>
    <mergeCell ref="F267:F268"/>
    <mergeCell ref="A262:A266"/>
    <mergeCell ref="B262:B266"/>
    <mergeCell ref="C262:C266"/>
    <mergeCell ref="D264:D265"/>
    <mergeCell ref="E264:E265"/>
    <mergeCell ref="F264:F265"/>
    <mergeCell ref="J285:J287"/>
    <mergeCell ref="K285:K287"/>
    <mergeCell ref="L285:L287"/>
    <mergeCell ref="D288:D290"/>
    <mergeCell ref="E288:E290"/>
    <mergeCell ref="F288:F290"/>
    <mergeCell ref="G288:J288"/>
    <mergeCell ref="G289:J289"/>
    <mergeCell ref="G290:J290"/>
    <mergeCell ref="A285:A290"/>
    <mergeCell ref="B285:B290"/>
    <mergeCell ref="C285:C290"/>
    <mergeCell ref="G285:G287"/>
    <mergeCell ref="H285:H287"/>
    <mergeCell ref="I285:I287"/>
    <mergeCell ref="D275:E275"/>
    <mergeCell ref="A279:A284"/>
    <mergeCell ref="B279:B284"/>
    <mergeCell ref="C279:C284"/>
    <mergeCell ref="A252:A253"/>
    <mergeCell ref="B252:B253"/>
    <mergeCell ref="C252:C253"/>
    <mergeCell ref="D252:D253"/>
    <mergeCell ref="E252:E253"/>
    <mergeCell ref="F252:F253"/>
    <mergeCell ref="K259:K261"/>
    <mergeCell ref="C259:C261"/>
    <mergeCell ref="A254:A258"/>
    <mergeCell ref="B254:B258"/>
    <mergeCell ref="C254:C258"/>
    <mergeCell ref="D254:D256"/>
    <mergeCell ref="E254:E256"/>
    <mergeCell ref="F254:F256"/>
    <mergeCell ref="J252:J253"/>
    <mergeCell ref="K252:K253"/>
    <mergeCell ref="J259:J261"/>
    <mergeCell ref="G259:G261"/>
    <mergeCell ref="H259:H261"/>
    <mergeCell ref="H223:H226"/>
    <mergeCell ref="I223:I226"/>
    <mergeCell ref="A220:A226"/>
    <mergeCell ref="B220:B226"/>
    <mergeCell ref="C220:C226"/>
    <mergeCell ref="G220:G222"/>
    <mergeCell ref="H220:H222"/>
    <mergeCell ref="I220:I222"/>
    <mergeCell ref="D225:D226"/>
    <mergeCell ref="E225:E226"/>
    <mergeCell ref="F225:F226"/>
    <mergeCell ref="A227:A228"/>
    <mergeCell ref="B227:B228"/>
    <mergeCell ref="C227:C228"/>
    <mergeCell ref="L243:L245"/>
    <mergeCell ref="K234:K236"/>
    <mergeCell ref="L234:L236"/>
    <mergeCell ref="A238:A240"/>
    <mergeCell ref="B238:B240"/>
    <mergeCell ref="C238:C240"/>
    <mergeCell ref="K238:K240"/>
    <mergeCell ref="A191:A198"/>
    <mergeCell ref="B191:B198"/>
    <mergeCell ref="C191:C198"/>
    <mergeCell ref="D192:F195"/>
    <mergeCell ref="G192:J192"/>
    <mergeCell ref="K192:K194"/>
    <mergeCell ref="G193:J193"/>
    <mergeCell ref="L211:L212"/>
    <mergeCell ref="G195:J195"/>
    <mergeCell ref="D196:F197"/>
    <mergeCell ref="B206:B217"/>
    <mergeCell ref="L231:L233"/>
    <mergeCell ref="A234:A236"/>
    <mergeCell ref="B234:B236"/>
    <mergeCell ref="C234:C236"/>
    <mergeCell ref="D234:D236"/>
    <mergeCell ref="E234:E236"/>
    <mergeCell ref="F234:F236"/>
    <mergeCell ref="J234:J236"/>
    <mergeCell ref="A231:A233"/>
    <mergeCell ref="B231:B233"/>
    <mergeCell ref="C231:C233"/>
    <mergeCell ref="G231:G233"/>
    <mergeCell ref="H231:H233"/>
    <mergeCell ref="I231:I233"/>
    <mergeCell ref="J220:J226"/>
    <mergeCell ref="K220:K226"/>
    <mergeCell ref="L220:L222"/>
    <mergeCell ref="G223:G226"/>
    <mergeCell ref="A218:A219"/>
    <mergeCell ref="B218:B219"/>
    <mergeCell ref="C218:C219"/>
    <mergeCell ref="K188:K189"/>
    <mergeCell ref="J178:J179"/>
    <mergeCell ref="K178:K179"/>
    <mergeCell ref="L178:L179"/>
    <mergeCell ref="A180:A181"/>
    <mergeCell ref="B180:B181"/>
    <mergeCell ref="C180:C181"/>
    <mergeCell ref="G180:G181"/>
    <mergeCell ref="H180:H181"/>
    <mergeCell ref="I180:I181"/>
    <mergeCell ref="J180:J181"/>
    <mergeCell ref="K180:K181"/>
    <mergeCell ref="L180:L181"/>
    <mergeCell ref="J182:J185"/>
    <mergeCell ref="K182:K185"/>
    <mergeCell ref="G186:J186"/>
    <mergeCell ref="A182:A185"/>
    <mergeCell ref="B182:B185"/>
    <mergeCell ref="C182:C185"/>
    <mergeCell ref="L169:L171"/>
    <mergeCell ref="C172:C174"/>
    <mergeCell ref="D172:D174"/>
    <mergeCell ref="E172:E174"/>
    <mergeCell ref="F172:F174"/>
    <mergeCell ref="J172:J174"/>
    <mergeCell ref="K172:K174"/>
    <mergeCell ref="L172:L174"/>
    <mergeCell ref="C169:C171"/>
    <mergeCell ref="D169:D171"/>
    <mergeCell ref="E169:E171"/>
    <mergeCell ref="F169:F171"/>
    <mergeCell ref="J169:J171"/>
    <mergeCell ref="K169:K171"/>
    <mergeCell ref="G182:G185"/>
    <mergeCell ref="H182:H185"/>
    <mergeCell ref="I182:I185"/>
    <mergeCell ref="I178:I179"/>
    <mergeCell ref="K160:K165"/>
    <mergeCell ref="K155:K156"/>
    <mergeCell ref="L155:L156"/>
    <mergeCell ref="A157:A159"/>
    <mergeCell ref="B157:B159"/>
    <mergeCell ref="C157:C159"/>
    <mergeCell ref="G157:G158"/>
    <mergeCell ref="H157:H158"/>
    <mergeCell ref="I157:I158"/>
    <mergeCell ref="J157:J159"/>
    <mergeCell ref="K157:K159"/>
    <mergeCell ref="A155:A156"/>
    <mergeCell ref="B155:B156"/>
    <mergeCell ref="C155:C156"/>
    <mergeCell ref="G155:G156"/>
    <mergeCell ref="H155:H156"/>
    <mergeCell ref="I155:I156"/>
    <mergeCell ref="G118:J118"/>
    <mergeCell ref="A143:A144"/>
    <mergeCell ref="B143:B144"/>
    <mergeCell ref="C143:C144"/>
    <mergeCell ref="G143:G144"/>
    <mergeCell ref="H143:H144"/>
    <mergeCell ref="I143:I144"/>
    <mergeCell ref="A100:A101"/>
    <mergeCell ref="B100:B101"/>
    <mergeCell ref="C100:C101"/>
    <mergeCell ref="D100:D101"/>
    <mergeCell ref="E100:E101"/>
    <mergeCell ref="F100:F101"/>
    <mergeCell ref="J141:J142"/>
    <mergeCell ref="K141:K142"/>
    <mergeCell ref="C141:C142"/>
    <mergeCell ref="D141:D142"/>
    <mergeCell ref="A141:A142"/>
    <mergeCell ref="B141:B142"/>
    <mergeCell ref="A102:A104"/>
    <mergeCell ref="B102:B104"/>
    <mergeCell ref="D118:D127"/>
    <mergeCell ref="E118:E127"/>
    <mergeCell ref="F118:F127"/>
    <mergeCell ref="J119:J127"/>
    <mergeCell ref="K119:K127"/>
    <mergeCell ref="D130:F131"/>
    <mergeCell ref="B136:B139"/>
    <mergeCell ref="A136:A139"/>
    <mergeCell ref="C136:C139"/>
    <mergeCell ref="D128:F129"/>
    <mergeCell ref="A118:A131"/>
    <mergeCell ref="K82:K84"/>
    <mergeCell ref="J96:J97"/>
    <mergeCell ref="K96:K97"/>
    <mergeCell ref="D96:D97"/>
    <mergeCell ref="E96:E97"/>
    <mergeCell ref="F96:F97"/>
    <mergeCell ref="G96:G97"/>
    <mergeCell ref="H96:H97"/>
    <mergeCell ref="I96:I97"/>
    <mergeCell ref="A92:A97"/>
    <mergeCell ref="B92:B97"/>
    <mergeCell ref="C92:C94"/>
    <mergeCell ref="A85:A87"/>
    <mergeCell ref="B85:B87"/>
    <mergeCell ref="C88:C90"/>
    <mergeCell ref="L92:L95"/>
    <mergeCell ref="C96:C97"/>
    <mergeCell ref="L88:L89"/>
    <mergeCell ref="A89:A90"/>
    <mergeCell ref="B89:B90"/>
    <mergeCell ref="G89:J89"/>
    <mergeCell ref="A81:A84"/>
    <mergeCell ref="L71:L73"/>
    <mergeCell ref="G72:J72"/>
    <mergeCell ref="G73:J73"/>
    <mergeCell ref="G65:J65"/>
    <mergeCell ref="G71:J71"/>
    <mergeCell ref="B62:B67"/>
    <mergeCell ref="A62:A67"/>
    <mergeCell ref="C62:C67"/>
    <mergeCell ref="G67:J67"/>
    <mergeCell ref="G69:J69"/>
    <mergeCell ref="B68:B69"/>
    <mergeCell ref="A68:A69"/>
    <mergeCell ref="C68:C69"/>
    <mergeCell ref="D68:D69"/>
    <mergeCell ref="E68:E69"/>
    <mergeCell ref="F68:F69"/>
    <mergeCell ref="G68:J68"/>
    <mergeCell ref="A71:A74"/>
    <mergeCell ref="B71:B74"/>
    <mergeCell ref="C71:C74"/>
    <mergeCell ref="D71:D74"/>
    <mergeCell ref="E71:E74"/>
    <mergeCell ref="F71:F74"/>
    <mergeCell ref="L56:L58"/>
    <mergeCell ref="G57:J57"/>
    <mergeCell ref="G58:J58"/>
    <mergeCell ref="D62:D63"/>
    <mergeCell ref="E62:E63"/>
    <mergeCell ref="F62:F63"/>
    <mergeCell ref="G64:J64"/>
    <mergeCell ref="G56:J56"/>
    <mergeCell ref="K56:K58"/>
    <mergeCell ref="H52:H54"/>
    <mergeCell ref="I52:I54"/>
    <mergeCell ref="J52:J54"/>
    <mergeCell ref="K52:K54"/>
    <mergeCell ref="A52:A54"/>
    <mergeCell ref="B52:B54"/>
    <mergeCell ref="C52:C54"/>
    <mergeCell ref="E52:E53"/>
    <mergeCell ref="F52:F53"/>
    <mergeCell ref="G52:G54"/>
    <mergeCell ref="A56:A59"/>
    <mergeCell ref="B56:B59"/>
    <mergeCell ref="C56:C59"/>
    <mergeCell ref="D56:D59"/>
    <mergeCell ref="E56:E59"/>
    <mergeCell ref="F56:F59"/>
    <mergeCell ref="L42:L43"/>
    <mergeCell ref="D44:D45"/>
    <mergeCell ref="E44:E45"/>
    <mergeCell ref="F44:F45"/>
    <mergeCell ref="J40:J41"/>
    <mergeCell ref="K40:K41"/>
    <mergeCell ref="A42:A45"/>
    <mergeCell ref="B42:B45"/>
    <mergeCell ref="C42:C45"/>
    <mergeCell ref="D42:D43"/>
    <mergeCell ref="E42:E43"/>
    <mergeCell ref="F42:F43"/>
    <mergeCell ref="A40:A41"/>
    <mergeCell ref="B40:B41"/>
    <mergeCell ref="C40:C41"/>
    <mergeCell ref="G40:G41"/>
    <mergeCell ref="H40:H41"/>
    <mergeCell ref="I40:I41"/>
    <mergeCell ref="G21:J21"/>
    <mergeCell ref="A37:A38"/>
    <mergeCell ref="B37:B38"/>
    <mergeCell ref="C37:C38"/>
    <mergeCell ref="F29:F31"/>
    <mergeCell ref="G27:G31"/>
    <mergeCell ref="H27:H31"/>
    <mergeCell ref="I27:I31"/>
    <mergeCell ref="J27:J31"/>
    <mergeCell ref="K27:K31"/>
    <mergeCell ref="A29:A31"/>
    <mergeCell ref="B29:B31"/>
    <mergeCell ref="C29:C31"/>
    <mergeCell ref="D29:D31"/>
    <mergeCell ref="E29:E31"/>
    <mergeCell ref="G32:J32"/>
    <mergeCell ref="A34:A36"/>
    <mergeCell ref="B34:B36"/>
    <mergeCell ref="C34:C36"/>
    <mergeCell ref="D35:D36"/>
    <mergeCell ref="E35:E36"/>
    <mergeCell ref="F35:F36"/>
    <mergeCell ref="G33:J33"/>
    <mergeCell ref="J3:J4"/>
    <mergeCell ref="K3:K4"/>
    <mergeCell ref="A7:A13"/>
    <mergeCell ref="B7:B13"/>
    <mergeCell ref="C7:C13"/>
    <mergeCell ref="D7:D13"/>
    <mergeCell ref="E7:E13"/>
    <mergeCell ref="F7:F13"/>
    <mergeCell ref="A3:A4"/>
    <mergeCell ref="B3:B4"/>
    <mergeCell ref="C3:C4"/>
    <mergeCell ref="G3:G4"/>
    <mergeCell ref="H3:H4"/>
    <mergeCell ref="I3:I4"/>
    <mergeCell ref="G1745:J1745"/>
    <mergeCell ref="G22:J22"/>
    <mergeCell ref="A24:A27"/>
    <mergeCell ref="B24:B27"/>
    <mergeCell ref="C24:C26"/>
    <mergeCell ref="J24:J25"/>
    <mergeCell ref="K24:K25"/>
    <mergeCell ref="D25:D26"/>
    <mergeCell ref="E25:E26"/>
    <mergeCell ref="F25:F26"/>
    <mergeCell ref="G26:J26"/>
    <mergeCell ref="A16:A23"/>
    <mergeCell ref="B16:B23"/>
    <mergeCell ref="C16:C23"/>
    <mergeCell ref="G16:J17"/>
    <mergeCell ref="G18:J18"/>
    <mergeCell ref="G19:J19"/>
    <mergeCell ref="G20:J20"/>
    <mergeCell ref="G282:G284"/>
    <mergeCell ref="L1749:L1750"/>
    <mergeCell ref="B1749:B1750"/>
    <mergeCell ref="C1749:C1750"/>
    <mergeCell ref="A1749:A1750"/>
    <mergeCell ref="D113:D116"/>
    <mergeCell ref="E113:E116"/>
    <mergeCell ref="F113:F116"/>
    <mergeCell ref="J113:J116"/>
    <mergeCell ref="K113:K116"/>
    <mergeCell ref="J143:J144"/>
    <mergeCell ref="K143:K144"/>
    <mergeCell ref="L143:L144"/>
    <mergeCell ref="K150:K154"/>
    <mergeCell ref="D152:E154"/>
    <mergeCell ref="F152:F154"/>
    <mergeCell ref="J155:J156"/>
    <mergeCell ref="L145:L149"/>
    <mergeCell ref="D147:E149"/>
    <mergeCell ref="F147:F149"/>
    <mergeCell ref="C150:C154"/>
    <mergeCell ref="D150:D151"/>
    <mergeCell ref="E150:E151"/>
    <mergeCell ref="E932:E934"/>
    <mergeCell ref="J254:J258"/>
    <mergeCell ref="K254:K258"/>
    <mergeCell ref="A259:A261"/>
    <mergeCell ref="B259:B261"/>
    <mergeCell ref="L160:L165"/>
    <mergeCell ref="C166:C168"/>
    <mergeCell ref="L166:L168"/>
    <mergeCell ref="L157:L159"/>
    <mergeCell ref="D262:D263"/>
    <mergeCell ref="E262:E263"/>
    <mergeCell ref="F262:F263"/>
    <mergeCell ref="J262:J263"/>
    <mergeCell ref="D166:D168"/>
    <mergeCell ref="E166:E168"/>
    <mergeCell ref="F166:F168"/>
    <mergeCell ref="A175:A176"/>
    <mergeCell ref="B175:B176"/>
    <mergeCell ref="A178:A179"/>
    <mergeCell ref="B178:B179"/>
    <mergeCell ref="C178:C179"/>
    <mergeCell ref="G178:G179"/>
    <mergeCell ref="G194:J194"/>
    <mergeCell ref="D198:F198"/>
    <mergeCell ref="A201:A202"/>
    <mergeCell ref="B201:B202"/>
    <mergeCell ref="C201:C202"/>
    <mergeCell ref="B160:B174"/>
    <mergeCell ref="C160:C165"/>
    <mergeCell ref="D160:D165"/>
    <mergeCell ref="E160:E165"/>
    <mergeCell ref="F160:F165"/>
    <mergeCell ref="J160:J165"/>
    <mergeCell ref="A188:A189"/>
    <mergeCell ref="B188:B189"/>
    <mergeCell ref="A160:A174"/>
    <mergeCell ref="C188:C189"/>
    <mergeCell ref="D188:D189"/>
    <mergeCell ref="E188:E189"/>
    <mergeCell ref="F188:F189"/>
    <mergeCell ref="J188:J189"/>
    <mergeCell ref="G1763:J1763"/>
    <mergeCell ref="G1764:J1764"/>
    <mergeCell ref="D1763:D1764"/>
    <mergeCell ref="E1763:E1764"/>
    <mergeCell ref="F1763:F1764"/>
    <mergeCell ref="C1763:C1764"/>
    <mergeCell ref="B1763:B1764"/>
    <mergeCell ref="A1763:A1764"/>
    <mergeCell ref="L1763:L1764"/>
    <mergeCell ref="A969:A972"/>
    <mergeCell ref="B969:B972"/>
    <mergeCell ref="G969:J969"/>
    <mergeCell ref="B448:B462"/>
    <mergeCell ref="C448:C462"/>
    <mergeCell ref="G453:J453"/>
    <mergeCell ref="C1176:C1178"/>
    <mergeCell ref="B1176:B1178"/>
    <mergeCell ref="A1176:A1178"/>
    <mergeCell ref="G1178:J1178"/>
    <mergeCell ref="B1756:B1757"/>
    <mergeCell ref="A1756:A1757"/>
    <mergeCell ref="C1756:C1757"/>
    <mergeCell ref="G808:J808"/>
    <mergeCell ref="A619:A621"/>
    <mergeCell ref="C798:C799"/>
    <mergeCell ref="A862:A863"/>
    <mergeCell ref="B862:B863"/>
    <mergeCell ref="C862:C863"/>
    <mergeCell ref="D862:D863"/>
    <mergeCell ref="E862:E863"/>
    <mergeCell ref="F862:F863"/>
    <mergeCell ref="K695:K697"/>
    <mergeCell ref="A107:A108"/>
    <mergeCell ref="B107:B108"/>
    <mergeCell ref="C107:C108"/>
    <mergeCell ref="D107:D108"/>
    <mergeCell ref="E107:E108"/>
    <mergeCell ref="F107:F108"/>
    <mergeCell ref="J107:J108"/>
    <mergeCell ref="K107:K108"/>
    <mergeCell ref="C753:C756"/>
    <mergeCell ref="B753:B756"/>
    <mergeCell ref="A753:A756"/>
    <mergeCell ref="L754:L755"/>
    <mergeCell ref="G756:J756"/>
    <mergeCell ref="G1767:J1767"/>
    <mergeCell ref="G1540:J1542"/>
    <mergeCell ref="A1666:A1668"/>
    <mergeCell ref="B1666:B1668"/>
    <mergeCell ref="C1666:C1668"/>
    <mergeCell ref="D1666:D1668"/>
    <mergeCell ref="E1666:E1668"/>
    <mergeCell ref="F1666:F1668"/>
    <mergeCell ref="J1666:J1668"/>
    <mergeCell ref="K1666:K1668"/>
    <mergeCell ref="I243:I246"/>
    <mergeCell ref="J243:J246"/>
    <mergeCell ref="K243:K246"/>
    <mergeCell ref="J345:J346"/>
    <mergeCell ref="G1748:J1748"/>
    <mergeCell ref="D1749:D1750"/>
    <mergeCell ref="E1749:E1750"/>
    <mergeCell ref="C145:C149"/>
    <mergeCell ref="D145:D146"/>
    <mergeCell ref="G1770:J1770"/>
    <mergeCell ref="L1768:L1769"/>
    <mergeCell ref="J229:J230"/>
    <mergeCell ref="K229:K230"/>
    <mergeCell ref="D229:D230"/>
    <mergeCell ref="E229:E230"/>
    <mergeCell ref="F229:F230"/>
    <mergeCell ref="C229:C230"/>
    <mergeCell ref="B229:B230"/>
    <mergeCell ref="A229:A230"/>
    <mergeCell ref="G1768:J1768"/>
    <mergeCell ref="G1769:J1769"/>
    <mergeCell ref="A787:A793"/>
    <mergeCell ref="B787:B793"/>
    <mergeCell ref="C787:C793"/>
    <mergeCell ref="D791:D793"/>
    <mergeCell ref="E791:E793"/>
    <mergeCell ref="F791:F793"/>
    <mergeCell ref="J791:J793"/>
    <mergeCell ref="K791:K793"/>
    <mergeCell ref="B1768:B1769"/>
    <mergeCell ref="A1768:A1769"/>
    <mergeCell ref="C1768:C1769"/>
    <mergeCell ref="F624:F625"/>
    <mergeCell ref="D1768:D1769"/>
    <mergeCell ref="A798:A799"/>
    <mergeCell ref="B798:B799"/>
    <mergeCell ref="E1768:E1769"/>
    <mergeCell ref="F1768:F1769"/>
    <mergeCell ref="F1749:F1750"/>
    <mergeCell ref="G1749:J1750"/>
    <mergeCell ref="K1749:K1750"/>
    <mergeCell ref="H279:H281"/>
    <mergeCell ref="I279:I281"/>
    <mergeCell ref="H282:H284"/>
    <mergeCell ref="D932:D934"/>
    <mergeCell ref="G243:G246"/>
    <mergeCell ref="C351:C352"/>
    <mergeCell ref="B1292:B1293"/>
    <mergeCell ref="A1292:A1293"/>
    <mergeCell ref="C1292:C1293"/>
    <mergeCell ref="D1292:D1293"/>
    <mergeCell ref="E1292:E1293"/>
    <mergeCell ref="F150:F151"/>
    <mergeCell ref="J150:J154"/>
    <mergeCell ref="A145:A154"/>
    <mergeCell ref="B145:B154"/>
    <mergeCell ref="K231:K233"/>
    <mergeCell ref="G1058:J1059"/>
    <mergeCell ref="A1215:A1216"/>
    <mergeCell ref="B1215:B1216"/>
    <mergeCell ref="C1215:C1216"/>
    <mergeCell ref="D1215:D1216"/>
    <mergeCell ref="E1215:E1216"/>
    <mergeCell ref="A243:A246"/>
    <mergeCell ref="B243:B246"/>
    <mergeCell ref="C243:C246"/>
    <mergeCell ref="G267:J267"/>
    <mergeCell ref="G268:J268"/>
    <mergeCell ref="A273:A278"/>
    <mergeCell ref="E145:E146"/>
    <mergeCell ref="F145:F146"/>
    <mergeCell ref="H178:H179"/>
    <mergeCell ref="I282:I284"/>
    <mergeCell ref="A316:A321"/>
    <mergeCell ref="B316:B321"/>
    <mergeCell ref="C316:C321"/>
    <mergeCell ref="D316:D317"/>
    <mergeCell ref="E316:E317"/>
    <mergeCell ref="F316:F317"/>
    <mergeCell ref="G316:G317"/>
    <mergeCell ref="H316:H317"/>
    <mergeCell ref="A314:A315"/>
    <mergeCell ref="A743:A744"/>
    <mergeCell ref="B743:B744"/>
    <mergeCell ref="C743:C744"/>
    <mergeCell ref="D743:D744"/>
    <mergeCell ref="E743:E744"/>
    <mergeCell ref="F743:F744"/>
    <mergeCell ref="F672:F673"/>
    <mergeCell ref="D493:D500"/>
    <mergeCell ref="E493:E500"/>
    <mergeCell ref="F493:F500"/>
    <mergeCell ref="A634:A635"/>
    <mergeCell ref="B634:B635"/>
    <mergeCell ref="C634:C635"/>
    <mergeCell ref="D634:D635"/>
    <mergeCell ref="E634:E635"/>
    <mergeCell ref="F634:F635"/>
    <mergeCell ref="B620:B621"/>
    <mergeCell ref="C619:C621"/>
    <mergeCell ref="A404:A405"/>
    <mergeCell ref="B404:B405"/>
    <mergeCell ref="C404:C405"/>
    <mergeCell ref="B314:B315"/>
    <mergeCell ref="C314:C315"/>
    <mergeCell ref="J279:J284"/>
    <mergeCell ref="K279:K284"/>
    <mergeCell ref="G279:G281"/>
    <mergeCell ref="D218:D219"/>
    <mergeCell ref="E218:E219"/>
    <mergeCell ref="F218:F219"/>
    <mergeCell ref="J218:J219"/>
    <mergeCell ref="J729:J733"/>
    <mergeCell ref="D729:F733"/>
    <mergeCell ref="K729:K733"/>
    <mergeCell ref="A204:A205"/>
    <mergeCell ref="B204:B205"/>
    <mergeCell ref="C204:C205"/>
    <mergeCell ref="D204:D205"/>
    <mergeCell ref="E204:E205"/>
    <mergeCell ref="F204:F205"/>
    <mergeCell ref="B351:B352"/>
    <mergeCell ref="A351:A352"/>
    <mergeCell ref="D434:D437"/>
    <mergeCell ref="E434:E437"/>
    <mergeCell ref="F434:F437"/>
    <mergeCell ref="H243:H246"/>
    <mergeCell ref="J231:J233"/>
    <mergeCell ref="G574:G575"/>
    <mergeCell ref="H574:H575"/>
    <mergeCell ref="I574:I575"/>
    <mergeCell ref="J574:J575"/>
    <mergeCell ref="K574:K575"/>
    <mergeCell ref="D672:D673"/>
    <mergeCell ref="E672:E673"/>
    <mergeCell ref="B273:B278"/>
    <mergeCell ref="C273:C278"/>
    <mergeCell ref="G264:J264"/>
    <mergeCell ref="F1292:F1293"/>
    <mergeCell ref="B919:B922"/>
    <mergeCell ref="A919:A922"/>
    <mergeCell ref="K892:K894"/>
    <mergeCell ref="F932:F934"/>
    <mergeCell ref="J932:J934"/>
    <mergeCell ref="K932:K934"/>
    <mergeCell ref="G939:G940"/>
    <mergeCell ref="H939:H940"/>
    <mergeCell ref="I939:I940"/>
    <mergeCell ref="A936:A938"/>
    <mergeCell ref="B936:B938"/>
    <mergeCell ref="C969:C971"/>
    <mergeCell ref="D969:D971"/>
    <mergeCell ref="E969:E971"/>
    <mergeCell ref="F969:F971"/>
    <mergeCell ref="J970:J971"/>
    <mergeCell ref="K970:K971"/>
    <mergeCell ref="A923:A927"/>
    <mergeCell ref="B923:B927"/>
    <mergeCell ref="C923:C927"/>
    <mergeCell ref="D924:F926"/>
    <mergeCell ref="J924:J926"/>
    <mergeCell ref="K924:K926"/>
    <mergeCell ref="K907:K913"/>
    <mergeCell ref="G919:G920"/>
    <mergeCell ref="H919:H920"/>
    <mergeCell ref="I919:I920"/>
    <mergeCell ref="G929:G930"/>
    <mergeCell ref="H929:H930"/>
    <mergeCell ref="I929:I930"/>
    <mergeCell ref="A1774:A1775"/>
    <mergeCell ref="B1774:B1775"/>
    <mergeCell ref="C1774:C1775"/>
    <mergeCell ref="D1774:F1775"/>
    <mergeCell ref="G737:K737"/>
    <mergeCell ref="L218:L219"/>
    <mergeCell ref="K218:K219"/>
    <mergeCell ref="A860:A861"/>
    <mergeCell ref="B860:B861"/>
    <mergeCell ref="C860:C861"/>
    <mergeCell ref="D860:D861"/>
    <mergeCell ref="E860:E861"/>
    <mergeCell ref="F860:F861"/>
    <mergeCell ref="B1462:B1464"/>
    <mergeCell ref="C1462:C1464"/>
    <mergeCell ref="D1462:D1464"/>
    <mergeCell ref="E1462:E1464"/>
    <mergeCell ref="F1462:F1464"/>
    <mergeCell ref="J1215:J1216"/>
    <mergeCell ref="K1215:K1216"/>
    <mergeCell ref="A1309:A1310"/>
    <mergeCell ref="B1309:B1310"/>
    <mergeCell ref="K634:K635"/>
    <mergeCell ref="G1355:G1356"/>
    <mergeCell ref="H1355:H1356"/>
    <mergeCell ref="I1355:I1356"/>
    <mergeCell ref="C1309:C1310"/>
    <mergeCell ref="D1309:D1310"/>
    <mergeCell ref="E1309:E1310"/>
    <mergeCell ref="F1309:F1310"/>
    <mergeCell ref="A1389:A1390"/>
    <mergeCell ref="B1389:B1390"/>
    <mergeCell ref="A79:A80"/>
    <mergeCell ref="B79:B80"/>
    <mergeCell ref="C79:C80"/>
    <mergeCell ref="D79:D80"/>
    <mergeCell ref="E79:E80"/>
    <mergeCell ref="F79:F80"/>
    <mergeCell ref="G80:K80"/>
    <mergeCell ref="G79:K79"/>
    <mergeCell ref="G34:J34"/>
    <mergeCell ref="D85:D87"/>
    <mergeCell ref="E85:E87"/>
    <mergeCell ref="F85:F87"/>
    <mergeCell ref="C85:C87"/>
    <mergeCell ref="G85:G87"/>
    <mergeCell ref="H85:H87"/>
    <mergeCell ref="I85:I87"/>
    <mergeCell ref="J85:J87"/>
    <mergeCell ref="K85:K87"/>
    <mergeCell ref="A46:A49"/>
    <mergeCell ref="B46:B49"/>
    <mergeCell ref="C46:C49"/>
    <mergeCell ref="D46:D49"/>
    <mergeCell ref="E46:E49"/>
    <mergeCell ref="F46:F49"/>
    <mergeCell ref="J42:J43"/>
    <mergeCell ref="K42:K43"/>
    <mergeCell ref="B81:B84"/>
    <mergeCell ref="C81:C84"/>
    <mergeCell ref="D81:D84"/>
    <mergeCell ref="E81:E84"/>
    <mergeCell ref="F81:F84"/>
    <mergeCell ref="J82:J84"/>
    <mergeCell ref="A946:A953"/>
    <mergeCell ref="C946:C953"/>
    <mergeCell ref="G512:G513"/>
    <mergeCell ref="H512:H513"/>
    <mergeCell ref="I512:I513"/>
    <mergeCell ref="J512:J513"/>
    <mergeCell ref="K512:K513"/>
    <mergeCell ref="C1389:C1390"/>
    <mergeCell ref="D1389:D1390"/>
    <mergeCell ref="E1389:E1390"/>
    <mergeCell ref="F1389:F1390"/>
    <mergeCell ref="J1389:J1390"/>
    <mergeCell ref="K1389:K1390"/>
    <mergeCell ref="J1614:J1619"/>
    <mergeCell ref="D1613:D1619"/>
    <mergeCell ref="E1613:E1619"/>
    <mergeCell ref="F1613:F1619"/>
    <mergeCell ref="K1614:K1619"/>
    <mergeCell ref="E1494:E1496"/>
    <mergeCell ref="F1494:F1496"/>
    <mergeCell ref="J1494:J1496"/>
    <mergeCell ref="K1494:K1496"/>
    <mergeCell ref="J1402:J1406"/>
    <mergeCell ref="K1402:K1406"/>
    <mergeCell ref="H695:H697"/>
    <mergeCell ref="I695:I697"/>
    <mergeCell ref="J695:J697"/>
    <mergeCell ref="D1098:F1102"/>
    <mergeCell ref="J1098:J1101"/>
    <mergeCell ref="K1098:K1101"/>
    <mergeCell ref="G1102:J1103"/>
    <mergeCell ref="K1102:K1103"/>
    <mergeCell ref="I429:I430"/>
    <mergeCell ref="J429:J430"/>
    <mergeCell ref="K429:K430"/>
    <mergeCell ref="G1437:G1441"/>
    <mergeCell ref="H1437:H1441"/>
    <mergeCell ref="I1437:I1441"/>
    <mergeCell ref="J1437:J1441"/>
    <mergeCell ref="K1437:K1441"/>
    <mergeCell ref="G695:G697"/>
    <mergeCell ref="L512:L513"/>
    <mergeCell ref="A1660:A1663"/>
    <mergeCell ref="B1660:B1663"/>
    <mergeCell ref="C1660:C1663"/>
    <mergeCell ref="D1771:F1772"/>
    <mergeCell ref="B1796:B1798"/>
    <mergeCell ref="A1796:A1798"/>
    <mergeCell ref="C1796:C1798"/>
    <mergeCell ref="D1796:D1798"/>
    <mergeCell ref="E1796:E1798"/>
    <mergeCell ref="F1796:F1798"/>
    <mergeCell ref="B1771:B1772"/>
    <mergeCell ref="C1771:C1772"/>
    <mergeCell ref="J1771:J1772"/>
    <mergeCell ref="K1771:K1772"/>
    <mergeCell ref="L1771:L1772"/>
    <mergeCell ref="A1771:A1772"/>
    <mergeCell ref="H1371:H1372"/>
    <mergeCell ref="I1371:I1372"/>
    <mergeCell ref="A1494:A1496"/>
    <mergeCell ref="B1494:B1496"/>
    <mergeCell ref="C1494:C1496"/>
    <mergeCell ref="D1494:D1496"/>
    <mergeCell ref="K1120:K1123"/>
    <mergeCell ref="G1124:J1124"/>
    <mergeCell ref="G1125:J1125"/>
    <mergeCell ref="D1110:E1110"/>
    <mergeCell ref="G1110:J1110"/>
    <mergeCell ref="D1111:E1111"/>
    <mergeCell ref="G1111:J1111"/>
    <mergeCell ref="D1112:E1112"/>
    <mergeCell ref="G1113:J1113"/>
    <mergeCell ref="G1114:J1114"/>
    <mergeCell ref="D1115:F1115"/>
    <mergeCell ref="G1116:J1116"/>
    <mergeCell ref="D1117:E1117"/>
    <mergeCell ref="G1117:J1117"/>
    <mergeCell ref="D1118:E1118"/>
    <mergeCell ref="G1118:J1118"/>
    <mergeCell ref="D1119:E1119"/>
    <mergeCell ref="G1119:J1119"/>
    <mergeCell ref="D1120:F1123"/>
    <mergeCell ref="H1123:I1123"/>
    <mergeCell ref="J1120:J112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</vt:lpstr>
      <vt:lpstr>آبان</vt:lpstr>
      <vt:lpstr>آذر</vt:lpstr>
      <vt:lpstr>دی</vt:lpstr>
      <vt:lpstr>بهمن</vt:lpstr>
      <vt:lpstr>اسفند</vt:lpstr>
      <vt:lpstr>فروردین</vt:lpstr>
      <vt:lpstr>اردیبهشت</vt:lpstr>
      <vt:lpstr>خرداد 1402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2023-06-27T04:48:48Z</dcterms:modified>
</cp:coreProperties>
</file>